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vnozare.pri\vm\Redirect_profiles\VM_Ivita_Lazdina\Desktop\Not_1529\2023_GATAVOTIE_NOTEIKUMI\Budzeta_grozijumi\PROJ_AR_DEC_AVANSA\Nosūtīts_FM\"/>
    </mc:Choice>
  </mc:AlternateContent>
  <xr:revisionPtr revIDLastSave="0" documentId="13_ncr:1_{05A90289-3C8C-448A-8283-6D2B484E23AB}" xr6:coauthVersionLast="47" xr6:coauthVersionMax="47" xr10:uidLastSave="{00000000-0000-0000-0000-000000000000}"/>
  <bookViews>
    <workbookView xWindow="15" yWindow="0" windowWidth="16635" windowHeight="15600" xr2:uid="{33C0D9CD-EFDD-463D-8098-2ED9D3B0C046}"/>
  </bookViews>
  <sheets>
    <sheet name="Nr.1" sheetId="67" r:id="rId1"/>
    <sheet name="Nr.2" sheetId="69" r:id="rId2"/>
    <sheet name="Nr.3" sheetId="68" r:id="rId3"/>
    <sheet name="Nr.4" sheetId="70" r:id="rId4"/>
    <sheet name="Nr.5" sheetId="76" r:id="rId5"/>
    <sheet name="Nr.6" sheetId="90" r:id="rId6"/>
    <sheet name="Nr.7" sheetId="75" r:id="rId7"/>
    <sheet name="Nr.8" sheetId="72" r:id="rId8"/>
    <sheet name="turp_Nr.8" sheetId="71" r:id="rId9"/>
    <sheet name="Nr.9" sheetId="78" r:id="rId10"/>
    <sheet name="Nr.10" sheetId="79" r:id="rId11"/>
    <sheet name="Nr.11" sheetId="91" r:id="rId12"/>
    <sheet name="Nr.12" sheetId="85" r:id="rId13"/>
    <sheet name="Nr.13" sheetId="86" r:id="rId14"/>
    <sheet name="Nr.14" sheetId="87" r:id="rId15"/>
    <sheet name="Nr.15" sheetId="88" r:id="rId16"/>
    <sheet name="Nr.16" sheetId="89" r:id="rId17"/>
  </sheets>
  <externalReferences>
    <externalReference r:id="rId18"/>
    <externalReference r:id="rId19"/>
    <externalReference r:id="rId20"/>
    <externalReference r:id="rId21"/>
    <externalReference r:id="rId22"/>
    <externalReference r:id="rId23"/>
    <externalReference r:id="rId24"/>
  </externalReferences>
  <definedNames>
    <definedName name="_1_2_d_NMP_lim">#REF!</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#REF!</definedName>
    <definedName name="P_Dati_rikojums">#REF!</definedName>
    <definedName name="pp">#REF!</definedName>
    <definedName name="Recover">[3]Macro1!$A$80</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arifs_28">#REF!</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7" i="78" l="1"/>
  <c r="O50" i="79"/>
  <c r="O48" i="79"/>
  <c r="O47" i="79"/>
  <c r="O36" i="79"/>
  <c r="M39" i="79" s="1"/>
  <c r="M42" i="79" s="1"/>
  <c r="T45" i="78"/>
  <c r="T44" i="78"/>
  <c r="T33" i="78"/>
  <c r="R36" i="78" s="1"/>
  <c r="R39" i="78" s="1"/>
  <c r="D32" i="75" l="1"/>
  <c r="B32" i="75"/>
  <c r="C31" i="75"/>
  <c r="D31" i="75" s="1"/>
  <c r="D30" i="75"/>
  <c r="D29" i="75"/>
  <c r="D28" i="75"/>
  <c r="C27" i="75"/>
  <c r="D27" i="75" s="1"/>
  <c r="D26" i="75"/>
  <c r="B22" i="75"/>
  <c r="C32" i="75" l="1"/>
  <c r="E41" i="85" l="1"/>
  <c r="E40" i="85"/>
  <c r="E39" i="85"/>
  <c r="E31" i="85"/>
  <c r="E30" i="85"/>
  <c r="E29" i="85"/>
  <c r="E28" i="85"/>
  <c r="E27" i="85"/>
  <c r="E26" i="85"/>
  <c r="E25" i="85"/>
  <c r="E24" i="85"/>
  <c r="E23" i="85"/>
  <c r="E22" i="85"/>
  <c r="E21" i="85"/>
  <c r="E18" i="85"/>
  <c r="C12" i="85"/>
  <c r="E12" i="85" s="1"/>
  <c r="C11" i="85"/>
  <c r="E11" i="85" s="1"/>
  <c r="E10" i="85"/>
  <c r="C9" i="85"/>
  <c r="E9" i="85" s="1"/>
  <c r="E8" i="85"/>
  <c r="C7" i="85"/>
  <c r="E7" i="85" s="1"/>
  <c r="E6" i="85"/>
  <c r="C5" i="85"/>
  <c r="E5" i="85" s="1"/>
  <c r="E13" i="85" l="1"/>
  <c r="E32" i="85"/>
  <c r="E38" i="85" l="1"/>
  <c r="E10" i="75" l="1"/>
  <c r="D5" i="89"/>
  <c r="D6" i="89"/>
  <c r="D7" i="89"/>
  <c r="D8" i="89"/>
  <c r="D9" i="89"/>
  <c r="D12" i="89"/>
  <c r="D13" i="89"/>
  <c r="D14" i="89"/>
  <c r="D15" i="89"/>
  <c r="D4" i="89"/>
  <c r="B11" i="89"/>
  <c r="D11" i="89" s="1"/>
  <c r="B10" i="89"/>
  <c r="D10" i="89" s="1"/>
  <c r="B9" i="89"/>
  <c r="B12" i="87"/>
  <c r="B11" i="87"/>
  <c r="B10" i="87"/>
  <c r="B4" i="87"/>
  <c r="B7" i="87" s="1"/>
  <c r="B9" i="87" s="1"/>
  <c r="D16" i="89" l="1"/>
  <c r="D17" i="89" s="1"/>
  <c r="D18" i="89" l="1"/>
  <c r="D20" i="89" s="1"/>
  <c r="D19" i="89"/>
  <c r="H7" i="91"/>
  <c r="I7" i="91"/>
  <c r="J7" i="91"/>
  <c r="J31" i="91"/>
  <c r="H31" i="91"/>
  <c r="K30" i="91"/>
  <c r="K29" i="91"/>
  <c r="AC24" i="91"/>
  <c r="J24" i="91"/>
  <c r="V24" i="91" s="1"/>
  <c r="AC23" i="91"/>
  <c r="J23" i="91"/>
  <c r="V23" i="91" s="1"/>
  <c r="H16" i="91"/>
  <c r="G16" i="91"/>
  <c r="G24" i="91" s="1"/>
  <c r="F16" i="91"/>
  <c r="H24" i="91" s="1"/>
  <c r="F23" i="91" l="1"/>
  <c r="G23" i="91"/>
  <c r="F24" i="91"/>
  <c r="T24" i="91" s="1"/>
  <c r="H23" i="91"/>
  <c r="I24" i="91"/>
  <c r="U24" i="91" s="1"/>
  <c r="P23" i="91" l="1"/>
  <c r="Z23" i="91" s="1"/>
  <c r="N24" i="91"/>
  <c r="X24" i="91" s="1"/>
  <c r="O24" i="91"/>
  <c r="Y24" i="91" s="1"/>
  <c r="I23" i="91"/>
  <c r="U23" i="91" s="1"/>
  <c r="O23" i="91"/>
  <c r="Y23" i="91" s="1"/>
  <c r="N23" i="91"/>
  <c r="X23" i="91" s="1"/>
  <c r="P24" i="91"/>
  <c r="Z24" i="91" s="1"/>
  <c r="AB24" i="91" s="1"/>
  <c r="AD24" i="91" s="1"/>
  <c r="T23" i="91"/>
  <c r="AB23" i="91" s="1"/>
  <c r="AD23" i="91" s="1"/>
  <c r="Q23" i="91"/>
  <c r="S23" i="91" s="1"/>
  <c r="E29" i="91" s="1"/>
  <c r="G29" i="91" s="1"/>
  <c r="Q24" i="91" l="1"/>
  <c r="S24" i="91" s="1"/>
  <c r="E30" i="91" s="1"/>
  <c r="G30" i="91" s="1"/>
  <c r="X29" i="91"/>
  <c r="W29" i="91"/>
  <c r="L29" i="91"/>
  <c r="U30" i="91" l="1"/>
  <c r="L30" i="91"/>
  <c r="L31" i="91" s="1"/>
  <c r="B6" i="91" s="1"/>
  <c r="W30" i="91"/>
  <c r="D6" i="91" l="1"/>
  <c r="D7" i="91" s="1"/>
  <c r="C6" i="91"/>
  <c r="B7" i="91"/>
  <c r="L6" i="91" s="1"/>
  <c r="C7" i="91"/>
  <c r="B5" i="90" l="1"/>
  <c r="C5" i="90" l="1"/>
  <c r="H5" i="90" s="1"/>
  <c r="H6" i="90" l="1"/>
  <c r="H9" i="90"/>
  <c r="H7" i="90"/>
  <c r="H10" i="90"/>
  <c r="H8" i="90"/>
  <c r="H11" i="90" l="1"/>
  <c r="J5" i="90" s="1"/>
  <c r="K5" i="90" l="1"/>
  <c r="R5" i="90"/>
  <c r="L5" i="90" l="1"/>
  <c r="E33" i="88"/>
  <c r="H20" i="86"/>
  <c r="E28" i="88"/>
  <c r="E21" i="88" l="1"/>
  <c r="E20" i="88"/>
  <c r="E25" i="88" s="1"/>
  <c r="E17" i="88"/>
  <c r="E18" i="88" s="1"/>
  <c r="E13" i="88"/>
  <c r="E12" i="88"/>
  <c r="E11" i="88"/>
  <c r="E10" i="88"/>
  <c r="E9" i="88"/>
  <c r="E6" i="88"/>
  <c r="E5" i="88"/>
  <c r="E7" i="88" s="1"/>
  <c r="G14" i="86"/>
  <c r="H14" i="86" s="1"/>
  <c r="E14" i="86"/>
  <c r="F14" i="86" s="1"/>
  <c r="G13" i="86"/>
  <c r="E13" i="86"/>
  <c r="F13" i="86" s="1"/>
  <c r="F15" i="86" s="1"/>
  <c r="G7" i="86"/>
  <c r="E7" i="86"/>
  <c r="F7" i="86" s="1"/>
  <c r="G6" i="86"/>
  <c r="E6" i="86"/>
  <c r="F6" i="86" s="1"/>
  <c r="G5" i="86"/>
  <c r="H5" i="86" s="1"/>
  <c r="E5" i="86"/>
  <c r="F5" i="86" s="1"/>
  <c r="G4" i="86"/>
  <c r="H4" i="86" s="1"/>
  <c r="E4" i="86"/>
  <c r="F4" i="86" s="1"/>
  <c r="H13" i="86" l="1"/>
  <c r="H15" i="86" s="1"/>
  <c r="E22" i="88"/>
  <c r="E14" i="88"/>
  <c r="E29" i="88" s="1"/>
  <c r="H6" i="86"/>
  <c r="H8" i="86" s="1"/>
  <c r="H16" i="86" s="1"/>
  <c r="H19" i="86" s="1"/>
  <c r="H7" i="86"/>
  <c r="F8" i="86"/>
  <c r="E31" i="88" l="1"/>
  <c r="E32" i="88"/>
  <c r="H18" i="86"/>
  <c r="C12" i="72" l="1"/>
  <c r="B12" i="72"/>
  <c r="F15" i="75"/>
  <c r="B9" i="75"/>
  <c r="D9" i="75"/>
  <c r="C9" i="75"/>
  <c r="E9" i="75"/>
  <c r="K21" i="79" l="1"/>
  <c r="L27" i="79"/>
  <c r="K27" i="79"/>
  <c r="F33" i="79"/>
  <c r="F21" i="79"/>
  <c r="AC17" i="79"/>
  <c r="J17" i="79"/>
  <c r="V17" i="79" s="1"/>
  <c r="H11" i="79"/>
  <c r="G11" i="79"/>
  <c r="G17" i="79" s="1"/>
  <c r="F11" i="79"/>
  <c r="F17" i="79" s="1"/>
  <c r="H17" i="79" l="1"/>
  <c r="P17" i="79" s="1"/>
  <c r="Z17" i="79" s="1"/>
  <c r="O17" i="79" l="1"/>
  <c r="Y17" i="79" s="1"/>
  <c r="N17" i="79"/>
  <c r="X17" i="79" s="1"/>
  <c r="T17" i="79"/>
  <c r="I17" i="79"/>
  <c r="U17" i="79" s="1"/>
  <c r="AB17" i="79" l="1"/>
  <c r="AD17" i="79" s="1"/>
  <c r="Q17" i="79"/>
  <c r="E21" i="79" l="1"/>
  <c r="G21" i="79" s="1"/>
  <c r="L21" i="79" s="1"/>
  <c r="S17" i="79"/>
  <c r="J23" i="79" l="1"/>
  <c r="B5" i="79" s="1"/>
  <c r="I23" i="79"/>
  <c r="B6" i="79" s="1"/>
  <c r="J25" i="78"/>
  <c r="H25" i="78"/>
  <c r="K24" i="78"/>
  <c r="F24" i="78"/>
  <c r="K23" i="78"/>
  <c r="F23" i="78"/>
  <c r="AC19" i="78"/>
  <c r="J19" i="78"/>
  <c r="V19" i="78" s="1"/>
  <c r="H19" i="78"/>
  <c r="AC18" i="78"/>
  <c r="J18" i="78"/>
  <c r="V18" i="78" s="1"/>
  <c r="H18" i="78"/>
  <c r="H12" i="78"/>
  <c r="G12" i="78"/>
  <c r="G19" i="78" s="1"/>
  <c r="F12" i="78"/>
  <c r="F19" i="78" s="1"/>
  <c r="C6" i="79" l="1"/>
  <c r="D6" i="79"/>
  <c r="C5" i="79"/>
  <c r="C7" i="79" s="1"/>
  <c r="D5" i="79"/>
  <c r="D7" i="79" s="1"/>
  <c r="B7" i="79"/>
  <c r="L5" i="79" s="1"/>
  <c r="K25" i="78"/>
  <c r="P19" i="78"/>
  <c r="Z19" i="78" s="1"/>
  <c r="O19" i="78"/>
  <c r="Y19" i="78" s="1"/>
  <c r="T19" i="78"/>
  <c r="N19" i="78"/>
  <c r="X19" i="78" s="1"/>
  <c r="I19" i="78"/>
  <c r="U19" i="78" s="1"/>
  <c r="F18" i="78"/>
  <c r="G18" i="78"/>
  <c r="AB19" i="78" l="1"/>
  <c r="AD19" i="78" s="1"/>
  <c r="I18" i="78"/>
  <c r="U18" i="78" s="1"/>
  <c r="T18" i="78"/>
  <c r="N18" i="78"/>
  <c r="X18" i="78" s="1"/>
  <c r="P18" i="78"/>
  <c r="Z18" i="78" s="1"/>
  <c r="O18" i="78"/>
  <c r="Y18" i="78" s="1"/>
  <c r="Q19" i="78"/>
  <c r="S19" i="78" s="1"/>
  <c r="E24" i="78" s="1"/>
  <c r="G24" i="78" s="1"/>
  <c r="L24" i="78" s="1"/>
  <c r="AB18" i="78" l="1"/>
  <c r="AD18" i="78" s="1"/>
  <c r="V24" i="78"/>
  <c r="U24" i="78"/>
  <c r="Q18" i="78"/>
  <c r="S18" i="78" s="1"/>
  <c r="E23" i="78" s="1"/>
  <c r="G23" i="78" s="1"/>
  <c r="L23" i="78" s="1"/>
  <c r="V23" i="78" l="1"/>
  <c r="V25" i="78" s="1"/>
  <c r="B6" i="78" s="1"/>
  <c r="L6" i="78" s="1"/>
  <c r="U23" i="78"/>
  <c r="U25" i="78" s="1"/>
  <c r="B5" i="78" s="1"/>
  <c r="L25" i="78"/>
  <c r="B7" i="78" l="1"/>
  <c r="Q5" i="78" s="1"/>
  <c r="L5" i="78"/>
  <c r="L7" i="78" s="1"/>
  <c r="B10" i="78" l="1"/>
  <c r="C6" i="78"/>
  <c r="M6" i="78" s="1"/>
  <c r="D6" i="78"/>
  <c r="N6" i="78" s="1"/>
  <c r="D5" i="78"/>
  <c r="N5" i="78" s="1"/>
  <c r="C5" i="78"/>
  <c r="N7" i="78" l="1"/>
  <c r="C7" i="78"/>
  <c r="M5" i="78"/>
  <c r="M7" i="78" s="1"/>
  <c r="D10" i="78"/>
  <c r="D7" i="78"/>
  <c r="C10" i="78"/>
  <c r="G4" i="71"/>
  <c r="F5" i="71"/>
  <c r="F6" i="71"/>
  <c r="F7" i="71"/>
  <c r="F8" i="71"/>
  <c r="G8" i="71"/>
  <c r="F9" i="71"/>
  <c r="B19" i="75" l="1"/>
  <c r="B20" i="75" s="1"/>
  <c r="C37" i="76" l="1"/>
  <c r="D36" i="76"/>
  <c r="D37" i="76" s="1"/>
  <c r="D35" i="76"/>
  <c r="E35" i="76" s="1"/>
  <c r="C33" i="76"/>
  <c r="E32" i="76"/>
  <c r="E31" i="76"/>
  <c r="E30" i="76"/>
  <c r="E29" i="76"/>
  <c r="D28" i="76"/>
  <c r="E28" i="76" s="1"/>
  <c r="E27" i="76"/>
  <c r="D26" i="76"/>
  <c r="E26" i="76" s="1"/>
  <c r="E25" i="76"/>
  <c r="D23" i="76"/>
  <c r="C23" i="76"/>
  <c r="C38" i="76" s="1"/>
  <c r="E22" i="76"/>
  <c r="E21" i="76"/>
  <c r="E20" i="76"/>
  <c r="E19" i="76"/>
  <c r="E18" i="76"/>
  <c r="E17" i="76"/>
  <c r="E16" i="76"/>
  <c r="E15" i="76"/>
  <c r="E14" i="76"/>
  <c r="E13" i="76"/>
  <c r="E12" i="76"/>
  <c r="E11" i="76"/>
  <c r="E10" i="76"/>
  <c r="E9" i="76"/>
  <c r="E23" i="76" s="1"/>
  <c r="E8" i="76"/>
  <c r="E7" i="76"/>
  <c r="E6" i="76"/>
  <c r="E5" i="76"/>
  <c r="D38" i="76" l="1"/>
  <c r="E33" i="76"/>
  <c r="D33" i="76"/>
  <c r="E36" i="76"/>
  <c r="E37" i="76" s="1"/>
  <c r="E38" i="76" s="1"/>
  <c r="E42" i="76" s="1"/>
  <c r="E43" i="76" s="1"/>
  <c r="E45" i="76" s="1"/>
  <c r="E47" i="76" s="1"/>
  <c r="E4" i="68" l="1"/>
  <c r="I14" i="71" l="1"/>
  <c r="G14" i="71"/>
  <c r="B14" i="71"/>
  <c r="P22" i="71"/>
  <c r="O22" i="71"/>
  <c r="N22" i="71"/>
  <c r="L22" i="71"/>
  <c r="P21" i="71"/>
  <c r="O21" i="71"/>
  <c r="N21" i="71"/>
  <c r="L21" i="71"/>
  <c r="P20" i="71"/>
  <c r="O20" i="71"/>
  <c r="N20" i="71"/>
  <c r="N17" i="71" s="1"/>
  <c r="L20" i="71"/>
  <c r="I19" i="71"/>
  <c r="H19" i="71"/>
  <c r="G19" i="71"/>
  <c r="B19" i="71"/>
  <c r="I18" i="71"/>
  <c r="H18" i="71"/>
  <c r="G18" i="71"/>
  <c r="J18" i="71" s="1"/>
  <c r="B18" i="71"/>
  <c r="P17" i="71"/>
  <c r="P16" i="71"/>
  <c r="P13" i="71" s="1"/>
  <c r="O16" i="71"/>
  <c r="O13" i="71" s="1"/>
  <c r="N16" i="71"/>
  <c r="N13" i="71" s="1"/>
  <c r="L16" i="71"/>
  <c r="L13" i="71" s="1"/>
  <c r="C15" i="71"/>
  <c r="I15" i="71" s="1"/>
  <c r="B15" i="71"/>
  <c r="H14" i="71"/>
  <c r="E20" i="71"/>
  <c r="O17" i="71" l="1"/>
  <c r="L17" i="71"/>
  <c r="J14" i="71"/>
  <c r="K14" i="71" s="1"/>
  <c r="J19" i="71"/>
  <c r="J17" i="71" s="1"/>
  <c r="E22" i="71"/>
  <c r="E16" i="71"/>
  <c r="E14" i="71" s="1"/>
  <c r="K18" i="71"/>
  <c r="G15" i="71"/>
  <c r="H15" i="71"/>
  <c r="E21" i="71"/>
  <c r="E18" i="71" s="1"/>
  <c r="K19" i="71" l="1"/>
  <c r="K17" i="71"/>
  <c r="Q17" i="71" s="1"/>
  <c r="J15" i="71"/>
  <c r="K15" i="71" l="1"/>
  <c r="K13" i="71" s="1"/>
  <c r="J13" i="71"/>
  <c r="Q13" i="71" l="1"/>
  <c r="C31" i="72" l="1"/>
  <c r="B31" i="72"/>
  <c r="D30" i="72"/>
  <c r="D29" i="72"/>
  <c r="E24" i="72"/>
  <c r="B35" i="72" s="1"/>
  <c r="D11" i="72"/>
  <c r="D10" i="72"/>
  <c r="C5" i="72"/>
  <c r="B16" i="72" s="1"/>
  <c r="D12" i="72" l="1"/>
  <c r="D31" i="72"/>
  <c r="B34" i="72" s="1"/>
  <c r="B15" i="72"/>
  <c r="B17" i="72" s="1"/>
  <c r="B20" i="72" s="1"/>
  <c r="B36" i="72"/>
  <c r="B39" i="72" s="1"/>
  <c r="E1051" i="70" l="1"/>
  <c r="C1050" i="70"/>
  <c r="E1050" i="70" s="1"/>
  <c r="E1049" i="70"/>
  <c r="C1049" i="70"/>
  <c r="D1049" i="70" s="1"/>
  <c r="E1048" i="70"/>
  <c r="C1048" i="70"/>
  <c r="D1048" i="70" s="1"/>
  <c r="D1047" i="70"/>
  <c r="C1047" i="70"/>
  <c r="E1047" i="70" s="1"/>
  <c r="C1046" i="70"/>
  <c r="D1045" i="70"/>
  <c r="C1045" i="70"/>
  <c r="E1045" i="70" s="1"/>
  <c r="E1044" i="70"/>
  <c r="D1044" i="70"/>
  <c r="C1044" i="70"/>
  <c r="E1043" i="70"/>
  <c r="D1043" i="70"/>
  <c r="C1043" i="70"/>
  <c r="E1042" i="70"/>
  <c r="C1042" i="70"/>
  <c r="D1042" i="70" s="1"/>
  <c r="E1041" i="70"/>
  <c r="C1041" i="70"/>
  <c r="D1041" i="70" s="1"/>
  <c r="E1040" i="70"/>
  <c r="C1040" i="70"/>
  <c r="D1040" i="70" s="1"/>
  <c r="D1039" i="70"/>
  <c r="C1039" i="70"/>
  <c r="E1039" i="70" s="1"/>
  <c r="C1038" i="70"/>
  <c r="D1037" i="70"/>
  <c r="C1037" i="70"/>
  <c r="E1037" i="70" s="1"/>
  <c r="E1036" i="70"/>
  <c r="D1036" i="70"/>
  <c r="C1036" i="70"/>
  <c r="E1035" i="70"/>
  <c r="D1035" i="70"/>
  <c r="C1035" i="70"/>
  <c r="C1034" i="70"/>
  <c r="E1034" i="70" s="1"/>
  <c r="E1033" i="70"/>
  <c r="C1033" i="70"/>
  <c r="D1033" i="70" s="1"/>
  <c r="E1032" i="70"/>
  <c r="C1032" i="70"/>
  <c r="D1032" i="70" s="1"/>
  <c r="D1031" i="70"/>
  <c r="C1031" i="70"/>
  <c r="E1031" i="70" s="1"/>
  <c r="C1030" i="70"/>
  <c r="D1029" i="70"/>
  <c r="C1029" i="70"/>
  <c r="E1029" i="70" s="1"/>
  <c r="E1028" i="70"/>
  <c r="D1028" i="70"/>
  <c r="C1028" i="70"/>
  <c r="E1027" i="70"/>
  <c r="D1027" i="70"/>
  <c r="C1027" i="70"/>
  <c r="C1026" i="70"/>
  <c r="E1026" i="70" s="1"/>
  <c r="E1025" i="70"/>
  <c r="C1025" i="70"/>
  <c r="D1025" i="70" s="1"/>
  <c r="E1024" i="70"/>
  <c r="C1024" i="70"/>
  <c r="D1024" i="70" s="1"/>
  <c r="D1023" i="70"/>
  <c r="C1023" i="70"/>
  <c r="E1023" i="70" s="1"/>
  <c r="C1022" i="70"/>
  <c r="D1021" i="70"/>
  <c r="C1021" i="70"/>
  <c r="E1021" i="70" s="1"/>
  <c r="E1020" i="70"/>
  <c r="D1020" i="70"/>
  <c r="C1020" i="70"/>
  <c r="E1019" i="70"/>
  <c r="D1019" i="70"/>
  <c r="C1019" i="70"/>
  <c r="C1018" i="70"/>
  <c r="E1018" i="70" s="1"/>
  <c r="E1017" i="70"/>
  <c r="C1017" i="70"/>
  <c r="D1017" i="70" s="1"/>
  <c r="E1016" i="70"/>
  <c r="C1016" i="70"/>
  <c r="D1016" i="70" s="1"/>
  <c r="D1015" i="70"/>
  <c r="C1015" i="70"/>
  <c r="E1015" i="70" s="1"/>
  <c r="C1014" i="70"/>
  <c r="D1013" i="70"/>
  <c r="C1013" i="70"/>
  <c r="E1013" i="70" s="1"/>
  <c r="E1012" i="70"/>
  <c r="D1012" i="70"/>
  <c r="C1012" i="70"/>
  <c r="E1011" i="70"/>
  <c r="D1011" i="70"/>
  <c r="C1011" i="70"/>
  <c r="C1010" i="70"/>
  <c r="E1010" i="70" s="1"/>
  <c r="E1009" i="70"/>
  <c r="C1009" i="70"/>
  <c r="D1009" i="70" s="1"/>
  <c r="E1008" i="70"/>
  <c r="C1008" i="70"/>
  <c r="D1008" i="70" s="1"/>
  <c r="D1007" i="70"/>
  <c r="C1007" i="70"/>
  <c r="E1007" i="70" s="1"/>
  <c r="C1006" i="70"/>
  <c r="D1005" i="70"/>
  <c r="C1005" i="70"/>
  <c r="E1005" i="70" s="1"/>
  <c r="E1004" i="70"/>
  <c r="D1004" i="70"/>
  <c r="C1004" i="70"/>
  <c r="E1003" i="70"/>
  <c r="D1003" i="70"/>
  <c r="C1003" i="70"/>
  <c r="C1002" i="70"/>
  <c r="E1002" i="70" s="1"/>
  <c r="E1001" i="70"/>
  <c r="C1001" i="70"/>
  <c r="D1001" i="70" s="1"/>
  <c r="E1000" i="70"/>
  <c r="C1000" i="70"/>
  <c r="D1000" i="70" s="1"/>
  <c r="D999" i="70"/>
  <c r="C999" i="70"/>
  <c r="E999" i="70" s="1"/>
  <c r="C998" i="70"/>
  <c r="D997" i="70"/>
  <c r="C997" i="70"/>
  <c r="E997" i="70" s="1"/>
  <c r="E996" i="70"/>
  <c r="D996" i="70"/>
  <c r="C996" i="70"/>
  <c r="E995" i="70"/>
  <c r="D995" i="70"/>
  <c r="C995" i="70"/>
  <c r="C994" i="70"/>
  <c r="E994" i="70" s="1"/>
  <c r="E993" i="70"/>
  <c r="C993" i="70"/>
  <c r="D993" i="70" s="1"/>
  <c r="E992" i="70"/>
  <c r="C992" i="70"/>
  <c r="D992" i="70" s="1"/>
  <c r="D991" i="70"/>
  <c r="C991" i="70"/>
  <c r="E991" i="70" s="1"/>
  <c r="C990" i="70"/>
  <c r="D989" i="70"/>
  <c r="C989" i="70"/>
  <c r="E989" i="70" s="1"/>
  <c r="E988" i="70"/>
  <c r="D988" i="70"/>
  <c r="C988" i="70"/>
  <c r="E987" i="70"/>
  <c r="D987" i="70"/>
  <c r="C987" i="70"/>
  <c r="C986" i="70"/>
  <c r="E986" i="70" s="1"/>
  <c r="E985" i="70"/>
  <c r="C985" i="70"/>
  <c r="D985" i="70" s="1"/>
  <c r="E984" i="70"/>
  <c r="C984" i="70"/>
  <c r="D984" i="70" s="1"/>
  <c r="D983" i="70"/>
  <c r="C983" i="70"/>
  <c r="E983" i="70" s="1"/>
  <c r="C982" i="70"/>
  <c r="D981" i="70"/>
  <c r="C981" i="70"/>
  <c r="E981" i="70" s="1"/>
  <c r="E980" i="70"/>
  <c r="D980" i="70"/>
  <c r="C980" i="70"/>
  <c r="E979" i="70"/>
  <c r="D979" i="70"/>
  <c r="C979" i="70"/>
  <c r="C978" i="70"/>
  <c r="E978" i="70" s="1"/>
  <c r="E977" i="70"/>
  <c r="C977" i="70"/>
  <c r="D977" i="70" s="1"/>
  <c r="E976" i="70"/>
  <c r="C976" i="70"/>
  <c r="D976" i="70" s="1"/>
  <c r="D975" i="70"/>
  <c r="C975" i="70"/>
  <c r="E975" i="70" s="1"/>
  <c r="C974" i="70"/>
  <c r="D973" i="70"/>
  <c r="C973" i="70"/>
  <c r="E973" i="70" s="1"/>
  <c r="E972" i="70"/>
  <c r="D972" i="70"/>
  <c r="C972" i="70"/>
  <c r="E971" i="70"/>
  <c r="D971" i="70"/>
  <c r="C971" i="70"/>
  <c r="C970" i="70"/>
  <c r="E970" i="70" s="1"/>
  <c r="E969" i="70"/>
  <c r="C969" i="70"/>
  <c r="D969" i="70" s="1"/>
  <c r="E968" i="70"/>
  <c r="C968" i="70"/>
  <c r="D968" i="70" s="1"/>
  <c r="D967" i="70"/>
  <c r="C967" i="70"/>
  <c r="E967" i="70" s="1"/>
  <c r="C966" i="70"/>
  <c r="D965" i="70"/>
  <c r="C965" i="70"/>
  <c r="E965" i="70" s="1"/>
  <c r="E964" i="70"/>
  <c r="D964" i="70"/>
  <c r="C964" i="70"/>
  <c r="E963" i="70"/>
  <c r="D963" i="70"/>
  <c r="C963" i="70"/>
  <c r="C962" i="70"/>
  <c r="E962" i="70" s="1"/>
  <c r="E961" i="70"/>
  <c r="C961" i="70"/>
  <c r="D961" i="70" s="1"/>
  <c r="E960" i="70"/>
  <c r="C960" i="70"/>
  <c r="D960" i="70" s="1"/>
  <c r="D959" i="70"/>
  <c r="C959" i="70"/>
  <c r="E959" i="70" s="1"/>
  <c r="C958" i="70"/>
  <c r="D957" i="70"/>
  <c r="C957" i="70"/>
  <c r="E957" i="70" s="1"/>
  <c r="E956" i="70"/>
  <c r="D956" i="70"/>
  <c r="C956" i="70"/>
  <c r="E955" i="70"/>
  <c r="D955" i="70"/>
  <c r="C955" i="70"/>
  <c r="C954" i="70"/>
  <c r="E954" i="70" s="1"/>
  <c r="E953" i="70"/>
  <c r="C953" i="70"/>
  <c r="D953" i="70" s="1"/>
  <c r="E952" i="70"/>
  <c r="C952" i="70"/>
  <c r="D952" i="70" s="1"/>
  <c r="D951" i="70"/>
  <c r="C951" i="70"/>
  <c r="E951" i="70" s="1"/>
  <c r="C950" i="70"/>
  <c r="D949" i="70"/>
  <c r="C949" i="70"/>
  <c r="E949" i="70" s="1"/>
  <c r="E948" i="70"/>
  <c r="D948" i="70"/>
  <c r="C948" i="70"/>
  <c r="E947" i="70"/>
  <c r="D947" i="70"/>
  <c r="C947" i="70"/>
  <c r="C946" i="70"/>
  <c r="E946" i="70" s="1"/>
  <c r="E945" i="70"/>
  <c r="C945" i="70"/>
  <c r="D945" i="70" s="1"/>
  <c r="E944" i="70"/>
  <c r="C944" i="70"/>
  <c r="D944" i="70" s="1"/>
  <c r="D943" i="70"/>
  <c r="C943" i="70"/>
  <c r="E943" i="70" s="1"/>
  <c r="C942" i="70"/>
  <c r="D941" i="70"/>
  <c r="C941" i="70"/>
  <c r="E941" i="70" s="1"/>
  <c r="E940" i="70"/>
  <c r="D940" i="70"/>
  <c r="C940" i="70"/>
  <c r="E939" i="70"/>
  <c r="D939" i="70"/>
  <c r="C939" i="70"/>
  <c r="C938" i="70"/>
  <c r="E938" i="70" s="1"/>
  <c r="E937" i="70"/>
  <c r="C937" i="70"/>
  <c r="D937" i="70" s="1"/>
  <c r="E936" i="70"/>
  <c r="C936" i="70"/>
  <c r="D936" i="70" s="1"/>
  <c r="D935" i="70"/>
  <c r="C935" i="70"/>
  <c r="E935" i="70" s="1"/>
  <c r="C934" i="70"/>
  <c r="D933" i="70"/>
  <c r="C933" i="70"/>
  <c r="E933" i="70" s="1"/>
  <c r="E932" i="70"/>
  <c r="D932" i="70"/>
  <c r="C932" i="70"/>
  <c r="E931" i="70"/>
  <c r="D931" i="70"/>
  <c r="C931" i="70"/>
  <c r="C930" i="70"/>
  <c r="E930" i="70" s="1"/>
  <c r="E929" i="70"/>
  <c r="C929" i="70"/>
  <c r="D929" i="70" s="1"/>
  <c r="E928" i="70"/>
  <c r="C928" i="70"/>
  <c r="D928" i="70" s="1"/>
  <c r="D927" i="70"/>
  <c r="C927" i="70"/>
  <c r="E927" i="70" s="1"/>
  <c r="C926" i="70"/>
  <c r="D925" i="70"/>
  <c r="C925" i="70"/>
  <c r="E925" i="70" s="1"/>
  <c r="E924" i="70"/>
  <c r="D924" i="70"/>
  <c r="C924" i="70"/>
  <c r="E923" i="70"/>
  <c r="D923" i="70"/>
  <c r="C923" i="70"/>
  <c r="C922" i="70"/>
  <c r="E922" i="70" s="1"/>
  <c r="E921" i="70"/>
  <c r="C921" i="70"/>
  <c r="D921" i="70" s="1"/>
  <c r="E920" i="70"/>
  <c r="C920" i="70"/>
  <c r="D920" i="70" s="1"/>
  <c r="D919" i="70"/>
  <c r="C919" i="70"/>
  <c r="E919" i="70" s="1"/>
  <c r="C918" i="70"/>
  <c r="D917" i="70"/>
  <c r="C917" i="70"/>
  <c r="E917" i="70" s="1"/>
  <c r="E916" i="70"/>
  <c r="D916" i="70"/>
  <c r="C916" i="70"/>
  <c r="E915" i="70"/>
  <c r="D915" i="70"/>
  <c r="C915" i="70"/>
  <c r="C914" i="70"/>
  <c r="E914" i="70" s="1"/>
  <c r="E913" i="70"/>
  <c r="C913" i="70"/>
  <c r="D913" i="70" s="1"/>
  <c r="E912" i="70"/>
  <c r="C912" i="70"/>
  <c r="D912" i="70" s="1"/>
  <c r="D911" i="70"/>
  <c r="C911" i="70"/>
  <c r="E911" i="70" s="1"/>
  <c r="C910" i="70"/>
  <c r="D909" i="70"/>
  <c r="C909" i="70"/>
  <c r="E909" i="70" s="1"/>
  <c r="E908" i="70"/>
  <c r="D908" i="70"/>
  <c r="C908" i="70"/>
  <c r="E907" i="70"/>
  <c r="D907" i="70"/>
  <c r="C907" i="70"/>
  <c r="C906" i="70"/>
  <c r="E906" i="70" s="1"/>
  <c r="E905" i="70"/>
  <c r="C905" i="70"/>
  <c r="D905" i="70" s="1"/>
  <c r="E904" i="70"/>
  <c r="C904" i="70"/>
  <c r="D904" i="70" s="1"/>
  <c r="D903" i="70"/>
  <c r="C903" i="70"/>
  <c r="E903" i="70" s="1"/>
  <c r="C902" i="70"/>
  <c r="D901" i="70"/>
  <c r="C901" i="70"/>
  <c r="E901" i="70" s="1"/>
  <c r="E900" i="70"/>
  <c r="D900" i="70"/>
  <c r="C900" i="70"/>
  <c r="E899" i="70"/>
  <c r="D899" i="70"/>
  <c r="C899" i="70"/>
  <c r="C898" i="70"/>
  <c r="E897" i="70"/>
  <c r="C897" i="70"/>
  <c r="D897" i="70" s="1"/>
  <c r="E896" i="70"/>
  <c r="C896" i="70"/>
  <c r="D896" i="70" s="1"/>
  <c r="D895" i="70"/>
  <c r="C895" i="70"/>
  <c r="E895" i="70" s="1"/>
  <c r="C894" i="70"/>
  <c r="D893" i="70"/>
  <c r="C893" i="70"/>
  <c r="E893" i="70" s="1"/>
  <c r="E892" i="70"/>
  <c r="D892" i="70"/>
  <c r="C892" i="70"/>
  <c r="E891" i="70"/>
  <c r="D891" i="70"/>
  <c r="C891" i="70"/>
  <c r="C890" i="70"/>
  <c r="D890" i="70" s="1"/>
  <c r="E889" i="70"/>
  <c r="C889" i="70"/>
  <c r="D889" i="70" s="1"/>
  <c r="C888" i="70"/>
  <c r="D887" i="70"/>
  <c r="C887" i="70"/>
  <c r="E887" i="70" s="1"/>
  <c r="C886" i="70"/>
  <c r="D885" i="70"/>
  <c r="C885" i="70"/>
  <c r="E885" i="70" s="1"/>
  <c r="E884" i="70"/>
  <c r="D884" i="70"/>
  <c r="C884" i="70"/>
  <c r="E883" i="70"/>
  <c r="D883" i="70"/>
  <c r="C883" i="70"/>
  <c r="E882" i="70"/>
  <c r="C882" i="70"/>
  <c r="D882" i="70" s="1"/>
  <c r="E881" i="70"/>
  <c r="C881" i="70"/>
  <c r="D881" i="70" s="1"/>
  <c r="E880" i="70"/>
  <c r="C880" i="70"/>
  <c r="D880" i="70" s="1"/>
  <c r="D879" i="70"/>
  <c r="C879" i="70"/>
  <c r="E879" i="70" s="1"/>
  <c r="C878" i="70"/>
  <c r="D877" i="70"/>
  <c r="C877" i="70"/>
  <c r="E877" i="70" s="1"/>
  <c r="E876" i="70"/>
  <c r="D876" i="70"/>
  <c r="C876" i="70"/>
  <c r="E875" i="70"/>
  <c r="D875" i="70"/>
  <c r="C875" i="70"/>
  <c r="C874" i="70"/>
  <c r="D874" i="70" s="1"/>
  <c r="E873" i="70"/>
  <c r="C873" i="70"/>
  <c r="D873" i="70" s="1"/>
  <c r="E872" i="70"/>
  <c r="C872" i="70"/>
  <c r="D872" i="70" s="1"/>
  <c r="D871" i="70"/>
  <c r="C871" i="70"/>
  <c r="E871" i="70" s="1"/>
  <c r="C870" i="70"/>
  <c r="D869" i="70"/>
  <c r="C869" i="70"/>
  <c r="E869" i="70" s="1"/>
  <c r="E868" i="70"/>
  <c r="D868" i="70"/>
  <c r="C868" i="70"/>
  <c r="E867" i="70"/>
  <c r="D867" i="70"/>
  <c r="C867" i="70"/>
  <c r="C866" i="70"/>
  <c r="E865" i="70"/>
  <c r="C865" i="70"/>
  <c r="D865" i="70" s="1"/>
  <c r="C864" i="70"/>
  <c r="D864" i="70" s="1"/>
  <c r="D863" i="70"/>
  <c r="C863" i="70"/>
  <c r="E863" i="70" s="1"/>
  <c r="C862" i="70"/>
  <c r="D861" i="70"/>
  <c r="C861" i="70"/>
  <c r="E861" i="70" s="1"/>
  <c r="E860" i="70"/>
  <c r="D860" i="70"/>
  <c r="C860" i="70"/>
  <c r="E859" i="70"/>
  <c r="D859" i="70"/>
  <c r="C859" i="70"/>
  <c r="C858" i="70"/>
  <c r="D858" i="70" s="1"/>
  <c r="E857" i="70"/>
  <c r="C857" i="70"/>
  <c r="D857" i="70" s="1"/>
  <c r="C856" i="70"/>
  <c r="D856" i="70" s="1"/>
  <c r="D855" i="70"/>
  <c r="C855" i="70"/>
  <c r="E855" i="70" s="1"/>
  <c r="C854" i="70"/>
  <c r="D853" i="70"/>
  <c r="C853" i="70"/>
  <c r="E853" i="70" s="1"/>
  <c r="E852" i="70"/>
  <c r="D852" i="70"/>
  <c r="C852" i="70"/>
  <c r="E851" i="70"/>
  <c r="D851" i="70"/>
  <c r="C851" i="70"/>
  <c r="E850" i="70"/>
  <c r="C850" i="70"/>
  <c r="D850" i="70" s="1"/>
  <c r="E849" i="70"/>
  <c r="C849" i="70"/>
  <c r="D849" i="70" s="1"/>
  <c r="E848" i="70"/>
  <c r="C848" i="70"/>
  <c r="D848" i="70" s="1"/>
  <c r="D847" i="70"/>
  <c r="C847" i="70"/>
  <c r="E847" i="70" s="1"/>
  <c r="C846" i="70"/>
  <c r="D845" i="70"/>
  <c r="C845" i="70"/>
  <c r="E845" i="70" s="1"/>
  <c r="E844" i="70"/>
  <c r="D844" i="70"/>
  <c r="C844" i="70"/>
  <c r="E843" i="70"/>
  <c r="D843" i="70"/>
  <c r="C843" i="70"/>
  <c r="E842" i="70"/>
  <c r="C842" i="70"/>
  <c r="D842" i="70" s="1"/>
  <c r="E841" i="70"/>
  <c r="C841" i="70"/>
  <c r="D841" i="70" s="1"/>
  <c r="C840" i="70"/>
  <c r="D840" i="70" s="1"/>
  <c r="D839" i="70"/>
  <c r="C839" i="70"/>
  <c r="E839" i="70" s="1"/>
  <c r="C838" i="70"/>
  <c r="D837" i="70"/>
  <c r="C837" i="70"/>
  <c r="E837" i="70" s="1"/>
  <c r="E836" i="70"/>
  <c r="D836" i="70"/>
  <c r="C836" i="70"/>
  <c r="E835" i="70"/>
  <c r="D835" i="70"/>
  <c r="C835" i="70"/>
  <c r="C834" i="70"/>
  <c r="D834" i="70" s="1"/>
  <c r="E833" i="70"/>
  <c r="C833" i="70"/>
  <c r="D833" i="70" s="1"/>
  <c r="C832" i="70"/>
  <c r="D831" i="70"/>
  <c r="C831" i="70"/>
  <c r="E831" i="70" s="1"/>
  <c r="C830" i="70"/>
  <c r="D829" i="70"/>
  <c r="C829" i="70"/>
  <c r="E829" i="70" s="1"/>
  <c r="E828" i="70"/>
  <c r="D828" i="70"/>
  <c r="C828" i="70"/>
  <c r="E827" i="70"/>
  <c r="D827" i="70"/>
  <c r="C827" i="70"/>
  <c r="C826" i="70"/>
  <c r="D826" i="70" s="1"/>
  <c r="E825" i="70"/>
  <c r="C825" i="70"/>
  <c r="D825" i="70" s="1"/>
  <c r="C824" i="70"/>
  <c r="D823" i="70"/>
  <c r="C823" i="70"/>
  <c r="E823" i="70" s="1"/>
  <c r="C822" i="70"/>
  <c r="D821" i="70"/>
  <c r="C821" i="70"/>
  <c r="E821" i="70" s="1"/>
  <c r="E820" i="70"/>
  <c r="D820" i="70"/>
  <c r="C820" i="70"/>
  <c r="E819" i="70"/>
  <c r="D819" i="70"/>
  <c r="C819" i="70"/>
  <c r="E818" i="70"/>
  <c r="C818" i="70"/>
  <c r="D818" i="70" s="1"/>
  <c r="E817" i="70"/>
  <c r="C817" i="70"/>
  <c r="D817" i="70" s="1"/>
  <c r="E816" i="70"/>
  <c r="C816" i="70"/>
  <c r="D816" i="70" s="1"/>
  <c r="C815" i="70"/>
  <c r="E815" i="70" s="1"/>
  <c r="C814" i="70"/>
  <c r="D813" i="70"/>
  <c r="C813" i="70"/>
  <c r="E813" i="70" s="1"/>
  <c r="E812" i="70"/>
  <c r="D812" i="70"/>
  <c r="C812" i="70"/>
  <c r="E811" i="70"/>
  <c r="D811" i="70"/>
  <c r="C811" i="70"/>
  <c r="C810" i="70"/>
  <c r="D810" i="70" s="1"/>
  <c r="E809" i="70"/>
  <c r="C809" i="70"/>
  <c r="D809" i="70" s="1"/>
  <c r="E808" i="70"/>
  <c r="C808" i="70"/>
  <c r="D808" i="70" s="1"/>
  <c r="C807" i="70"/>
  <c r="E807" i="70" s="1"/>
  <c r="C806" i="70"/>
  <c r="D805" i="70"/>
  <c r="C805" i="70"/>
  <c r="E805" i="70" s="1"/>
  <c r="E804" i="70"/>
  <c r="D804" i="70"/>
  <c r="C804" i="70"/>
  <c r="E803" i="70"/>
  <c r="D803" i="70"/>
  <c r="C803" i="70"/>
  <c r="C802" i="70"/>
  <c r="E801" i="70"/>
  <c r="C801" i="70"/>
  <c r="D801" i="70" s="1"/>
  <c r="C800" i="70"/>
  <c r="D800" i="70" s="1"/>
  <c r="D799" i="70"/>
  <c r="C799" i="70"/>
  <c r="E799" i="70" s="1"/>
  <c r="C798" i="70"/>
  <c r="D797" i="70"/>
  <c r="C797" i="70"/>
  <c r="E797" i="70" s="1"/>
  <c r="E796" i="70"/>
  <c r="D796" i="70"/>
  <c r="C796" i="70"/>
  <c r="E795" i="70"/>
  <c r="D795" i="70"/>
  <c r="C795" i="70"/>
  <c r="C794" i="70"/>
  <c r="D794" i="70" s="1"/>
  <c r="E793" i="70"/>
  <c r="C793" i="70"/>
  <c r="D793" i="70" s="1"/>
  <c r="C792" i="70"/>
  <c r="D792" i="70" s="1"/>
  <c r="C791" i="70"/>
  <c r="E791" i="70" s="1"/>
  <c r="C790" i="70"/>
  <c r="D789" i="70"/>
  <c r="C789" i="70"/>
  <c r="E789" i="70" s="1"/>
  <c r="E788" i="70"/>
  <c r="D788" i="70"/>
  <c r="C788" i="70"/>
  <c r="E787" i="70"/>
  <c r="D787" i="70"/>
  <c r="C787" i="70"/>
  <c r="E786" i="70"/>
  <c r="C786" i="70"/>
  <c r="D786" i="70" s="1"/>
  <c r="E785" i="70"/>
  <c r="C785" i="70"/>
  <c r="D785" i="70" s="1"/>
  <c r="E784" i="70"/>
  <c r="C784" i="70"/>
  <c r="D784" i="70" s="1"/>
  <c r="C783" i="70"/>
  <c r="C782" i="70"/>
  <c r="D781" i="70"/>
  <c r="C781" i="70"/>
  <c r="E781" i="70" s="1"/>
  <c r="E780" i="70"/>
  <c r="D780" i="70"/>
  <c r="C780" i="70"/>
  <c r="E779" i="70"/>
  <c r="D779" i="70"/>
  <c r="C779" i="70"/>
  <c r="E778" i="70"/>
  <c r="C778" i="70"/>
  <c r="D778" i="70" s="1"/>
  <c r="E777" i="70"/>
  <c r="C777" i="70"/>
  <c r="D777" i="70" s="1"/>
  <c r="C776" i="70"/>
  <c r="D776" i="70" s="1"/>
  <c r="C775" i="70"/>
  <c r="E775" i="70" s="1"/>
  <c r="C774" i="70"/>
  <c r="D773" i="70"/>
  <c r="C773" i="70"/>
  <c r="E773" i="70" s="1"/>
  <c r="E772" i="70"/>
  <c r="D772" i="70"/>
  <c r="C772" i="70"/>
  <c r="E771" i="70"/>
  <c r="D771" i="70"/>
  <c r="C771" i="70"/>
  <c r="C770" i="70"/>
  <c r="D770" i="70" s="1"/>
  <c r="E769" i="70"/>
  <c r="C769" i="70"/>
  <c r="D769" i="70" s="1"/>
  <c r="C768" i="70"/>
  <c r="D767" i="70"/>
  <c r="C767" i="70"/>
  <c r="E767" i="70" s="1"/>
  <c r="C766" i="70"/>
  <c r="D765" i="70"/>
  <c r="C765" i="70"/>
  <c r="E765" i="70" s="1"/>
  <c r="E764" i="70"/>
  <c r="D764" i="70"/>
  <c r="C764" i="70"/>
  <c r="E763" i="70"/>
  <c r="D763" i="70"/>
  <c r="C763" i="70"/>
  <c r="C762" i="70"/>
  <c r="D762" i="70" s="1"/>
  <c r="E761" i="70"/>
  <c r="C761" i="70"/>
  <c r="D761" i="70" s="1"/>
  <c r="E760" i="70"/>
  <c r="C760" i="70"/>
  <c r="D760" i="70" s="1"/>
  <c r="D759" i="70"/>
  <c r="C759" i="70"/>
  <c r="E759" i="70" s="1"/>
  <c r="C758" i="70"/>
  <c r="D757" i="70"/>
  <c r="C757" i="70"/>
  <c r="E757" i="70" s="1"/>
  <c r="E756" i="70"/>
  <c r="D756" i="70"/>
  <c r="C756" i="70"/>
  <c r="E755" i="70"/>
  <c r="D755" i="70"/>
  <c r="C755" i="70"/>
  <c r="E754" i="70"/>
  <c r="C754" i="70"/>
  <c r="D754" i="70" s="1"/>
  <c r="E753" i="70"/>
  <c r="C753" i="70"/>
  <c r="D753" i="70" s="1"/>
  <c r="E752" i="70"/>
  <c r="C752" i="70"/>
  <c r="D752" i="70" s="1"/>
  <c r="C751" i="70"/>
  <c r="E751" i="70" s="1"/>
  <c r="C750" i="70"/>
  <c r="D749" i="70"/>
  <c r="C749" i="70"/>
  <c r="E749" i="70" s="1"/>
  <c r="E748" i="70"/>
  <c r="D748" i="70"/>
  <c r="C748" i="70"/>
  <c r="E747" i="70"/>
  <c r="D747" i="70"/>
  <c r="C747" i="70"/>
  <c r="C746" i="70"/>
  <c r="D746" i="70" s="1"/>
  <c r="E745" i="70"/>
  <c r="C745" i="70"/>
  <c r="D745" i="70" s="1"/>
  <c r="E744" i="70"/>
  <c r="C744" i="70"/>
  <c r="D744" i="70" s="1"/>
  <c r="C743" i="70"/>
  <c r="E743" i="70" s="1"/>
  <c r="C742" i="70"/>
  <c r="D741" i="70"/>
  <c r="C741" i="70"/>
  <c r="E741" i="70" s="1"/>
  <c r="E740" i="70"/>
  <c r="D740" i="70"/>
  <c r="C740" i="70"/>
  <c r="E739" i="70"/>
  <c r="D739" i="70"/>
  <c r="C739" i="70"/>
  <c r="C738" i="70"/>
  <c r="E737" i="70"/>
  <c r="C737" i="70"/>
  <c r="D737" i="70" s="1"/>
  <c r="C736" i="70"/>
  <c r="D736" i="70" s="1"/>
  <c r="D735" i="70"/>
  <c r="C735" i="70"/>
  <c r="E735" i="70" s="1"/>
  <c r="C734" i="70"/>
  <c r="D733" i="70"/>
  <c r="C733" i="70"/>
  <c r="E733" i="70" s="1"/>
  <c r="E732" i="70"/>
  <c r="D732" i="70"/>
  <c r="C732" i="70"/>
  <c r="E731" i="70"/>
  <c r="D731" i="70"/>
  <c r="C731" i="70"/>
  <c r="C730" i="70"/>
  <c r="D730" i="70" s="1"/>
  <c r="E729" i="70"/>
  <c r="C729" i="70"/>
  <c r="D729" i="70" s="1"/>
  <c r="C728" i="70"/>
  <c r="D728" i="70" s="1"/>
  <c r="C727" i="70"/>
  <c r="E727" i="70" s="1"/>
  <c r="C726" i="70"/>
  <c r="E726" i="70" s="1"/>
  <c r="D725" i="70"/>
  <c r="C725" i="70"/>
  <c r="E725" i="70" s="1"/>
  <c r="E724" i="70"/>
  <c r="D724" i="70"/>
  <c r="C724" i="70"/>
  <c r="E723" i="70"/>
  <c r="D723" i="70"/>
  <c r="C723" i="70"/>
  <c r="E722" i="70"/>
  <c r="C722" i="70"/>
  <c r="D722" i="70" s="1"/>
  <c r="E721" i="70"/>
  <c r="C721" i="70"/>
  <c r="D721" i="70" s="1"/>
  <c r="C720" i="70"/>
  <c r="E719" i="70"/>
  <c r="D719" i="70"/>
  <c r="C719" i="70"/>
  <c r="C718" i="70"/>
  <c r="E718" i="70" s="1"/>
  <c r="C717" i="70"/>
  <c r="E717" i="70" s="1"/>
  <c r="E716" i="70"/>
  <c r="D716" i="70"/>
  <c r="C716" i="70"/>
  <c r="E715" i="70"/>
  <c r="D715" i="70"/>
  <c r="C715" i="70"/>
  <c r="C714" i="70"/>
  <c r="E713" i="70"/>
  <c r="C713" i="70"/>
  <c r="D713" i="70" s="1"/>
  <c r="C712" i="70"/>
  <c r="D712" i="70" s="1"/>
  <c r="C711" i="70"/>
  <c r="E711" i="70" s="1"/>
  <c r="E710" i="70"/>
  <c r="D710" i="70"/>
  <c r="C710" i="70"/>
  <c r="C709" i="70"/>
  <c r="E709" i="70" s="1"/>
  <c r="C708" i="70"/>
  <c r="E707" i="70"/>
  <c r="D707" i="70"/>
  <c r="C707" i="70"/>
  <c r="D706" i="70"/>
  <c r="C706" i="70"/>
  <c r="E706" i="70" s="1"/>
  <c r="D705" i="70"/>
  <c r="C705" i="70"/>
  <c r="E705" i="70" s="1"/>
  <c r="E704" i="70"/>
  <c r="C704" i="70"/>
  <c r="D704" i="70" s="1"/>
  <c r="C703" i="70"/>
  <c r="E703" i="70" s="1"/>
  <c r="E702" i="70"/>
  <c r="D702" i="70"/>
  <c r="C702" i="70"/>
  <c r="C701" i="70"/>
  <c r="E701" i="70" s="1"/>
  <c r="C700" i="70"/>
  <c r="E699" i="70"/>
  <c r="D699" i="70"/>
  <c r="C699" i="70"/>
  <c r="D698" i="70"/>
  <c r="C698" i="70"/>
  <c r="E698" i="70" s="1"/>
  <c r="C697" i="70"/>
  <c r="E697" i="70" s="1"/>
  <c r="E696" i="70"/>
  <c r="C696" i="70"/>
  <c r="D696" i="70" s="1"/>
  <c r="C695" i="70"/>
  <c r="E695" i="70" s="1"/>
  <c r="E694" i="70"/>
  <c r="D694" i="70"/>
  <c r="C694" i="70"/>
  <c r="C693" i="70"/>
  <c r="E693" i="70" s="1"/>
  <c r="C692" i="70"/>
  <c r="E691" i="70"/>
  <c r="D691" i="70"/>
  <c r="C691" i="70"/>
  <c r="D690" i="70"/>
  <c r="C690" i="70"/>
  <c r="E690" i="70" s="1"/>
  <c r="D689" i="70"/>
  <c r="C689" i="70"/>
  <c r="E689" i="70" s="1"/>
  <c r="E688" i="70"/>
  <c r="C688" i="70"/>
  <c r="D688" i="70" s="1"/>
  <c r="C687" i="70"/>
  <c r="E687" i="70" s="1"/>
  <c r="E686" i="70"/>
  <c r="D686" i="70"/>
  <c r="C686" i="70"/>
  <c r="C685" i="70"/>
  <c r="E685" i="70" s="1"/>
  <c r="C684" i="70"/>
  <c r="E683" i="70"/>
  <c r="D683" i="70"/>
  <c r="C683" i="70"/>
  <c r="D682" i="70"/>
  <c r="C682" i="70"/>
  <c r="E682" i="70" s="1"/>
  <c r="C681" i="70"/>
  <c r="E681" i="70" s="1"/>
  <c r="E680" i="70"/>
  <c r="C680" i="70"/>
  <c r="D680" i="70" s="1"/>
  <c r="C679" i="70"/>
  <c r="E679" i="70" s="1"/>
  <c r="E678" i="70"/>
  <c r="D678" i="70"/>
  <c r="C678" i="70"/>
  <c r="C677" i="70"/>
  <c r="E677" i="70" s="1"/>
  <c r="C676" i="70"/>
  <c r="E675" i="70"/>
  <c r="D675" i="70"/>
  <c r="C675" i="70"/>
  <c r="D674" i="70"/>
  <c r="C674" i="70"/>
  <c r="E674" i="70" s="1"/>
  <c r="D673" i="70"/>
  <c r="C673" i="70"/>
  <c r="E673" i="70" s="1"/>
  <c r="E672" i="70"/>
  <c r="C672" i="70"/>
  <c r="D672" i="70" s="1"/>
  <c r="E671" i="70"/>
  <c r="C671" i="70"/>
  <c r="D671" i="70" s="1"/>
  <c r="E670" i="70"/>
  <c r="D670" i="70"/>
  <c r="C670" i="70"/>
  <c r="C669" i="70"/>
  <c r="E669" i="70" s="1"/>
  <c r="C668" i="70"/>
  <c r="E667" i="70"/>
  <c r="D667" i="70"/>
  <c r="C667" i="70"/>
  <c r="D666" i="70"/>
  <c r="C666" i="70"/>
  <c r="E666" i="70" s="1"/>
  <c r="D665" i="70"/>
  <c r="C665" i="70"/>
  <c r="E665" i="70" s="1"/>
  <c r="E664" i="70"/>
  <c r="C664" i="70"/>
  <c r="D664" i="70" s="1"/>
  <c r="E663" i="70"/>
  <c r="C663" i="70"/>
  <c r="D663" i="70" s="1"/>
  <c r="E662" i="70"/>
  <c r="D662" i="70"/>
  <c r="C662" i="70"/>
  <c r="C661" i="70"/>
  <c r="E661" i="70" s="1"/>
  <c r="C660" i="70"/>
  <c r="E659" i="70"/>
  <c r="D659" i="70"/>
  <c r="C659" i="70"/>
  <c r="D658" i="70"/>
  <c r="C658" i="70"/>
  <c r="E658" i="70" s="1"/>
  <c r="D657" i="70"/>
  <c r="C657" i="70"/>
  <c r="E657" i="70" s="1"/>
  <c r="E656" i="70"/>
  <c r="C656" i="70"/>
  <c r="D656" i="70" s="1"/>
  <c r="E655" i="70"/>
  <c r="C655" i="70"/>
  <c r="D655" i="70" s="1"/>
  <c r="E654" i="70"/>
  <c r="D654" i="70"/>
  <c r="C654" i="70"/>
  <c r="C653" i="70"/>
  <c r="E653" i="70" s="1"/>
  <c r="C652" i="70"/>
  <c r="E651" i="70"/>
  <c r="D651" i="70"/>
  <c r="C651" i="70"/>
  <c r="D650" i="70"/>
  <c r="C650" i="70"/>
  <c r="E650" i="70" s="1"/>
  <c r="D649" i="70"/>
  <c r="C649" i="70"/>
  <c r="E649" i="70" s="1"/>
  <c r="E648" i="70"/>
  <c r="C648" i="70"/>
  <c r="D648" i="70" s="1"/>
  <c r="E647" i="70"/>
  <c r="C647" i="70"/>
  <c r="D647" i="70" s="1"/>
  <c r="E646" i="70"/>
  <c r="D646" i="70"/>
  <c r="C646" i="70"/>
  <c r="C645" i="70"/>
  <c r="E645" i="70" s="1"/>
  <c r="C644" i="70"/>
  <c r="E643" i="70"/>
  <c r="D643" i="70"/>
  <c r="C643" i="70"/>
  <c r="D642" i="70"/>
  <c r="C642" i="70"/>
  <c r="E642" i="70" s="1"/>
  <c r="D641" i="70"/>
  <c r="C641" i="70"/>
  <c r="E641" i="70" s="1"/>
  <c r="E640" i="70"/>
  <c r="C640" i="70"/>
  <c r="D640" i="70" s="1"/>
  <c r="E639" i="70"/>
  <c r="C639" i="70"/>
  <c r="D639" i="70" s="1"/>
  <c r="E638" i="70"/>
  <c r="D638" i="70"/>
  <c r="C638" i="70"/>
  <c r="C637" i="70"/>
  <c r="E637" i="70" s="1"/>
  <c r="C636" i="70"/>
  <c r="E635" i="70"/>
  <c r="D635" i="70"/>
  <c r="C635" i="70"/>
  <c r="D634" i="70"/>
  <c r="C634" i="70"/>
  <c r="E634" i="70" s="1"/>
  <c r="D633" i="70"/>
  <c r="C633" i="70"/>
  <c r="E633" i="70" s="1"/>
  <c r="E632" i="70"/>
  <c r="C632" i="70"/>
  <c r="D632" i="70" s="1"/>
  <c r="E631" i="70"/>
  <c r="C631" i="70"/>
  <c r="D631" i="70" s="1"/>
  <c r="E630" i="70"/>
  <c r="D630" i="70"/>
  <c r="C630" i="70"/>
  <c r="C629" i="70"/>
  <c r="E629" i="70" s="1"/>
  <c r="C628" i="70"/>
  <c r="E627" i="70"/>
  <c r="D627" i="70"/>
  <c r="C627" i="70"/>
  <c r="D626" i="70"/>
  <c r="C626" i="70"/>
  <c r="E626" i="70" s="1"/>
  <c r="D625" i="70"/>
  <c r="C625" i="70"/>
  <c r="E625" i="70" s="1"/>
  <c r="E624" i="70"/>
  <c r="C624" i="70"/>
  <c r="D624" i="70" s="1"/>
  <c r="E623" i="70"/>
  <c r="C623" i="70"/>
  <c r="D623" i="70" s="1"/>
  <c r="E622" i="70"/>
  <c r="D622" i="70"/>
  <c r="C622" i="70"/>
  <c r="C621" i="70"/>
  <c r="E621" i="70" s="1"/>
  <c r="C620" i="70"/>
  <c r="E619" i="70"/>
  <c r="D619" i="70"/>
  <c r="C619" i="70"/>
  <c r="D618" i="70"/>
  <c r="C618" i="70"/>
  <c r="E618" i="70" s="1"/>
  <c r="D617" i="70"/>
  <c r="C617" i="70"/>
  <c r="E617" i="70" s="1"/>
  <c r="E616" i="70"/>
  <c r="C616" i="70"/>
  <c r="D616" i="70" s="1"/>
  <c r="E615" i="70"/>
  <c r="C615" i="70"/>
  <c r="D615" i="70" s="1"/>
  <c r="E614" i="70"/>
  <c r="D614" i="70"/>
  <c r="C614" i="70"/>
  <c r="C613" i="70"/>
  <c r="E613" i="70" s="1"/>
  <c r="C612" i="70"/>
  <c r="E611" i="70"/>
  <c r="D611" i="70"/>
  <c r="C611" i="70"/>
  <c r="D610" i="70"/>
  <c r="C610" i="70"/>
  <c r="E610" i="70" s="1"/>
  <c r="D609" i="70"/>
  <c r="C609" i="70"/>
  <c r="E609" i="70" s="1"/>
  <c r="E608" i="70"/>
  <c r="C608" i="70"/>
  <c r="D608" i="70" s="1"/>
  <c r="E607" i="70"/>
  <c r="C607" i="70"/>
  <c r="D607" i="70" s="1"/>
  <c r="E606" i="70"/>
  <c r="D606" i="70"/>
  <c r="C606" i="70"/>
  <c r="C605" i="70"/>
  <c r="E605" i="70" s="1"/>
  <c r="C604" i="70"/>
  <c r="E603" i="70"/>
  <c r="D603" i="70"/>
  <c r="C603" i="70"/>
  <c r="D602" i="70"/>
  <c r="C602" i="70"/>
  <c r="E602" i="70" s="1"/>
  <c r="D601" i="70"/>
  <c r="C601" i="70"/>
  <c r="E601" i="70" s="1"/>
  <c r="E600" i="70"/>
  <c r="C600" i="70"/>
  <c r="D600" i="70" s="1"/>
  <c r="E599" i="70"/>
  <c r="C599" i="70"/>
  <c r="D599" i="70" s="1"/>
  <c r="E598" i="70"/>
  <c r="D598" i="70"/>
  <c r="C598" i="70"/>
  <c r="C597" i="70"/>
  <c r="E597" i="70" s="1"/>
  <c r="C596" i="70"/>
  <c r="E595" i="70"/>
  <c r="D595" i="70"/>
  <c r="C595" i="70"/>
  <c r="D594" i="70"/>
  <c r="C594" i="70"/>
  <c r="E594" i="70" s="1"/>
  <c r="D593" i="70"/>
  <c r="C593" i="70"/>
  <c r="E593" i="70" s="1"/>
  <c r="E592" i="70"/>
  <c r="C592" i="70"/>
  <c r="D592" i="70" s="1"/>
  <c r="E591" i="70"/>
  <c r="C591" i="70"/>
  <c r="D591" i="70" s="1"/>
  <c r="E590" i="70"/>
  <c r="D590" i="70"/>
  <c r="C590" i="70"/>
  <c r="C589" i="70"/>
  <c r="E589" i="70" s="1"/>
  <c r="C588" i="70"/>
  <c r="E587" i="70"/>
  <c r="D587" i="70"/>
  <c r="C587" i="70"/>
  <c r="D586" i="70"/>
  <c r="C586" i="70"/>
  <c r="E586" i="70" s="1"/>
  <c r="D585" i="70"/>
  <c r="C585" i="70"/>
  <c r="E585" i="70" s="1"/>
  <c r="E584" i="70"/>
  <c r="C584" i="70"/>
  <c r="D584" i="70" s="1"/>
  <c r="E583" i="70"/>
  <c r="C583" i="70"/>
  <c r="D583" i="70" s="1"/>
  <c r="E582" i="70"/>
  <c r="D582" i="70"/>
  <c r="C582" i="70"/>
  <c r="C581" i="70"/>
  <c r="E581" i="70" s="1"/>
  <c r="C580" i="70"/>
  <c r="E579" i="70"/>
  <c r="D579" i="70"/>
  <c r="C579" i="70"/>
  <c r="D578" i="70"/>
  <c r="C578" i="70"/>
  <c r="E578" i="70" s="1"/>
  <c r="D577" i="70"/>
  <c r="C577" i="70"/>
  <c r="E577" i="70" s="1"/>
  <c r="E576" i="70"/>
  <c r="C576" i="70"/>
  <c r="D576" i="70" s="1"/>
  <c r="E575" i="70"/>
  <c r="C575" i="70"/>
  <c r="D575" i="70" s="1"/>
  <c r="E574" i="70"/>
  <c r="D574" i="70"/>
  <c r="C574" i="70"/>
  <c r="C573" i="70"/>
  <c r="E573" i="70" s="1"/>
  <c r="C572" i="70"/>
  <c r="E571" i="70"/>
  <c r="D571" i="70"/>
  <c r="C571" i="70"/>
  <c r="D570" i="70"/>
  <c r="C570" i="70"/>
  <c r="E570" i="70" s="1"/>
  <c r="D569" i="70"/>
  <c r="C569" i="70"/>
  <c r="E569" i="70" s="1"/>
  <c r="E568" i="70"/>
  <c r="C568" i="70"/>
  <c r="D568" i="70" s="1"/>
  <c r="E567" i="70"/>
  <c r="C567" i="70"/>
  <c r="D567" i="70" s="1"/>
  <c r="E566" i="70"/>
  <c r="D566" i="70"/>
  <c r="C566" i="70"/>
  <c r="C565" i="70"/>
  <c r="E565" i="70" s="1"/>
  <c r="C564" i="70"/>
  <c r="E563" i="70"/>
  <c r="D563" i="70"/>
  <c r="C563" i="70"/>
  <c r="D562" i="70"/>
  <c r="C562" i="70"/>
  <c r="E562" i="70" s="1"/>
  <c r="D561" i="70"/>
  <c r="C561" i="70"/>
  <c r="E561" i="70" s="1"/>
  <c r="E560" i="70"/>
  <c r="C560" i="70"/>
  <c r="D560" i="70" s="1"/>
  <c r="E559" i="70"/>
  <c r="C559" i="70"/>
  <c r="D559" i="70" s="1"/>
  <c r="E558" i="70"/>
  <c r="D558" i="70"/>
  <c r="C558" i="70"/>
  <c r="C557" i="70"/>
  <c r="C556" i="70"/>
  <c r="E555" i="70"/>
  <c r="D555" i="70"/>
  <c r="C555" i="70"/>
  <c r="D554" i="70"/>
  <c r="C554" i="70"/>
  <c r="E554" i="70" s="1"/>
  <c r="D553" i="70"/>
  <c r="C553" i="70"/>
  <c r="E553" i="70" s="1"/>
  <c r="E552" i="70"/>
  <c r="C552" i="70"/>
  <c r="D552" i="70" s="1"/>
  <c r="E551" i="70"/>
  <c r="C551" i="70"/>
  <c r="D551" i="70" s="1"/>
  <c r="E550" i="70"/>
  <c r="D550" i="70"/>
  <c r="C550" i="70"/>
  <c r="C549" i="70"/>
  <c r="C548" i="70"/>
  <c r="E547" i="70"/>
  <c r="D547" i="70"/>
  <c r="C547" i="70"/>
  <c r="D546" i="70"/>
  <c r="C546" i="70"/>
  <c r="E546" i="70" s="1"/>
  <c r="D545" i="70"/>
  <c r="C545" i="70"/>
  <c r="E545" i="70" s="1"/>
  <c r="E544" i="70"/>
  <c r="C544" i="70"/>
  <c r="D544" i="70" s="1"/>
  <c r="E543" i="70"/>
  <c r="C543" i="70"/>
  <c r="D543" i="70" s="1"/>
  <c r="E542" i="70"/>
  <c r="D542" i="70"/>
  <c r="C542" i="70"/>
  <c r="C541" i="70"/>
  <c r="C540" i="70"/>
  <c r="E540" i="70" s="1"/>
  <c r="E539" i="70"/>
  <c r="D539" i="70"/>
  <c r="C539" i="70"/>
  <c r="D538" i="70"/>
  <c r="C538" i="70"/>
  <c r="E538" i="70" s="1"/>
  <c r="E537" i="70"/>
  <c r="C537" i="70"/>
  <c r="D537" i="70" s="1"/>
  <c r="E536" i="70"/>
  <c r="C536" i="70"/>
  <c r="D536" i="70" s="1"/>
  <c r="C535" i="70"/>
  <c r="E534" i="70"/>
  <c r="D534" i="70"/>
  <c r="C534" i="70"/>
  <c r="C533" i="70"/>
  <c r="C532" i="70"/>
  <c r="E532" i="70" s="1"/>
  <c r="E531" i="70"/>
  <c r="D531" i="70"/>
  <c r="C531" i="70"/>
  <c r="D530" i="70"/>
  <c r="C530" i="70"/>
  <c r="E530" i="70" s="1"/>
  <c r="C529" i="70"/>
  <c r="E529" i="70" s="1"/>
  <c r="E528" i="70"/>
  <c r="C528" i="70"/>
  <c r="D528" i="70" s="1"/>
  <c r="E527" i="70"/>
  <c r="C527" i="70"/>
  <c r="D527" i="70" s="1"/>
  <c r="E526" i="70"/>
  <c r="D526" i="70"/>
  <c r="C526" i="70"/>
  <c r="C525" i="70"/>
  <c r="C524" i="70"/>
  <c r="E523" i="70"/>
  <c r="D523" i="70"/>
  <c r="C523" i="70"/>
  <c r="D522" i="70"/>
  <c r="C522" i="70"/>
  <c r="E522" i="70" s="1"/>
  <c r="C521" i="70"/>
  <c r="E520" i="70"/>
  <c r="C520" i="70"/>
  <c r="D520" i="70" s="1"/>
  <c r="C519" i="70"/>
  <c r="D519" i="70" s="1"/>
  <c r="E518" i="70"/>
  <c r="D518" i="70"/>
  <c r="C518" i="70"/>
  <c r="C517" i="70"/>
  <c r="D516" i="70"/>
  <c r="C516" i="70"/>
  <c r="E516" i="70" s="1"/>
  <c r="E515" i="70"/>
  <c r="D515" i="70"/>
  <c r="C515" i="70"/>
  <c r="D514" i="70"/>
  <c r="C514" i="70"/>
  <c r="E514" i="70" s="1"/>
  <c r="E513" i="70"/>
  <c r="D513" i="70"/>
  <c r="C513" i="70"/>
  <c r="E512" i="70"/>
  <c r="C512" i="70"/>
  <c r="D512" i="70" s="1"/>
  <c r="C511" i="70"/>
  <c r="D511" i="70" s="1"/>
  <c r="C510" i="70"/>
  <c r="E510" i="70" s="1"/>
  <c r="C509" i="70"/>
  <c r="C508" i="70"/>
  <c r="E508" i="70" s="1"/>
  <c r="E507" i="70"/>
  <c r="D507" i="70"/>
  <c r="C507" i="70"/>
  <c r="D506" i="70"/>
  <c r="C506" i="70"/>
  <c r="E506" i="70" s="1"/>
  <c r="E505" i="70"/>
  <c r="C505" i="70"/>
  <c r="D505" i="70" s="1"/>
  <c r="E504" i="70"/>
  <c r="C504" i="70"/>
  <c r="D504" i="70" s="1"/>
  <c r="C503" i="70"/>
  <c r="E502" i="70"/>
  <c r="D502" i="70"/>
  <c r="C502" i="70"/>
  <c r="C501" i="70"/>
  <c r="C500" i="70"/>
  <c r="E500" i="70" s="1"/>
  <c r="E499" i="70"/>
  <c r="D499" i="70"/>
  <c r="C499" i="70"/>
  <c r="D498" i="70"/>
  <c r="C498" i="70"/>
  <c r="E498" i="70" s="1"/>
  <c r="C497" i="70"/>
  <c r="E497" i="70" s="1"/>
  <c r="E496" i="70"/>
  <c r="C496" i="70"/>
  <c r="D496" i="70" s="1"/>
  <c r="E495" i="70"/>
  <c r="C495" i="70"/>
  <c r="D495" i="70" s="1"/>
  <c r="E494" i="70"/>
  <c r="D494" i="70"/>
  <c r="C494" i="70"/>
  <c r="C493" i="70"/>
  <c r="C492" i="70"/>
  <c r="E491" i="70"/>
  <c r="D491" i="70"/>
  <c r="C491" i="70"/>
  <c r="D490" i="70"/>
  <c r="C490" i="70"/>
  <c r="E490" i="70" s="1"/>
  <c r="C489" i="70"/>
  <c r="E488" i="70"/>
  <c r="C488" i="70"/>
  <c r="D488" i="70" s="1"/>
  <c r="E487" i="70"/>
  <c r="D487" i="70"/>
  <c r="C487" i="70"/>
  <c r="C486" i="70"/>
  <c r="C485" i="70"/>
  <c r="E484" i="70"/>
  <c r="C484" i="70"/>
  <c r="D484" i="70" s="1"/>
  <c r="E483" i="70"/>
  <c r="D483" i="70"/>
  <c r="C483" i="70"/>
  <c r="C482" i="70"/>
  <c r="E482" i="70" s="1"/>
  <c r="E481" i="70"/>
  <c r="C481" i="70"/>
  <c r="D481" i="70" s="1"/>
  <c r="E480" i="70"/>
  <c r="C480" i="70"/>
  <c r="D480" i="70" s="1"/>
  <c r="C479" i="70"/>
  <c r="E479" i="70" s="1"/>
  <c r="E478" i="70"/>
  <c r="C478" i="70"/>
  <c r="D478" i="70" s="1"/>
  <c r="C477" i="70"/>
  <c r="E477" i="70" s="1"/>
  <c r="C476" i="70"/>
  <c r="E476" i="70" s="1"/>
  <c r="E475" i="70"/>
  <c r="D475" i="70"/>
  <c r="C475" i="70"/>
  <c r="C474" i="70"/>
  <c r="E474" i="70" s="1"/>
  <c r="E473" i="70"/>
  <c r="D473" i="70"/>
  <c r="C473" i="70"/>
  <c r="C472" i="70"/>
  <c r="D472" i="70" s="1"/>
  <c r="C471" i="70"/>
  <c r="E471" i="70" s="1"/>
  <c r="E470" i="70"/>
  <c r="D470" i="70"/>
  <c r="C470" i="70"/>
  <c r="C469" i="70"/>
  <c r="E469" i="70" s="1"/>
  <c r="C468" i="70"/>
  <c r="E468" i="70" s="1"/>
  <c r="E467" i="70"/>
  <c r="D467" i="70"/>
  <c r="C467" i="70"/>
  <c r="E466" i="70"/>
  <c r="D466" i="70"/>
  <c r="C466" i="70"/>
  <c r="C465" i="70"/>
  <c r="E464" i="70"/>
  <c r="C464" i="70"/>
  <c r="D464" i="70" s="1"/>
  <c r="E463" i="70"/>
  <c r="D463" i="70"/>
  <c r="C463" i="70"/>
  <c r="C462" i="70"/>
  <c r="D461" i="70"/>
  <c r="C461" i="70"/>
  <c r="E461" i="70" s="1"/>
  <c r="E460" i="70"/>
  <c r="D460" i="70"/>
  <c r="C460" i="70"/>
  <c r="E459" i="70"/>
  <c r="D459" i="70"/>
  <c r="C459" i="70"/>
  <c r="E458" i="70"/>
  <c r="D458" i="70"/>
  <c r="C458" i="70"/>
  <c r="C457" i="70"/>
  <c r="E457" i="70" s="1"/>
  <c r="C456" i="70"/>
  <c r="E455" i="70"/>
  <c r="D455" i="70"/>
  <c r="C455" i="70"/>
  <c r="C454" i="70"/>
  <c r="E454" i="70" s="1"/>
  <c r="C453" i="70"/>
  <c r="E452" i="70"/>
  <c r="D452" i="70"/>
  <c r="C452" i="70"/>
  <c r="E451" i="70"/>
  <c r="D451" i="70"/>
  <c r="C451" i="70"/>
  <c r="C450" i="70"/>
  <c r="E450" i="70" s="1"/>
  <c r="E449" i="70"/>
  <c r="C449" i="70"/>
  <c r="D449" i="70" s="1"/>
  <c r="C448" i="70"/>
  <c r="D448" i="70" s="1"/>
  <c r="C447" i="70"/>
  <c r="E447" i="70" s="1"/>
  <c r="E446" i="70"/>
  <c r="C446" i="70"/>
  <c r="D446" i="70" s="1"/>
  <c r="C445" i="70"/>
  <c r="E445" i="70" s="1"/>
  <c r="D444" i="70"/>
  <c r="C444" i="70"/>
  <c r="E444" i="70" s="1"/>
  <c r="E443" i="70"/>
  <c r="D443" i="70"/>
  <c r="C443" i="70"/>
  <c r="C442" i="70"/>
  <c r="E442" i="70" s="1"/>
  <c r="E441" i="70"/>
  <c r="D441" i="70"/>
  <c r="C441" i="70"/>
  <c r="C440" i="70"/>
  <c r="D440" i="70" s="1"/>
  <c r="C439" i="70"/>
  <c r="E439" i="70" s="1"/>
  <c r="E438" i="70"/>
  <c r="D438" i="70"/>
  <c r="C438" i="70"/>
  <c r="C437" i="70"/>
  <c r="E437" i="70" s="1"/>
  <c r="C436" i="70"/>
  <c r="E436" i="70" s="1"/>
  <c r="E435" i="70"/>
  <c r="D435" i="70"/>
  <c r="C435" i="70"/>
  <c r="E434" i="70"/>
  <c r="D434" i="70"/>
  <c r="C434" i="70"/>
  <c r="C433" i="70"/>
  <c r="E432" i="70"/>
  <c r="D432" i="70"/>
  <c r="C432" i="70"/>
  <c r="E431" i="70"/>
  <c r="C431" i="70"/>
  <c r="D431" i="70" s="1"/>
  <c r="C430" i="70"/>
  <c r="E430" i="70" s="1"/>
  <c r="E429" i="70"/>
  <c r="C429" i="70"/>
  <c r="D429" i="70" s="1"/>
  <c r="C428" i="70"/>
  <c r="E428" i="70" s="1"/>
  <c r="E427" i="70"/>
  <c r="D427" i="70"/>
  <c r="C427" i="70"/>
  <c r="E426" i="70"/>
  <c r="D426" i="70"/>
  <c r="C426" i="70"/>
  <c r="C425" i="70"/>
  <c r="E424" i="70"/>
  <c r="D424" i="70"/>
  <c r="C424" i="70"/>
  <c r="E423" i="70"/>
  <c r="C423" i="70"/>
  <c r="D423" i="70" s="1"/>
  <c r="C422" i="70"/>
  <c r="E422" i="70" s="1"/>
  <c r="E421" i="70"/>
  <c r="C421" i="70"/>
  <c r="D421" i="70" s="1"/>
  <c r="C420" i="70"/>
  <c r="E420" i="70" s="1"/>
  <c r="E419" i="70"/>
  <c r="D419" i="70"/>
  <c r="C419" i="70"/>
  <c r="E418" i="70"/>
  <c r="D418" i="70"/>
  <c r="C418" i="70"/>
  <c r="C417" i="70"/>
  <c r="E416" i="70"/>
  <c r="D416" i="70"/>
  <c r="C416" i="70"/>
  <c r="E415" i="70"/>
  <c r="C415" i="70"/>
  <c r="D415" i="70" s="1"/>
  <c r="C414" i="70"/>
  <c r="E414" i="70" s="1"/>
  <c r="E413" i="70"/>
  <c r="C413" i="70"/>
  <c r="D413" i="70" s="1"/>
  <c r="C412" i="70"/>
  <c r="E412" i="70" s="1"/>
  <c r="E411" i="70"/>
  <c r="D411" i="70"/>
  <c r="C411" i="70"/>
  <c r="E410" i="70"/>
  <c r="D410" i="70"/>
  <c r="C410" i="70"/>
  <c r="C409" i="70"/>
  <c r="E408" i="70"/>
  <c r="D408" i="70"/>
  <c r="C408" i="70"/>
  <c r="E407" i="70"/>
  <c r="C407" i="70"/>
  <c r="D407" i="70" s="1"/>
  <c r="C406" i="70"/>
  <c r="E406" i="70" s="1"/>
  <c r="E405" i="70"/>
  <c r="C405" i="70"/>
  <c r="D405" i="70" s="1"/>
  <c r="C404" i="70"/>
  <c r="E404" i="70" s="1"/>
  <c r="E403" i="70"/>
  <c r="D403" i="70"/>
  <c r="C403" i="70"/>
  <c r="E402" i="70"/>
  <c r="D402" i="70"/>
  <c r="C402" i="70"/>
  <c r="C401" i="70"/>
  <c r="E400" i="70"/>
  <c r="D400" i="70"/>
  <c r="C400" i="70"/>
  <c r="E399" i="70"/>
  <c r="C399" i="70"/>
  <c r="D399" i="70" s="1"/>
  <c r="D398" i="70"/>
  <c r="C398" i="70"/>
  <c r="E398" i="70" s="1"/>
  <c r="C397" i="70"/>
  <c r="E397" i="70" s="1"/>
  <c r="C396" i="70"/>
  <c r="E396" i="70" s="1"/>
  <c r="E395" i="70"/>
  <c r="D395" i="70"/>
  <c r="C395" i="70"/>
  <c r="E394" i="70"/>
  <c r="D394" i="70"/>
  <c r="C394" i="70"/>
  <c r="C393" i="70"/>
  <c r="E392" i="70"/>
  <c r="D392" i="70"/>
  <c r="C392" i="70"/>
  <c r="E391" i="70"/>
  <c r="C391" i="70"/>
  <c r="D391" i="70" s="1"/>
  <c r="D390" i="70"/>
  <c r="C390" i="70"/>
  <c r="E390" i="70" s="1"/>
  <c r="C389" i="70"/>
  <c r="E389" i="70" s="1"/>
  <c r="C388" i="70"/>
  <c r="E388" i="70" s="1"/>
  <c r="E387" i="70"/>
  <c r="D387" i="70"/>
  <c r="C387" i="70"/>
  <c r="E386" i="70"/>
  <c r="D386" i="70"/>
  <c r="C386" i="70"/>
  <c r="C385" i="70"/>
  <c r="E384" i="70"/>
  <c r="D384" i="70"/>
  <c r="C384" i="70"/>
  <c r="E383" i="70"/>
  <c r="C383" i="70"/>
  <c r="D383" i="70" s="1"/>
  <c r="D382" i="70"/>
  <c r="C382" i="70"/>
  <c r="E382" i="70" s="1"/>
  <c r="C381" i="70"/>
  <c r="E381" i="70" s="1"/>
  <c r="C380" i="70"/>
  <c r="E380" i="70" s="1"/>
  <c r="E379" i="70"/>
  <c r="D379" i="70"/>
  <c r="C379" i="70"/>
  <c r="E378" i="70"/>
  <c r="D378" i="70"/>
  <c r="C378" i="70"/>
  <c r="C377" i="70"/>
  <c r="E376" i="70"/>
  <c r="D376" i="70"/>
  <c r="C376" i="70"/>
  <c r="E375" i="70"/>
  <c r="C375" i="70"/>
  <c r="D375" i="70" s="1"/>
  <c r="D374" i="70"/>
  <c r="C374" i="70"/>
  <c r="E374" i="70" s="1"/>
  <c r="C373" i="70"/>
  <c r="E373" i="70" s="1"/>
  <c r="C372" i="70"/>
  <c r="E372" i="70" s="1"/>
  <c r="E371" i="70"/>
  <c r="D371" i="70"/>
  <c r="C371" i="70"/>
  <c r="E370" i="70"/>
  <c r="D370" i="70"/>
  <c r="C370" i="70"/>
  <c r="C369" i="70"/>
  <c r="E368" i="70"/>
  <c r="D368" i="70"/>
  <c r="C368" i="70"/>
  <c r="E367" i="70"/>
  <c r="C367" i="70"/>
  <c r="D367" i="70" s="1"/>
  <c r="D366" i="70"/>
  <c r="C366" i="70"/>
  <c r="E366" i="70" s="1"/>
  <c r="C365" i="70"/>
  <c r="E365" i="70" s="1"/>
  <c r="C364" i="70"/>
  <c r="E364" i="70" s="1"/>
  <c r="E363" i="70"/>
  <c r="D363" i="70"/>
  <c r="C363" i="70"/>
  <c r="E362" i="70"/>
  <c r="D362" i="70"/>
  <c r="C362" i="70"/>
  <c r="C361" i="70"/>
  <c r="E360" i="70"/>
  <c r="D360" i="70"/>
  <c r="C360" i="70"/>
  <c r="E359" i="70"/>
  <c r="C359" i="70"/>
  <c r="D359" i="70" s="1"/>
  <c r="D358" i="70"/>
  <c r="C358" i="70"/>
  <c r="E358" i="70" s="1"/>
  <c r="C357" i="70"/>
  <c r="E357" i="70" s="1"/>
  <c r="C356" i="70"/>
  <c r="E356" i="70" s="1"/>
  <c r="E355" i="70"/>
  <c r="D355" i="70"/>
  <c r="C355" i="70"/>
  <c r="E354" i="70"/>
  <c r="D354" i="70"/>
  <c r="C354" i="70"/>
  <c r="C353" i="70"/>
  <c r="E352" i="70"/>
  <c r="D352" i="70"/>
  <c r="C352" i="70"/>
  <c r="E351" i="70"/>
  <c r="C351" i="70"/>
  <c r="D351" i="70" s="1"/>
  <c r="D350" i="70"/>
  <c r="C350" i="70"/>
  <c r="E350" i="70" s="1"/>
  <c r="C349" i="70"/>
  <c r="E349" i="70" s="1"/>
  <c r="C348" i="70"/>
  <c r="E348" i="70" s="1"/>
  <c r="E347" i="70"/>
  <c r="D347" i="70"/>
  <c r="C347" i="70"/>
  <c r="E346" i="70"/>
  <c r="D346" i="70"/>
  <c r="C346" i="70"/>
  <c r="C345" i="70"/>
  <c r="E344" i="70"/>
  <c r="D344" i="70"/>
  <c r="C344" i="70"/>
  <c r="E343" i="70"/>
  <c r="C343" i="70"/>
  <c r="D343" i="70" s="1"/>
  <c r="D342" i="70"/>
  <c r="C342" i="70"/>
  <c r="E342" i="70" s="1"/>
  <c r="C341" i="70"/>
  <c r="E341" i="70" s="1"/>
  <c r="C340" i="70"/>
  <c r="E340" i="70" s="1"/>
  <c r="E339" i="70"/>
  <c r="D339" i="70"/>
  <c r="C339" i="70"/>
  <c r="E338" i="70"/>
  <c r="D338" i="70"/>
  <c r="C338" i="70"/>
  <c r="C337" i="70"/>
  <c r="E336" i="70"/>
  <c r="D336" i="70"/>
  <c r="C336" i="70"/>
  <c r="E335" i="70"/>
  <c r="C335" i="70"/>
  <c r="D335" i="70" s="1"/>
  <c r="D334" i="70"/>
  <c r="C334" i="70"/>
  <c r="E334" i="70" s="1"/>
  <c r="C333" i="70"/>
  <c r="E333" i="70" s="1"/>
  <c r="C332" i="70"/>
  <c r="E332" i="70" s="1"/>
  <c r="E331" i="70"/>
  <c r="D331" i="70"/>
  <c r="C331" i="70"/>
  <c r="E330" i="70"/>
  <c r="D330" i="70"/>
  <c r="C330" i="70"/>
  <c r="C329" i="70"/>
  <c r="E328" i="70"/>
  <c r="D328" i="70"/>
  <c r="C328" i="70"/>
  <c r="E327" i="70"/>
  <c r="C327" i="70"/>
  <c r="D327" i="70" s="1"/>
  <c r="D326" i="70"/>
  <c r="C326" i="70"/>
  <c r="E326" i="70" s="1"/>
  <c r="C325" i="70"/>
  <c r="E325" i="70" s="1"/>
  <c r="C324" i="70"/>
  <c r="E324" i="70" s="1"/>
  <c r="E323" i="70"/>
  <c r="D323" i="70"/>
  <c r="C323" i="70"/>
  <c r="E322" i="70"/>
  <c r="D322" i="70"/>
  <c r="C322" i="70"/>
  <c r="C321" i="70"/>
  <c r="E320" i="70"/>
  <c r="D320" i="70"/>
  <c r="C320" i="70"/>
  <c r="E319" i="70"/>
  <c r="C319" i="70"/>
  <c r="D319" i="70" s="1"/>
  <c r="D318" i="70"/>
  <c r="C318" i="70"/>
  <c r="E318" i="70" s="1"/>
  <c r="C317" i="70"/>
  <c r="E317" i="70" s="1"/>
  <c r="C316" i="70"/>
  <c r="E316" i="70" s="1"/>
  <c r="E315" i="70"/>
  <c r="D315" i="70"/>
  <c r="C315" i="70"/>
  <c r="E314" i="70"/>
  <c r="D314" i="70"/>
  <c r="C314" i="70"/>
  <c r="C313" i="70"/>
  <c r="E312" i="70"/>
  <c r="D312" i="70"/>
  <c r="C312" i="70"/>
  <c r="E311" i="70"/>
  <c r="C311" i="70"/>
  <c r="D311" i="70" s="1"/>
  <c r="D310" i="70"/>
  <c r="C310" i="70"/>
  <c r="E310" i="70" s="1"/>
  <c r="C309" i="70"/>
  <c r="E309" i="70" s="1"/>
  <c r="C308" i="70"/>
  <c r="E308" i="70" s="1"/>
  <c r="E307" i="70"/>
  <c r="D307" i="70"/>
  <c r="C307" i="70"/>
  <c r="E306" i="70"/>
  <c r="D306" i="70"/>
  <c r="C306" i="70"/>
  <c r="C305" i="70"/>
  <c r="E304" i="70"/>
  <c r="D304" i="70"/>
  <c r="C304" i="70"/>
  <c r="E303" i="70"/>
  <c r="C303" i="70"/>
  <c r="D303" i="70" s="1"/>
  <c r="D302" i="70"/>
  <c r="C302" i="70"/>
  <c r="E302" i="70" s="1"/>
  <c r="C301" i="70"/>
  <c r="E301" i="70" s="1"/>
  <c r="C300" i="70"/>
  <c r="E300" i="70" s="1"/>
  <c r="E299" i="70"/>
  <c r="D299" i="70"/>
  <c r="C299" i="70"/>
  <c r="E298" i="70"/>
  <c r="D298" i="70"/>
  <c r="C298" i="70"/>
  <c r="C297" i="70"/>
  <c r="E296" i="70"/>
  <c r="D296" i="70"/>
  <c r="C296" i="70"/>
  <c r="E295" i="70"/>
  <c r="C295" i="70"/>
  <c r="D295" i="70" s="1"/>
  <c r="D294" i="70"/>
  <c r="C294" i="70"/>
  <c r="E294" i="70" s="1"/>
  <c r="C293" i="70"/>
  <c r="E293" i="70" s="1"/>
  <c r="C292" i="70"/>
  <c r="E292" i="70" s="1"/>
  <c r="E291" i="70"/>
  <c r="D291" i="70"/>
  <c r="C291" i="70"/>
  <c r="E290" i="70"/>
  <c r="D290" i="70"/>
  <c r="C290" i="70"/>
  <c r="C289" i="70"/>
  <c r="E288" i="70"/>
  <c r="D288" i="70"/>
  <c r="C288" i="70"/>
  <c r="E287" i="70"/>
  <c r="C287" i="70"/>
  <c r="D287" i="70" s="1"/>
  <c r="D286" i="70"/>
  <c r="C286" i="70"/>
  <c r="E286" i="70" s="1"/>
  <c r="C285" i="70"/>
  <c r="E285" i="70" s="1"/>
  <c r="C284" i="70"/>
  <c r="E284" i="70" s="1"/>
  <c r="E283" i="70"/>
  <c r="D283" i="70"/>
  <c r="C283" i="70"/>
  <c r="E282" i="70"/>
  <c r="D282" i="70"/>
  <c r="C282" i="70"/>
  <c r="C281" i="70"/>
  <c r="E280" i="70"/>
  <c r="D280" i="70"/>
  <c r="C280" i="70"/>
  <c r="E279" i="70"/>
  <c r="C279" i="70"/>
  <c r="D279" i="70" s="1"/>
  <c r="D278" i="70"/>
  <c r="C278" i="70"/>
  <c r="E278" i="70" s="1"/>
  <c r="C277" i="70"/>
  <c r="E277" i="70" s="1"/>
  <c r="C276" i="70"/>
  <c r="E276" i="70" s="1"/>
  <c r="E275" i="70"/>
  <c r="D275" i="70"/>
  <c r="C275" i="70"/>
  <c r="E274" i="70"/>
  <c r="D274" i="70"/>
  <c r="C274" i="70"/>
  <c r="C273" i="70"/>
  <c r="E272" i="70"/>
  <c r="D272" i="70"/>
  <c r="C272" i="70"/>
  <c r="E271" i="70"/>
  <c r="C271" i="70"/>
  <c r="D271" i="70" s="1"/>
  <c r="D270" i="70"/>
  <c r="C270" i="70"/>
  <c r="E270" i="70" s="1"/>
  <c r="C269" i="70"/>
  <c r="E269" i="70" s="1"/>
  <c r="C268" i="70"/>
  <c r="E268" i="70" s="1"/>
  <c r="E267" i="70"/>
  <c r="D267" i="70"/>
  <c r="C267" i="70"/>
  <c r="E266" i="70"/>
  <c r="D266" i="70"/>
  <c r="C266" i="70"/>
  <c r="C265" i="70"/>
  <c r="E264" i="70"/>
  <c r="D264" i="70"/>
  <c r="C264" i="70"/>
  <c r="E263" i="70"/>
  <c r="C263" i="70"/>
  <c r="D263" i="70" s="1"/>
  <c r="D262" i="70"/>
  <c r="C262" i="70"/>
  <c r="E262" i="70" s="1"/>
  <c r="C261" i="70"/>
  <c r="E261" i="70" s="1"/>
  <c r="C260" i="70"/>
  <c r="E260" i="70" s="1"/>
  <c r="E259" i="70"/>
  <c r="D259" i="70"/>
  <c r="C259" i="70"/>
  <c r="E258" i="70"/>
  <c r="D258" i="70"/>
  <c r="C258" i="70"/>
  <c r="C257" i="70"/>
  <c r="E256" i="70"/>
  <c r="D256" i="70"/>
  <c r="C256" i="70"/>
  <c r="E255" i="70"/>
  <c r="C255" i="70"/>
  <c r="D255" i="70" s="1"/>
  <c r="D254" i="70"/>
  <c r="C254" i="70"/>
  <c r="E254" i="70" s="1"/>
  <c r="C253" i="70"/>
  <c r="E253" i="70" s="1"/>
  <c r="C252" i="70"/>
  <c r="E252" i="70" s="1"/>
  <c r="E251" i="70"/>
  <c r="D251" i="70"/>
  <c r="C251" i="70"/>
  <c r="E250" i="70"/>
  <c r="D250" i="70"/>
  <c r="C250" i="70"/>
  <c r="C249" i="70"/>
  <c r="E248" i="70"/>
  <c r="D248" i="70"/>
  <c r="C248" i="70"/>
  <c r="E247" i="70"/>
  <c r="C247" i="70"/>
  <c r="D247" i="70" s="1"/>
  <c r="D246" i="70"/>
  <c r="C246" i="70"/>
  <c r="E246" i="70" s="1"/>
  <c r="C245" i="70"/>
  <c r="D245" i="70" s="1"/>
  <c r="C244" i="70"/>
  <c r="E244" i="70" s="1"/>
  <c r="C243" i="70"/>
  <c r="E243" i="70" s="1"/>
  <c r="E242" i="70"/>
  <c r="D242" i="70"/>
  <c r="C242" i="70"/>
  <c r="C241" i="70"/>
  <c r="E240" i="70"/>
  <c r="D240" i="70"/>
  <c r="C240" i="70"/>
  <c r="E239" i="70"/>
  <c r="C239" i="70"/>
  <c r="D239" i="70" s="1"/>
  <c r="D238" i="70"/>
  <c r="C238" i="70"/>
  <c r="E238" i="70" s="1"/>
  <c r="E237" i="70"/>
  <c r="C237" i="70"/>
  <c r="D237" i="70" s="1"/>
  <c r="C236" i="70"/>
  <c r="E236" i="70" s="1"/>
  <c r="C235" i="70"/>
  <c r="E235" i="70" s="1"/>
  <c r="E234" i="70"/>
  <c r="D234" i="70"/>
  <c r="C234" i="70"/>
  <c r="C233" i="70"/>
  <c r="E232" i="70"/>
  <c r="D232" i="70"/>
  <c r="C232" i="70"/>
  <c r="E231" i="70"/>
  <c r="C231" i="70"/>
  <c r="D231" i="70" s="1"/>
  <c r="C230" i="70"/>
  <c r="E230" i="70" s="1"/>
  <c r="C229" i="70"/>
  <c r="D229" i="70" s="1"/>
  <c r="C228" i="70"/>
  <c r="E227" i="70"/>
  <c r="D227" i="70"/>
  <c r="C227" i="70"/>
  <c r="E226" i="70"/>
  <c r="D226" i="70"/>
  <c r="C226" i="70"/>
  <c r="C225" i="70"/>
  <c r="E225" i="70" s="1"/>
  <c r="E224" i="70"/>
  <c r="D224" i="70"/>
  <c r="C224" i="70"/>
  <c r="E223" i="70"/>
  <c r="C223" i="70"/>
  <c r="D223" i="70" s="1"/>
  <c r="C222" i="70"/>
  <c r="E222" i="70" s="1"/>
  <c r="C221" i="70"/>
  <c r="D221" i="70" s="1"/>
  <c r="C220" i="70"/>
  <c r="D219" i="70"/>
  <c r="C219" i="70"/>
  <c r="E219" i="70" s="1"/>
  <c r="E218" i="70"/>
  <c r="D218" i="70"/>
  <c r="C218" i="70"/>
  <c r="D217" i="70"/>
  <c r="C217" i="70"/>
  <c r="E217" i="70" s="1"/>
  <c r="E216" i="70"/>
  <c r="D216" i="70"/>
  <c r="C216" i="70"/>
  <c r="E215" i="70"/>
  <c r="C215" i="70"/>
  <c r="D215" i="70" s="1"/>
  <c r="E214" i="70"/>
  <c r="D214" i="70"/>
  <c r="C214" i="70"/>
  <c r="C213" i="70"/>
  <c r="D213" i="70" s="1"/>
  <c r="C212" i="70"/>
  <c r="C211" i="70"/>
  <c r="E211" i="70" s="1"/>
  <c r="E210" i="70"/>
  <c r="D210" i="70"/>
  <c r="C210" i="70"/>
  <c r="D209" i="70"/>
  <c r="C209" i="70"/>
  <c r="E209" i="70" s="1"/>
  <c r="E208" i="70"/>
  <c r="D208" i="70"/>
  <c r="C208" i="70"/>
  <c r="E207" i="70"/>
  <c r="C207" i="70"/>
  <c r="D207" i="70" s="1"/>
  <c r="D206" i="70"/>
  <c r="C206" i="70"/>
  <c r="E206" i="70" s="1"/>
  <c r="C205" i="70"/>
  <c r="D205" i="70" s="1"/>
  <c r="C204" i="70"/>
  <c r="E203" i="70"/>
  <c r="D203" i="70"/>
  <c r="C203" i="70"/>
  <c r="E202" i="70"/>
  <c r="D202" i="70"/>
  <c r="C202" i="70"/>
  <c r="C201" i="70"/>
  <c r="E201" i="70" s="1"/>
  <c r="E200" i="70"/>
  <c r="D200" i="70"/>
  <c r="C200" i="70"/>
  <c r="E199" i="70"/>
  <c r="C199" i="70"/>
  <c r="D199" i="70" s="1"/>
  <c r="C198" i="70"/>
  <c r="E198" i="70" s="1"/>
  <c r="E197" i="70"/>
  <c r="D197" i="70"/>
  <c r="C197" i="70"/>
  <c r="C196" i="70"/>
  <c r="C195" i="70"/>
  <c r="E195" i="70" s="1"/>
  <c r="E194" i="70"/>
  <c r="D194" i="70"/>
  <c r="C194" i="70"/>
  <c r="C193" i="70"/>
  <c r="E193" i="70" s="1"/>
  <c r="C192" i="70"/>
  <c r="E192" i="70" s="1"/>
  <c r="C191" i="70"/>
  <c r="D191" i="70" s="1"/>
  <c r="C190" i="70"/>
  <c r="E190" i="70" s="1"/>
  <c r="C189" i="70"/>
  <c r="E189" i="70" s="1"/>
  <c r="C188" i="70"/>
  <c r="E188" i="70" s="1"/>
  <c r="C187" i="70"/>
  <c r="E187" i="70" s="1"/>
  <c r="E186" i="70"/>
  <c r="D186" i="70"/>
  <c r="C186" i="70"/>
  <c r="E185" i="70"/>
  <c r="D185" i="70"/>
  <c r="C185" i="70"/>
  <c r="D184" i="70"/>
  <c r="C184" i="70"/>
  <c r="E184" i="70" s="1"/>
  <c r="C183" i="70"/>
  <c r="D183" i="70" s="1"/>
  <c r="E182" i="70"/>
  <c r="D182" i="70"/>
  <c r="C182" i="70"/>
  <c r="D181" i="70"/>
  <c r="C181" i="70"/>
  <c r="E181" i="70" s="1"/>
  <c r="C180" i="70"/>
  <c r="E180" i="70" s="1"/>
  <c r="E179" i="70"/>
  <c r="D179" i="70"/>
  <c r="C179" i="70"/>
  <c r="E178" i="70"/>
  <c r="D178" i="70"/>
  <c r="C178" i="70"/>
  <c r="C177" i="70"/>
  <c r="E177" i="70" s="1"/>
  <c r="E176" i="70"/>
  <c r="C176" i="70"/>
  <c r="D176" i="70" s="1"/>
  <c r="E175" i="70"/>
  <c r="C175" i="70"/>
  <c r="D175" i="70" s="1"/>
  <c r="C174" i="70"/>
  <c r="E174" i="70" s="1"/>
  <c r="E173" i="70"/>
  <c r="C173" i="70"/>
  <c r="D173" i="70" s="1"/>
  <c r="D172" i="70"/>
  <c r="C172" i="70"/>
  <c r="E172" i="70" s="1"/>
  <c r="C171" i="70"/>
  <c r="E171" i="70" s="1"/>
  <c r="E170" i="70"/>
  <c r="D170" i="70"/>
  <c r="C170" i="70"/>
  <c r="E169" i="70"/>
  <c r="C169" i="70"/>
  <c r="D169" i="70" s="1"/>
  <c r="C168" i="70"/>
  <c r="D168" i="70" s="1"/>
  <c r="E167" i="70"/>
  <c r="C167" i="70"/>
  <c r="D167" i="70" s="1"/>
  <c r="E166" i="70"/>
  <c r="C166" i="70"/>
  <c r="D166" i="70" s="1"/>
  <c r="C165" i="70"/>
  <c r="E165" i="70" s="1"/>
  <c r="C164" i="70"/>
  <c r="E164" i="70" s="1"/>
  <c r="E163" i="70"/>
  <c r="C163" i="70"/>
  <c r="D163" i="70" s="1"/>
  <c r="C162" i="70"/>
  <c r="D162" i="70" s="1"/>
  <c r="C161" i="70"/>
  <c r="E161" i="70" s="1"/>
  <c r="C160" i="70"/>
  <c r="E160" i="70" s="1"/>
  <c r="E159" i="70"/>
  <c r="D159" i="70"/>
  <c r="C159" i="70"/>
  <c r="D158" i="70"/>
  <c r="C158" i="70"/>
  <c r="E158" i="70" s="1"/>
  <c r="C157" i="70"/>
  <c r="E157" i="70" s="1"/>
  <c r="E156" i="70"/>
  <c r="C156" i="70"/>
  <c r="D156" i="70" s="1"/>
  <c r="E155" i="70"/>
  <c r="D155" i="70"/>
  <c r="C155" i="70"/>
  <c r="C154" i="70"/>
  <c r="D154" i="70" s="1"/>
  <c r="C153" i="70"/>
  <c r="E153" i="70" s="1"/>
  <c r="C152" i="70"/>
  <c r="E152" i="70" s="1"/>
  <c r="E151" i="70"/>
  <c r="D151" i="70"/>
  <c r="C151" i="70"/>
  <c r="D150" i="70"/>
  <c r="C150" i="70"/>
  <c r="E150" i="70" s="1"/>
  <c r="C149" i="70"/>
  <c r="E149" i="70" s="1"/>
  <c r="E148" i="70"/>
  <c r="C148" i="70"/>
  <c r="D148" i="70" s="1"/>
  <c r="E147" i="70"/>
  <c r="D147" i="70"/>
  <c r="C147" i="70"/>
  <c r="C146" i="70"/>
  <c r="D146" i="70" s="1"/>
  <c r="C145" i="70"/>
  <c r="E145" i="70" s="1"/>
  <c r="C144" i="70"/>
  <c r="E144" i="70" s="1"/>
  <c r="E143" i="70"/>
  <c r="D143" i="70"/>
  <c r="C143" i="70"/>
  <c r="D142" i="70"/>
  <c r="C142" i="70"/>
  <c r="E142" i="70" s="1"/>
  <c r="C141" i="70"/>
  <c r="E141" i="70" s="1"/>
  <c r="E140" i="70"/>
  <c r="C140" i="70"/>
  <c r="D140" i="70" s="1"/>
  <c r="E139" i="70"/>
  <c r="D139" i="70"/>
  <c r="C139" i="70"/>
  <c r="C138" i="70"/>
  <c r="D138" i="70" s="1"/>
  <c r="C137" i="70"/>
  <c r="E137" i="70" s="1"/>
  <c r="C136" i="70"/>
  <c r="E136" i="70" s="1"/>
  <c r="E135" i="70"/>
  <c r="D135" i="70"/>
  <c r="C135" i="70"/>
  <c r="D134" i="70"/>
  <c r="C134" i="70"/>
  <c r="E134" i="70" s="1"/>
  <c r="C133" i="70"/>
  <c r="E133" i="70" s="1"/>
  <c r="E132" i="70"/>
  <c r="C132" i="70"/>
  <c r="D132" i="70" s="1"/>
  <c r="E131" i="70"/>
  <c r="D131" i="70"/>
  <c r="C131" i="70"/>
  <c r="C130" i="70"/>
  <c r="E130" i="70" s="1"/>
  <c r="C129" i="70"/>
  <c r="E129" i="70" s="1"/>
  <c r="C128" i="70"/>
  <c r="E128" i="70" s="1"/>
  <c r="E127" i="70"/>
  <c r="D127" i="70"/>
  <c r="C127" i="70"/>
  <c r="D126" i="70"/>
  <c r="C126" i="70"/>
  <c r="E126" i="70" s="1"/>
  <c r="C125" i="70"/>
  <c r="E125" i="70" s="1"/>
  <c r="E124" i="70"/>
  <c r="C124" i="70"/>
  <c r="D124" i="70" s="1"/>
  <c r="E123" i="70"/>
  <c r="D123" i="70"/>
  <c r="C123" i="70"/>
  <c r="C122" i="70"/>
  <c r="D122" i="70" s="1"/>
  <c r="C121" i="70"/>
  <c r="E121" i="70" s="1"/>
  <c r="C120" i="70"/>
  <c r="E120" i="70" s="1"/>
  <c r="E119" i="70"/>
  <c r="D119" i="70"/>
  <c r="C119" i="70"/>
  <c r="D118" i="70"/>
  <c r="C118" i="70"/>
  <c r="E118" i="70" s="1"/>
  <c r="C117" i="70"/>
  <c r="E117" i="70" s="1"/>
  <c r="E116" i="70"/>
  <c r="C116" i="70"/>
  <c r="D116" i="70" s="1"/>
  <c r="E115" i="70"/>
  <c r="D115" i="70"/>
  <c r="C115" i="70"/>
  <c r="C114" i="70"/>
  <c r="D114" i="70" s="1"/>
  <c r="C113" i="70"/>
  <c r="E113" i="70" s="1"/>
  <c r="C112" i="70"/>
  <c r="E112" i="70" s="1"/>
  <c r="E111" i="70"/>
  <c r="D111" i="70"/>
  <c r="C111" i="70"/>
  <c r="D110" i="70"/>
  <c r="C110" i="70"/>
  <c r="E110" i="70" s="1"/>
  <c r="C109" i="70"/>
  <c r="E109" i="70" s="1"/>
  <c r="E108" i="70"/>
  <c r="C108" i="70"/>
  <c r="D108" i="70" s="1"/>
  <c r="E107" i="70"/>
  <c r="D107" i="70"/>
  <c r="C107" i="70"/>
  <c r="C106" i="70"/>
  <c r="D106" i="70" s="1"/>
  <c r="C105" i="70"/>
  <c r="E105" i="70" s="1"/>
  <c r="C104" i="70"/>
  <c r="E104" i="70" s="1"/>
  <c r="E103" i="70"/>
  <c r="D103" i="70"/>
  <c r="C103" i="70"/>
  <c r="D102" i="70"/>
  <c r="C102" i="70"/>
  <c r="E102" i="70" s="1"/>
  <c r="C101" i="70"/>
  <c r="E101" i="70" s="1"/>
  <c r="E100" i="70"/>
  <c r="C100" i="70"/>
  <c r="D100" i="70" s="1"/>
  <c r="E99" i="70"/>
  <c r="D99" i="70"/>
  <c r="C99" i="70"/>
  <c r="C98" i="70"/>
  <c r="E98" i="70" s="1"/>
  <c r="C97" i="70"/>
  <c r="E97" i="70" s="1"/>
  <c r="C96" i="70"/>
  <c r="E96" i="70" s="1"/>
  <c r="E95" i="70"/>
  <c r="D95" i="70"/>
  <c r="C95" i="70"/>
  <c r="D94" i="70"/>
  <c r="C94" i="70"/>
  <c r="E94" i="70" s="1"/>
  <c r="C93" i="70"/>
  <c r="E93" i="70" s="1"/>
  <c r="E92" i="70"/>
  <c r="C92" i="70"/>
  <c r="D92" i="70" s="1"/>
  <c r="E91" i="70"/>
  <c r="D91" i="70"/>
  <c r="C91" i="70"/>
  <c r="C90" i="70"/>
  <c r="D90" i="70" s="1"/>
  <c r="C89" i="70"/>
  <c r="E89" i="70" s="1"/>
  <c r="C88" i="70"/>
  <c r="E88" i="70" s="1"/>
  <c r="E87" i="70"/>
  <c r="D87" i="70"/>
  <c r="C87" i="70"/>
  <c r="D86" i="70"/>
  <c r="C86" i="70"/>
  <c r="E86" i="70" s="1"/>
  <c r="C85" i="70"/>
  <c r="E85" i="70" s="1"/>
  <c r="E84" i="70"/>
  <c r="C84" i="70"/>
  <c r="D84" i="70" s="1"/>
  <c r="E83" i="70"/>
  <c r="D83" i="70"/>
  <c r="C83" i="70"/>
  <c r="C82" i="70"/>
  <c r="D82" i="70" s="1"/>
  <c r="C81" i="70"/>
  <c r="E81" i="70" s="1"/>
  <c r="C80" i="70"/>
  <c r="E80" i="70" s="1"/>
  <c r="E79" i="70"/>
  <c r="D79" i="70"/>
  <c r="C79" i="70"/>
  <c r="D78" i="70"/>
  <c r="C78" i="70"/>
  <c r="E78" i="70" s="1"/>
  <c r="C77" i="70"/>
  <c r="E77" i="70" s="1"/>
  <c r="E76" i="70"/>
  <c r="C76" i="70"/>
  <c r="D76" i="70" s="1"/>
  <c r="E75" i="70"/>
  <c r="D75" i="70"/>
  <c r="C75" i="70"/>
  <c r="C74" i="70"/>
  <c r="D74" i="70" s="1"/>
  <c r="C73" i="70"/>
  <c r="E73" i="70" s="1"/>
  <c r="C72" i="70"/>
  <c r="E72" i="70" s="1"/>
  <c r="E71" i="70"/>
  <c r="D71" i="70"/>
  <c r="C71" i="70"/>
  <c r="D70" i="70"/>
  <c r="C70" i="70"/>
  <c r="E70" i="70" s="1"/>
  <c r="C69" i="70"/>
  <c r="E69" i="70" s="1"/>
  <c r="E68" i="70"/>
  <c r="C68" i="70"/>
  <c r="D68" i="70" s="1"/>
  <c r="E67" i="70"/>
  <c r="D67" i="70"/>
  <c r="C67" i="70"/>
  <c r="C66" i="70"/>
  <c r="D66" i="70" s="1"/>
  <c r="C65" i="70"/>
  <c r="E65" i="70" s="1"/>
  <c r="C64" i="70"/>
  <c r="E64" i="70" s="1"/>
  <c r="E63" i="70"/>
  <c r="D63" i="70"/>
  <c r="C63" i="70"/>
  <c r="D62" i="70"/>
  <c r="C62" i="70"/>
  <c r="E62" i="70" s="1"/>
  <c r="C61" i="70"/>
  <c r="E61" i="70" s="1"/>
  <c r="E60" i="70"/>
  <c r="C60" i="70"/>
  <c r="D60" i="70" s="1"/>
  <c r="E59" i="70"/>
  <c r="D59" i="70"/>
  <c r="C59" i="70"/>
  <c r="C58" i="70"/>
  <c r="D58" i="70" s="1"/>
  <c r="C57" i="70"/>
  <c r="E57" i="70" s="1"/>
  <c r="C56" i="70"/>
  <c r="E56" i="70" s="1"/>
  <c r="E55" i="70"/>
  <c r="D55" i="70"/>
  <c r="C55" i="70"/>
  <c r="D54" i="70"/>
  <c r="C54" i="70"/>
  <c r="E54" i="70" s="1"/>
  <c r="C53" i="70"/>
  <c r="E53" i="70" s="1"/>
  <c r="E52" i="70"/>
  <c r="D52" i="70"/>
  <c r="C52" i="70"/>
  <c r="E51" i="70"/>
  <c r="D51" i="70"/>
  <c r="C51" i="70"/>
  <c r="C50" i="70"/>
  <c r="D50" i="70" s="1"/>
  <c r="C49" i="70"/>
  <c r="E49" i="70" s="1"/>
  <c r="C48" i="70"/>
  <c r="E48" i="70" s="1"/>
  <c r="E47" i="70"/>
  <c r="D47" i="70"/>
  <c r="C47" i="70"/>
  <c r="D46" i="70"/>
  <c r="C46" i="70"/>
  <c r="E46" i="70" s="1"/>
  <c r="C45" i="70"/>
  <c r="E45" i="70" s="1"/>
  <c r="E44" i="70"/>
  <c r="C44" i="70"/>
  <c r="D44" i="70" s="1"/>
  <c r="E43" i="70"/>
  <c r="D43" i="70"/>
  <c r="C43" i="70"/>
  <c r="C42" i="70"/>
  <c r="D42" i="70" s="1"/>
  <c r="C41" i="70"/>
  <c r="E41" i="70" s="1"/>
  <c r="C40" i="70"/>
  <c r="E40" i="70" s="1"/>
  <c r="E39" i="70"/>
  <c r="D39" i="70"/>
  <c r="C39" i="70"/>
  <c r="D38" i="70"/>
  <c r="C38" i="70"/>
  <c r="E38" i="70" s="1"/>
  <c r="C37" i="70"/>
  <c r="E37" i="70" s="1"/>
  <c r="E36" i="70"/>
  <c r="C36" i="70"/>
  <c r="D36" i="70" s="1"/>
  <c r="E35" i="70"/>
  <c r="D35" i="70"/>
  <c r="C35" i="70"/>
  <c r="C34" i="70"/>
  <c r="E34" i="70" s="1"/>
  <c r="C33" i="70"/>
  <c r="E33" i="70" s="1"/>
  <c r="C32" i="70"/>
  <c r="E32" i="70" s="1"/>
  <c r="E31" i="70"/>
  <c r="D31" i="70"/>
  <c r="C31" i="70"/>
  <c r="D30" i="70"/>
  <c r="C30" i="70"/>
  <c r="E30" i="70" s="1"/>
  <c r="C29" i="70"/>
  <c r="E29" i="70" s="1"/>
  <c r="E28" i="70"/>
  <c r="C28" i="70"/>
  <c r="D28" i="70" s="1"/>
  <c r="E27" i="70"/>
  <c r="D27" i="70"/>
  <c r="C27" i="70"/>
  <c r="C26" i="70"/>
  <c r="D26" i="70" s="1"/>
  <c r="C25" i="70"/>
  <c r="E25" i="70" s="1"/>
  <c r="C24" i="70"/>
  <c r="E24" i="70" s="1"/>
  <c r="E23" i="70"/>
  <c r="D23" i="70"/>
  <c r="C23" i="70"/>
  <c r="D22" i="70"/>
  <c r="C22" i="70"/>
  <c r="E22" i="70" s="1"/>
  <c r="C21" i="70"/>
  <c r="E21" i="70" s="1"/>
  <c r="E20" i="70"/>
  <c r="C20" i="70"/>
  <c r="D20" i="70" s="1"/>
  <c r="E19" i="70"/>
  <c r="D19" i="70"/>
  <c r="C19" i="70"/>
  <c r="C18" i="70"/>
  <c r="D18" i="70" s="1"/>
  <c r="C17" i="70"/>
  <c r="E17" i="70" s="1"/>
  <c r="C16" i="70"/>
  <c r="E16" i="70" s="1"/>
  <c r="E15" i="70"/>
  <c r="D15" i="70"/>
  <c r="C15" i="70"/>
  <c r="D14" i="70"/>
  <c r="C14" i="70"/>
  <c r="E14" i="70" s="1"/>
  <c r="C13" i="70"/>
  <c r="E13" i="70" s="1"/>
  <c r="E12" i="70"/>
  <c r="C12" i="70"/>
  <c r="D12" i="70" s="1"/>
  <c r="E11" i="70"/>
  <c r="D11" i="70"/>
  <c r="C11" i="70"/>
  <c r="C10" i="70"/>
  <c r="C5" i="70" s="1"/>
  <c r="C9" i="70"/>
  <c r="E9" i="70" s="1"/>
  <c r="C8" i="70"/>
  <c r="E8" i="70" s="1"/>
  <c r="E7" i="70"/>
  <c r="D7" i="70"/>
  <c r="C7" i="70"/>
  <c r="D6" i="70"/>
  <c r="C6" i="70"/>
  <c r="E6" i="70" s="1"/>
  <c r="B5" i="70"/>
  <c r="I101" i="68"/>
  <c r="G101" i="68"/>
  <c r="I100" i="68"/>
  <c r="G100" i="68"/>
  <c r="I99" i="68"/>
  <c r="G99" i="68"/>
  <c r="I98" i="68"/>
  <c r="G98" i="68"/>
  <c r="I97" i="68"/>
  <c r="G97" i="68"/>
  <c r="I96" i="68"/>
  <c r="G96" i="68"/>
  <c r="I95" i="68"/>
  <c r="G95" i="68"/>
  <c r="I94" i="68"/>
  <c r="G94" i="68"/>
  <c r="I93" i="68"/>
  <c r="G93" i="68"/>
  <c r="I92" i="68"/>
  <c r="G92" i="68"/>
  <c r="I91" i="68"/>
  <c r="G91" i="68"/>
  <c r="I90" i="68"/>
  <c r="G90" i="68"/>
  <c r="I89" i="68"/>
  <c r="G89" i="68"/>
  <c r="I88" i="68"/>
  <c r="G88" i="68"/>
  <c r="I87" i="68"/>
  <c r="G87" i="68"/>
  <c r="I86" i="68"/>
  <c r="G86" i="68"/>
  <c r="I85" i="68"/>
  <c r="G85" i="68"/>
  <c r="I84" i="68"/>
  <c r="G84" i="68"/>
  <c r="I83" i="68"/>
  <c r="G83" i="68"/>
  <c r="I82" i="68"/>
  <c r="G82" i="68"/>
  <c r="I81" i="68"/>
  <c r="G81" i="68"/>
  <c r="I80" i="68"/>
  <c r="G80" i="68"/>
  <c r="I79" i="68"/>
  <c r="G79" i="68"/>
  <c r="I78" i="68"/>
  <c r="G78" i="68"/>
  <c r="I77" i="68"/>
  <c r="G77" i="68"/>
  <c r="I76" i="68"/>
  <c r="I102" i="68" s="1"/>
  <c r="J107" i="68" s="1"/>
  <c r="G76" i="68"/>
  <c r="G102" i="68" s="1"/>
  <c r="I107" i="68" s="1"/>
  <c r="K66" i="68"/>
  <c r="F66" i="68"/>
  <c r="H63" i="68"/>
  <c r="I71" i="68" s="1"/>
  <c r="K50" i="68"/>
  <c r="J50" i="68"/>
  <c r="G50" i="68"/>
  <c r="K49" i="68"/>
  <c r="L49" i="68" s="1"/>
  <c r="H49" i="68"/>
  <c r="I49" i="68" s="1"/>
  <c r="K48" i="68"/>
  <c r="L48" i="68" s="1"/>
  <c r="H48" i="68"/>
  <c r="I48" i="68" s="1"/>
  <c r="K47" i="68"/>
  <c r="L47" i="68" s="1"/>
  <c r="H47" i="68"/>
  <c r="I47" i="68" s="1"/>
  <c r="K46" i="68"/>
  <c r="L46" i="68" s="1"/>
  <c r="H46" i="68"/>
  <c r="I46" i="68" s="1"/>
  <c r="K45" i="68"/>
  <c r="L45" i="68" s="1"/>
  <c r="H45" i="68"/>
  <c r="I45" i="68" s="1"/>
  <c r="K44" i="68"/>
  <c r="L44" i="68" s="1"/>
  <c r="H44" i="68"/>
  <c r="I44" i="68" s="1"/>
  <c r="K43" i="68"/>
  <c r="L43" i="68" s="1"/>
  <c r="H43" i="68"/>
  <c r="I43" i="68" s="1"/>
  <c r="K42" i="68"/>
  <c r="L42" i="68" s="1"/>
  <c r="H42" i="68"/>
  <c r="I42" i="68" s="1"/>
  <c r="K41" i="68"/>
  <c r="L41" i="68" s="1"/>
  <c r="H41" i="68"/>
  <c r="I41" i="68" s="1"/>
  <c r="K40" i="68"/>
  <c r="L40" i="68" s="1"/>
  <c r="H40" i="68"/>
  <c r="I40" i="68" s="1"/>
  <c r="K39" i="68"/>
  <c r="L39" i="68" s="1"/>
  <c r="H39" i="68"/>
  <c r="I39" i="68" s="1"/>
  <c r="K38" i="68"/>
  <c r="L38" i="68" s="1"/>
  <c r="H38" i="68"/>
  <c r="I38" i="68" s="1"/>
  <c r="K37" i="68"/>
  <c r="L37" i="68" s="1"/>
  <c r="H37" i="68"/>
  <c r="I37" i="68" s="1"/>
  <c r="K36" i="68"/>
  <c r="L36" i="68" s="1"/>
  <c r="H36" i="68"/>
  <c r="I36" i="68" s="1"/>
  <c r="K35" i="68"/>
  <c r="L35" i="68" s="1"/>
  <c r="H35" i="68"/>
  <c r="I35" i="68" s="1"/>
  <c r="K34" i="68"/>
  <c r="L34" i="68" s="1"/>
  <c r="H34" i="68"/>
  <c r="I34" i="68" s="1"/>
  <c r="K33" i="68"/>
  <c r="L33" i="68" s="1"/>
  <c r="H33" i="68"/>
  <c r="I33" i="68" s="1"/>
  <c r="K32" i="68"/>
  <c r="L32" i="68" s="1"/>
  <c r="H32" i="68"/>
  <c r="I32" i="68" s="1"/>
  <c r="K31" i="68"/>
  <c r="L31" i="68" s="1"/>
  <c r="H31" i="68"/>
  <c r="I31" i="68" s="1"/>
  <c r="K30" i="68"/>
  <c r="L30" i="68" s="1"/>
  <c r="H30" i="68"/>
  <c r="I30" i="68" s="1"/>
  <c r="K29" i="68"/>
  <c r="L29" i="68" s="1"/>
  <c r="H29" i="68"/>
  <c r="I29" i="68" s="1"/>
  <c r="K28" i="68"/>
  <c r="L28" i="68" s="1"/>
  <c r="H28" i="68"/>
  <c r="I28" i="68" s="1"/>
  <c r="K27" i="68"/>
  <c r="L27" i="68" s="1"/>
  <c r="H27" i="68"/>
  <c r="I27" i="68" s="1"/>
  <c r="K26" i="68"/>
  <c r="L26" i="68" s="1"/>
  <c r="H26" i="68"/>
  <c r="I26" i="68" s="1"/>
  <c r="K25" i="68"/>
  <c r="L25" i="68" s="1"/>
  <c r="H25" i="68"/>
  <c r="I25" i="68" s="1"/>
  <c r="K24" i="68"/>
  <c r="L24" i="68" s="1"/>
  <c r="H24" i="68"/>
  <c r="I24" i="68" s="1"/>
  <c r="K23" i="68"/>
  <c r="L23" i="68" s="1"/>
  <c r="H23" i="68"/>
  <c r="I23" i="68" s="1"/>
  <c r="K22" i="68"/>
  <c r="L22" i="68" s="1"/>
  <c r="H22" i="68"/>
  <c r="I22" i="68" s="1"/>
  <c r="K21" i="68"/>
  <c r="L21" i="68" s="1"/>
  <c r="H21" i="68"/>
  <c r="I21" i="68" s="1"/>
  <c r="K20" i="68"/>
  <c r="L20" i="68" s="1"/>
  <c r="H20" i="68"/>
  <c r="I20" i="68" s="1"/>
  <c r="K19" i="68"/>
  <c r="L19" i="68" s="1"/>
  <c r="H19" i="68"/>
  <c r="I19" i="68" s="1"/>
  <c r="K18" i="68"/>
  <c r="L18" i="68" s="1"/>
  <c r="H18" i="68"/>
  <c r="I18" i="68" s="1"/>
  <c r="K17" i="68"/>
  <c r="L17" i="68" s="1"/>
  <c r="H17" i="68"/>
  <c r="I17" i="68" s="1"/>
  <c r="K16" i="68"/>
  <c r="L16" i="68" s="1"/>
  <c r="H16" i="68"/>
  <c r="I16" i="68" s="1"/>
  <c r="K15" i="68"/>
  <c r="L15" i="68" s="1"/>
  <c r="H15" i="68"/>
  <c r="I15" i="68" s="1"/>
  <c r="K14" i="68"/>
  <c r="L14" i="68" s="1"/>
  <c r="H14" i="68"/>
  <c r="I14" i="68" s="1"/>
  <c r="K13" i="68"/>
  <c r="L13" i="68" s="1"/>
  <c r="H13" i="68"/>
  <c r="I13" i="68" s="1"/>
  <c r="K12" i="68"/>
  <c r="L12" i="68" s="1"/>
  <c r="H12" i="68"/>
  <c r="I12" i="68" s="1"/>
  <c r="K11" i="68"/>
  <c r="L11" i="68" s="1"/>
  <c r="H11" i="68"/>
  <c r="I11" i="68" s="1"/>
  <c r="K10" i="68"/>
  <c r="L10" i="68" s="1"/>
  <c r="H10" i="68"/>
  <c r="I10" i="68" s="1"/>
  <c r="K9" i="68"/>
  <c r="L9" i="68" s="1"/>
  <c r="H9" i="68"/>
  <c r="H50" i="68" s="1"/>
  <c r="C16" i="69"/>
  <c r="H7" i="69" s="1"/>
  <c r="H8" i="69" s="1"/>
  <c r="B8" i="69"/>
  <c r="D7" i="69"/>
  <c r="D8" i="69" s="1"/>
  <c r="D34" i="70" l="1"/>
  <c r="D98" i="70"/>
  <c r="D130" i="70"/>
  <c r="D165" i="70"/>
  <c r="D188" i="70"/>
  <c r="D235" i="70"/>
  <c r="D406" i="70"/>
  <c r="E453" i="70"/>
  <c r="D453" i="70"/>
  <c r="E486" i="70"/>
  <c r="D486" i="70"/>
  <c r="E524" i="70"/>
  <c r="D524" i="70"/>
  <c r="E10" i="70"/>
  <c r="E5" i="70" s="1"/>
  <c r="D13" i="70"/>
  <c r="E18" i="70"/>
  <c r="D21" i="70"/>
  <c r="E26" i="70"/>
  <c r="D29" i="70"/>
  <c r="D37" i="70"/>
  <c r="E42" i="70"/>
  <c r="D45" i="70"/>
  <c r="E50" i="70"/>
  <c r="D53" i="70"/>
  <c r="E58" i="70"/>
  <c r="D61" i="70"/>
  <c r="E66" i="70"/>
  <c r="D69" i="70"/>
  <c r="E74" i="70"/>
  <c r="D77" i="70"/>
  <c r="E82" i="70"/>
  <c r="D85" i="70"/>
  <c r="E90" i="70"/>
  <c r="D93" i="70"/>
  <c r="D101" i="70"/>
  <c r="E106" i="70"/>
  <c r="D109" i="70"/>
  <c r="E114" i="70"/>
  <c r="D117" i="70"/>
  <c r="E122" i="70"/>
  <c r="D125" i="70"/>
  <c r="D133" i="70"/>
  <c r="E138" i="70"/>
  <c r="D141" i="70"/>
  <c r="E146" i="70"/>
  <c r="D149" i="70"/>
  <c r="E154" i="70"/>
  <c r="D157" i="70"/>
  <c r="E162" i="70"/>
  <c r="E168" i="70"/>
  <c r="D171" i="70"/>
  <c r="D174" i="70"/>
  <c r="D177" i="70"/>
  <c r="D198" i="70"/>
  <c r="D201" i="70"/>
  <c r="D211" i="70"/>
  <c r="E228" i="70"/>
  <c r="D228" i="70"/>
  <c r="D243" i="70"/>
  <c r="D414" i="70"/>
  <c r="E433" i="70"/>
  <c r="D433" i="70"/>
  <c r="D450" i="70"/>
  <c r="D482" i="70"/>
  <c r="D888" i="70"/>
  <c r="E888" i="70"/>
  <c r="E465" i="70"/>
  <c r="D465" i="70"/>
  <c r="D8" i="70"/>
  <c r="D5" i="70" s="1"/>
  <c r="D16" i="70"/>
  <c r="D24" i="70"/>
  <c r="D32" i="70"/>
  <c r="D40" i="70"/>
  <c r="D48" i="70"/>
  <c r="D56" i="70"/>
  <c r="D64" i="70"/>
  <c r="D72" i="70"/>
  <c r="D80" i="70"/>
  <c r="D88" i="70"/>
  <c r="D96" i="70"/>
  <c r="D104" i="70"/>
  <c r="D112" i="70"/>
  <c r="D120" i="70"/>
  <c r="D128" i="70"/>
  <c r="D136" i="70"/>
  <c r="D144" i="70"/>
  <c r="D152" i="70"/>
  <c r="D160" i="70"/>
  <c r="D180" i="70"/>
  <c r="E183" i="70"/>
  <c r="D189" i="70"/>
  <c r="D192" i="70"/>
  <c r="D195" i="70"/>
  <c r="E205" i="70"/>
  <c r="D222" i="70"/>
  <c r="D225" i="70"/>
  <c r="D422" i="70"/>
  <c r="E462" i="70"/>
  <c r="D462" i="70"/>
  <c r="E521" i="70"/>
  <c r="D521" i="70"/>
  <c r="D832" i="70"/>
  <c r="E832" i="70"/>
  <c r="D10" i="70"/>
  <c r="E191" i="70"/>
  <c r="E212" i="70"/>
  <c r="D212" i="70"/>
  <c r="E229" i="70"/>
  <c r="E233" i="70"/>
  <c r="D233" i="70"/>
  <c r="D430" i="70"/>
  <c r="D479" i="70"/>
  <c r="E517" i="70"/>
  <c r="D517" i="70"/>
  <c r="D824" i="70"/>
  <c r="E824" i="70"/>
  <c r="E417" i="70"/>
  <c r="D417" i="70"/>
  <c r="E485" i="70"/>
  <c r="D485" i="70"/>
  <c r="E221" i="70"/>
  <c r="E425" i="70"/>
  <c r="D425" i="70"/>
  <c r="D503" i="70"/>
  <c r="E503" i="70"/>
  <c r="E196" i="70"/>
  <c r="D196" i="70"/>
  <c r="E241" i="70"/>
  <c r="D241" i="70"/>
  <c r="D447" i="70"/>
  <c r="E492" i="70"/>
  <c r="D492" i="70"/>
  <c r="D535" i="70"/>
  <c r="E535" i="70"/>
  <c r="E782" i="70"/>
  <c r="D782" i="70"/>
  <c r="E790" i="70"/>
  <c r="D790" i="70"/>
  <c r="E204" i="70"/>
  <c r="D204" i="70"/>
  <c r="D9" i="70"/>
  <c r="D17" i="70"/>
  <c r="D25" i="70"/>
  <c r="D33" i="70"/>
  <c r="D41" i="70"/>
  <c r="D49" i="70"/>
  <c r="D57" i="70"/>
  <c r="D65" i="70"/>
  <c r="D73" i="70"/>
  <c r="D81" i="70"/>
  <c r="D89" i="70"/>
  <c r="D97" i="70"/>
  <c r="D105" i="70"/>
  <c r="D113" i="70"/>
  <c r="D121" i="70"/>
  <c r="D129" i="70"/>
  <c r="D137" i="70"/>
  <c r="D145" i="70"/>
  <c r="D153" i="70"/>
  <c r="D161" i="70"/>
  <c r="D187" i="70"/>
  <c r="D190" i="70"/>
  <c r="D193" i="70"/>
  <c r="E213" i="70"/>
  <c r="D230" i="70"/>
  <c r="E245" i="70"/>
  <c r="E249" i="70"/>
  <c r="D249" i="70"/>
  <c r="E257" i="70"/>
  <c r="D257" i="70"/>
  <c r="E265" i="70"/>
  <c r="D265" i="70"/>
  <c r="E273" i="70"/>
  <c r="D273" i="70"/>
  <c r="E281" i="70"/>
  <c r="D281" i="70"/>
  <c r="E289" i="70"/>
  <c r="D289" i="70"/>
  <c r="E297" i="70"/>
  <c r="D297" i="70"/>
  <c r="E305" i="70"/>
  <c r="D305" i="70"/>
  <c r="E313" i="70"/>
  <c r="D313" i="70"/>
  <c r="E321" i="70"/>
  <c r="D321" i="70"/>
  <c r="E329" i="70"/>
  <c r="D329" i="70"/>
  <c r="E337" i="70"/>
  <c r="D337" i="70"/>
  <c r="E345" i="70"/>
  <c r="D345" i="70"/>
  <c r="E353" i="70"/>
  <c r="D353" i="70"/>
  <c r="E361" i="70"/>
  <c r="D361" i="70"/>
  <c r="E369" i="70"/>
  <c r="D369" i="70"/>
  <c r="E377" i="70"/>
  <c r="D377" i="70"/>
  <c r="E385" i="70"/>
  <c r="D385" i="70"/>
  <c r="E393" i="70"/>
  <c r="D393" i="70"/>
  <c r="E401" i="70"/>
  <c r="D401" i="70"/>
  <c r="D456" i="70"/>
  <c r="E456" i="70"/>
  <c r="D510" i="70"/>
  <c r="D164" i="70"/>
  <c r="E220" i="70"/>
  <c r="D220" i="70"/>
  <c r="E409" i="70"/>
  <c r="D409" i="70"/>
  <c r="D476" i="70"/>
  <c r="E489" i="70"/>
  <c r="D489" i="70"/>
  <c r="E708" i="70"/>
  <c r="D708" i="70"/>
  <c r="D738" i="70"/>
  <c r="E738" i="70"/>
  <c r="E783" i="70"/>
  <c r="D783" i="70"/>
  <c r="D236" i="70"/>
  <c r="D244" i="70"/>
  <c r="D252" i="70"/>
  <c r="D260" i="70"/>
  <c r="D268" i="70"/>
  <c r="D276" i="70"/>
  <c r="D284" i="70"/>
  <c r="D292" i="70"/>
  <c r="D300" i="70"/>
  <c r="D308" i="70"/>
  <c r="D316" i="70"/>
  <c r="D324" i="70"/>
  <c r="D332" i="70"/>
  <c r="D340" i="70"/>
  <c r="D348" i="70"/>
  <c r="D356" i="70"/>
  <c r="D364" i="70"/>
  <c r="D372" i="70"/>
  <c r="D380" i="70"/>
  <c r="D388" i="70"/>
  <c r="D396" i="70"/>
  <c r="D404" i="70"/>
  <c r="D412" i="70"/>
  <c r="D420" i="70"/>
  <c r="D428" i="70"/>
  <c r="D436" i="70"/>
  <c r="D439" i="70"/>
  <c r="D442" i="70"/>
  <c r="D468" i="70"/>
  <c r="D471" i="70"/>
  <c r="D474" i="70"/>
  <c r="E493" i="70"/>
  <c r="D493" i="70"/>
  <c r="E525" i="70"/>
  <c r="D525" i="70"/>
  <c r="E700" i="70"/>
  <c r="D700" i="70"/>
  <c r="E714" i="70"/>
  <c r="D714" i="70"/>
  <c r="E730" i="70"/>
  <c r="D775" i="70"/>
  <c r="D445" i="70"/>
  <c r="E448" i="70"/>
  <c r="D454" i="70"/>
  <c r="D457" i="70"/>
  <c r="D477" i="70"/>
  <c r="D497" i="70"/>
  <c r="D500" i="70"/>
  <c r="E511" i="70"/>
  <c r="D529" i="70"/>
  <c r="D532" i="70"/>
  <c r="E692" i="70"/>
  <c r="D692" i="70"/>
  <c r="D866" i="70"/>
  <c r="E866" i="70"/>
  <c r="E501" i="70"/>
  <c r="D501" i="70"/>
  <c r="E533" i="70"/>
  <c r="D533" i="70"/>
  <c r="E684" i="70"/>
  <c r="D684" i="70"/>
  <c r="D697" i="70"/>
  <c r="D726" i="70"/>
  <c r="D768" i="70"/>
  <c r="E768" i="70"/>
  <c r="E846" i="70"/>
  <c r="D846" i="70"/>
  <c r="E858" i="70"/>
  <c r="D253" i="70"/>
  <c r="D261" i="70"/>
  <c r="D269" i="70"/>
  <c r="D277" i="70"/>
  <c r="D285" i="70"/>
  <c r="D293" i="70"/>
  <c r="D301" i="70"/>
  <c r="D309" i="70"/>
  <c r="D317" i="70"/>
  <c r="D325" i="70"/>
  <c r="D333" i="70"/>
  <c r="D341" i="70"/>
  <c r="D349" i="70"/>
  <c r="D357" i="70"/>
  <c r="D365" i="70"/>
  <c r="D373" i="70"/>
  <c r="D381" i="70"/>
  <c r="D389" i="70"/>
  <c r="D397" i="70"/>
  <c r="D437" i="70"/>
  <c r="E440" i="70"/>
  <c r="D469" i="70"/>
  <c r="E472" i="70"/>
  <c r="D508" i="70"/>
  <c r="E519" i="70"/>
  <c r="D540" i="70"/>
  <c r="E548" i="70"/>
  <c r="D548" i="70"/>
  <c r="E556" i="70"/>
  <c r="D556" i="70"/>
  <c r="E564" i="70"/>
  <c r="D564" i="70"/>
  <c r="E572" i="70"/>
  <c r="D572" i="70"/>
  <c r="E580" i="70"/>
  <c r="D580" i="70"/>
  <c r="E588" i="70"/>
  <c r="D588" i="70"/>
  <c r="E596" i="70"/>
  <c r="D596" i="70"/>
  <c r="E604" i="70"/>
  <c r="D604" i="70"/>
  <c r="E612" i="70"/>
  <c r="D612" i="70"/>
  <c r="E620" i="70"/>
  <c r="D620" i="70"/>
  <c r="E628" i="70"/>
  <c r="D628" i="70"/>
  <c r="E636" i="70"/>
  <c r="D636" i="70"/>
  <c r="E644" i="70"/>
  <c r="D644" i="70"/>
  <c r="E652" i="70"/>
  <c r="D652" i="70"/>
  <c r="E660" i="70"/>
  <c r="D660" i="70"/>
  <c r="E668" i="70"/>
  <c r="D668" i="70"/>
  <c r="E676" i="70"/>
  <c r="D676" i="70"/>
  <c r="D802" i="70"/>
  <c r="E802" i="70"/>
  <c r="E854" i="70"/>
  <c r="D854" i="70"/>
  <c r="E509" i="70"/>
  <c r="D509" i="70"/>
  <c r="E541" i="70"/>
  <c r="D541" i="70"/>
  <c r="E549" i="70"/>
  <c r="D549" i="70"/>
  <c r="E557" i="70"/>
  <c r="D557" i="70"/>
  <c r="D681" i="70"/>
  <c r="D720" i="70"/>
  <c r="E720" i="70"/>
  <c r="E794" i="70"/>
  <c r="E734" i="70"/>
  <c r="D734" i="70"/>
  <c r="E798" i="70"/>
  <c r="D798" i="70"/>
  <c r="E862" i="70"/>
  <c r="D862" i="70"/>
  <c r="D679" i="70"/>
  <c r="D687" i="70"/>
  <c r="D695" i="70"/>
  <c r="D703" i="70"/>
  <c r="D711" i="70"/>
  <c r="D717" i="70"/>
  <c r="D727" i="70"/>
  <c r="E742" i="70"/>
  <c r="D742" i="70"/>
  <c r="E746" i="70"/>
  <c r="E776" i="70"/>
  <c r="D791" i="70"/>
  <c r="E806" i="70"/>
  <c r="D806" i="70"/>
  <c r="E810" i="70"/>
  <c r="E840" i="70"/>
  <c r="E870" i="70"/>
  <c r="D870" i="70"/>
  <c r="E874" i="70"/>
  <c r="E750" i="70"/>
  <c r="D750" i="70"/>
  <c r="E814" i="70"/>
  <c r="D814" i="70"/>
  <c r="E878" i="70"/>
  <c r="D878" i="70"/>
  <c r="D565" i="70"/>
  <c r="D573" i="70"/>
  <c r="D581" i="70"/>
  <c r="D589" i="70"/>
  <c r="D597" i="70"/>
  <c r="D605" i="70"/>
  <c r="D613" i="70"/>
  <c r="D621" i="70"/>
  <c r="D629" i="70"/>
  <c r="D637" i="70"/>
  <c r="D645" i="70"/>
  <c r="D653" i="70"/>
  <c r="D661" i="70"/>
  <c r="D669" i="70"/>
  <c r="D677" i="70"/>
  <c r="D685" i="70"/>
  <c r="D693" i="70"/>
  <c r="D701" i="70"/>
  <c r="D709" i="70"/>
  <c r="D718" i="70"/>
  <c r="E728" i="70"/>
  <c r="D743" i="70"/>
  <c r="E758" i="70"/>
  <c r="D758" i="70"/>
  <c r="E762" i="70"/>
  <c r="E792" i="70"/>
  <c r="D807" i="70"/>
  <c r="E822" i="70"/>
  <c r="D822" i="70"/>
  <c r="E826" i="70"/>
  <c r="E856" i="70"/>
  <c r="E886" i="70"/>
  <c r="D886" i="70"/>
  <c r="E890" i="70"/>
  <c r="E898" i="70"/>
  <c r="D898" i="70"/>
  <c r="E712" i="70"/>
  <c r="E736" i="70"/>
  <c r="D751" i="70"/>
  <c r="E766" i="70"/>
  <c r="D766" i="70"/>
  <c r="E770" i="70"/>
  <c r="E800" i="70"/>
  <c r="D815" i="70"/>
  <c r="E830" i="70"/>
  <c r="D830" i="70"/>
  <c r="E834" i="70"/>
  <c r="E864" i="70"/>
  <c r="E894" i="70"/>
  <c r="D894" i="70"/>
  <c r="E902" i="70"/>
  <c r="D902" i="70"/>
  <c r="E910" i="70"/>
  <c r="D910" i="70"/>
  <c r="E918" i="70"/>
  <c r="D918" i="70"/>
  <c r="E926" i="70"/>
  <c r="D926" i="70"/>
  <c r="E934" i="70"/>
  <c r="D934" i="70"/>
  <c r="E942" i="70"/>
  <c r="D942" i="70"/>
  <c r="E950" i="70"/>
  <c r="D950" i="70"/>
  <c r="E958" i="70"/>
  <c r="D958" i="70"/>
  <c r="E966" i="70"/>
  <c r="D966" i="70"/>
  <c r="E974" i="70"/>
  <c r="D974" i="70"/>
  <c r="E982" i="70"/>
  <c r="D982" i="70"/>
  <c r="E990" i="70"/>
  <c r="D990" i="70"/>
  <c r="E998" i="70"/>
  <c r="D998" i="70"/>
  <c r="E1006" i="70"/>
  <c r="D1006" i="70"/>
  <c r="E1014" i="70"/>
  <c r="D1014" i="70"/>
  <c r="E1022" i="70"/>
  <c r="D1022" i="70"/>
  <c r="E1030" i="70"/>
  <c r="D1030" i="70"/>
  <c r="E1038" i="70"/>
  <c r="D1038" i="70"/>
  <c r="E774" i="70"/>
  <c r="D774" i="70"/>
  <c r="E838" i="70"/>
  <c r="D838" i="70"/>
  <c r="E1046" i="70"/>
  <c r="D1046" i="70"/>
  <c r="D906" i="70"/>
  <c r="D914" i="70"/>
  <c r="D922" i="70"/>
  <c r="D930" i="70"/>
  <c r="D938" i="70"/>
  <c r="D946" i="70"/>
  <c r="D954" i="70"/>
  <c r="D962" i="70"/>
  <c r="D970" i="70"/>
  <c r="D978" i="70"/>
  <c r="D986" i="70"/>
  <c r="D994" i="70"/>
  <c r="D1002" i="70"/>
  <c r="D1010" i="70"/>
  <c r="D1018" i="70"/>
  <c r="D1026" i="70"/>
  <c r="D1034" i="70"/>
  <c r="D1050" i="70"/>
  <c r="L50" i="68"/>
  <c r="J57" i="68" s="1"/>
  <c r="F4" i="68" s="1"/>
  <c r="I9" i="68"/>
  <c r="I50" i="68" s="1"/>
  <c r="I57" i="68" s="1"/>
  <c r="G7" i="69"/>
  <c r="G8" i="69" s="1"/>
  <c r="F4" i="69" s="1"/>
  <c r="F7" i="69"/>
  <c r="F8" i="69" s="1"/>
  <c r="E4" i="69" s="1"/>
  <c r="C20" i="67" l="1"/>
  <c r="D5" i="67"/>
  <c r="C5" i="67"/>
  <c r="B5" i="67"/>
</calcChain>
</file>

<file path=xl/sharedStrings.xml><?xml version="1.0" encoding="utf-8"?>
<sst xmlns="http://schemas.openxmlformats.org/spreadsheetml/2006/main" count="2107" uniqueCount="659">
  <si>
    <t>SARS-CoV-2 RNS (COVID-19) noteikšana ar reālā laika PĶR (bez parauga paņemšanas)</t>
  </si>
  <si>
    <t>SARS-CoV-2 (COVID-19) ambulatora parauga (nazofaringeāla uztriepe) paņemšana laboratorijā</t>
  </si>
  <si>
    <t>SARS-CoV-2 (COVID-19) transporta barotne ar diviem lokaniem tamponiem</t>
  </si>
  <si>
    <t>SARS-CoV-2 (COVID-19) antigēna noteikšana (Ag eksprestests) (ar reaģenta komplekta vērtību)</t>
  </si>
  <si>
    <t>Pakalpojumu programma</t>
  </si>
  <si>
    <t>Plānotais 10% pieaugums saistībā ar Covid-19 pacietu skaita pieaugumu</t>
  </si>
  <si>
    <t>AP89 - Rehabilitācija ambulatori bērniem, kas pārslimojuši Covid-19</t>
  </si>
  <si>
    <t>AP92 - Rehabilitācija dienas stacionārā bērniem, kas pārslimojuši Covid-19</t>
  </si>
  <si>
    <t>AP91 - Rehabilitācija dienas stacionārā pieaugušajiem, kas pārslimojuši Covid-19</t>
  </si>
  <si>
    <t>AP90 - Rehabilitācija ambulatori pieaugušajiem, kas pārslimojuši Covid-19</t>
  </si>
  <si>
    <t>Manipulācijas nosaukums</t>
  </si>
  <si>
    <t>Manipulācijas kods</t>
  </si>
  <si>
    <t>COVID - 19 diagnostika stacionāros</t>
  </si>
  <si>
    <t>SARS-CoV-2 RNS (COVID-19) noteikšana ar reālā laika PĶR (bez parauga paņemšanas) ātrai diagnostikai un diferenciāldiagnostikai (ar reaģenta vērtību)</t>
  </si>
  <si>
    <t>SARS-CoV-2 (COVID-19) antigēna noteikšana (Ag eksprestests) (bez reaģenta komplekta vērtības)</t>
  </si>
  <si>
    <t>COVID-19 transporta barotne ar diviem lokaniem tamponiem ātrajam molekulārajam testam</t>
  </si>
  <si>
    <t>COVID - 19 diagnostika citās ārstniecības iestādēs</t>
  </si>
  <si>
    <t>References laboratorijas papildus izmeklējumi</t>
  </si>
  <si>
    <t>Ref.Lab. Sekvencēšana</t>
  </si>
  <si>
    <t>Kopā</t>
  </si>
  <si>
    <t>IAL zobārstniecības pakalpojumos</t>
  </si>
  <si>
    <t>Laiks epidemioloģiskās drošības pasākumu nodrošināšanai ārstniecības un pacientu aprūpes personām zobārstniecības pakalpojumu nodrošināšanai ambulatori stacionārajās ārstniecības iestādēs</t>
  </si>
  <si>
    <t>Piemaksa par laiku un individuālajiem aizsardzības līdzekļiem epidemioloģiskās drošības pasākumu nodrošināšanai ārstniecības un pacientu aprūpes personām zobārstniecības pakalpojumu nodrošināšanai ambulatori</t>
  </si>
  <si>
    <t>IAL manipulācijas SAVA</t>
  </si>
  <si>
    <t>Individuālo aizsardzības līdzekļu izmaksas viena COVID-19 pacienta aprūpei</t>
  </si>
  <si>
    <t>Individuālo aizsardzības līdzekļu izmaksas COVID-19 pacientu aprūpei ambulatoro pakalpojumu nodrošināšanai ārstniecības iestādē</t>
  </si>
  <si>
    <t>Piemaksa SAVA speciālistiem par laiku un individuālajiem aizsardzības līdzekļiem epidemioloģiskās drošības pasākumu nodrošināšanai ambulatoro veselības aprūpes pakalpojumu nodrošināšanai</t>
  </si>
  <si>
    <t>Piemaksa gultasdienai par laiku un individuālajiem aizsardzības līdzekļiem epidemioloģiskās drošības pasākumu nodrošināšanu rehabilitācijas un psihiatriskā profila dienas stacionāros</t>
  </si>
  <si>
    <t>Piemaksa par laiku un individuālajiem aizsardzības līdzekļiem epidemioloģiskās drošības pasākumu nodrošināšanai ārstniecības un pacientu aprūpes personām un funkcionālo speciālistu asistentiem ambulatoro veselības aprūpes pakalpojumu nodrošināšanai</t>
  </si>
  <si>
    <t>IAL mājas aprūpē</t>
  </si>
  <si>
    <t>Individuālo aizsardzības līdzekļu izmaksas ārstniecības personai par veselības aprūpes pakalpojumu nodrošināšanu mājās</t>
  </si>
  <si>
    <t>IAL</t>
  </si>
  <si>
    <t>IAL faktiskās izmaksas stacionāros</t>
  </si>
  <si>
    <t>IAL fiksētās piemaksas</t>
  </si>
  <si>
    <t>IAL fiksētā piemaksa ģimenes ārstu praksēm</t>
  </si>
  <si>
    <t>IAL fiksētā piemaksa feldšerpunktiem</t>
  </si>
  <si>
    <t>Piemaksa Covid-19 pacientu aprūpes gultasdienai par individuālajiem aizsardzības līdzekļiem epidemioloģiskās drošības pasākumu nodrošināšanai stacionārajās ārstniecības iestādēs</t>
  </si>
  <si>
    <t>Piemaksa gultasdienai par individuālajiem aizsardzības līdzekļiem epidemioloģiskās drošības pasākumu nodrošināšanai  stacionārajās ārstniecības iestādēs</t>
  </si>
  <si>
    <t>Unikālo pacientu skaits mēnesim</t>
  </si>
  <si>
    <t>IAL faktiskās izmaksas uzņemšanās</t>
  </si>
  <si>
    <t>Uzņemšanas nodaļu fiksētais maksājums</t>
  </si>
  <si>
    <t>Papildus nepieciešamais finansējums dinamiskā novērošana pacientiem pēc Covid-19 pārslimošanas</t>
  </si>
  <si>
    <t>Subakūtā un ilgtermiņa rehabilitācija stacionārā bērniem, kas pārslimojuši Covid-19</t>
  </si>
  <si>
    <t>Subakūtā un ilgtermiņa rehabilitācija stacionārā pieaugušajiem, kas pārslimojuši Covid-19</t>
  </si>
  <si>
    <t>SARS-CoV-2 RNS (COVID-19) noteikšana ar reālā laika PĶR (bez parauga paņemšanas) ātrai diagnostikai un diferenciāldiagnostikai (bez reaģenta vērtības)</t>
  </si>
  <si>
    <t>SARS-CoV-2 genotipēšana ar sekvencēšanu epidemioloģijas jomā (ar reaģenta vērtību )</t>
  </si>
  <si>
    <t>Pirmais etaps sekvencēšana</t>
  </si>
  <si>
    <t>47075R</t>
  </si>
  <si>
    <t>R SARS-CoV-2 RNS (COVID 19) apstiprināšana ar reālā laika PĶR (bez parauga paņemšanas)</t>
  </si>
  <si>
    <t>47046R</t>
  </si>
  <si>
    <t>R IgA klases antivielu pret SARS-CoV-2 (COVID-19) noteikšana ar imūnfermentatīvo metodi (ELISA, CMIA, ECLIA, CLIA)</t>
  </si>
  <si>
    <t>47047R</t>
  </si>
  <si>
    <t>R IgM klases antivielu pret SARS-CoV-2 (COVID-19) noteikšana ar imūnfermentatīvo metodi (ELISA, CMIA, ECLIA, CLIA)</t>
  </si>
  <si>
    <t>47049R</t>
  </si>
  <si>
    <t>R IgG klases antivielu pret SARS-CoV-2 (COVID-19) noteikšana ar imūnfermentatīvo metodi (ELISA, CMIA, ECLIA, CLIA)</t>
  </si>
  <si>
    <t>47051R</t>
  </si>
  <si>
    <t>R IgG klases antivielu pret SARS-CoV-2 (COVID-19) kvantitatīva noteikšana ar imūnfermentatīvo metodi (ELISA, CMIA, ECLIA, CLIA)</t>
  </si>
  <si>
    <t>47064R</t>
  </si>
  <si>
    <t>R Kopējo antivielu pret SARS-CoV-2 (COVID-19) noteikšana ar imūnfermentatīvo metodi (ELISA, CMIA, ECLIA, CLIA)</t>
  </si>
  <si>
    <t>47076R</t>
  </si>
  <si>
    <t>R Asins ņemšana ar slēgtu sistēmu vienā stobriņā antivielu pret SARS-CoV-2 (COVID-19) noteikšanai</t>
  </si>
  <si>
    <t>47077R</t>
  </si>
  <si>
    <t xml:space="preserve"> R SARS-CoV-2 RNS (COVID-19) noteikšana ar reālā laika PĶR (bez parauga paņemšanas) ātrai diagnostikai un diferenciāldiagnostikai - izmeklējums ar  Multiplex reaģentiem</t>
  </si>
  <si>
    <t>Covid019 un gripas deiferenciāldiagnostika</t>
  </si>
  <si>
    <t>Ātrā diagnostika respiratoro infekciju izraisītāju (gripas vīrusu A/B, RSV ar vai bez SARS-CoV-2) RNS noteikšana ar reālā laika polimerāzes ķēdes reakciju (PĶR), izmantojot CE-IVD reaģentus</t>
  </si>
  <si>
    <t xml:space="preserve"> Piemaksa 47329 par gripas vīrusu A/B, RSV un SARS-CoV-2 kārtridžu</t>
  </si>
  <si>
    <t>Covid019 telefons (fiksētais maksājums)</t>
  </si>
  <si>
    <t>Pacientu skaits</t>
  </si>
  <si>
    <t>KOPĀ:</t>
  </si>
  <si>
    <t>Laboratorijas izmaksas  uz pacientu mēnesī, euro</t>
  </si>
  <si>
    <t>Izmaksas uz pacientu mēnesī ar medikamentiem, euro</t>
  </si>
  <si>
    <t>Tarifs ar 2022.gada algu, euro</t>
  </si>
  <si>
    <t>Kopā, euro</t>
  </si>
  <si>
    <t>2.pielikums MK noteikumu projekta "Grozījumi Ministru kabineta 2018.gada 28.augusta noteikumos Nr.555 „Veselības aprūpes pakalpojumu organizēšanas un samaksas kārtība"" anotācijai</t>
  </si>
  <si>
    <t>Nr.p.k.</t>
  </si>
  <si>
    <t>7.pielikums MK noteikumu projekta "Grozījumi Ministru kabineta 2018.gada 28.augusta noteikumos Nr.555 „Veselības aprūpes pakalpojumu organizēšanas un samaksas kārtība"" anotācijai</t>
  </si>
  <si>
    <t>1.pielikums MK noteikumu projekta "Grozījumi Ministru kabineta 2018.gada 28.augusta noteikumos Nr.555 „Veselības aprūpes pakalpojumu organizēšanas un samaksas kārtība"" anotācijai</t>
  </si>
  <si>
    <t>3.pielikums MK noteikumu projekta "Grozījumi Ministru kabineta 2018.gada 28.augusta noteikumos Nr.555 „Veselības aprūpes pakalpojumu organizēšanas un samaksas kārtība"" anotācijai</t>
  </si>
  <si>
    <t>4.pielikums MK noteikumu projekta "Grozījumi Ministru kabineta 2018.gada 28.augusta noteikumos Nr.555 „Veselības aprūpes pakalpojumu organizēšanas un samaksas kārtība"" anotācijai</t>
  </si>
  <si>
    <t>Vidējas izmaksas uz pacientu, euro</t>
  </si>
  <si>
    <t>Valsts izmaksas SUM mēnesim, euro</t>
  </si>
  <si>
    <t>5.pielikums MK noteikumu projekta "Grozījumi Ministru kabineta 2018.gada 28.augusta noteikumos Nr.555 „Veselības aprūpes pakalpojumu organizēšanas un samaksas kārtība"" anotācijai</t>
  </si>
  <si>
    <t>6.pielikums MK noteikumu projekta "Grozījumi Ministru kabineta 2018.gada 28.augusta noteikumos Nr.555 „Veselības aprūpes pakalpojumu organizēšanas un samaksas kārtība"" anotācijai</t>
  </si>
  <si>
    <t>Rehabilitācijas pakalpojumi pacientiem pēc pārslimotas Covid-19 infekcijas</t>
  </si>
  <si>
    <t>DRG fiksētais maksājums</t>
  </si>
  <si>
    <t xml:space="preserve">Papildus nepieciešamais finansējums IAL </t>
  </si>
  <si>
    <t>Aprīlis</t>
  </si>
  <si>
    <t>Maijs</t>
  </si>
  <si>
    <t>Jūnijs</t>
  </si>
  <si>
    <t>Jūlijs</t>
  </si>
  <si>
    <t>Augusts</t>
  </si>
  <si>
    <t>Septembris</t>
  </si>
  <si>
    <t>2023.gads (no 01.04.2023)</t>
  </si>
  <si>
    <t>no 2024.gada ik gadu</t>
  </si>
  <si>
    <t>Resori/budžeta programmas (apakšprogrammas)</t>
  </si>
  <si>
    <t>Veselības ministrija</t>
  </si>
  <si>
    <t>33.12.00 "Reto slimību ārstēšana"</t>
  </si>
  <si>
    <t>EKK 3000</t>
  </si>
  <si>
    <t>33.14.00 "Primārās ambulatorās veselības aprūpes nodrošināšana"</t>
  </si>
  <si>
    <t>33.15.00 "Laboratorisko izmeklējumu nodrošināšana ambulatorajā aprūpē"</t>
  </si>
  <si>
    <t>33.16.00 "Pārējo ambulatoro veselības aprūpes pakalpojumu nodrošināšana"</t>
  </si>
  <si>
    <t>33.17.00 "Neatliekamās medicīniskās palīdzības nodrošināšana stacionārās ārstniecības iestādēs"</t>
  </si>
  <si>
    <t>33.18.00 "Plānveida stacionāro veselības aprūpes pakalpojumu nodrošināšana"</t>
  </si>
  <si>
    <t>45.01.00 "Veselības aprūpes finansējuma administrēšana un ekonomiskā novērtēšana"</t>
  </si>
  <si>
    <t xml:space="preserve">Darba samaksas palielināšana pārējam personālam integrēšanai tarifos, kas nepieciešams valsts apmaksāto veselības aprūpes pakalpojumu sniegšanas nodrošināšanai un nav ārstniecības personas </t>
  </si>
  <si>
    <t>Finansējums prioritārajam pasākumam "Veselības aprūpes pakalpojumu pieejamība", euro</t>
  </si>
  <si>
    <t>Finansējums prioritārajam pasākumam "Ārstniecības personu darba samaksas pieauguma nodrošināšana", euro</t>
  </si>
  <si>
    <t>Pieejamības un kvalitātes uzlabošana paliatīvās aprūpes pakalpojumiem mājās</t>
  </si>
  <si>
    <t>2023. gadam</t>
  </si>
  <si>
    <t>2024. gadam un turpmāk ik gadu</t>
  </si>
  <si>
    <t>Pasākums</t>
  </si>
  <si>
    <t>Pacientu skaits uz reģionu * / ***</t>
  </si>
  <si>
    <t>Vidējais dienu skaits uz vienu personu **</t>
  </si>
  <si>
    <t>Dienu skaits periodā uz reģionu uz plānoto pacientu skaitu</t>
  </si>
  <si>
    <t>Vienas dienas izmaksas **, euro</t>
  </si>
  <si>
    <t>Kopējās izmaksas2023.gadam, euro</t>
  </si>
  <si>
    <t>Kopējās izmaksas 2024.gadam, euro</t>
  </si>
  <si>
    <t>Kopējās izmaksas 2025.gadam, euro</t>
  </si>
  <si>
    <t>Pakāpeniska pakalpojuma ieviešana visā valsts teritorijā (no 2023.gada maija)</t>
  </si>
  <si>
    <t>KOPĀ</t>
  </si>
  <si>
    <t>*  Veselības ministrija Kurzemes reģionā – Liepājas pilsētās un Dienvidkurzemes novadā - 2021.gadā uzsāka īstenot pilotprojektu “Par mobilās paliatīvās aprūpes pakalpojumu nodrošināšanu”.  No 2023.gada maija pakalpojums kā patstāvīgs pakāpeniski tiks ieviests visā valsts teritorijā, prognozējot, ka tā kā tas ir jauns pakalpojums un tam ir jāveic stratēģiskais iepirkums visā valsts teritorijā, tad 2023.gadā pakalpojumu varētu nodrošināt ~ 1/4 no gada pacientu skaita.</t>
  </si>
  <si>
    <t>**Izmaksas un vidējo dienu skaitu uz 1 personu iesniedzis pilotprojekta nodrošinātājs "Magnum Social &amp; Medical Care".</t>
  </si>
  <si>
    <t>***Rezultatīvais rādītājs ir norādīts indikatīvi, kas parāda šī brīža ieskatu, ņemot vērā to, ka šobrīd notiek intensīvs darbs pie tarifu pārrēķina un stratēģiskā iepirkuma sagatavošanas. Gala rezultāts var atšķirsies.</t>
  </si>
  <si>
    <t>Personu skaits</t>
  </si>
  <si>
    <t>Iedzīvotāju skaits Latvijā uz 2022. gada 11 mēnešiem</t>
  </si>
  <si>
    <t>Paliatīvās aprūpes statuss pacientiem, kam nepieciešama mājas aprūpe (150 uz katriem 100 000)*</t>
  </si>
  <si>
    <t xml:space="preserve">* Ņemot vērā SIA Liepājas reģionālajā slimnīcā veikto konsīliju skaitu par paliatīvi aprūpējama pacienta statusa piešķiršanu, redzams ka vidējais paliatīvo pacientu skaits, kam nepieciešama paliatīvā aprūpē mājās ir 150 pacienti uz 100 000 iedzīvotājiem gadā. </t>
  </si>
  <si>
    <t>Pasākumu plānots īstenot apakšprogrammas 33.14.00 "Primārās ambulatorās veselības aprūpes nodrošināšana" ietvaros</t>
  </si>
  <si>
    <t>Specializētas pārtikas nodrošināšana</t>
  </si>
  <si>
    <t>1. Speciālais uzturs pacientiem ar uztura nepietiekamību</t>
  </si>
  <si>
    <t>2023.gads</t>
  </si>
  <si>
    <t>2024.gads un turpmāk ik gadu</t>
  </si>
  <si>
    <t>N. p. k.</t>
  </si>
  <si>
    <t>Pozīciju nosaukumi</t>
  </si>
  <si>
    <t>Dzeramā medicīniskā uztura oriģinālais nosaukums</t>
  </si>
  <si>
    <t>Vienas vienības cena (litrs), euro bez PVN</t>
  </si>
  <si>
    <t>PVN, %</t>
  </si>
  <si>
    <t>Faktiski nepieciešamo vienību (litru) skaits 9 mēnešiem *</t>
  </si>
  <si>
    <t>Izmaksu kopsumma bez PVN 2023.gada 9 mēnešiem, euro</t>
  </si>
  <si>
    <t>Izmaksu kopsumma ar PVN 2023.gada 9 mēnešiem, euro</t>
  </si>
  <si>
    <t>Faktiski nepieciešamo vienību (litru) skaits 12 mēnešiem *</t>
  </si>
  <si>
    <t>Izmaksu kopsumma bez PVN gadam, euro</t>
  </si>
  <si>
    <t>Izmaksu kopsumma ar PVN gadam, euro</t>
  </si>
  <si>
    <t>5= 4*0.8927</t>
  </si>
  <si>
    <t>6=1*5</t>
  </si>
  <si>
    <t>7=6*1.21</t>
  </si>
  <si>
    <t>1</t>
  </si>
  <si>
    <t>Īpašiem medicīniskiem nolūkiem paredzēts dzeramais medicīniskais uzturs</t>
  </si>
  <si>
    <t>Nutricomp Drink Plus vaniļas garša</t>
  </si>
  <si>
    <t>2</t>
  </si>
  <si>
    <t>Nutricomp Drink Plus banānu garša</t>
  </si>
  <si>
    <t>3</t>
  </si>
  <si>
    <t>Nutricomp Drink Plus zemeņu garša</t>
  </si>
  <si>
    <t>4</t>
  </si>
  <si>
    <t>Nutricomp Drink Plus šokolādes garša</t>
  </si>
  <si>
    <t>5</t>
  </si>
  <si>
    <t>Nutricomp soup ar šķiedrvielām, dārzeņu</t>
  </si>
  <si>
    <t>6</t>
  </si>
  <si>
    <t>Nutricomp soup ar šķiedrvielām, vistas karija</t>
  </si>
  <si>
    <t>7</t>
  </si>
  <si>
    <t>Nutricomp® Drink Plus Fibre vaniļas garša</t>
  </si>
  <si>
    <t>8</t>
  </si>
  <si>
    <t>Nutricomp® Drink Plus Fibre persiku-aprikožu garša</t>
  </si>
  <si>
    <t>9</t>
  </si>
  <si>
    <t>Nutricomp® Drink Plus Fibre šokolādes garša</t>
  </si>
  <si>
    <t>10</t>
  </si>
  <si>
    <t>Nutricomp® Drink Plus Fibre kafijas garša</t>
  </si>
  <si>
    <t>11</t>
  </si>
  <si>
    <t>Remune ar persiku garšu</t>
  </si>
  <si>
    <t>12</t>
  </si>
  <si>
    <t>Remune ar aveņu garšu</t>
  </si>
  <si>
    <t>13</t>
  </si>
  <si>
    <t>Supportan® Drink ar kapučīno garšu</t>
  </si>
  <si>
    <t>14</t>
  </si>
  <si>
    <t>Nutricomp® Drink 2.0 kcal Fibre cherry/ chocolate praline/ caramel toffee</t>
  </si>
  <si>
    <t>15</t>
  </si>
  <si>
    <t>Nutridrink ar vaniļas garšu</t>
  </si>
  <si>
    <t>16</t>
  </si>
  <si>
    <t>Cubitan (ar vaniļas garšu)</t>
  </si>
  <si>
    <t>17</t>
  </si>
  <si>
    <t>Cubitan (ar zemeņu garšu)</t>
  </si>
  <si>
    <t>18</t>
  </si>
  <si>
    <t>Cubitan (ar šokolādes garšu)</t>
  </si>
  <si>
    <t>19</t>
  </si>
  <si>
    <t>Nutridrink Protein (bez specifiskas garšas)</t>
  </si>
  <si>
    <t>20</t>
  </si>
  <si>
    <t>Nutridrink Protein Sildošā ingvera un tropisko augļu garša</t>
  </si>
  <si>
    <t>21</t>
  </si>
  <si>
    <t>Nutridrink Protein Atsvaidzinošā sarkano augļu garša</t>
  </si>
  <si>
    <t>22</t>
  </si>
  <si>
    <t>Nutridrink Protein ar ogu garšu</t>
  </si>
  <si>
    <t>23</t>
  </si>
  <si>
    <t>Nutridrink Protein ar vaniļas garšu</t>
  </si>
  <si>
    <t>24</t>
  </si>
  <si>
    <t>Nutridrink Protein ar zemeņu garšu</t>
  </si>
  <si>
    <t>25</t>
  </si>
  <si>
    <t>Nutridrink Protein ar mokas kafijas garšu</t>
  </si>
  <si>
    <t>26</t>
  </si>
  <si>
    <t>Nutridrink Protein ar persiku-mango garšu</t>
  </si>
  <si>
    <t>27</t>
  </si>
  <si>
    <t>Nutridrink bez specifiskas garšas</t>
  </si>
  <si>
    <t>28</t>
  </si>
  <si>
    <t>29</t>
  </si>
  <si>
    <t>Nutridrink ar zemeņu garšu</t>
  </si>
  <si>
    <t>30</t>
  </si>
  <si>
    <t>Nutridrink ar meža ogu garšu</t>
  </si>
  <si>
    <t>31</t>
  </si>
  <si>
    <t>Nutridrink ar šokolādes garšu</t>
  </si>
  <si>
    <t>32</t>
  </si>
  <si>
    <t>Nutridrink Yoghurt style (ar vaniļas un citrona garšu)</t>
  </si>
  <si>
    <t>33</t>
  </si>
  <si>
    <t>Nutridrink Yoghurt style (ar aveņu garšu)</t>
  </si>
  <si>
    <t>34</t>
  </si>
  <si>
    <t>Nutridrink Juice style (ar apelsīnu garšu)</t>
  </si>
  <si>
    <t>35</t>
  </si>
  <si>
    <t>Nutridrink Juice style (ar ābolu garšu)</t>
  </si>
  <si>
    <t>36</t>
  </si>
  <si>
    <t>Diasip (ar vaniļas garšu)</t>
  </si>
  <si>
    <t>37</t>
  </si>
  <si>
    <t>Diasip (ar zemeņu garšu)</t>
  </si>
  <si>
    <t>38</t>
  </si>
  <si>
    <t>Renilon 4,0 ar aprikožu garšu</t>
  </si>
  <si>
    <t>39</t>
  </si>
  <si>
    <t>Renilon 7,5 ar karameļu garšu</t>
  </si>
  <si>
    <t>40</t>
  </si>
  <si>
    <t>Nutridrink® Multi Fibre ar vaniļas garšu</t>
  </si>
  <si>
    <t>41</t>
  </si>
  <si>
    <t>Nutridrink® Multi Fibre ar zemeņu garšu</t>
  </si>
  <si>
    <t>KOPĀ GADAM:</t>
  </si>
  <si>
    <t>* 2023.gada 9 mēnešiem faktiski nepieciešamo vienību (litru) skaits: 600 pacienti X 274 dienas X 0.7825 ml (vidēji uz pacientu) dienā = ~ 128 643 litri. Vidējais mililitru apjoms dienā uz konkrētu pacientu var mainīties, jo tas atkarīgs no pacienta individuālajiem kritērijiem (vecums, svars, veselības stāvoklis).</t>
  </si>
  <si>
    <t>** Gadam faktiski nepieciešamo vienību (litru) skaits: 600 pacienti X 365 dienas X 0.785 ml (vidēji uz pacientu) dienā = ~ 171 915 litri. Vidējais mililitru apjoms dienā uz konkrētu pacientu var mainīties, jo tas atkarīgs no pacienta individuālajiem kritērijiem (vecums, svars, veselības stāvoklis).</t>
  </si>
  <si>
    <t>2023. gada   9 mēnešiem</t>
  </si>
  <si>
    <t>Pasākumu plānots īstenot apakšprogrammas 33.04.00 "Centralizēta medikamentu un materiālu iegāde" ietvaros</t>
  </si>
  <si>
    <t>2. Speciālais uzturs bērniem ar uztura nepietiekamību ar hematoonkoloģiskām saslimšanām</t>
  </si>
  <si>
    <t>Kods</t>
  </si>
  <si>
    <t>Manipulācijas plānotais nosaukums</t>
  </si>
  <si>
    <t>Manipulācijas tarifs, EUR</t>
  </si>
  <si>
    <t>Pacienta līdzmaksājums,EUR</t>
  </si>
  <si>
    <t>Plānotais pacientu skaits</t>
  </si>
  <si>
    <t>Plānotais manipulāciju skaits vienam pacientam</t>
  </si>
  <si>
    <t>Nepieciešamais finansējums, EUR</t>
  </si>
  <si>
    <t>Īss pakalpojuma apraksts</t>
  </si>
  <si>
    <t>Jauns</t>
  </si>
  <si>
    <t>Speciālais uzturs pacientiem ar uztura nepietiekamību par vienu diennakti (ar piegādi)</t>
  </si>
  <si>
    <t>Lai novērstu kritisku svara samazināšanos vai atgūtu normālu svaru bērniem ar hematoonkoloģiskām saslimšanām, kas nespēj uzņemt pietiekoši lielu kalorāžu ar pārtiku, nepieciešama uztura terapija ar speciāliem enterālās ēdināšanas produktiem. Manipulāciju apmaksā bērniem ar diagnozēm C00-C97.  D46, D61, Z94.7 un Z94.8. Manipulāciju ievada 1 reizi diennaktī.</t>
  </si>
  <si>
    <t>D</t>
  </si>
  <si>
    <t>S</t>
  </si>
  <si>
    <t>M *</t>
  </si>
  <si>
    <t>E</t>
  </si>
  <si>
    <t>U**</t>
  </si>
  <si>
    <t>A</t>
  </si>
  <si>
    <t>N</t>
  </si>
  <si>
    <t>Tarifs</t>
  </si>
  <si>
    <t>jauns</t>
  </si>
  <si>
    <t>* Vidējās barošanas maisījuma izmaksas 1 reizei (3.609 EUR) * 3 reizes diennaktī</t>
  </si>
  <si>
    <t>** Transporta izmaksas par piegādi pacientam uz mājām</t>
  </si>
  <si>
    <t>2023. gadam un turpmāk ik gadu</t>
  </si>
  <si>
    <t>3. Laboratoriskie izmeklējumi pacientiem, kam nepieciešams speciālais medicīniskais uzturs</t>
  </si>
  <si>
    <t>Izmeklējuma nosaukums</t>
  </si>
  <si>
    <t>Manipulācijas tarifs</t>
  </si>
  <si>
    <t>Tarifs, EUR</t>
  </si>
  <si>
    <t>2023.gada 9 mēnešos nepieciešamais izmeklējumu skaits 1 pacientam</t>
  </si>
  <si>
    <t>2023.gada 9 mēnešos nepieciešamais papildus finansējums, EUR *</t>
  </si>
  <si>
    <t>Gadā nepieciešamais izmeklējumu skaits 1 pacientam</t>
  </si>
  <si>
    <t>Gadam nepieciešamais papildus finansējums, EUR *</t>
  </si>
  <si>
    <t>Pilna asins aina</t>
  </si>
  <si>
    <r>
      <rPr>
        <b/>
        <sz val="10"/>
        <color theme="1"/>
        <rFont val="Times New Roman"/>
        <family val="1"/>
        <charset val="186"/>
      </rPr>
      <t>40042</t>
    </r>
    <r>
      <rPr>
        <sz val="10"/>
        <color theme="1"/>
        <rFont val="Times New Roman"/>
        <family val="1"/>
        <charset val="186"/>
      </rPr>
      <t xml:space="preserve"> (Pilna asins aina (hemoglobīns, eritrocīti, leikocīti, trombocīti, hematokrīts, leikocītu formula (vismaz neitrofīli, eozinofīli, bazofīli, limfocīti, monocīti)). Papildus nenorādīt manipulācijas 40010, 40014)</t>
    </r>
  </si>
  <si>
    <t>Bilirubīns</t>
  </si>
  <si>
    <r>
      <rPr>
        <b/>
        <sz val="10"/>
        <color theme="1"/>
        <rFont val="Times New Roman"/>
        <family val="1"/>
        <charset val="186"/>
      </rPr>
      <t>41052</t>
    </r>
    <r>
      <rPr>
        <sz val="10"/>
        <color theme="1"/>
        <rFont val="Times New Roman"/>
        <family val="1"/>
        <charset val="186"/>
      </rPr>
      <t xml:space="preserve"> (Bilirubīns, frakcijas)</t>
    </r>
  </si>
  <si>
    <t>Alanīnaminotrasneferāze (ALAT)</t>
  </si>
  <si>
    <r>
      <rPr>
        <b/>
        <sz val="10"/>
        <color theme="1"/>
        <rFont val="Times New Roman"/>
        <family val="1"/>
        <charset val="186"/>
      </rPr>
      <t>41022</t>
    </r>
    <r>
      <rPr>
        <sz val="10"/>
        <color theme="1"/>
        <rFont val="Times New Roman"/>
        <family val="1"/>
        <charset val="186"/>
      </rPr>
      <t xml:space="preserve"> (ALAT – alanīnaminotransferāze)</t>
    </r>
  </si>
  <si>
    <t>Urīnviela (UREA)</t>
  </si>
  <si>
    <r>
      <rPr>
        <b/>
        <sz val="10"/>
        <color theme="1"/>
        <rFont val="Times New Roman"/>
        <family val="1"/>
        <charset val="186"/>
      </rPr>
      <t>41004</t>
    </r>
    <r>
      <rPr>
        <sz val="10"/>
        <color theme="1"/>
        <rFont val="Times New Roman"/>
        <family val="1"/>
        <charset val="186"/>
      </rPr>
      <t xml:space="preserve"> (Urīnviela)</t>
    </r>
  </si>
  <si>
    <t>Kreatinīns</t>
  </si>
  <si>
    <r>
      <rPr>
        <b/>
        <sz val="10"/>
        <color theme="1"/>
        <rFont val="Times New Roman"/>
        <family val="1"/>
        <charset val="186"/>
      </rPr>
      <t>41006</t>
    </r>
    <r>
      <rPr>
        <sz val="10"/>
        <color theme="1"/>
        <rFont val="Times New Roman"/>
        <family val="1"/>
        <charset val="186"/>
      </rPr>
      <t xml:space="preserve"> (Kreatinīns)</t>
    </r>
  </si>
  <si>
    <t>Kopējais olbaltums</t>
  </si>
  <si>
    <r>
      <rPr>
        <b/>
        <sz val="10"/>
        <color theme="1"/>
        <rFont val="Times New Roman"/>
        <family val="1"/>
        <charset val="186"/>
      </rPr>
      <t>41001</t>
    </r>
    <r>
      <rPr>
        <sz val="10"/>
        <color theme="1"/>
        <rFont val="Times New Roman"/>
        <family val="1"/>
        <charset val="186"/>
      </rPr>
      <t xml:space="preserve"> (Kopējais olbaltums)</t>
    </r>
  </si>
  <si>
    <t>Albumīns</t>
  </si>
  <si>
    <r>
      <rPr>
        <b/>
        <sz val="10"/>
        <color theme="1"/>
        <rFont val="Times New Roman"/>
        <family val="1"/>
        <charset val="186"/>
      </rPr>
      <t>41002</t>
    </r>
    <r>
      <rPr>
        <sz val="10"/>
        <color theme="1"/>
        <rFont val="Times New Roman"/>
        <family val="1"/>
        <charset val="186"/>
      </rPr>
      <t xml:space="preserve"> (Albumīns)</t>
    </r>
  </si>
  <si>
    <t>C reaktīvais olbaltums (CRO)</t>
  </si>
  <si>
    <r>
      <rPr>
        <b/>
        <sz val="10"/>
        <color theme="1"/>
        <rFont val="Times New Roman"/>
        <family val="1"/>
        <charset val="186"/>
      </rPr>
      <t>41127</t>
    </r>
    <r>
      <rPr>
        <sz val="10"/>
        <color theme="1"/>
        <rFont val="Times New Roman"/>
        <family val="1"/>
        <charset val="186"/>
      </rPr>
      <t xml:space="preserve"> (CRO (kvantitatīvi))</t>
    </r>
  </si>
  <si>
    <t>Glikoze</t>
  </si>
  <si>
    <r>
      <rPr>
        <b/>
        <sz val="10"/>
        <color theme="1"/>
        <rFont val="Times New Roman"/>
        <family val="1"/>
        <charset val="186"/>
      </rPr>
      <t>41095</t>
    </r>
    <r>
      <rPr>
        <sz val="10"/>
        <color theme="1"/>
        <rFont val="Times New Roman"/>
        <family val="1"/>
        <charset val="186"/>
      </rPr>
      <t xml:space="preserve"> (Glikoze asinīs)</t>
    </r>
  </si>
  <si>
    <t>Nātrijs</t>
  </si>
  <si>
    <r>
      <rPr>
        <b/>
        <sz val="10"/>
        <color theme="1"/>
        <rFont val="Times New Roman"/>
        <family val="1"/>
        <charset val="186"/>
      </rPr>
      <t>41067</t>
    </r>
    <r>
      <rPr>
        <sz val="10"/>
        <color theme="1"/>
        <rFont val="Times New Roman"/>
        <family val="1"/>
        <charset val="186"/>
      </rPr>
      <t xml:space="preserve"> (Nātrijs)</t>
    </r>
  </si>
  <si>
    <t>Kālijs</t>
  </si>
  <si>
    <r>
      <rPr>
        <b/>
        <sz val="10"/>
        <color theme="1"/>
        <rFont val="Times New Roman"/>
        <family val="1"/>
        <charset val="186"/>
      </rPr>
      <t>41065</t>
    </r>
    <r>
      <rPr>
        <sz val="10"/>
        <color theme="1"/>
        <rFont val="Times New Roman"/>
        <family val="1"/>
        <charset val="186"/>
      </rPr>
      <t xml:space="preserve"> (Kālijs)</t>
    </r>
  </si>
  <si>
    <t>Kalcijs</t>
  </si>
  <si>
    <r>
      <rPr>
        <b/>
        <sz val="10"/>
        <color theme="1"/>
        <rFont val="Times New Roman"/>
        <family val="1"/>
        <charset val="186"/>
      </rPr>
      <t>41068</t>
    </r>
    <r>
      <rPr>
        <sz val="10"/>
        <color theme="1"/>
        <rFont val="Times New Roman"/>
        <family val="1"/>
        <charset val="186"/>
      </rPr>
      <t xml:space="preserve"> (Kalcijs)</t>
    </r>
  </si>
  <si>
    <t>Fosfors</t>
  </si>
  <si>
    <r>
      <rPr>
        <b/>
        <sz val="10"/>
        <color theme="1"/>
        <rFont val="Times New Roman"/>
        <family val="1"/>
        <charset val="186"/>
      </rPr>
      <t xml:space="preserve">41069 </t>
    </r>
    <r>
      <rPr>
        <sz val="10"/>
        <color theme="1"/>
        <rFont val="Times New Roman"/>
        <family val="1"/>
        <charset val="186"/>
      </rPr>
      <t>(Fosfors)</t>
    </r>
  </si>
  <si>
    <t>Hlors</t>
  </si>
  <si>
    <r>
      <rPr>
        <b/>
        <sz val="10"/>
        <color theme="1"/>
        <rFont val="Times New Roman"/>
        <family val="1"/>
        <charset val="186"/>
      </rPr>
      <t>41070</t>
    </r>
    <r>
      <rPr>
        <sz val="10"/>
        <color theme="1"/>
        <rFont val="Times New Roman"/>
        <family val="1"/>
        <charset val="186"/>
      </rPr>
      <t xml:space="preserve"> (Hlorīdi )</t>
    </r>
  </si>
  <si>
    <t>Magnijs</t>
  </si>
  <si>
    <r>
      <rPr>
        <b/>
        <sz val="10"/>
        <color theme="1"/>
        <rFont val="Times New Roman"/>
        <family val="1"/>
        <charset val="186"/>
      </rPr>
      <t xml:space="preserve">41072 </t>
    </r>
    <r>
      <rPr>
        <sz val="10"/>
        <color theme="1"/>
        <rFont val="Times New Roman"/>
        <family val="1"/>
        <charset val="186"/>
      </rPr>
      <t>(Magnijs)</t>
    </r>
  </si>
  <si>
    <t>Kopējais holesterīns</t>
  </si>
  <si>
    <r>
      <rPr>
        <b/>
        <sz val="10"/>
        <color theme="1"/>
        <rFont val="Times New Roman"/>
        <family val="1"/>
        <charset val="186"/>
      </rPr>
      <t>41056</t>
    </r>
    <r>
      <rPr>
        <sz val="10"/>
        <color theme="1"/>
        <rFont val="Times New Roman"/>
        <family val="1"/>
        <charset val="186"/>
      </rPr>
      <t xml:space="preserve"> (Kopējais holesterīna līmenis asinīs – koncentrācija 5 mmol/L vai mazāka). </t>
    </r>
    <r>
      <rPr>
        <b/>
        <sz val="10"/>
        <color theme="1"/>
        <rFont val="Times New Roman"/>
        <family val="1"/>
        <charset val="186"/>
      </rPr>
      <t xml:space="preserve">41057 </t>
    </r>
    <r>
      <rPr>
        <sz val="10"/>
        <color theme="1"/>
        <rFont val="Times New Roman"/>
        <family val="1"/>
        <charset val="186"/>
      </rPr>
      <t>(Kopējais holesterīna līmenis asinīs –
koncentrācija, lielāka par 5 mmol/L )</t>
    </r>
  </si>
  <si>
    <t>Augsta blīvuma holesterīns</t>
  </si>
  <si>
    <r>
      <rPr>
        <b/>
        <sz val="10"/>
        <color theme="1"/>
        <rFont val="Times New Roman"/>
        <family val="1"/>
      </rPr>
      <t xml:space="preserve">41047 </t>
    </r>
    <r>
      <rPr>
        <sz val="10"/>
        <color theme="1"/>
        <rFont val="Times New Roman"/>
        <family val="1"/>
      </rPr>
      <t>(ABL – holesterīns (tiešā metode))</t>
    </r>
  </si>
  <si>
    <t>Zema blīvuma holesterīns</t>
  </si>
  <si>
    <r>
      <rPr>
        <b/>
        <sz val="10"/>
        <color theme="1"/>
        <rFont val="Times New Roman"/>
        <family val="1"/>
        <charset val="186"/>
      </rPr>
      <t>41058</t>
    </r>
    <r>
      <rPr>
        <sz val="10"/>
        <color theme="1"/>
        <rFont val="Times New Roman"/>
        <family val="1"/>
        <charset val="186"/>
      </rPr>
      <t xml:space="preserve"> (ZBL holesterīna līmenis asinīs – koncentrācija, mazāka par 2,0 mmol/L). </t>
    </r>
    <r>
      <rPr>
        <b/>
        <sz val="10"/>
        <color theme="1"/>
        <rFont val="Times New Roman"/>
        <family val="1"/>
        <charset val="186"/>
      </rPr>
      <t>41059</t>
    </r>
    <r>
      <rPr>
        <sz val="10"/>
        <color theme="1"/>
        <rFont val="Times New Roman"/>
        <family val="1"/>
        <charset val="186"/>
      </rPr>
      <t xml:space="preserve"> (ZBL holesterīna līmenis asinīs – koncentrācija no 2,0 mmol/L līdz 2,5 mmol/L). </t>
    </r>
    <r>
      <rPr>
        <b/>
        <sz val="10"/>
        <color theme="1"/>
        <rFont val="Times New Roman"/>
        <family val="1"/>
        <charset val="186"/>
      </rPr>
      <t>41060</t>
    </r>
    <r>
      <rPr>
        <sz val="10"/>
        <color theme="1"/>
        <rFont val="Times New Roman"/>
        <family val="1"/>
        <charset val="186"/>
      </rPr>
      <t xml:space="preserve"> (ZBL holesterīna līmenis asinīs – koncentrācija, lielāka par 2,5 mmol/L).</t>
    </r>
  </si>
  <si>
    <t>Triglicerīdi</t>
  </si>
  <si>
    <r>
      <rPr>
        <b/>
        <sz val="10"/>
        <color theme="1"/>
        <rFont val="Times New Roman"/>
        <family val="1"/>
        <charset val="186"/>
      </rPr>
      <t xml:space="preserve">41046 </t>
    </r>
    <r>
      <rPr>
        <sz val="10"/>
        <color theme="1"/>
        <rFont val="Times New Roman"/>
        <family val="1"/>
        <charset val="186"/>
      </rPr>
      <t>(Triglicerīdi)</t>
    </r>
  </si>
  <si>
    <t>Ferritīns</t>
  </si>
  <si>
    <r>
      <rPr>
        <b/>
        <sz val="10"/>
        <color theme="1"/>
        <rFont val="Times New Roman"/>
        <family val="1"/>
        <charset val="186"/>
      </rPr>
      <t>41124</t>
    </r>
    <r>
      <rPr>
        <sz val="10"/>
        <color theme="1"/>
        <rFont val="Times New Roman"/>
        <family val="1"/>
        <charset val="186"/>
      </rPr>
      <t xml:space="preserve"> (Feritīns)</t>
    </r>
  </si>
  <si>
    <t>Vitamīns B12</t>
  </si>
  <si>
    <r>
      <rPr>
        <b/>
        <sz val="10"/>
        <color theme="1"/>
        <rFont val="Times New Roman"/>
        <family val="1"/>
        <charset val="186"/>
      </rPr>
      <t>41200</t>
    </r>
    <r>
      <rPr>
        <sz val="10"/>
        <color theme="1"/>
        <rFont val="Times New Roman"/>
        <family val="1"/>
        <charset val="186"/>
      </rPr>
      <t xml:space="preserve"> (Vitamīns B 12)</t>
    </r>
  </si>
  <si>
    <t>Folskābe</t>
  </si>
  <si>
    <r>
      <rPr>
        <b/>
        <sz val="10"/>
        <color theme="1"/>
        <rFont val="Times New Roman"/>
        <family val="1"/>
        <charset val="186"/>
      </rPr>
      <t>41201</t>
    </r>
    <r>
      <rPr>
        <sz val="10"/>
        <color theme="1"/>
        <rFont val="Times New Roman"/>
        <family val="1"/>
        <charset val="186"/>
      </rPr>
      <t xml:space="preserve"> (Folskābe)</t>
    </r>
  </si>
  <si>
    <t>Urīnskābe</t>
  </si>
  <si>
    <r>
      <rPr>
        <b/>
        <sz val="10"/>
        <color theme="1"/>
        <rFont val="Times New Roman"/>
        <family val="1"/>
        <charset val="186"/>
      </rPr>
      <t xml:space="preserve">41005 </t>
    </r>
    <r>
      <rPr>
        <sz val="10"/>
        <color theme="1"/>
        <rFont val="Times New Roman"/>
        <family val="1"/>
        <charset val="186"/>
      </rPr>
      <t>(Urīnskābe)</t>
    </r>
  </si>
  <si>
    <t>Urīna analīze</t>
  </si>
  <si>
    <t>40131-40150</t>
  </si>
  <si>
    <t>Koprogramma</t>
  </si>
  <si>
    <r>
      <rPr>
        <b/>
        <sz val="10"/>
        <color theme="1"/>
        <rFont val="Times New Roman"/>
        <family val="1"/>
        <charset val="186"/>
      </rPr>
      <t>40160</t>
    </r>
    <r>
      <rPr>
        <sz val="10"/>
        <color theme="1"/>
        <rFont val="Times New Roman"/>
        <family val="1"/>
        <charset val="186"/>
      </rPr>
      <t xml:space="preserve"> (Koprogramma)</t>
    </r>
  </si>
  <si>
    <t>Ultrasonogrāfija vēdera dobuma orgāniem</t>
  </si>
  <si>
    <r>
      <rPr>
        <b/>
        <sz val="10"/>
        <color theme="1"/>
        <rFont val="Times New Roman"/>
        <family val="1"/>
        <charset val="186"/>
      </rPr>
      <t xml:space="preserve">50700 </t>
    </r>
    <r>
      <rPr>
        <sz val="10"/>
        <color theme="1"/>
        <rFont val="Times New Roman"/>
        <family val="1"/>
        <charset val="186"/>
      </rPr>
      <t>(Abdominālā ultrasonogrāfija)</t>
    </r>
  </si>
  <si>
    <t>* Izmeklējumi plānots atbilstoši 600 pacientiem, kas saņem 1.punktā minēto speciālo uzturu</t>
  </si>
  <si>
    <t>2023. gada     9 mēnešiem</t>
  </si>
  <si>
    <t>Pasākumu plānots īstenot apakšprogrammas 33.15.00 "Laboratorisko izmeklējumu nodrošināšana ambulatorajā aprūpē" ietvaros</t>
  </si>
  <si>
    <t>Rezultatīvie rādītāji ir norādīti indikatīvi, kas parāda šī brīža ieskatu, ņemot vērā to, ka šobrīd notiek intensīvs darbs pie tarifu pārrēķina. Gala rezultāts var atšķirsies.</t>
  </si>
  <si>
    <t>Par maksājuma par ģimenes ārsta pacientu reģistrā reģistrētajiem pacientiem savlaicīgi atklātu vēzi 1. vai 2.stadijā izmaksu*</t>
  </si>
  <si>
    <t>NVD TN nosaukums</t>
  </si>
  <si>
    <t>Izmaksāts par I un II laikus atklātu vēzi 2021. gadā, 75 euro uz pacientu*</t>
  </si>
  <si>
    <t>Papildu nepieciešamais finansējums palielinot izmaksu uz pacientu no 75 uz 250 euro</t>
  </si>
  <si>
    <t>Papildu nepieciešamais finansējums 2023.gadam un turpmāk ik gadu  palielinot izmaksu uz pacientu no 75 uz 250 euro un palielinot pacientu skaitu par 10%</t>
  </si>
  <si>
    <t>NVD Kurzemes nodaļa</t>
  </si>
  <si>
    <t>NVD Latgales nodaļa</t>
  </si>
  <si>
    <t>NVD Rīgas nodaļa</t>
  </si>
  <si>
    <t>NVD Vidzemes nodaļa</t>
  </si>
  <si>
    <t>NVD Zemgales nodaļa</t>
  </si>
  <si>
    <t>Prognoze pacientu skaita palielinājumam 10%</t>
  </si>
  <si>
    <t>*aprēķini veikti pamatojoties uz 2021.gada datiem</t>
  </si>
  <si>
    <t>2. Finansējuma pārvirzīšanas avots (iekšēji starp iestādes stacionājiem pakalpojumu veidiem)</t>
  </si>
  <si>
    <t>2023. gadā, atbilstoši veiktajam darbam 4+8 periodā, samazinās DRG plānotais finansējums pret 2022. gadu</t>
  </si>
  <si>
    <t>Starpība</t>
  </si>
  <si>
    <t>DRG kompensācija ar korekciju</t>
  </si>
  <si>
    <t>3. kopsavilkums</t>
  </si>
  <si>
    <t>DRG finansējuma starpība 2023/2022</t>
  </si>
  <si>
    <t>Uzņemšanas nodaļai papildus nepieciešamais finansējums</t>
  </si>
  <si>
    <t>Starpība tiek novirzīta intensīvās terapijas piemaksu segšanai</t>
  </si>
  <si>
    <t>Uzturēšanas maksājums gadam par vienu spec.(atb.10.pielikumam)</t>
  </si>
  <si>
    <t>Darba laika slodzes</t>
  </si>
  <si>
    <t>M</t>
  </si>
  <si>
    <t>U</t>
  </si>
  <si>
    <t>Neatliekamās palīdzības punkts</t>
  </si>
  <si>
    <t>Dežurārsta kabinets (infektologs)</t>
  </si>
  <si>
    <t>Atalgojuma slodzes</t>
  </si>
  <si>
    <t>Narkologa kabinets</t>
  </si>
  <si>
    <t xml:space="preserve"> dienas atalgojumam </t>
  </si>
  <si>
    <t xml:space="preserve"> nakts atalgojumam</t>
  </si>
  <si>
    <t xml:space="preserve">svētku dienu atalgojumam </t>
  </si>
  <si>
    <t>Psihiatra kabinets</t>
  </si>
  <si>
    <t>Pneimonologa kabinets</t>
  </si>
  <si>
    <t>Piemaksa</t>
  </si>
  <si>
    <t>VM aprēķins darba samaksai</t>
  </si>
  <si>
    <t>Slimnīcas / Speciālists</t>
  </si>
  <si>
    <t>Ārstniecības personu slodzes</t>
  </si>
  <si>
    <t>Cilvēkresursa nodrošinājums uzņemšanā</t>
  </si>
  <si>
    <t>Speciālistu skaits / Kabinetu skaits</t>
  </si>
  <si>
    <t>Mēnešalga, euro</t>
  </si>
  <si>
    <t>Gada izmaksas dienas atalgojumam (16h/d-3.17sl.) euro</t>
  </si>
  <si>
    <t>Gada izmaksas nakts atalgojumam (8 h/d-1.58sl.) euro</t>
  </si>
  <si>
    <t>Gada izmaksas svētku dienu atalgojumam (24h/d-0.19sl.), euro</t>
  </si>
  <si>
    <t>P</t>
  </si>
  <si>
    <t>Sabiedrība ar ierobežotu atbildību "Liepājas reģionālā slimnīca"</t>
  </si>
  <si>
    <t>Ārsti</t>
  </si>
  <si>
    <t>Māsas</t>
  </si>
  <si>
    <t>Internists vai neatliekamās medicīnas ārsts</t>
  </si>
  <si>
    <t>Sabiedrība ar ierobežotu atbildību "Daugavpils reģionālā slimnīca"</t>
  </si>
  <si>
    <t>Ķirurgs</t>
  </si>
  <si>
    <t>Kardiologs invazīvais</t>
  </si>
  <si>
    <t>2023.g.</t>
  </si>
  <si>
    <t>2024.g</t>
  </si>
  <si>
    <t>Turpmāk ik gadu 
(ja pasākums nav terminēts)</t>
  </si>
  <si>
    <t>33.18.00</t>
  </si>
  <si>
    <t>33.16.00</t>
  </si>
  <si>
    <t>Ārsts</t>
  </si>
  <si>
    <t>Māsa</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</si>
  <si>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</si>
  <si>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</si>
  <si>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</si>
  <si>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</si>
  <si>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</si>
  <si>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</si>
  <si>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</si>
  <si>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Mainīgās izmaksas</t>
  </si>
  <si>
    <t>Pacienta līdzmaksājums, euro</t>
  </si>
  <si>
    <t>Darba laiks (minūtes)</t>
  </si>
  <si>
    <t>Darba samaksa D, euro</t>
  </si>
  <si>
    <t>Valsts sociālās adrošināšanas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</si>
  <si>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</si>
  <si>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</si>
  <si>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</si>
  <si>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</si>
  <si>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</si>
  <si>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</si>
  <si>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</si>
  <si>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</si>
  <si>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</si>
  <si>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</si>
  <si>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</si>
  <si>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</si>
  <si>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</si>
  <si>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10 = 11 + 12</t>
  </si>
  <si>
    <t>JAUNS4</t>
  </si>
  <si>
    <t>Laparoskopiska miomektomija ar virsmas laukumu līdz 5cm</t>
  </si>
  <si>
    <t>JAUNS5</t>
  </si>
  <si>
    <t>Laparoskopiska miomektomija ar virsmas laukumu virs 5cm</t>
  </si>
  <si>
    <t>Manipulācijas pašreizējais nosaukums</t>
  </si>
  <si>
    <t>Manipulācijas pašreizējais tarifs, euro</t>
  </si>
  <si>
    <t>Pārrēķinātais manipulācijas tarifs, euro</t>
  </si>
  <si>
    <t>Manipulācijas tarifam nepieciešamais finansējums (uz 1 manipulāciju), euro</t>
  </si>
  <si>
    <t>Vidējais manipulāciju skaits gadā (saskaņā ar statistikas datiem par 1 kalendāro gadu)</t>
  </si>
  <si>
    <t>Nepieciešamais finansējums gadā, euro</t>
  </si>
  <si>
    <t>Spēkā esošie apmaksas nosacījumi</t>
  </si>
  <si>
    <t>Plānotās apmaksas nosacījumu izmaiņas (ja plānotas)</t>
  </si>
  <si>
    <t>Ja nepieciešams, norāda informāciju par veicamiem grozījumiem MK noteikumos Nr.555</t>
  </si>
  <si>
    <t>33.18.00 Plānveida stacionāro veselības aprūpes pakalpojumu nodrošināšana</t>
  </si>
  <si>
    <t>33.16.00 Pārējo ambulatoro veselības aprūpes pakalpojumu nodrošināšana</t>
  </si>
  <si>
    <t>33.15.00 Laboratorisko izmeklējumu nodrošināšana ambulatorajā aprūpē</t>
  </si>
  <si>
    <t>33.17.00 Neatliekamās medicīniskās palīdzības nodrošināšana stacionārās ārstniecības iestādēs</t>
  </si>
  <si>
    <t>Ambulatori</t>
  </si>
  <si>
    <t>Dienas stacionārā</t>
  </si>
  <si>
    <t>Stacionārā</t>
  </si>
  <si>
    <t>Zvaigznītes (* vai **)</t>
  </si>
  <si>
    <t>Lielā ķirurģiskā operācija</t>
  </si>
  <si>
    <t>Citi apmaksas nosacījumi</t>
  </si>
  <si>
    <t>Bez izmaiņām</t>
  </si>
  <si>
    <t>-</t>
  </si>
  <si>
    <t>**</t>
  </si>
  <si>
    <t xml:space="preserve"> apakšprogramma 33.18.00 "Plānveida stacionāro veselības aprūpes pakalpojumu nodrošināšana"</t>
  </si>
  <si>
    <t xml:space="preserve"> apakšprogramma 33.16.00   "Pārējo ambulatoro veselības aprūpes pakalpojumu nodrošināšana"</t>
  </si>
  <si>
    <r>
      <t xml:space="preserve">Manipulācijas plānotās nosaukuma izmaiņas, ja plānotas. Ja nav plānotas – rakstīt </t>
    </r>
    <r>
      <rPr>
        <i/>
        <sz val="10"/>
        <color theme="1"/>
        <rFont val="Times New Roman"/>
        <family val="1"/>
      </rPr>
      <t>Bez izmaiņām.</t>
    </r>
  </si>
  <si>
    <t>Manipulācijas pašreizējais tarifs, eiro</t>
  </si>
  <si>
    <t>Pārrēķinātais manipulācijas tarifs, eiro</t>
  </si>
  <si>
    <t>Pacienta līdzmaksājums, eiro</t>
  </si>
  <si>
    <t>Manipulācijas tarifam nepieciešamais finansējums (uz 1 manipulāciju), eiro</t>
  </si>
  <si>
    <t>Vidējais manipulāciju skaits gadā</t>
  </si>
  <si>
    <t>Nepieciešamais finansējums gadā, eiro</t>
  </si>
  <si>
    <t>Videobronhoskopija</t>
  </si>
  <si>
    <t>Šo manipulāciju norāda SIA "Rīgas Austrumu klīniskā universitātes slimnīca".</t>
  </si>
  <si>
    <t>*</t>
  </si>
  <si>
    <t>Jāprecizē 6.pielikumu - viena pacienta ārstēšanas tarifi un jāieliek 5.pielikumā par dienas stacionāru 12.7.apakšpunktā!</t>
  </si>
  <si>
    <t>Videobronhoskopija ir elpceļu izmeklēšanas metode. Galvenā atšķirība no “optiskās” fibrobronhoskopijas ir tā, ka endoskopa galā ir iemontēta videomatrica, kas  nosūta digitālo attēla signālu  uz attēla veidošanas procesoru un tālāk uz videomonitoru. Galvenā videobronhoskopijas priekšrocība ir tās daudz augstāka attēla izšķiršanas spēja, kas ļauj precīzāk izvērtēt patoloģisko pārmaiņu raksturu, līdz ar to var iegūt kvalitatīvāku biopsiju materiālu, kā arī izvērtēt iespējamās radikālās operācijas apjomu. Videobronhoskopiju lieto kā diagnostiskiem, tā terapeitiskiem nolūkiem, to var kombinēt ar rigīdo bronhoskopiju, var ievadīt nepieciešamos visa veida biopsiju instrumentus citoloģiskiem, histoloģiskiem un bakterioloģiskiem izmeklējumiem.</t>
  </si>
  <si>
    <t>Vidēji gadā</t>
  </si>
  <si>
    <t>Vidēji gadā + pieaugums*</t>
  </si>
  <si>
    <t>Statistika</t>
  </si>
  <si>
    <t>AP</t>
  </si>
  <si>
    <t>SP</t>
  </si>
  <si>
    <t>* ņemot vērā, ka līdz šim uzskaites manipulācijas norādījis tikai SIA “Rīgas Austrumu klīniskā universitātes slimnīca”, bet paredzams, ka manipulācijas lietos arī citas ārstniecības iestādes, tad stacionāri statistikai pieskaitīti +20%</t>
  </si>
  <si>
    <t>* ņemot vērā, ka pakalpojumu iespējams nodrošināt arī dienas stacionārā, tad iezīmēts neliels pakalpojuma apjoms arī ambulatori</t>
  </si>
  <si>
    <t>Papildu finansējums dienas stacionārā - par gultasdienām</t>
  </si>
  <si>
    <t>60075</t>
  </si>
  <si>
    <t>Pacienta ārstēšanās dienas stacionārā, saņemot invazīvās kardioloģijas, invazīvās radioloģijas un ķirurģijas pakalpojumus</t>
  </si>
  <si>
    <t>Saimniecības mēbeles un citi</t>
  </si>
  <si>
    <t>Fiksētās izmaksas mēnesī 2022. gadā</t>
  </si>
  <si>
    <t>Fiksētais maksājums ar papildus pozīciju faktisko izmaksu segšanu 2023. gadam</t>
  </si>
  <si>
    <t>Fiksētās izmaksas mēnesī ar inflācijas procentu 10.9%*</t>
  </si>
  <si>
    <t>Darba galds ģimenes ārstam</t>
  </si>
  <si>
    <t>Krēsls ģimenes ārstam, māsai un ārsta palīgam (3.gab.)</t>
  </si>
  <si>
    <t>Apmeklētāju krēsli (10gb)</t>
  </si>
  <si>
    <t>Failu skapis pacientu ambulatorām kartēm (2* 430.52 eur)</t>
  </si>
  <si>
    <t>Drēbju skapis, drēbju pakaramie</t>
  </si>
  <si>
    <t>Plaukti (2.gab.)</t>
  </si>
  <si>
    <t xml:space="preserve">Aprīkota darba vieta māsai </t>
  </si>
  <si>
    <t>Iekarināmās mapes 100 gab.</t>
  </si>
  <si>
    <t>Durvju plāksne  (vairākas)</t>
  </si>
  <si>
    <t>Informatīvo materiālu stends, informācijas dēlis (Informatīvais stends SCXSC 8xA4 Cork)</t>
  </si>
  <si>
    <t>Papīrgrozi (4.gab.)</t>
  </si>
  <si>
    <t>Pulkstenis</t>
  </si>
  <si>
    <t>Ugundzēsības aparāts, dūmu detektori</t>
  </si>
  <si>
    <t>Skapis telpu uzkopšanas inventāram, tīrīšanas līdzekļiem</t>
  </si>
  <si>
    <t>Spogulis</t>
  </si>
  <si>
    <t>Ieejas paklājs</t>
  </si>
  <si>
    <t xml:space="preserve">Mantu skapis </t>
  </si>
  <si>
    <t xml:space="preserve">Seifs </t>
  </si>
  <si>
    <t>Kopā saimniecības mēbeles un citi</t>
  </si>
  <si>
    <t xml:space="preserve">Administratīvie izdevumi </t>
  </si>
  <si>
    <t xml:space="preserve">Grāmatvedības izdevumi </t>
  </si>
  <si>
    <t>Transporta izdevumi ģimenes ārsta praksei saimniecības lietu iegādei u.c.</t>
  </si>
  <si>
    <t>Kancelejas preces</t>
  </si>
  <si>
    <t xml:space="preserve">Telpu uzkopšanas izdevumi </t>
  </si>
  <si>
    <t>Riska fonda iemaksas (1 ārsts + 2 māsas vai 1 ārsta palīgs un 1 māsa) gadā</t>
  </si>
  <si>
    <t>Apsardze, signalizācija</t>
  </si>
  <si>
    <t>Medicīnas iekārtu apkope</t>
  </si>
  <si>
    <t>Bīstamo atkritumu utilizācija (piemēram, BAO) reizi mēnesī</t>
  </si>
  <si>
    <t>Kopā administratīvie izdevumi</t>
  </si>
  <si>
    <t>Telpu izmaksas</t>
  </si>
  <si>
    <t>Noma uz 50 m2**</t>
  </si>
  <si>
    <t>Komunālie maksājumi uz 50 m2**</t>
  </si>
  <si>
    <t>Kopā Telpu izmaksas</t>
  </si>
  <si>
    <t>Kopā prakses fiksētās izmaksas</t>
  </si>
  <si>
    <t>*Pēc Latvijas bankas prognozes 2023. gadā inflācija prognozējama 10.9% apmērā, savukārt par komunāliem maksājumiem un nomas maksu NVD pieņemums par 9%</t>
  </si>
  <si>
    <t>**No 35 m2 uz 50 m2</t>
  </si>
  <si>
    <t>Fiksētais maksājums 2023. gadam</t>
  </si>
  <si>
    <t>Dati par ģimenes ārstu prakšu skaitu (esošās un jaunatvērāmās prakses)</t>
  </si>
  <si>
    <t>Papildus izmaksas mēnesī</t>
  </si>
  <si>
    <t>Mēnešu skaits</t>
  </si>
  <si>
    <t>Kabineta uzturēšanas maksa atbilstoši noteikumiem Nr.555</t>
  </si>
  <si>
    <t>Papildus nepieciešamais finansējums 2023.gadā</t>
  </si>
  <si>
    <t>1,00 slodzes(8)-20 d.</t>
  </si>
  <si>
    <t>1.0 Koordinatora kabinets</t>
  </si>
  <si>
    <t>Bērnu klīniskā universitātes slimnīca (viens multimorbido pacientu un viens onkoloģisko pacientu koordinatora kabinets - kopā 2 kabineti)</t>
  </si>
  <si>
    <t>Rīgas Austrumu klīniskā universitātes slimnīca (viens multimorbido pacientu un viens onkoloģisko pacientu koordinatora kabinets - kopā 2 kabineti)</t>
  </si>
  <si>
    <t>Paula Stradiņa Klīniskā universitātes slimnīca (viens multimorbido pacientu un viens onkoloģisko pacientu koordinatora kabinets - kopā 2 kabineti)</t>
  </si>
  <si>
    <t>Liepājas reģionālā slimnīca (viens onkoloģisko pacientu koordinatora kabinets - kopā 1 kabinets)</t>
  </si>
  <si>
    <t>Daugavpils reģionālā slimnīca (viens onkoloģisko pacientu koordinatora kabinets - kopā 1 kabinets)</t>
  </si>
  <si>
    <t>* 2022.gadā SIA “Rīgas Austrumu klīniskā universitātes slimnīca” veica vēža reģistra izveidi, līdz ar ko koordinatoru kabinetu izveide plānota 2023.gadā. Finansējums atbilstoši 2022.gada 31.oktobra  Finanšu ministrijas rīkojumam Nr.676 "Par apropriācijas pārdali" pārdalīts daļējai energoresusru sadārdzinājuma segšanai stacionārajā ārstniecības iestādēm.</t>
  </si>
  <si>
    <t>Pasākumu plānots īstenot apakšprogrammas 33.16.00   "Pārējo ambulatoro veselības aprūpes pakalpojumu nodrošināšana" ietvaros</t>
  </si>
  <si>
    <t>Papildus nepieciešamais finansējums 2024.gadā</t>
  </si>
  <si>
    <t>Papildus nepieciešamais finansējums 2025.gadā un turpmāk</t>
  </si>
  <si>
    <t xml:space="preserve">1. Papildus nepieciešamais finansējums jaunas pakalpojumu programmas ieviešanai </t>
  </si>
  <si>
    <t>Pacientu skaits*</t>
  </si>
  <si>
    <t xml:space="preserve">Psihiatriskā palīdzība bērniem </t>
  </si>
  <si>
    <t>Stacionārā psihiatriskā palīdzība bērniem (no 01.04.2023.)</t>
  </si>
  <si>
    <t>2. Finansējuma avots (iekšēja pārdale starp iestādes stacionājiem pakalpojumu veidiem)</t>
  </si>
  <si>
    <t>Psihiatriskā palīdzība, tai skaitā  pēc tiesas lēmuma</t>
  </si>
  <si>
    <t>3. Kopsavilkums</t>
  </si>
  <si>
    <t>Valsts sabiedrība ar ierobežotu atbildību "Rīgas psihiatrijas un narkoloģijas centrs" plāno piešķirt jaunu pakalpojumu programmu "Stacionārā psihiatriskā palīdzība bērniem" (ar 2023.gada 1.aprīli)</t>
  </si>
  <si>
    <t>Starpība (papildus nepieciešamais finanasējums, euro)</t>
  </si>
  <si>
    <t>Finansējums, euro</t>
  </si>
  <si>
    <t>2022.gads</t>
  </si>
  <si>
    <t>Starpība, euro</t>
  </si>
  <si>
    <t>Starpība tiek novirzīta piemaksai - Rehabilitācijas komandas darbs psihiatrijas iestādē</t>
  </si>
  <si>
    <t>Papildus nepieciešamais finansējums programmai Stacionārā psihiatriskā palīdzība bērniem (no 01.04.2023.), euro</t>
  </si>
  <si>
    <t>Psihiatriskā palīdzība, tai skaitā  pēc tiesas lēmuma, euro</t>
  </si>
  <si>
    <t>Fiksētās piemaksas aprēķins par neatliekamās palīdzības un pacientu uzņemšanas nodaļas darbību no 2023. gada 1. aprīļa</t>
  </si>
  <si>
    <t>Turpinājum 8.pielikumam MK noteikumu projekta "Grozījumi Ministru kabineta 2018.gada 28.augusta noteikumos Nr.555 „Veselības aprūpes pakalpojumu organizēšanas un samaksas kārtība"" anotācijai</t>
  </si>
  <si>
    <t>8.pielikumam MK noteikumu projekta "Grozījumi Ministru kabineta 2018.gada 28.augusta noteikumos Nr.555 „Veselības aprūpes pakalpojumu organizēšanas un samaksas kārtība"" anotācijai</t>
  </si>
  <si>
    <t>Papildus speciālistu skaits uzņemšanas nodaļā</t>
  </si>
  <si>
    <t>SIA "Liepājas reģionālā slimnīca" uzņemšanas nodaļai novirzāmais finansējums 2023. gadā un turpmāk ik gadu</t>
  </si>
  <si>
    <t>1. Papildus 1 postenis (1 internists) nepieciešamais finansējums, euro</t>
  </si>
  <si>
    <t>SIA "Daugavpils reģionālā slimnīca" uzņemšanas nodaļai novirzāmais finansējums 2023. gadā un turpmāk ik gadu</t>
  </si>
  <si>
    <t>1. Papildus 3 posteņiem (1 invazīvais kardiologs, 1 internists, ķirurgs) nepieciešamais finansējums, euro</t>
  </si>
  <si>
    <t>Finansējums līdzmaksājuma kompensācijai (u'), euro</t>
  </si>
  <si>
    <t>Administratīvie izdevumi, euro</t>
  </si>
  <si>
    <t>Nolietojums, euro</t>
  </si>
  <si>
    <t>Fiksētās piemaksas gada apjoms, euro</t>
  </si>
  <si>
    <t>Pieskaitāmās un netiešās ražošanas izmaksas (U), euro</t>
  </si>
  <si>
    <t>Ārstniecības līdzekļi (M), euro</t>
  </si>
  <si>
    <t>Valsts sociālās apdrošināšanas obligātās iemaksas (S), euro</t>
  </si>
  <si>
    <t>Gada izmaksas atalgojumam (D), euro</t>
  </si>
  <si>
    <t>Uzturēšanas maksājums gadam, euro</t>
  </si>
  <si>
    <t>Pieskaitāmās un netiešās ražošanas izmaksas, euro</t>
  </si>
  <si>
    <t>Medikamenti (ārstniecības līdzekļi), euro</t>
  </si>
  <si>
    <t>KOPĀ, euro</t>
  </si>
  <si>
    <r>
      <t xml:space="preserve">Manipulācijas plānotās nosaukuma izmaiņas, ja plānotas. Ja nav plānotas – rakstīt </t>
    </r>
    <r>
      <rPr>
        <i/>
        <sz val="10"/>
        <color rgb="FF000000"/>
        <rFont val="Times New Roman"/>
        <family val="1"/>
      </rPr>
      <t>Bez izmaiņām.</t>
    </r>
  </si>
  <si>
    <t>Pamatojums: Valsts sabiedrība ar ierobežotu atbildību "Rīgas psihiatrijas un narkoloģijas centrs" plāno uzņemt psihiatrijas pacientus - bērnus no 16. gadu vecuma, kamēr VSIA "Bērnu klīniskā universitātes slimnīca"  veic infrastruktūras uzlabojumus, lai pilnvērtīgi un droši spētu nodrošināt pakalpojumu pieejamību minētajai pacientu grupai</t>
  </si>
  <si>
    <t xml:space="preserve">* bērnu psihiarijas pacientu skaits tiek sadalīts 2 daļās, esošā programma no 01.01.2023.-31.03.2023. un jaunā programma no 01.04.2023.-31.12.2023.), kopējais pacientu skaits netiek palielināts. VSIA  "Rīgas psihiatrijas un narkoloģijas centrs" jau ilgāku laiku pārņem Bērnu klīniskās universitātes pacientus vecumā no 16-18 gadiem, ar psihiskiem traucējumiem vai akūtām psihozēm. Pacientus, kurus izvietojot kopā ar mazajiem bērniem, nav iespējams.
Šogad Nacionālais veselības dienests sarunās ar VSIA  "Rīgas psihiatrijas un narkoloģijas centrs" tika panākta vienošanās, ka apmaksas nosacījumi abām slimnīcām ir jānodrošina vienlīdzīgi, par vienādu pacientu grupu jāmaksā vienlīdzīgi, kā rezultāta no 2023.gada 1.aprīļa  VSIA  "Rīgas psihiatrijas un narkoloģijas centrs"  par bērniem, kam nepieciešama psihiatriskā ārstēšana (un ko nevar nodrošināt VSIA "Bērnu klīniskā universitātes slimnīca" ) tiek maksāts pēc VSIA "Bērnu klīniskā universitātes slimnīca"  tarifa.
 </t>
  </si>
  <si>
    <t>10.pielikums MK noteikumu projekta "Grozījumi Ministru kabineta 2018.gada 28.augusta noteikumos Nr.555 „Veselības aprūpes pakalpojumu organizēšanas un samaksas kārtība"" anotācijai</t>
  </si>
  <si>
    <t>Ar 2023.gada atalgojumu</t>
  </si>
  <si>
    <t>Palīgpersonāls</t>
  </si>
  <si>
    <t>Kopējās izmaksas, euro</t>
  </si>
  <si>
    <t>Tarifs, euro</t>
  </si>
  <si>
    <t>Kopējās izmaksas</t>
  </si>
  <si>
    <t>Pacienta līdzmaksājums</t>
  </si>
  <si>
    <t>Videobronhoskopija (pašlaik jau ir, bet ar 0,00 vērtību - uzskaitei)</t>
  </si>
  <si>
    <t>Nepieciešamais finansējums ar jauno darba samaksu no 1.aprīļa, euro</t>
  </si>
  <si>
    <t>Jaundzimušo skrīningam papildu nepieciešamais finansējuma apjoms 2023.gadā un 2024.gadā un turpmāk ik gadu</t>
  </si>
  <si>
    <t>Jaundzimušo spinālās muskuļu atrofijas (SMA) un smaga kombinēta imundeficīta (SCID) skrīnings no sausa asins piliena</t>
  </si>
  <si>
    <t>Enzīma GALT aktivitātes kvantitatīva noteikšana asins paraugos, kas izžāvēti uz filtrpapīra</t>
  </si>
  <si>
    <t>Manipulāciju apmaksā VSIA “Bērnu klīniskā universitātes slimnīca”.Ja pirmreizējs izmeklējums nav veikts stacionārā, tad ambulatori pirmreizēju izmeklējumu apmaksā ar neonatologa, ārsta ģenētiķa, ģimenes ārsta vai pediatra nosūtījumu. Ja izmeklējums jāveic atkārtoti (pēc pirmreizēja izmeklējuma), tad ambulatori manipulāciju apmaksā atbilstoši līgumā noteiktiem nosacījumiem.</t>
  </si>
  <si>
    <t>Ģimenes ārstu uzturēšanas maksājuma indeksācija par 250 euro</t>
  </si>
  <si>
    <t>Papildus nepieciešamais finansējus, euro</t>
  </si>
  <si>
    <t>Papildus izmaksas kopā, euro</t>
  </si>
  <si>
    <t xml:space="preserve"> Manipulācija "Laparoskopiska miomektomija ar virsmas laukumu līdz 5 cm " iekļauta prioritārā pasākuma "Veselības aprūpes pakalpojumu pieejamība" ietvaros un piešķirts finansējums</t>
  </si>
  <si>
    <t>9.pielikumam MK noteikumu projekta "Grozījumi Ministru kabineta 2018.gada 28.augusta noteikumos Nr.555 „Veselības aprūpes pakalpojumu organizēšanas un samaksas kārtība"" anotācijai</t>
  </si>
  <si>
    <t xml:space="preserve"> Manipulācija "Videobronhoskopija " iekļauta prioritārā pasākuma "Veselības aprūpes pieejamība onkoloģijas jomā uzlabošana" ietvaros un piešķirts finansējums</t>
  </si>
  <si>
    <t>11.pielikums MK noteikumu projekta "Grozījumi Ministru kabineta 2018.gada 28.augusta noteikumos Nr.555 „Veselības aprūpes pakalpojumu organizēšanas un samaksas kārtība"" anotācijai</t>
  </si>
  <si>
    <t>Jaundzimušo skrīnings iekļauts prioritārā pasākuma "Pakalpojuma pieejamība bērniem" ietvaros un piešķirts finansējums</t>
  </si>
  <si>
    <t>Fakts izmeklējumiem janvārī</t>
  </si>
  <si>
    <t>Primārā parauga uzglabāšana (kriostobriņi paraugu uzglabāšanai)</t>
  </si>
  <si>
    <t>Otrais etaps - SEKVENCĒŠANA. No 2022.gada augusta tiek izmantoti reaģenti, kas iegādāti no EC projekta HERA, tarifa pārrēķins. No 01.01.2023. manipulācijas kods  47421R !</t>
  </si>
  <si>
    <t>Pacientu skaits 2022. gada janvāris-decembris</t>
  </si>
  <si>
    <t>Prognozētais pacientu skaits mēnesī *</t>
  </si>
  <si>
    <t>Papildus nepieciešamais finansējums vienam mēnesim</t>
  </si>
  <si>
    <t>janvāris, 2023</t>
  </si>
  <si>
    <t>Mēnesis</t>
  </si>
  <si>
    <t>Oktobris</t>
  </si>
  <si>
    <t>Novembris</t>
  </si>
  <si>
    <t>Decembris</t>
  </si>
  <si>
    <t>13.pielikumam MK noteikumu projekta "Grozījumi Ministru kabineta 2018.gada 28.augusta noteikumos Nr.555 „Veselības aprūpes pakalpojumu organizēšanas un samaksas kārtība"" anotācijai</t>
  </si>
  <si>
    <t>Valsts izmaksas SUM 2022. gada janvāris-decembris, euro</t>
  </si>
  <si>
    <t>Kopā ambulatori, euro</t>
  </si>
  <si>
    <t>Kopā stacionāri, euro:</t>
  </si>
  <si>
    <t>Papildus nepieciešamais finansējums, euro (periods: 2023.gada 1.aprīlis - 2023.gada 30.septembris)</t>
  </si>
  <si>
    <t>15.pielikumam MK noteikumu projekta "Grozījumi Ministru kabineta 2018.gada 28.augusta noteikumos Nr.555 „Veselības aprūpes pakalpojumu organizēšanas un samaksas kārtība"" anotācijai</t>
  </si>
  <si>
    <t>Kopā vienam mēnesim, euro</t>
  </si>
  <si>
    <t>Kopē, euro</t>
  </si>
  <si>
    <t>Papildus nepieciešamais finansējums, euro (avanss par periodu: 2023.gada 1.oktobris - 2023.gada 31.decembrim)</t>
  </si>
  <si>
    <t>2023.gada atalgojums un kabineta uzturēšanas maksājums saskaņā ar Ministru kabineta 2018. gada 28. augusta noteikumos Nr. 555 "Veselības aprūpes pakalpojumu organizēšanas un samaksas kārtība"" (turmāk noteikumi Nr.555)</t>
  </si>
  <si>
    <t xml:space="preserve"> Pacientu plūsmas koordinatoru kabinetu izveide klīniskās universitātes slimnīcās ir iekļauta  "Veselības aprūpes pieejamība onkoloģijas jomā uzlabošana" ietvaros un piešķirts finansējums</t>
  </si>
  <si>
    <t xml:space="preserve"> Savukārt nepieciešamo starpību 2023.gadā un turpmāk ik gadu 31 euro (203 408 euro - 203 377 euro) plānots rast apakšprogrammas 33.16.00 "Pārējo ambulatoro veselības aprūpes pakalpojumu nodrošināšana" ietvaros 20euro un apakšprogrammas 33.18.00 “Plānveida stacionāro veselības aprūpes pakalpojumu nodrošināšana” 11 euro, veicot iekšēju finanšu līdzekļu pārplānošanu. </t>
  </si>
  <si>
    <t>Papildus nepieciešamā finansējuma starpība 2023.gadā un turpmāk ik gadu, euro</t>
  </si>
  <si>
    <t>Unikālo pacientu skaits stacionārā 2022. gada (janvāris-oktobris)</t>
  </si>
  <si>
    <t>* atbilstoši faktiskajai izpildei 2023. gada janvārī</t>
  </si>
  <si>
    <t>Izmaksas uz pacientu mēnesī ar medikamentiem un laboratoriju, euro</t>
  </si>
  <si>
    <t>14.pielikumam MK noteikumu projekta "Grozījumi Ministru kabineta 2018.gada 28.augusta noteikumos Nr.555 „Veselības aprūpes pakalpojumu organizēšanas un samaksas kārtība"" anotācijai</t>
  </si>
  <si>
    <t>Vidējās pacientu izmaksas, euro</t>
  </si>
  <si>
    <t>Finansējums 2023.gada 1 mēnesim, euro</t>
  </si>
  <si>
    <t>Kopā 12 mēnešos, euro</t>
  </si>
  <si>
    <t>16.pielikumam MK noteikumu projekta "Grozījumi Ministru kabineta 2018.gada 28.augusta noteikumos Nr.555 „Veselības aprūpes pakalpojumu organizēšanas un samaksas kārtība"" anotācijai</t>
  </si>
  <si>
    <t>2023. gadam nepieciešamais finansējums Covid-19 pacientu ārstēšanai, euro</t>
  </si>
  <si>
    <t>12.pielikums MK noteikumu projekta "Grozījumi Ministru kabineta 2018.gada 28.augusta noteikumos Nr.555 „Veselības aprūpes pakalpojumu organizēšanas un samaksas kārtība"" anotācijai</t>
  </si>
  <si>
    <t>Tarifs 2023, euro</t>
  </si>
  <si>
    <t>Kopā janvārī euro</t>
  </si>
  <si>
    <t>Papildus nepieciešamais finansējums testēšanas nodrošināšanai*</t>
  </si>
  <si>
    <t>**atbilstoši faktiskajai izpildei 2023. gada janvārī</t>
  </si>
  <si>
    <t>Papildus nepieciešamais finansējums, euro (avanss par periodu: 2023.gada 1.oktobris - 2023.gada 31.decembris)</t>
  </si>
  <si>
    <t>Papildus nepieciešamais finansējums, euro (periods: 2023.gada 1.janvāris - 2023.gada 30.septembris)</t>
  </si>
  <si>
    <t>COVID-19 pacientu ārstēšanās izmaksu prognoze 2023.gada 9 mēnešiem*</t>
  </si>
  <si>
    <t>Janvāris**</t>
  </si>
  <si>
    <t>Februāris**</t>
  </si>
  <si>
    <t>Marts**</t>
  </si>
  <si>
    <t>** Covid-19 pacientu ārstēšanas izdevumi no 2023.gada 1.janvāra līdz 2023.gada 31.martam tiks segti Ministra kabineta 2023.gada 10.janvāra sēdes prot. Nr. 1 20. § 3. punkta ietvaros.</t>
  </si>
  <si>
    <t>2023. gadam****</t>
  </si>
  <si>
    <t>****Pasākums "Pieejamības un kvalitātes uzlabošana paliatīvās aprūpes pakalpojumiem mājās" tiks uzsākts no 2023.gada 1.oktobra</t>
  </si>
  <si>
    <t>Izmaksas uz pacientu janvārī euro</t>
  </si>
  <si>
    <t>Ārstniecības iestādes vairākkārt ir rakstiski vērsušās Nacionālajā veselības dienestā ar aicinājumu noteikt un apmaksāt papildus speciālistu skaitu uzņemšanas nodaļā, nepieciešamība pēc papildus speciālistiem radās jau Covid-19 pandēmijas laikā, kad bija nepieciešamība apkalpot pieaugošo pacientu plūsmu līdztekus vajadzībai nodrošināt arī epidemioloģiskās drošības pasākumus. Tādējādi būtiska bija pacientu plūsmas savlaicīga aprite. Šobrīd, kad ārstniecības iestādēs t.sk. uzņemšanas nodaļās pacientu skaita pieplūdums ir Covid-19 seku rezultāts (plānveida pacienti savlaicīgi nesaņēma nepieciešamo ārstēšanu- šobrīd atgriežas kā neatliekamie pacienti, hronisko pacientu slimību saasinājumi utt.), tik pat būtiska ir pacientu plūsmas savlaicīga aprite, ko nav iespējams nodrošināt esošās kapacitātes (personāla) ietvaros.</t>
  </si>
  <si>
    <t>Novizīts finansējums intensīvās terapijas apmaksai (pašai Liepājai)</t>
  </si>
  <si>
    <t>Novizīts finansējums intensīvās terapijas apmaksai (citām ārstniecības iestādēm)</t>
  </si>
  <si>
    <t>Atlikums</t>
  </si>
  <si>
    <t>Novizīts finansējums intensīvās terapijas apmaksai</t>
  </si>
  <si>
    <t xml:space="preserve">*Covid-19 pandēmijas laikā tika uzsākta intensīvās terapijas piemaksas apmaksa, lai nodrošinātu pakalpojuma pēctecību ilgtermiņā no 2023. gada Nacionālais veselības  dienests esošā budžeta ietvaros, sedz izdevumus par intensīvās terapijas piemaksām. </t>
  </si>
  <si>
    <t>Novizīts finansējums manipulācijas Rehabilitācijas komandas darbs psihiatrijas iestādē apmaksai 2023. gadam</t>
  </si>
  <si>
    <t>Ārstniecības iestāde</t>
  </si>
  <si>
    <t>Bērnu klīniskā universitātes slimnīca</t>
  </si>
  <si>
    <t>Daugavpils psihoneiroloģiskā slimnīca</t>
  </si>
  <si>
    <t>Piejūras slimnīca</t>
  </si>
  <si>
    <t>Rīgas psihiatrijas un narkoloģijas centrs</t>
  </si>
  <si>
    <t>Slimnīca Ģintermuiža</t>
  </si>
  <si>
    <t>Strenču psihoneiroloģiskā slimnīca</t>
  </si>
  <si>
    <t>Izpilde 4+8 (2023. gada finansējums), euro</t>
  </si>
  <si>
    <t>Finansējums 2022. gadā, euro</t>
  </si>
  <si>
    <t>Rehabilitācijas komandas darbs psihiatrijas iestādē 2023.gads</t>
  </si>
  <si>
    <t>Intensīvās terapijas piemkasas nodrošināšanai nepieciešamais finansējums 2023. gadam*:</t>
  </si>
  <si>
    <t>Daugavpils reģionālā slimnīca</t>
  </si>
  <si>
    <t>Jēkabpils reģionālā slimnīca</t>
  </si>
  <si>
    <t>Liepājas reģionālā slimnīca</t>
  </si>
  <si>
    <t>Rēzeknes slimnīca</t>
  </si>
  <si>
    <t>Summa, euro</t>
  </si>
  <si>
    <t>Narkoloģija</t>
  </si>
  <si>
    <t>Novirzīts finansējums Laparoskopiskas miomektomijas apmaksai</t>
  </si>
  <si>
    <t>Novirzīts finansējums Videobronhoskopijai</t>
  </si>
  <si>
    <t>Pakalpojumi aprūpes slimnīcā vai aprūpes gultā 2023/2022</t>
  </si>
  <si>
    <t>Laparoskopiskas miomektomijas nodrošināšanai nepieciešamais finansējums</t>
  </si>
  <si>
    <t>Tika novirzīts programmai Ķīmijterapija un hematoloģija dienas stacionārā</t>
  </si>
  <si>
    <t>2023. gadā, atbilstoši veiktajam darbam 4+8 periodā, samazinās Pakalpojumi aprūpes slimnīcā vai aprūpes gultā plānotais finansējums pret 2022. gadu</t>
  </si>
  <si>
    <t>Pakalpojumi aprūpes slimnīcā vai aprūpes gultā</t>
  </si>
  <si>
    <t>Finansējuma pārvirzīšanas avots (iekšēji starp iestādes stacionājiem pakalpojumu veidiem)</t>
  </si>
  <si>
    <t>Kopsavilkums</t>
  </si>
  <si>
    <t>Finansējuma pārvirzīšanas avots (ambulatori)</t>
  </si>
  <si>
    <t>Videobronhoskopijas nodrošināšanai nepieciešamais finansējums</t>
  </si>
  <si>
    <t xml:space="preserve">Savukārt nepieciešamo starpību 2023.gadā un turpmāk ik gadu 629 euro (70 550 euro - 69 921 euro) plānots rast apakšprogrammas 33.16.00 "Pārējo ambulatoro veselības aprūpes pakalpojumu nodrošināšana" ietvaros 176 euro no pakalpojumu programmas “Narkoloģija” un apakšprogrammas 33.18.00 “Plānveida stacionāro veselības aprūpes pakalpojumu nodrošināšana” 453 euro no pakalpojuma programmas “Pakalpojumi aprūpes slimnīcā vai aprūpes gultā”. 
</t>
  </si>
  <si>
    <t>2023.gads un turpmāk ik gadu</t>
  </si>
  <si>
    <t>Atlikums novirzīts Aortālā vārstuļa transkatetrāla implantācija (TAVI) apmaksai</t>
  </si>
  <si>
    <t>Savukārt nepieciešamo starpību 2023.gadā un turpmāk ik gadu 5 euro (245 019 euro - 245 014 euro) plānots rast apakšprogrammas 33.15.00 "Laboratorisko izmeklējumu nodrošināšana ambulatorajā aprūpē" ietvaros, veicot iekšēju finanšu līdzekļu pārplānošanu. </t>
  </si>
  <si>
    <t xml:space="preserve"> Veicot iepirkumu pozīcijā  “Parentiāli ievadāmo zāļu onkoloģisko sasaslimšanu ārstēšanai” no iepirkumā iekļautajām 17.pozīcijām piedāvājums tika saņemts 1.pozīcijā, jo uz šo brīdi nav pieejami medikamenti pasaules tirgū, līdz ar ko atkārtots iepirkums tiks veikts 2023.gada 3. ceturksnī. 2023.gadā plānotais finansējuma apjoms 1 462 621 euro, iesniegti piedāvājumi par 4255 euro, līdz ar to veidojas ietaupījums 1 458 355 euro (1 462 621 euro – 4 255 euro), no kura varēs nosegt iepriekš minēto nepieciešamo starpību 14 349 euro apmērā. Savukārt pārējo iepirkuma pozīcijas atlikumu 1 444 006 euro  (1 458 355 euro – 14 349 euro) primāri tiks novirzīts 2023.gada 3.ceturkšņa  jaunam iepirkumam pozīcijā  “Parentiāli ievadāmo zāļu onkoloģisko sasaslimšanu ārstēšanai”. Finansējums 2023.gadā un turpmāk ik gadu tiks rasts veicot pārdali no apakšprogrammas 33.04.00   "Centralizēta medikamentu un materiālu iegāde", jo šājā apakšprogrammā  veidojas atlikums  un tiek prognozēts, ka arī 2023.gadā un turpmāk ik gadu šajā apakšprogrammā veidosies atlikums.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</si>
</sst>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 #,##0.00_);_(* \(#,##0.00\);_(* &quot;-&quot;??_);_(@_)"/>
    <numFmt numFmtId="165" formatCode="_-* #,##0_-;\-* #,##0_-;_-* &quot;-&quot;??_-;_-@_-"/>
    <numFmt numFmtId="166" formatCode="_-* #,##0.00\ _€_-;\-* #,##0.00\ _€_-;_-* &quot;-&quot;??\ _€_-;_-@_-"/>
    <numFmt numFmtId="167" formatCode="_-* #,##0\ _€_-;\-* #,##0\ _€_-;_-* &quot;-&quot;??\ _€_-;_-@_-"/>
    <numFmt numFmtId="168" formatCode="0.0"/>
    <numFmt numFmtId="169" formatCode="[$-F400]h:mm:ss\ AM/PM"/>
    <numFmt numFmtId="170" formatCode="_-* #,##0.0_-;\-* #,##0.0_-;_-* &quot;-&quot;??_-;_-@_-"/>
    <numFmt numFmtId="171" formatCode="0.000"/>
    <numFmt numFmtId="172" formatCode="0.0000"/>
    <numFmt numFmtId="173" formatCode="00000"/>
  </numFmts>
  <fonts count="57">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0"/>
      <name val="Times New Roman"/>
      <family val="1"/>
    </font>
    <font>
      <sz val="10"/>
      <color theme="1"/>
      <name val="Arial"/>
      <family val="2"/>
      <charset val="186"/>
    </font>
    <font>
      <sz val="10"/>
      <name val="Arial"/>
      <family val="2"/>
      <charset val="186"/>
    </font>
    <font>
      <sz val="10"/>
      <name val="Arial"/>
      <family val="2"/>
    </font>
    <font>
      <sz val="11"/>
      <color theme="1"/>
      <name val="Calibri"/>
      <family val="2"/>
      <charset val="204"/>
      <scheme val="minor"/>
    </font>
    <font>
      <sz val="10"/>
      <name val="Arial"/>
      <family val="2"/>
    </font>
    <font>
      <sz val="10"/>
      <name val="Arial"/>
      <family val="2"/>
      <charset val="186"/>
    </font>
    <font>
      <sz val="10"/>
      <color rgb="FFFF0000"/>
      <name val="Times New Roman"/>
      <family val="1"/>
    </font>
    <font>
      <b/>
      <sz val="10"/>
      <color theme="1"/>
      <name val="Times New Roman"/>
      <family val="1"/>
    </font>
    <font>
      <sz val="10"/>
      <color theme="1"/>
      <name val="Times New Roman"/>
      <family val="1"/>
    </font>
    <font>
      <b/>
      <sz val="10"/>
      <name val="Times New Roman"/>
      <family val="1"/>
    </font>
    <font>
      <b/>
      <sz val="10"/>
      <color rgb="FF000000"/>
      <name val="Times New Roman"/>
      <family val="1"/>
    </font>
    <font>
      <b/>
      <u/>
      <sz val="10"/>
      <name val="Times New Roman"/>
      <family val="1"/>
    </font>
    <font>
      <sz val="10"/>
      <color rgb="FF000000"/>
      <name val="Times New Roman"/>
      <family val="1"/>
    </font>
    <font>
      <sz val="10"/>
      <name val="BaltHelvetica"/>
    </font>
    <font>
      <sz val="10"/>
      <name val="BaltGaramond"/>
      <family val="2"/>
      <charset val="186"/>
    </font>
    <font>
      <b/>
      <sz val="11"/>
      <color theme="3"/>
      <name val="Calibri"/>
      <family val="2"/>
      <charset val="186"/>
      <scheme val="minor"/>
    </font>
    <font>
      <sz val="11"/>
      <color rgb="FF000000"/>
      <name val="Calibri"/>
      <family val="2"/>
      <charset val="1"/>
    </font>
    <font>
      <b/>
      <sz val="10"/>
      <color rgb="FFFF0000"/>
      <name val="Times New Roman"/>
      <family val="1"/>
    </font>
    <font>
      <sz val="11"/>
      <color theme="1"/>
      <name val="Times New Roman"/>
      <family val="1"/>
      <charset val="186"/>
    </font>
    <font>
      <sz val="10"/>
      <color theme="1"/>
      <name val="Calibri"/>
      <family val="2"/>
      <charset val="186"/>
      <scheme val="minor"/>
    </font>
    <font>
      <i/>
      <sz val="10"/>
      <name val="Times New Roman"/>
      <family val="1"/>
    </font>
    <font>
      <i/>
      <sz val="10"/>
      <color rgb="FFFF0000"/>
      <name val="Times New Roman"/>
      <family val="1"/>
    </font>
    <font>
      <b/>
      <sz val="10"/>
      <color theme="1"/>
      <name val="Times New Roman"/>
      <family val="1"/>
      <charset val="186"/>
    </font>
    <font>
      <i/>
      <sz val="10"/>
      <color theme="1"/>
      <name val="Times New Roman"/>
      <family val="1"/>
    </font>
    <font>
      <sz val="10"/>
      <color theme="1"/>
      <name val="Times New Roman"/>
      <family val="1"/>
      <charset val="186"/>
    </font>
    <font>
      <b/>
      <sz val="10"/>
      <color indexed="8"/>
      <name val="Times New Roman"/>
      <family val="1"/>
    </font>
    <font>
      <sz val="10"/>
      <name val="Times New Roman"/>
      <family val="1"/>
      <charset val="186"/>
    </font>
    <font>
      <b/>
      <sz val="12"/>
      <name val="Times New Roman"/>
      <family val="1"/>
      <charset val="186"/>
    </font>
    <font>
      <b/>
      <sz val="10"/>
      <name val="Times New Roman"/>
      <family val="1"/>
      <charset val="186"/>
    </font>
    <font>
      <sz val="8"/>
      <color theme="1"/>
      <name val="Times New Roman"/>
      <family val="1"/>
      <charset val="186"/>
    </font>
    <font>
      <u/>
      <sz val="11"/>
      <color theme="10"/>
      <name val="Calibri"/>
      <family val="2"/>
      <charset val="186"/>
    </font>
    <font>
      <sz val="10"/>
      <color rgb="FF00B050"/>
      <name val="Times New Roman"/>
      <family val="1"/>
      <charset val="186"/>
    </font>
    <font>
      <i/>
      <sz val="10"/>
      <color theme="1"/>
      <name val="Times New Roman"/>
      <family val="1"/>
      <charset val="186"/>
    </font>
    <font>
      <b/>
      <sz val="10"/>
      <color theme="1"/>
      <name val="Calibri"/>
      <family val="2"/>
      <charset val="186"/>
      <scheme val="minor"/>
    </font>
    <font>
      <sz val="10"/>
      <color rgb="FF414142"/>
      <name val="Arial"/>
      <family val="2"/>
      <charset val="186"/>
    </font>
    <font>
      <i/>
      <sz val="10"/>
      <color rgb="FF000000"/>
      <name val="Times New Roman"/>
      <family val="1"/>
    </font>
    <font>
      <sz val="11"/>
      <name val="Times New Roman"/>
      <family val="1"/>
      <charset val="186"/>
    </font>
    <font>
      <sz val="12"/>
      <name val="Times New Roman"/>
      <family val="1"/>
      <charset val="186"/>
    </font>
    <font>
      <b/>
      <sz val="11"/>
      <color theme="1"/>
      <name val="Times New Roman"/>
      <family val="1"/>
      <charset val="186"/>
    </font>
    <font>
      <sz val="11"/>
      <color rgb="FF000000"/>
      <name val="Calibri"/>
      <family val="2"/>
      <charset val="186"/>
    </font>
    <font>
      <b/>
      <sz val="10"/>
      <color theme="9"/>
      <name val="Times New Roman"/>
      <family val="1"/>
    </font>
    <font>
      <b/>
      <u/>
      <sz val="10"/>
      <color theme="1"/>
      <name val="Times New Roman"/>
      <family val="1"/>
    </font>
    <font>
      <sz val="12"/>
      <color theme="1"/>
      <name val="Times New Roman"/>
      <family val="1"/>
    </font>
    <font>
      <b/>
      <sz val="12"/>
      <name val="Times New Roman"/>
      <family val="1"/>
    </font>
    <font>
      <sz val="12"/>
      <name val="Times New Roman"/>
      <family val="1"/>
    </font>
    <font>
      <sz val="11"/>
      <name val="Times New Roman"/>
      <family val="1"/>
    </font>
    <font>
      <b/>
      <sz val="9"/>
      <name val="Times New Roman"/>
      <family val="1"/>
    </font>
    <font>
      <sz val="9"/>
      <name val="Times New Roman"/>
      <family val="1"/>
    </font>
  </fonts>
  <fills count="14">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indexed="22"/>
        <bgColor indexed="64"/>
      </patternFill>
    </fill>
    <fill>
      <patternFill patternType="solid">
        <fgColor theme="9" tint="0.79998168889431442"/>
        <bgColor rgb="FF000000"/>
      </patternFill>
    </fill>
    <fill>
      <patternFill patternType="solid">
        <fgColor theme="0"/>
        <bgColor rgb="FF000000"/>
      </patternFill>
    </fill>
    <fill>
      <patternFill patternType="solid">
        <fgColor theme="9" tint="0.39997558519241921"/>
        <bgColor rgb="FF000000"/>
      </patternFill>
    </fill>
    <fill>
      <patternFill patternType="solid">
        <fgColor theme="9" tint="0.79998168889431442"/>
        <bgColor indexed="9"/>
      </patternFill>
    </fill>
    <fill>
      <patternFill patternType="solid">
        <fgColor theme="0" tint="-0.14999847407452621"/>
        <bgColor indexed="64"/>
      </patternFill>
    </fill>
    <fill>
      <patternFill patternType="solid">
        <fgColor rgb="FFFFFFFF"/>
        <bgColor rgb="FF000000"/>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medium">
        <color theme="4" tint="0.39997558519241921"/>
      </bottom>
      <diagonal/>
    </border>
    <border>
      <left style="thin">
        <color indexed="64"/>
      </left>
      <right style="thin">
        <color indexed="64"/>
      </right>
      <top style="thin">
        <color indexed="64"/>
      </top>
      <bottom/>
      <diagonal/>
    </border>
    <border>
      <left/>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000000"/>
      </left>
      <right/>
      <top style="thin">
        <color rgb="FF000000"/>
      </top>
      <bottom style="thin">
        <color rgb="FF000000"/>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s>
  <cellStyleXfs count="115">
    <xf numFmtId="0" fontId="0" fillId="0" borderId="0"/>
    <xf numFmtId="0" fontId="6" fillId="0" borderId="0"/>
    <xf numFmtId="43" fontId="7" fillId="0" borderId="0" applyFont="0" applyFill="0" applyBorder="0" applyAlignment="0" applyProtection="0"/>
    <xf numFmtId="0" fontId="6" fillId="0" borderId="0"/>
    <xf numFmtId="0" fontId="7" fillId="0" borderId="0"/>
    <xf numFmtId="0" fontId="10" fillId="0" borderId="0"/>
    <xf numFmtId="43" fontId="10" fillId="0" borderId="0" applyFont="0" applyFill="0" applyBorder="0" applyAlignment="0" applyProtection="0"/>
    <xf numFmtId="0" fontId="12" fillId="0" borderId="0"/>
    <xf numFmtId="0" fontId="6" fillId="0" borderId="0"/>
    <xf numFmtId="0" fontId="6" fillId="0" borderId="0"/>
    <xf numFmtId="0" fontId="10" fillId="0" borderId="0"/>
    <xf numFmtId="0" fontId="9" fillId="0" borderId="0"/>
    <xf numFmtId="0" fontId="5" fillId="0" borderId="0"/>
    <xf numFmtId="0" fontId="5" fillId="0" borderId="0"/>
    <xf numFmtId="0" fontId="12" fillId="0" borderId="0"/>
    <xf numFmtId="0" fontId="5" fillId="0" borderId="0"/>
    <xf numFmtId="0" fontId="12" fillId="0" borderId="0"/>
    <xf numFmtId="0" fontId="7" fillId="0" borderId="0"/>
    <xf numFmtId="0" fontId="11" fillId="0" borderId="0"/>
    <xf numFmtId="43" fontId="10" fillId="0" borderId="0" applyFont="0" applyFill="0" applyBorder="0" applyAlignment="0" applyProtection="0"/>
    <xf numFmtId="0" fontId="10" fillId="0" borderId="0"/>
    <xf numFmtId="0" fontId="10" fillId="0" borderId="0"/>
    <xf numFmtId="0" fontId="7" fillId="0" borderId="0"/>
    <xf numFmtId="0" fontId="13" fillId="0" borderId="0"/>
    <xf numFmtId="0" fontId="14" fillId="0" borderId="0"/>
    <xf numFmtId="43" fontId="10" fillId="0" borderId="0" applyFont="0" applyFill="0" applyBorder="0" applyAlignment="0" applyProtection="0"/>
    <xf numFmtId="0" fontId="11" fillId="0" borderId="0"/>
    <xf numFmtId="0" fontId="5" fillId="0" borderId="0"/>
    <xf numFmtId="0" fontId="5" fillId="0" borderId="0"/>
    <xf numFmtId="0" fontId="22" fillId="0" borderId="0"/>
    <xf numFmtId="168" fontId="23" fillId="6" borderId="0" applyBorder="0" applyProtection="0"/>
    <xf numFmtId="0" fontId="22" fillId="0" borderId="0"/>
    <xf numFmtId="0" fontId="24" fillId="0" borderId="8" applyNumberFormat="0" applyFill="0" applyAlignment="0" applyProtection="0"/>
    <xf numFmtId="0" fontId="10" fillId="0" borderId="0"/>
    <xf numFmtId="169" fontId="4" fillId="0" borderId="0"/>
    <xf numFmtId="43" fontId="22" fillId="0" borderId="0" applyFont="0" applyFill="0" applyBorder="0" applyAlignment="0" applyProtection="0"/>
    <xf numFmtId="43" fontId="10" fillId="0" borderId="0" applyFont="0" applyFill="0" applyBorder="0" applyAlignment="0" applyProtection="0"/>
    <xf numFmtId="0" fontId="7" fillId="0" borderId="0"/>
    <xf numFmtId="0" fontId="7" fillId="0" borderId="0"/>
    <xf numFmtId="43" fontId="22" fillId="0" borderId="0" applyFont="0" applyFill="0" applyBorder="0" applyAlignment="0" applyProtection="0"/>
    <xf numFmtId="43" fontId="10" fillId="0" borderId="0" applyFont="0" applyFill="0" applyBorder="0" applyAlignment="0" applyProtection="0"/>
    <xf numFmtId="0" fontId="7" fillId="0" borderId="0"/>
    <xf numFmtId="43" fontId="22" fillId="0" borderId="0" applyFont="0" applyFill="0" applyBorder="0" applyAlignment="0" applyProtection="0"/>
    <xf numFmtId="43" fontId="10" fillId="0" borderId="0" applyFont="0" applyFill="0" applyBorder="0" applyAlignment="0" applyProtection="0"/>
    <xf numFmtId="0" fontId="7" fillId="0" borderId="0"/>
    <xf numFmtId="0" fontId="7" fillId="0" borderId="0"/>
    <xf numFmtId="0" fontId="4" fillId="0" borderId="0"/>
    <xf numFmtId="0" fontId="25" fillId="0" borderId="0"/>
    <xf numFmtId="0" fontId="7" fillId="0" borderId="0"/>
    <xf numFmtId="43" fontId="22" fillId="0" borderId="0" applyFont="0" applyFill="0" applyBorder="0" applyAlignment="0" applyProtection="0"/>
    <xf numFmtId="43" fontId="10" fillId="0" borderId="0" applyFont="0" applyFill="0" applyBorder="0" applyAlignment="0" applyProtection="0"/>
    <xf numFmtId="0" fontId="7" fillId="0" borderId="0"/>
    <xf numFmtId="0" fontId="11" fillId="0" borderId="0"/>
    <xf numFmtId="43" fontId="10" fillId="0" borderId="0" applyFont="0" applyFill="0" applyBorder="0" applyAlignment="0" applyProtection="0"/>
    <xf numFmtId="0" fontId="7" fillId="0" borderId="0"/>
    <xf numFmtId="43" fontId="22" fillId="0" borderId="0" applyFont="0" applyFill="0" applyBorder="0" applyAlignment="0" applyProtection="0"/>
    <xf numFmtId="43" fontId="10" fillId="0" borderId="0" applyFont="0" applyFill="0" applyBorder="0" applyAlignment="0" applyProtection="0"/>
    <xf numFmtId="0" fontId="7" fillId="0" borderId="0"/>
    <xf numFmtId="43" fontId="22" fillId="0" borderId="0" applyFont="0" applyFill="0" applyBorder="0" applyAlignment="0" applyProtection="0"/>
    <xf numFmtId="43" fontId="10" fillId="0" borderId="0" applyFont="0" applyFill="0" applyBorder="0" applyAlignment="0" applyProtection="0"/>
    <xf numFmtId="0" fontId="7" fillId="0" borderId="0"/>
    <xf numFmtId="0" fontId="7" fillId="0" borderId="0"/>
    <xf numFmtId="43" fontId="22" fillId="0" borderId="0" applyFont="0" applyFill="0" applyBorder="0" applyAlignment="0" applyProtection="0"/>
    <xf numFmtId="43" fontId="10" fillId="0" borderId="0" applyFont="0" applyFill="0" applyBorder="0" applyAlignment="0" applyProtection="0"/>
    <xf numFmtId="0" fontId="7" fillId="0" borderId="0"/>
    <xf numFmtId="43" fontId="22" fillId="0" borderId="0" applyFont="0" applyFill="0" applyBorder="0" applyAlignment="0" applyProtection="0"/>
    <xf numFmtId="43" fontId="10" fillId="0" borderId="0" applyFont="0" applyFill="0" applyBorder="0" applyAlignment="0" applyProtection="0"/>
    <xf numFmtId="0" fontId="7" fillId="0" borderId="0"/>
    <xf numFmtId="0" fontId="7" fillId="0" borderId="0"/>
    <xf numFmtId="0" fontId="7" fillId="0" borderId="0"/>
    <xf numFmtId="43" fontId="22" fillId="0" borderId="0" applyFont="0" applyFill="0" applyBorder="0" applyAlignment="0" applyProtection="0"/>
    <xf numFmtId="43" fontId="10" fillId="0" borderId="0" applyFont="0" applyFill="0" applyBorder="0" applyAlignment="0" applyProtection="0"/>
    <xf numFmtId="0" fontId="7" fillId="0" borderId="0"/>
    <xf numFmtId="43" fontId="10" fillId="0" borderId="0" applyFont="0" applyFill="0" applyBorder="0" applyAlignment="0" applyProtection="0"/>
    <xf numFmtId="0" fontId="7" fillId="0" borderId="0"/>
    <xf numFmtId="43" fontId="22"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43" fontId="3" fillId="0" borderId="0" applyFont="0" applyFill="0" applyBorder="0" applyAlignment="0" applyProtection="0"/>
    <xf numFmtId="0" fontId="10" fillId="0" borderId="0" applyBorder="0"/>
    <xf numFmtId="0" fontId="7" fillId="0" borderId="0"/>
    <xf numFmtId="0" fontId="7" fillId="0" borderId="0"/>
    <xf numFmtId="43" fontId="3" fillId="0" borderId="0" applyFont="0" applyFill="0" applyBorder="0" applyAlignment="0" applyProtection="0"/>
    <xf numFmtId="0" fontId="39" fillId="0" borderId="0" applyNumberFormat="0" applyFill="0" applyBorder="0" applyAlignment="0" applyProtection="0">
      <alignment vertical="top"/>
      <protection locked="0"/>
    </xf>
    <xf numFmtId="0" fontId="7" fillId="0" borderId="0"/>
    <xf numFmtId="0" fontId="2" fillId="0" borderId="0"/>
    <xf numFmtId="0" fontId="2" fillId="0" borderId="0"/>
    <xf numFmtId="0" fontId="48" fillId="0" borderId="0"/>
    <xf numFmtId="0" fontId="2" fillId="0" borderId="0"/>
    <xf numFmtId="0" fontId="2" fillId="0" borderId="0"/>
    <xf numFmtId="0" fontId="2" fillId="0" borderId="0"/>
    <xf numFmtId="0" fontId="2" fillId="0" borderId="0"/>
    <xf numFmtId="0" fontId="2" fillId="0" borderId="0"/>
    <xf numFmtId="0" fontId="7" fillId="0" borderId="0"/>
    <xf numFmtId="0" fontId="10" fillId="0" borderId="0"/>
    <xf numFmtId="0" fontId="2" fillId="0" borderId="0"/>
    <xf numFmtId="0" fontId="2" fillId="0" borderId="0"/>
    <xf numFmtId="169"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cellStyleXfs>
  <cellXfs count="768">
    <xf numFmtId="0" fontId="0" fillId="0" borderId="0" xfId="0"/>
    <xf numFmtId="43" fontId="8" fillId="4" borderId="1" xfId="2" applyFont="1" applyFill="1" applyBorder="1"/>
    <xf numFmtId="165" fontId="8" fillId="4" borderId="1" xfId="2" applyNumberFormat="1" applyFont="1" applyFill="1" applyBorder="1"/>
    <xf numFmtId="165" fontId="8" fillId="4" borderId="1" xfId="2" applyNumberFormat="1" applyFont="1" applyFill="1" applyBorder="1" applyAlignment="1">
      <alignment horizontal="center" vertical="center"/>
    </xf>
    <xf numFmtId="43" fontId="8" fillId="4" borderId="1" xfId="2" applyFont="1" applyFill="1" applyBorder="1" applyAlignment="1">
      <alignment vertical="center"/>
    </xf>
    <xf numFmtId="0" fontId="17" fillId="0" borderId="0" xfId="0" applyFont="1"/>
    <xf numFmtId="0" fontId="8" fillId="0" borderId="1" xfId="0" applyFont="1" applyBorder="1" applyAlignment="1">
      <alignment vertical="center" wrapText="1"/>
    </xf>
    <xf numFmtId="4" fontId="17" fillId="0" borderId="0" xfId="0" applyNumberFormat="1" applyFont="1"/>
    <xf numFmtId="0" fontId="21" fillId="0" borderId="0" xfId="0" applyFont="1"/>
    <xf numFmtId="0" fontId="18" fillId="2" borderId="1" xfId="0" applyFont="1" applyFill="1" applyBorder="1" applyAlignment="1">
      <alignment horizontal="center" vertical="center" wrapText="1"/>
    </xf>
    <xf numFmtId="0" fontId="18" fillId="3" borderId="1" xfId="0" applyFont="1" applyFill="1" applyBorder="1" applyAlignment="1">
      <alignment wrapText="1"/>
    </xf>
    <xf numFmtId="0" fontId="16" fillId="0" borderId="0" xfId="0" applyFont="1" applyAlignment="1">
      <alignment horizontal="left"/>
    </xf>
    <xf numFmtId="167" fontId="17" fillId="0" borderId="0" xfId="0" applyNumberFormat="1" applyFont="1"/>
    <xf numFmtId="0" fontId="8" fillId="0" borderId="0" xfId="0" applyFont="1"/>
    <xf numFmtId="166" fontId="17" fillId="0" borderId="0" xfId="0" applyNumberFormat="1" applyFont="1"/>
    <xf numFmtId="166" fontId="16" fillId="0" borderId="0" xfId="0" applyNumberFormat="1" applyFont="1"/>
    <xf numFmtId="0" fontId="16" fillId="0" borderId="0" xfId="0" applyFont="1"/>
    <xf numFmtId="0" fontId="17" fillId="0" borderId="1" xfId="0" applyFont="1" applyBorder="1" applyAlignment="1">
      <alignment wrapText="1"/>
    </xf>
    <xf numFmtId="3" fontId="17" fillId="0" borderId="0" xfId="0" applyNumberFormat="1" applyFont="1"/>
    <xf numFmtId="0" fontId="8" fillId="0" borderId="1" xfId="0" applyFont="1" applyBorder="1" applyAlignment="1">
      <alignment wrapText="1"/>
    </xf>
    <xf numFmtId="3" fontId="8" fillId="0" borderId="0" xfId="0" applyNumberFormat="1" applyFont="1"/>
    <xf numFmtId="0" fontId="15" fillId="0" borderId="0" xfId="0" applyFont="1"/>
    <xf numFmtId="3" fontId="8" fillId="0" borderId="1" xfId="0" applyNumberFormat="1" applyFont="1" applyBorder="1"/>
    <xf numFmtId="4" fontId="16" fillId="5" borderId="1" xfId="0" applyNumberFormat="1" applyFont="1" applyFill="1" applyBorder="1"/>
    <xf numFmtId="4" fontId="8" fillId="0" borderId="1" xfId="0" applyNumberFormat="1" applyFont="1" applyBorder="1" applyAlignment="1">
      <alignment horizontal="right" vertical="center"/>
    </xf>
    <xf numFmtId="3" fontId="8" fillId="0" borderId="1" xfId="0" applyNumberFormat="1" applyFont="1" applyBorder="1" applyAlignment="1">
      <alignment horizontal="right" vertical="center"/>
    </xf>
    <xf numFmtId="0" fontId="18" fillId="0" borderId="1" xfId="0" applyFont="1" applyBorder="1" applyAlignment="1">
      <alignment horizontal="center"/>
    </xf>
    <xf numFmtId="0" fontId="8" fillId="0" borderId="3" xfId="0" applyFont="1" applyBorder="1" applyAlignment="1">
      <alignment vertical="center" wrapText="1"/>
    </xf>
    <xf numFmtId="0" fontId="21" fillId="0" borderId="1" xfId="0" applyFont="1" applyBorder="1" applyAlignment="1">
      <alignment wrapText="1"/>
    </xf>
    <xf numFmtId="0" fontId="26" fillId="0" borderId="1" xfId="0" applyFont="1" applyBorder="1" applyAlignment="1">
      <alignment horizontal="center"/>
    </xf>
    <xf numFmtId="0" fontId="15" fillId="0" borderId="1" xfId="0" applyFont="1" applyBorder="1" applyAlignment="1">
      <alignment vertical="center" wrapText="1"/>
    </xf>
    <xf numFmtId="0" fontId="19" fillId="0" borderId="0" xfId="0" applyFont="1" applyAlignment="1">
      <alignment horizontal="center"/>
    </xf>
    <xf numFmtId="0" fontId="17" fillId="4" borderId="1" xfId="0" applyFont="1" applyFill="1" applyBorder="1"/>
    <xf numFmtId="0" fontId="17" fillId="0" borderId="1" xfId="0" applyFont="1" applyBorder="1"/>
    <xf numFmtId="0" fontId="17" fillId="0" borderId="1" xfId="0" applyFont="1" applyBorder="1" applyAlignment="1">
      <alignment horizontal="center"/>
    </xf>
    <xf numFmtId="0" fontId="8" fillId="0" borderId="1" xfId="0" applyFont="1" applyBorder="1"/>
    <xf numFmtId="0" fontId="17" fillId="0" borderId="1" xfId="0" applyFont="1" applyBorder="1" applyAlignment="1">
      <alignment horizontal="center" vertical="center"/>
    </xf>
    <xf numFmtId="2" fontId="17" fillId="0" borderId="1" xfId="0" applyNumberFormat="1" applyFont="1" applyBorder="1" applyAlignment="1">
      <alignment horizontal="center" vertical="center"/>
    </xf>
    <xf numFmtId="3" fontId="18" fillId="0" borderId="1" xfId="0" applyNumberFormat="1" applyFont="1" applyBorder="1"/>
    <xf numFmtId="0" fontId="28" fillId="0" borderId="0" xfId="0" applyFont="1"/>
    <xf numFmtId="0" fontId="8" fillId="0" borderId="1" xfId="0" applyFont="1" applyBorder="1" applyAlignment="1">
      <alignment horizontal="center" vertical="center" wrapText="1"/>
    </xf>
    <xf numFmtId="0" fontId="29" fillId="0" borderId="1" xfId="0" applyFont="1" applyBorder="1" applyAlignment="1">
      <alignment horizontal="right" vertical="center" wrapText="1"/>
    </xf>
    <xf numFmtId="0" fontId="29" fillId="0" borderId="1" xfId="0" applyFont="1" applyBorder="1" applyAlignment="1">
      <alignment horizontal="center" vertical="center" wrapText="1"/>
    </xf>
    <xf numFmtId="0" fontId="30" fillId="0" borderId="0" xfId="0" applyFont="1" applyAlignment="1">
      <alignment horizontal="right" vertical="center" wrapText="1"/>
    </xf>
    <xf numFmtId="0" fontId="30" fillId="0" borderId="0" xfId="0" applyFont="1" applyAlignment="1">
      <alignment horizontal="center" vertical="center" wrapText="1"/>
    </xf>
    <xf numFmtId="3" fontId="8" fillId="0" borderId="1" xfId="0" applyNumberFormat="1" applyFont="1" applyBorder="1" applyAlignment="1">
      <alignment horizontal="center" vertical="center" wrapText="1"/>
    </xf>
    <xf numFmtId="3" fontId="29" fillId="0" borderId="1" xfId="0" applyNumberFormat="1" applyFont="1" applyBorder="1" applyAlignment="1">
      <alignment horizontal="center" vertical="center" wrapText="1"/>
    </xf>
    <xf numFmtId="0" fontId="17" fillId="0" borderId="0" xfId="0" applyFont="1" applyAlignment="1">
      <alignment horizontal="right"/>
    </xf>
    <xf numFmtId="0" fontId="19" fillId="0" borderId="0" xfId="0" applyFont="1"/>
    <xf numFmtId="0" fontId="16" fillId="0" borderId="1" xfId="0" applyFont="1" applyBorder="1" applyAlignment="1">
      <alignment horizontal="center" vertical="center" wrapText="1"/>
    </xf>
    <xf numFmtId="0" fontId="16" fillId="0" borderId="1" xfId="0" applyFont="1" applyBorder="1" applyAlignment="1">
      <alignment horizontal="center" wrapText="1"/>
    </xf>
    <xf numFmtId="0" fontId="19" fillId="0" borderId="0" xfId="0" applyFont="1" applyAlignment="1">
      <alignment horizontal="left"/>
    </xf>
    <xf numFmtId="3" fontId="16" fillId="5" borderId="1" xfId="0" applyNumberFormat="1" applyFont="1" applyFill="1" applyBorder="1" applyAlignment="1">
      <alignment horizontal="center" vertical="center"/>
    </xf>
    <xf numFmtId="0" fontId="17" fillId="0" borderId="0" xfId="0" applyFont="1" applyAlignment="1">
      <alignment horizontal="center" wrapText="1"/>
    </xf>
    <xf numFmtId="0" fontId="19" fillId="3" borderId="1" xfId="0" applyFont="1" applyFill="1" applyBorder="1" applyAlignment="1">
      <alignment horizontal="center" vertical="center"/>
    </xf>
    <xf numFmtId="0" fontId="19" fillId="3" borderId="1" xfId="0" applyFont="1" applyFill="1" applyBorder="1" applyAlignment="1">
      <alignment horizontal="center" vertical="center" wrapText="1"/>
    </xf>
    <xf numFmtId="0" fontId="21" fillId="4" borderId="1" xfId="0" applyFont="1" applyFill="1" applyBorder="1"/>
    <xf numFmtId="3" fontId="21" fillId="4" borderId="1" xfId="0" applyNumberFormat="1" applyFont="1" applyFill="1" applyBorder="1"/>
    <xf numFmtId="0" fontId="19" fillId="4" borderId="1" xfId="0" applyFont="1" applyFill="1" applyBorder="1" applyAlignment="1">
      <alignment horizontal="right"/>
    </xf>
    <xf numFmtId="0" fontId="19" fillId="4" borderId="1" xfId="0" applyFont="1" applyFill="1" applyBorder="1"/>
    <xf numFmtId="3" fontId="19" fillId="4" borderId="1" xfId="0" applyNumberFormat="1" applyFont="1" applyFill="1" applyBorder="1"/>
    <xf numFmtId="3" fontId="19" fillId="8" borderId="1" xfId="0" applyNumberFormat="1" applyFont="1" applyFill="1" applyBorder="1"/>
    <xf numFmtId="0" fontId="21" fillId="0" borderId="0" xfId="0" applyFont="1" applyAlignment="1">
      <alignment wrapText="1"/>
    </xf>
    <xf numFmtId="0" fontId="19" fillId="0" borderId="0" xfId="0" applyFont="1" applyAlignment="1">
      <alignment horizontal="right"/>
    </xf>
    <xf numFmtId="3" fontId="19" fillId="0" borderId="0" xfId="0" applyNumberFormat="1" applyFont="1"/>
    <xf numFmtId="3" fontId="21" fillId="0" borderId="0" xfId="0" applyNumberFormat="1" applyFont="1"/>
    <xf numFmtId="0" fontId="21" fillId="0" borderId="1" xfId="0" applyFont="1" applyBorder="1" applyAlignment="1">
      <alignment horizontal="center" vertical="center"/>
    </xf>
    <xf numFmtId="0" fontId="19" fillId="0" borderId="0" xfId="0" applyFont="1" applyAlignment="1">
      <alignment horizontal="center" vertical="center"/>
    </xf>
    <xf numFmtId="3" fontId="21" fillId="0" borderId="1" xfId="0" applyNumberFormat="1" applyFont="1" applyBorder="1"/>
    <xf numFmtId="3" fontId="31" fillId="5" borderId="1" xfId="0" applyNumberFormat="1" applyFont="1" applyFill="1" applyBorder="1" applyAlignment="1">
      <alignment horizontal="center" vertical="center"/>
    </xf>
    <xf numFmtId="0" fontId="16" fillId="0" borderId="0" xfId="0" applyFont="1" applyAlignment="1">
      <alignment vertical="center"/>
    </xf>
    <xf numFmtId="49" fontId="16" fillId="3" borderId="1" xfId="0" applyNumberFormat="1" applyFont="1" applyFill="1" applyBorder="1" applyAlignment="1">
      <alignment horizontal="center" vertical="center"/>
    </xf>
    <xf numFmtId="0" fontId="16" fillId="3" borderId="1" xfId="0" applyFont="1" applyFill="1" applyBorder="1" applyAlignment="1">
      <alignment horizontal="center" vertical="center" wrapText="1"/>
    </xf>
    <xf numFmtId="0" fontId="32" fillId="3" borderId="1" xfId="0" applyFont="1" applyFill="1" applyBorder="1" applyAlignment="1">
      <alignment horizontal="center"/>
    </xf>
    <xf numFmtId="49"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2" fontId="17" fillId="0" borderId="1" xfId="0" applyNumberFormat="1" applyFont="1" applyBorder="1" applyAlignment="1">
      <alignment horizontal="right"/>
    </xf>
    <xf numFmtId="9" fontId="17" fillId="0" borderId="1" xfId="0" applyNumberFormat="1" applyFont="1" applyBorder="1" applyAlignment="1">
      <alignment horizontal="right"/>
    </xf>
    <xf numFmtId="3" fontId="17" fillId="0" borderId="1" xfId="0" applyNumberFormat="1" applyFont="1" applyBorder="1" applyAlignment="1">
      <alignment horizontal="right"/>
    </xf>
    <xf numFmtId="4" fontId="17" fillId="0" borderId="1" xfId="0" applyNumberFormat="1" applyFont="1" applyBorder="1" applyAlignment="1">
      <alignment horizontal="right"/>
    </xf>
    <xf numFmtId="4" fontId="17" fillId="0" borderId="1" xfId="0" applyNumberFormat="1" applyFont="1" applyBorder="1" applyAlignment="1">
      <alignment horizontal="right" vertical="center"/>
    </xf>
    <xf numFmtId="0" fontId="17" fillId="0" borderId="1" xfId="0" applyFont="1" applyBorder="1" applyAlignment="1">
      <alignment horizontal="left" vertical="center" wrapText="1"/>
    </xf>
    <xf numFmtId="0" fontId="16" fillId="3" borderId="1" xfId="0" applyFont="1" applyFill="1" applyBorder="1" applyAlignment="1">
      <alignment horizontal="right"/>
    </xf>
    <xf numFmtId="3" fontId="16" fillId="3" borderId="1" xfId="0" applyNumberFormat="1" applyFont="1" applyFill="1" applyBorder="1" applyAlignment="1">
      <alignment horizontal="right"/>
    </xf>
    <xf numFmtId="4" fontId="16" fillId="3" borderId="1" xfId="0" applyNumberFormat="1" applyFont="1" applyFill="1" applyBorder="1" applyAlignment="1">
      <alignment horizontal="right"/>
    </xf>
    <xf numFmtId="4" fontId="16" fillId="3" borderId="1" xfId="0" applyNumberFormat="1" applyFont="1" applyFill="1" applyBorder="1" applyAlignment="1">
      <alignment horizontal="right" vertical="center"/>
    </xf>
    <xf numFmtId="4" fontId="16" fillId="0" borderId="0" xfId="0" applyNumberFormat="1" applyFont="1" applyAlignment="1">
      <alignment horizontal="right" vertical="center"/>
    </xf>
    <xf numFmtId="0" fontId="17" fillId="0" borderId="0" xfId="0" applyFont="1" applyAlignment="1">
      <alignment horizontal="center" vertical="top" wrapText="1"/>
    </xf>
    <xf numFmtId="3" fontId="16" fillId="0" borderId="0" xfId="0" applyNumberFormat="1" applyFont="1" applyAlignment="1">
      <alignment vertical="center"/>
    </xf>
    <xf numFmtId="3" fontId="31" fillId="0" borderId="0" xfId="0" applyNumberFormat="1" applyFont="1" applyAlignment="1">
      <alignment horizontal="center" vertical="center"/>
    </xf>
    <xf numFmtId="3" fontId="31" fillId="2" borderId="1" xfId="0" applyNumberFormat="1" applyFont="1" applyFill="1" applyBorder="1" applyAlignment="1">
      <alignment horizontal="center" vertical="center"/>
    </xf>
    <xf numFmtId="3" fontId="16" fillId="0" borderId="0" xfId="0" applyNumberFormat="1" applyFont="1"/>
    <xf numFmtId="0" fontId="16" fillId="0" borderId="0" xfId="1" applyFont="1" applyAlignment="1">
      <alignment vertical="center"/>
    </xf>
    <xf numFmtId="0" fontId="17" fillId="0" borderId="0" xfId="67" applyFont="1"/>
    <xf numFmtId="4" fontId="17" fillId="0" borderId="0" xfId="67" applyNumberFormat="1" applyFont="1"/>
    <xf numFmtId="0" fontId="17" fillId="0" borderId="5" xfId="1" applyFont="1" applyBorder="1" applyAlignment="1">
      <alignment horizontal="center" vertical="center" wrapText="1"/>
    </xf>
    <xf numFmtId="0" fontId="8" fillId="0" borderId="1" xfId="1" applyFont="1" applyBorder="1" applyAlignment="1">
      <alignment horizontal="left" vertical="center" wrapText="1"/>
    </xf>
    <xf numFmtId="2" fontId="17" fillId="0" borderId="1" xfId="1" applyNumberFormat="1" applyFont="1" applyBorder="1" applyAlignment="1">
      <alignment horizontal="center" vertical="center"/>
    </xf>
    <xf numFmtId="2" fontId="17" fillId="0" borderId="1" xfId="1" applyNumberFormat="1" applyFont="1" applyBorder="1" applyAlignment="1">
      <alignment horizontal="center" vertical="center" wrapText="1"/>
    </xf>
    <xf numFmtId="0" fontId="17" fillId="0" borderId="1" xfId="1" applyFont="1" applyBorder="1" applyAlignment="1">
      <alignment horizontal="center" vertical="center" wrapText="1"/>
    </xf>
    <xf numFmtId="3" fontId="17" fillId="0" borderId="1" xfId="1" applyNumberFormat="1" applyFont="1" applyBorder="1" applyAlignment="1">
      <alignment horizontal="center" vertical="center" wrapText="1"/>
    </xf>
    <xf numFmtId="0" fontId="16" fillId="0" borderId="1" xfId="0" applyFont="1" applyBorder="1" applyAlignment="1">
      <alignment horizontal="center"/>
    </xf>
    <xf numFmtId="0" fontId="33" fillId="0" borderId="1" xfId="0" applyFont="1" applyBorder="1" applyAlignment="1">
      <alignment horizontal="center" vertical="center"/>
    </xf>
    <xf numFmtId="0" fontId="33" fillId="0" borderId="1" xfId="0" applyFont="1" applyBorder="1" applyAlignment="1">
      <alignment horizontal="left" vertical="center" wrapText="1"/>
    </xf>
    <xf numFmtId="0" fontId="33" fillId="0" borderId="1" xfId="0" applyFont="1" applyBorder="1"/>
    <xf numFmtId="171" fontId="33" fillId="0" borderId="1" xfId="0" applyNumberFormat="1" applyFont="1" applyBorder="1"/>
    <xf numFmtId="2" fontId="31" fillId="0" borderId="1" xfId="0" applyNumberFormat="1" applyFont="1" applyBorder="1" applyAlignment="1">
      <alignment horizontal="center" vertical="center"/>
    </xf>
    <xf numFmtId="0" fontId="17" fillId="0" borderId="0" xfId="1" applyFont="1" applyAlignment="1">
      <alignment horizontal="center" vertical="center" wrapText="1"/>
    </xf>
    <xf numFmtId="0" fontId="8" fillId="0" borderId="0" xfId="1" applyFont="1" applyAlignment="1">
      <alignment horizontal="left" vertical="center" wrapText="1"/>
    </xf>
    <xf numFmtId="2" fontId="17" fillId="0" borderId="0" xfId="1" applyNumberFormat="1" applyFont="1" applyAlignment="1">
      <alignment horizontal="center" vertical="center"/>
    </xf>
    <xf numFmtId="2" fontId="17" fillId="0" borderId="0" xfId="1" applyNumberFormat="1" applyFont="1" applyAlignment="1">
      <alignment horizontal="center" vertical="center" wrapText="1"/>
    </xf>
    <xf numFmtId="0" fontId="28" fillId="0" borderId="0" xfId="1" applyFont="1"/>
    <xf numFmtId="3" fontId="17" fillId="0" borderId="0" xfId="1" applyNumberFormat="1" applyFont="1" applyAlignment="1">
      <alignment horizontal="left" vertical="center" wrapText="1"/>
    </xf>
    <xf numFmtId="0" fontId="17" fillId="0" borderId="0" xfId="0" applyFont="1" applyAlignment="1">
      <alignment vertical="center"/>
    </xf>
    <xf numFmtId="0" fontId="17" fillId="4" borderId="1" xfId="0" applyFont="1" applyFill="1" applyBorder="1" applyAlignment="1">
      <alignment vertical="center"/>
    </xf>
    <xf numFmtId="1" fontId="17" fillId="0" borderId="1" xfId="0" applyNumberFormat="1" applyFont="1" applyBorder="1" applyAlignment="1">
      <alignment horizontal="right"/>
    </xf>
    <xf numFmtId="0" fontId="17" fillId="0" borderId="1" xfId="0" applyFont="1" applyBorder="1" applyAlignment="1">
      <alignment horizontal="left" vertical="center"/>
    </xf>
    <xf numFmtId="0" fontId="17" fillId="4" borderId="1" xfId="0" applyFont="1" applyFill="1" applyBorder="1" applyAlignment="1">
      <alignment vertical="center" wrapText="1"/>
    </xf>
    <xf numFmtId="0" fontId="16" fillId="0" borderId="1" xfId="0" applyFont="1" applyBorder="1" applyAlignment="1">
      <alignment horizontal="left" vertical="center"/>
    </xf>
    <xf numFmtId="2" fontId="16" fillId="3" borderId="1" xfId="1" applyNumberFormat="1" applyFont="1" applyFill="1" applyBorder="1" applyAlignment="1">
      <alignment horizontal="right" wrapText="1"/>
    </xf>
    <xf numFmtId="0" fontId="16" fillId="3" borderId="1" xfId="1" applyFont="1" applyFill="1" applyBorder="1" applyAlignment="1">
      <alignment horizontal="right" wrapText="1"/>
    </xf>
    <xf numFmtId="3" fontId="16" fillId="3" borderId="1" xfId="1" applyNumberFormat="1" applyFont="1" applyFill="1" applyBorder="1" applyAlignment="1">
      <alignment horizontal="right" wrapText="1"/>
    </xf>
    <xf numFmtId="0" fontId="17" fillId="0" borderId="0" xfId="0" applyFont="1" applyAlignment="1">
      <alignment horizontal="right" vertical="center"/>
    </xf>
    <xf numFmtId="3" fontId="17" fillId="0" borderId="0" xfId="0" applyNumberFormat="1" applyFont="1" applyAlignment="1">
      <alignment horizontal="right" vertical="center"/>
    </xf>
    <xf numFmtId="0" fontId="28" fillId="0" borderId="0" xfId="0" applyFont="1" applyAlignment="1">
      <alignment horizontal="center"/>
    </xf>
    <xf numFmtId="2" fontId="8" fillId="0" borderId="0" xfId="0" applyNumberFormat="1" applyFont="1" applyAlignment="1">
      <alignment horizontal="center" vertical="center"/>
    </xf>
    <xf numFmtId="0" fontId="34" fillId="10" borderId="1" xfId="0" applyFont="1" applyFill="1" applyBorder="1" applyAlignment="1">
      <alignment horizontal="center" vertical="center" wrapText="1"/>
    </xf>
    <xf numFmtId="0" fontId="16" fillId="3" borderId="1" xfId="0" applyFont="1" applyFill="1" applyBorder="1" applyAlignment="1">
      <alignment horizontal="right" vertical="center" wrapText="1"/>
    </xf>
    <xf numFmtId="3" fontId="16" fillId="3" borderId="1" xfId="0" applyNumberFormat="1" applyFont="1" applyFill="1" applyBorder="1" applyAlignment="1">
      <alignment horizontal="center" vertical="center" wrapText="1"/>
    </xf>
    <xf numFmtId="3" fontId="16" fillId="5" borderId="1" xfId="0" applyNumberFormat="1" applyFont="1" applyFill="1" applyBorder="1" applyAlignment="1">
      <alignment horizontal="center" vertical="center" wrapText="1"/>
    </xf>
    <xf numFmtId="0" fontId="17" fillId="0" borderId="5" xfId="0" applyFont="1" applyBorder="1"/>
    <xf numFmtId="0" fontId="17" fillId="0" borderId="5" xfId="0" applyFont="1" applyBorder="1" applyAlignment="1">
      <alignment horizontal="center" vertical="center"/>
    </xf>
    <xf numFmtId="2" fontId="17" fillId="0" borderId="5" xfId="0" applyNumberFormat="1" applyFont="1" applyBorder="1" applyAlignment="1">
      <alignment horizontal="center" vertical="center"/>
    </xf>
    <xf numFmtId="2" fontId="8" fillId="0" borderId="0" xfId="0" applyNumberFormat="1" applyFont="1"/>
    <xf numFmtId="0" fontId="8" fillId="0" borderId="0" xfId="0" applyFont="1" applyAlignment="1">
      <alignment horizontal="left"/>
    </xf>
    <xf numFmtId="2" fontId="35" fillId="0" borderId="1" xfId="33" applyNumberFormat="1" applyFont="1" applyBorder="1" applyAlignment="1">
      <alignment horizontal="center"/>
    </xf>
    <xf numFmtId="2" fontId="35" fillId="0" borderId="1" xfId="33" applyNumberFormat="1" applyFont="1" applyBorder="1"/>
    <xf numFmtId="2" fontId="35" fillId="0" borderId="0" xfId="0" applyNumberFormat="1" applyFont="1"/>
    <xf numFmtId="3" fontId="35" fillId="0" borderId="1" xfId="0" applyNumberFormat="1" applyFont="1" applyBorder="1"/>
    <xf numFmtId="0" fontId="8" fillId="0" borderId="0" xfId="0" applyFont="1" applyAlignment="1">
      <alignment horizontal="left" vertical="center" wrapText="1"/>
    </xf>
    <xf numFmtId="0" fontId="17" fillId="4" borderId="0" xfId="84" applyFont="1" applyFill="1"/>
    <xf numFmtId="0" fontId="17" fillId="3" borderId="1" xfId="84" applyFont="1" applyFill="1" applyBorder="1"/>
    <xf numFmtId="0" fontId="17" fillId="3" borderId="1" xfId="84" applyFont="1" applyFill="1" applyBorder="1" applyAlignment="1">
      <alignment horizontal="center" vertical="center"/>
    </xf>
    <xf numFmtId="0" fontId="17" fillId="3" borderId="1" xfId="84" applyFont="1" applyFill="1" applyBorder="1" applyAlignment="1">
      <alignment horizontal="center" vertical="center" wrapText="1"/>
    </xf>
    <xf numFmtId="0" fontId="17" fillId="4" borderId="1" xfId="84" applyFont="1" applyFill="1" applyBorder="1" applyAlignment="1">
      <alignment horizontal="center" vertical="center" wrapText="1"/>
    </xf>
    <xf numFmtId="0" fontId="17" fillId="4" borderId="0" xfId="84" applyFont="1" applyFill="1" applyAlignment="1">
      <alignment vertical="center" wrapText="1"/>
    </xf>
    <xf numFmtId="0" fontId="17" fillId="4" borderId="0" xfId="84" applyFont="1" applyFill="1" applyAlignment="1">
      <alignment horizontal="right"/>
    </xf>
    <xf numFmtId="2" fontId="8" fillId="0" borderId="1" xfId="5" applyNumberFormat="1" applyFont="1" applyBorder="1" applyAlignment="1" applyProtection="1">
      <alignment horizontal="center" wrapText="1"/>
      <protection locked="0"/>
    </xf>
    <xf numFmtId="2" fontId="17" fillId="4" borderId="1" xfId="84" applyNumberFormat="1" applyFont="1" applyFill="1" applyBorder="1" applyAlignment="1">
      <alignment horizontal="center" vertical="center" wrapText="1"/>
    </xf>
    <xf numFmtId="0" fontId="17" fillId="3" borderId="1" xfId="85" applyFont="1" applyFill="1" applyBorder="1" applyAlignment="1">
      <alignment horizontal="center" vertical="center" wrapText="1"/>
    </xf>
    <xf numFmtId="0" fontId="17" fillId="4" borderId="1" xfId="84" applyFont="1" applyFill="1" applyBorder="1" applyAlignment="1">
      <alignment horizontal="center" vertical="center"/>
    </xf>
    <xf numFmtId="2" fontId="8" fillId="4" borderId="1" xfId="84" applyNumberFormat="1" applyFont="1" applyFill="1" applyBorder="1" applyAlignment="1" applyProtection="1">
      <alignment horizontal="center" vertical="center" wrapText="1"/>
      <protection locked="0"/>
    </xf>
    <xf numFmtId="2" fontId="17" fillId="4" borderId="1" xfId="84" applyNumberFormat="1" applyFont="1" applyFill="1" applyBorder="1" applyAlignment="1">
      <alignment horizontal="center" vertical="center"/>
    </xf>
    <xf numFmtId="3" fontId="17" fillId="3" borderId="1" xfId="1" applyNumberFormat="1" applyFont="1" applyFill="1" applyBorder="1" applyAlignment="1">
      <alignment horizontal="center" vertical="center" wrapText="1"/>
    </xf>
    <xf numFmtId="3" fontId="17" fillId="3" borderId="4" xfId="1" applyNumberFormat="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1" xfId="1" applyFont="1" applyFill="1" applyBorder="1" applyAlignment="1">
      <alignment horizontal="left" vertical="center" wrapText="1"/>
    </xf>
    <xf numFmtId="0" fontId="17" fillId="4" borderId="13" xfId="1" applyFont="1" applyFill="1" applyBorder="1" applyAlignment="1">
      <alignment horizontal="center" vertical="center" wrapText="1"/>
    </xf>
    <xf numFmtId="2" fontId="17" fillId="4" borderId="13" xfId="1" applyNumberFormat="1" applyFont="1" applyFill="1" applyBorder="1" applyAlignment="1">
      <alignment horizontal="center" vertical="center" wrapText="1"/>
    </xf>
    <xf numFmtId="2" fontId="17" fillId="4" borderId="5" xfId="1" applyNumberFormat="1" applyFont="1" applyFill="1" applyBorder="1" applyAlignment="1">
      <alignment horizontal="center" vertical="center" wrapText="1"/>
    </xf>
    <xf numFmtId="0" fontId="17" fillId="4" borderId="1" xfId="1" applyFont="1" applyFill="1" applyBorder="1" applyAlignment="1">
      <alignment horizontal="center" vertical="center" wrapText="1"/>
    </xf>
    <xf numFmtId="1" fontId="17" fillId="4" borderId="1" xfId="1" applyNumberFormat="1" applyFont="1" applyFill="1" applyBorder="1" applyAlignment="1">
      <alignment horizontal="center" vertical="center" wrapText="1"/>
    </xf>
    <xf numFmtId="43" fontId="18" fillId="0" borderId="5" xfId="86" applyFont="1" applyFill="1" applyBorder="1" applyAlignment="1">
      <alignment vertical="center" wrapText="1"/>
    </xf>
    <xf numFmtId="3" fontId="8" fillId="4" borderId="5" xfId="1" applyNumberFormat="1" applyFont="1" applyFill="1" applyBorder="1" applyAlignment="1">
      <alignment horizontal="center" vertical="center" wrapText="1"/>
    </xf>
    <xf numFmtId="3" fontId="17" fillId="4" borderId="5" xfId="1" applyNumberFormat="1" applyFont="1" applyFill="1" applyBorder="1" applyAlignment="1">
      <alignment horizontal="center" vertical="center" wrapText="1"/>
    </xf>
    <xf numFmtId="3" fontId="17" fillId="4" borderId="5" xfId="1" applyNumberFormat="1" applyFont="1" applyFill="1" applyBorder="1" applyAlignment="1">
      <alignment horizontal="left" vertical="center" wrapText="1"/>
    </xf>
    <xf numFmtId="0" fontId="17" fillId="4" borderId="0" xfId="84" applyFont="1" applyFill="1" applyAlignment="1">
      <alignment wrapText="1"/>
    </xf>
    <xf numFmtId="0" fontId="17" fillId="4" borderId="1" xfId="84" applyFont="1" applyFill="1" applyBorder="1" applyAlignment="1">
      <alignment horizontal="center" vertical="top"/>
    </xf>
    <xf numFmtId="2" fontId="17" fillId="4" borderId="1" xfId="84" applyNumberFormat="1" applyFont="1" applyFill="1" applyBorder="1" applyAlignment="1">
      <alignment horizontal="center" vertical="top"/>
    </xf>
    <xf numFmtId="0" fontId="17" fillId="4" borderId="0" xfId="84" applyFont="1" applyFill="1" applyAlignment="1">
      <alignment horizontal="center"/>
    </xf>
    <xf numFmtId="43" fontId="17" fillId="4" borderId="0" xfId="84" applyNumberFormat="1" applyFont="1" applyFill="1" applyAlignment="1">
      <alignment wrapText="1"/>
    </xf>
    <xf numFmtId="0" fontId="17" fillId="4" borderId="1" xfId="84" applyFont="1" applyFill="1" applyBorder="1"/>
    <xf numFmtId="1" fontId="17" fillId="4" borderId="1" xfId="84" applyNumberFormat="1" applyFont="1" applyFill="1" applyBorder="1" applyAlignment="1">
      <alignment horizontal="center" vertical="center"/>
    </xf>
    <xf numFmtId="0" fontId="17" fillId="4" borderId="1" xfId="84" applyFont="1" applyFill="1" applyBorder="1" applyAlignment="1">
      <alignment horizontal="right" vertical="center" wrapText="1"/>
    </xf>
    <xf numFmtId="0" fontId="17" fillId="0" borderId="1" xfId="1" applyFont="1" applyBorder="1" applyAlignment="1">
      <alignment horizontal="center" vertical="center"/>
    </xf>
    <xf numFmtId="0" fontId="17" fillId="0" borderId="1" xfId="1" applyFont="1" applyBorder="1" applyAlignment="1">
      <alignment vertical="center" wrapText="1"/>
    </xf>
    <xf numFmtId="4" fontId="17" fillId="0" borderId="1" xfId="1" applyNumberFormat="1" applyFont="1" applyBorder="1" applyAlignment="1">
      <alignment horizontal="center" vertical="center"/>
    </xf>
    <xf numFmtId="0" fontId="33" fillId="0" borderId="0" xfId="78" applyFont="1"/>
    <xf numFmtId="0" fontId="38" fillId="0" borderId="1" xfId="78" applyFont="1" applyBorder="1" applyAlignment="1">
      <alignment horizontal="center" vertical="center" wrapText="1"/>
    </xf>
    <xf numFmtId="0" fontId="38" fillId="0" borderId="1" xfId="78" applyFont="1" applyBorder="1" applyAlignment="1">
      <alignment horizontal="center" vertical="center"/>
    </xf>
    <xf numFmtId="0" fontId="38" fillId="0" borderId="0" xfId="78" applyFont="1"/>
    <xf numFmtId="0" fontId="33" fillId="4" borderId="1" xfId="78" applyFont="1" applyFill="1" applyBorder="1" applyAlignment="1">
      <alignment horizontal="center" vertical="center" wrapText="1"/>
    </xf>
    <xf numFmtId="0" fontId="33" fillId="4" borderId="1" xfId="78" applyFont="1" applyFill="1" applyBorder="1" applyAlignment="1">
      <alignment horizontal="justify" vertical="center" wrapText="1"/>
    </xf>
    <xf numFmtId="4" fontId="35" fillId="0" borderId="1" xfId="87" applyNumberFormat="1" applyFont="1" applyBorder="1" applyAlignment="1" applyProtection="1"/>
    <xf numFmtId="4" fontId="35" fillId="0" borderId="1" xfId="78" applyNumberFormat="1" applyFont="1" applyBorder="1"/>
    <xf numFmtId="0" fontId="40" fillId="0" borderId="0" xfId="78" applyFont="1"/>
    <xf numFmtId="4" fontId="35" fillId="0" borderId="1" xfId="87" applyNumberFormat="1" applyFont="1" applyBorder="1" applyAlignment="1" applyProtection="1">
      <alignment vertical="center"/>
    </xf>
    <xf numFmtId="4" fontId="35" fillId="0" borderId="1" xfId="78" applyNumberFormat="1" applyFont="1" applyBorder="1" applyAlignment="1">
      <alignment vertical="center"/>
    </xf>
    <xf numFmtId="0" fontId="31" fillId="11" borderId="1" xfId="78" applyFont="1" applyFill="1" applyBorder="1" applyAlignment="1">
      <alignment horizontal="right" vertical="center" wrapText="1"/>
    </xf>
    <xf numFmtId="4" fontId="31" fillId="11" borderId="1" xfId="78" applyNumberFormat="1" applyFont="1" applyFill="1" applyBorder="1" applyAlignment="1">
      <alignment vertical="center"/>
    </xf>
    <xf numFmtId="0" fontId="33" fillId="0" borderId="1" xfId="78" applyFont="1" applyBorder="1" applyAlignment="1">
      <alignment horizontal="center" vertical="center" wrapText="1"/>
    </xf>
    <xf numFmtId="0" fontId="33" fillId="0" borderId="1" xfId="78" applyFont="1" applyBorder="1" applyAlignment="1">
      <alignment horizontal="left" vertical="center" wrapText="1"/>
    </xf>
    <xf numFmtId="4" fontId="33" fillId="0" borderId="1" xfId="78" applyNumberFormat="1" applyFont="1" applyBorder="1" applyAlignment="1">
      <alignment vertical="center"/>
    </xf>
    <xf numFmtId="4" fontId="35" fillId="0" borderId="1" xfId="87" applyNumberFormat="1" applyFont="1" applyFill="1" applyBorder="1" applyAlignment="1" applyProtection="1">
      <alignment vertical="center"/>
    </xf>
    <xf numFmtId="0" fontId="33" fillId="11" borderId="1" xfId="78" applyFont="1" applyFill="1" applyBorder="1" applyAlignment="1">
      <alignment horizontal="center" vertical="center" wrapText="1"/>
    </xf>
    <xf numFmtId="0" fontId="35" fillId="0" borderId="1" xfId="78" applyFont="1" applyBorder="1" applyAlignment="1">
      <alignment horizontal="left" vertical="center" wrapText="1"/>
    </xf>
    <xf numFmtId="0" fontId="33" fillId="0" borderId="1" xfId="78" applyFont="1" applyBorder="1" applyAlignment="1">
      <alignment vertical="center"/>
    </xf>
    <xf numFmtId="4" fontId="33" fillId="0" borderId="0" xfId="78" applyNumberFormat="1" applyFont="1"/>
    <xf numFmtId="0" fontId="38" fillId="0" borderId="0" xfId="78" applyFont="1" applyAlignment="1">
      <alignment horizontal="left" wrapText="1"/>
    </xf>
    <xf numFmtId="0" fontId="33" fillId="0" borderId="0" xfId="78" applyFont="1" applyAlignment="1">
      <alignment wrapText="1"/>
    </xf>
    <xf numFmtId="0" fontId="33" fillId="0" borderId="1" xfId="78" applyFont="1" applyBorder="1" applyAlignment="1">
      <alignment horizontal="left"/>
    </xf>
    <xf numFmtId="4" fontId="33" fillId="0" borderId="1" xfId="78" applyNumberFormat="1" applyFont="1" applyBorder="1"/>
    <xf numFmtId="3" fontId="33" fillId="0" borderId="1" xfId="78" applyNumberFormat="1" applyFont="1" applyBorder="1" applyAlignment="1">
      <alignment horizontal="right" vertical="center"/>
    </xf>
    <xf numFmtId="3" fontId="33" fillId="0" borderId="1" xfId="78" applyNumberFormat="1" applyFont="1" applyBorder="1" applyAlignment="1">
      <alignment horizontal="right"/>
    </xf>
    <xf numFmtId="0" fontId="35" fillId="0" borderId="0" xfId="88" applyFont="1"/>
    <xf numFmtId="0" fontId="35" fillId="3" borderId="1" xfId="88" applyFont="1" applyFill="1" applyBorder="1"/>
    <xf numFmtId="0" fontId="37" fillId="3" borderId="1" xfId="88" applyFont="1" applyFill="1" applyBorder="1" applyAlignment="1">
      <alignment horizontal="center" vertical="center"/>
    </xf>
    <xf numFmtId="0" fontId="37" fillId="0" borderId="0" xfId="88" applyFont="1" applyAlignment="1">
      <alignment horizontal="center" vertical="center"/>
    </xf>
    <xf numFmtId="0" fontId="37" fillId="3" borderId="1" xfId="88" applyFont="1" applyFill="1" applyBorder="1" applyAlignment="1">
      <alignment horizontal="center" vertical="center" wrapText="1"/>
    </xf>
    <xf numFmtId="0" fontId="37" fillId="0" borderId="1" xfId="88" applyFont="1" applyBorder="1"/>
    <xf numFmtId="0" fontId="35" fillId="0" borderId="1" xfId="88" applyFont="1" applyBorder="1"/>
    <xf numFmtId="4" fontId="37" fillId="4" borderId="1" xfId="88" applyNumberFormat="1" applyFont="1" applyFill="1" applyBorder="1"/>
    <xf numFmtId="4" fontId="37" fillId="4" borderId="0" xfId="88" applyNumberFormat="1" applyFont="1" applyFill="1"/>
    <xf numFmtId="4" fontId="35" fillId="0" borderId="1" xfId="88" applyNumberFormat="1" applyFont="1" applyBorder="1" applyAlignment="1">
      <alignment horizontal="center" vertical="center"/>
    </xf>
    <xf numFmtId="4" fontId="37" fillId="2" borderId="1" xfId="88" applyNumberFormat="1" applyFont="1" applyFill="1" applyBorder="1" applyAlignment="1">
      <alignment horizontal="center" vertical="center"/>
    </xf>
    <xf numFmtId="0" fontId="33" fillId="0" borderId="0" xfId="0" applyFont="1"/>
    <xf numFmtId="0" fontId="31" fillId="0" borderId="0" xfId="0" applyFont="1"/>
    <xf numFmtId="165" fontId="33" fillId="0" borderId="1" xfId="2" applyNumberFormat="1" applyFont="1" applyBorder="1"/>
    <xf numFmtId="0" fontId="33" fillId="0" borderId="1" xfId="0" applyFont="1" applyBorder="1" applyAlignment="1">
      <alignment wrapText="1"/>
    </xf>
    <xf numFmtId="0" fontId="31" fillId="0" borderId="1" xfId="0" applyFont="1" applyBorder="1"/>
    <xf numFmtId="165" fontId="31" fillId="0" borderId="1" xfId="2" applyNumberFormat="1" applyFont="1" applyBorder="1"/>
    <xf numFmtId="0" fontId="41" fillId="0" borderId="0" xfId="0" applyFont="1"/>
    <xf numFmtId="0" fontId="42" fillId="0" borderId="0" xfId="0" applyFont="1"/>
    <xf numFmtId="165" fontId="31" fillId="0" borderId="1" xfId="0" applyNumberFormat="1" applyFont="1" applyBorder="1"/>
    <xf numFmtId="165" fontId="33" fillId="0" borderId="1" xfId="0" applyNumberFormat="1" applyFont="1" applyBorder="1"/>
    <xf numFmtId="165" fontId="37" fillId="5" borderId="1" xfId="2" applyNumberFormat="1" applyFont="1" applyFill="1" applyBorder="1"/>
    <xf numFmtId="0" fontId="31" fillId="3" borderId="1" xfId="0" applyFont="1" applyFill="1" applyBorder="1" applyAlignment="1">
      <alignment horizontal="center" vertical="center"/>
    </xf>
    <xf numFmtId="2" fontId="28" fillId="0" borderId="0" xfId="0" applyNumberFormat="1" applyFont="1"/>
    <xf numFmtId="2" fontId="35" fillId="0" borderId="0" xfId="7" applyNumberFormat="1" applyFont="1" applyAlignment="1">
      <alignment horizontal="center"/>
    </xf>
    <xf numFmtId="2" fontId="35" fillId="0" borderId="0" xfId="7" applyNumberFormat="1" applyFont="1" applyAlignment="1">
      <alignment horizontal="left"/>
    </xf>
    <xf numFmtId="4" fontId="35" fillId="0" borderId="0" xfId="7" applyNumberFormat="1" applyFont="1" applyAlignment="1">
      <alignment horizontal="left"/>
    </xf>
    <xf numFmtId="4" fontId="28" fillId="0" borderId="0" xfId="0" applyNumberFormat="1" applyFont="1"/>
    <xf numFmtId="172" fontId="28" fillId="0" borderId="0" xfId="0" applyNumberFormat="1" applyFont="1"/>
    <xf numFmtId="2" fontId="35" fillId="0" borderId="0" xfId="19" applyNumberFormat="1" applyFont="1" applyFill="1" applyBorder="1" applyAlignment="1">
      <alignment horizontal="left"/>
    </xf>
    <xf numFmtId="2" fontId="35" fillId="0" borderId="0" xfId="19" applyNumberFormat="1" applyFont="1" applyFill="1" applyBorder="1" applyAlignment="1">
      <alignment horizontal="center"/>
    </xf>
    <xf numFmtId="2" fontId="35" fillId="0" borderId="0" xfId="7" applyNumberFormat="1" applyFont="1" applyAlignment="1">
      <alignment horizontal="left" vertical="center"/>
    </xf>
    <xf numFmtId="2" fontId="37" fillId="0" borderId="1" xfId="19" applyNumberFormat="1" applyFont="1" applyBorder="1" applyAlignment="1">
      <alignment horizontal="center" vertical="center" wrapText="1"/>
    </xf>
    <xf numFmtId="3" fontId="43" fillId="0" borderId="0" xfId="0" applyNumberFormat="1" applyFont="1"/>
    <xf numFmtId="2" fontId="35" fillId="4" borderId="0" xfId="7" applyNumberFormat="1" applyFont="1" applyFill="1" applyAlignment="1">
      <alignment horizontal="left"/>
    </xf>
    <xf numFmtId="2" fontId="35" fillId="4" borderId="0" xfId="7" applyNumberFormat="1" applyFont="1" applyFill="1" applyAlignment="1">
      <alignment horizontal="center"/>
    </xf>
    <xf numFmtId="2" fontId="35" fillId="4" borderId="1" xfId="7" applyNumberFormat="1" applyFont="1" applyFill="1" applyBorder="1" applyAlignment="1">
      <alignment horizontal="left"/>
    </xf>
    <xf numFmtId="2" fontId="35" fillId="4" borderId="1" xfId="7" applyNumberFormat="1" applyFont="1" applyFill="1" applyBorder="1" applyAlignment="1">
      <alignment horizontal="center"/>
    </xf>
    <xf numFmtId="2" fontId="35" fillId="4" borderId="0" xfId="0" applyNumberFormat="1" applyFont="1" applyFill="1"/>
    <xf numFmtId="2" fontId="37" fillId="4" borderId="0" xfId="0" applyNumberFormat="1" applyFont="1" applyFill="1"/>
    <xf numFmtId="2" fontId="35" fillId="4" borderId="1" xfId="7" applyNumberFormat="1" applyFont="1" applyFill="1" applyBorder="1" applyAlignment="1">
      <alignment horizontal="center" wrapText="1"/>
    </xf>
    <xf numFmtId="2" fontId="35" fillId="4" borderId="1" xfId="19" applyNumberFormat="1" applyFont="1" applyFill="1" applyBorder="1" applyAlignment="1">
      <alignment horizontal="center" vertical="center" wrapText="1"/>
    </xf>
    <xf numFmtId="2" fontId="37" fillId="4" borderId="1" xfId="7" applyNumberFormat="1" applyFont="1" applyFill="1" applyBorder="1" applyAlignment="1">
      <alignment horizontal="left"/>
    </xf>
    <xf numFmtId="2" fontId="37" fillId="4" borderId="1" xfId="19" applyNumberFormat="1" applyFont="1" applyFill="1" applyBorder="1" applyAlignment="1">
      <alignment horizontal="center" vertical="center" wrapText="1"/>
    </xf>
    <xf numFmtId="2" fontId="37" fillId="4" borderId="1" xfId="33" applyNumberFormat="1" applyFont="1" applyFill="1" applyBorder="1" applyAlignment="1">
      <alignment horizontal="center"/>
    </xf>
    <xf numFmtId="1" fontId="33" fillId="4" borderId="1" xfId="40" applyNumberFormat="1" applyFont="1" applyFill="1" applyBorder="1" applyAlignment="1">
      <alignment horizontal="center"/>
    </xf>
    <xf numFmtId="2" fontId="35" fillId="4" borderId="1" xfId="7" applyNumberFormat="1" applyFont="1" applyFill="1" applyBorder="1" applyAlignment="1">
      <alignment horizontal="left" vertical="top" wrapText="1"/>
    </xf>
    <xf numFmtId="2" fontId="35" fillId="4" borderId="1" xfId="33" applyNumberFormat="1" applyFont="1" applyFill="1" applyBorder="1" applyAlignment="1">
      <alignment horizontal="center"/>
    </xf>
    <xf numFmtId="170" fontId="17" fillId="0" borderId="0" xfId="2" applyNumberFormat="1" applyFont="1"/>
    <xf numFmtId="0" fontId="16" fillId="0" borderId="1" xfId="0" applyFont="1" applyBorder="1"/>
    <xf numFmtId="165" fontId="17" fillId="0" borderId="1" xfId="2" applyNumberFormat="1" applyFont="1" applyBorder="1"/>
    <xf numFmtId="165" fontId="17" fillId="0" borderId="1" xfId="0" applyNumberFormat="1" applyFont="1" applyBorder="1"/>
    <xf numFmtId="165" fontId="16" fillId="0" borderId="1" xfId="0" applyNumberFormat="1" applyFont="1" applyBorder="1"/>
    <xf numFmtId="0" fontId="32" fillId="0" borderId="0" xfId="0" applyFont="1"/>
    <xf numFmtId="165" fontId="16" fillId="0" borderId="0" xfId="2" applyNumberFormat="1" applyFont="1"/>
    <xf numFmtId="165" fontId="18" fillId="5" borderId="1" xfId="2" applyNumberFormat="1" applyFont="1" applyFill="1" applyBorder="1"/>
    <xf numFmtId="0" fontId="16" fillId="3" borderId="1" xfId="0" applyFont="1" applyFill="1" applyBorder="1"/>
    <xf numFmtId="0" fontId="16" fillId="3" borderId="1" xfId="0" applyFont="1" applyFill="1" applyBorder="1" applyAlignment="1">
      <alignment horizontal="center"/>
    </xf>
    <xf numFmtId="0" fontId="17" fillId="4" borderId="1" xfId="78" applyFont="1" applyFill="1" applyBorder="1" applyAlignment="1">
      <alignment horizontal="center" vertical="center" wrapText="1"/>
    </xf>
    <xf numFmtId="0" fontId="8" fillId="4" borderId="1" xfId="78" applyFont="1" applyFill="1" applyBorder="1" applyAlignment="1">
      <alignment horizontal="left" vertical="center" wrapText="1"/>
    </xf>
    <xf numFmtId="43" fontId="8" fillId="12" borderId="1" xfId="77" applyNumberFormat="1" applyFont="1" applyFill="1" applyBorder="1" applyAlignment="1">
      <alignment horizontal="center" vertical="center"/>
    </xf>
    <xf numFmtId="2" fontId="8" fillId="12" borderId="1" xfId="77" applyNumberFormat="1" applyFont="1" applyFill="1" applyBorder="1" applyAlignment="1">
      <alignment horizontal="center"/>
    </xf>
    <xf numFmtId="0" fontId="19" fillId="8" borderId="1" xfId="77" applyFont="1" applyFill="1" applyBorder="1" applyAlignment="1">
      <alignment horizontal="center" vertical="center"/>
    </xf>
    <xf numFmtId="2" fontId="18" fillId="0" borderId="1" xfId="5" applyNumberFormat="1" applyFont="1" applyBorder="1" applyAlignment="1" applyProtection="1">
      <alignment horizontal="center" wrapText="1"/>
      <protection locked="0"/>
    </xf>
    <xf numFmtId="0" fontId="8" fillId="0" borderId="1" xfId="78" applyFont="1" applyBorder="1" applyAlignment="1">
      <alignment horizontal="center" vertical="center"/>
    </xf>
    <xf numFmtId="0" fontId="8" fillId="12" borderId="1" xfId="77" applyFont="1" applyFill="1" applyBorder="1" applyAlignment="1">
      <alignment horizontal="center" vertical="center"/>
    </xf>
    <xf numFmtId="166" fontId="18" fillId="0" borderId="0" xfId="10" applyNumberFormat="1" applyFont="1" applyAlignment="1">
      <alignment horizontal="center"/>
    </xf>
    <xf numFmtId="2" fontId="36" fillId="0" borderId="1" xfId="5" applyNumberFormat="1" applyFont="1" applyBorder="1" applyAlignment="1" applyProtection="1">
      <alignment horizontal="center" wrapText="1"/>
      <protection locked="0"/>
    </xf>
    <xf numFmtId="0" fontId="27" fillId="4" borderId="0" xfId="84" applyFont="1" applyFill="1"/>
    <xf numFmtId="0" fontId="27" fillId="4" borderId="0" xfId="84" applyFont="1" applyFill="1" applyAlignment="1">
      <alignment horizontal="right"/>
    </xf>
    <xf numFmtId="0" fontId="27" fillId="4" borderId="1" xfId="84" applyFont="1" applyFill="1" applyBorder="1" applyAlignment="1">
      <alignment horizontal="center" vertical="center" wrapText="1"/>
    </xf>
    <xf numFmtId="0" fontId="27" fillId="4" borderId="0" xfId="84" applyFont="1" applyFill="1" applyAlignment="1">
      <alignment vertical="center" wrapText="1"/>
    </xf>
    <xf numFmtId="0" fontId="27" fillId="4" borderId="0" xfId="84" applyFont="1" applyFill="1" applyAlignment="1">
      <alignment horizontal="left"/>
    </xf>
    <xf numFmtId="2" fontId="16" fillId="4" borderId="1" xfId="84" applyNumberFormat="1" applyFont="1" applyFill="1" applyBorder="1" applyAlignment="1">
      <alignment horizontal="center" vertical="center"/>
    </xf>
    <xf numFmtId="0" fontId="8" fillId="4" borderId="1" xfId="81" applyFont="1" applyFill="1" applyBorder="1" applyAlignment="1" applyProtection="1">
      <alignment horizontal="center" vertical="center" wrapText="1"/>
      <protection locked="0"/>
    </xf>
    <xf numFmtId="2" fontId="8" fillId="12" borderId="1" xfId="77" applyNumberFormat="1" applyFont="1" applyFill="1" applyBorder="1" applyAlignment="1">
      <alignment horizontal="center" vertical="center"/>
    </xf>
    <xf numFmtId="2" fontId="8" fillId="4" borderId="1" xfId="81" applyNumberFormat="1" applyFont="1" applyFill="1" applyBorder="1" applyAlignment="1">
      <alignment horizontal="center" vertical="center"/>
    </xf>
    <xf numFmtId="2" fontId="8" fillId="4" borderId="1" xfId="81" applyNumberFormat="1" applyFont="1" applyFill="1" applyBorder="1" applyAlignment="1" applyProtection="1">
      <alignment horizontal="center" vertical="center" wrapText="1"/>
      <protection locked="0"/>
    </xf>
    <xf numFmtId="0" fontId="27" fillId="4" borderId="1" xfId="84" applyFont="1" applyFill="1" applyBorder="1" applyAlignment="1">
      <alignment horizontal="center" vertical="center"/>
    </xf>
    <xf numFmtId="0" fontId="45" fillId="4" borderId="1" xfId="84" applyFont="1" applyFill="1" applyBorder="1" applyAlignment="1" applyProtection="1">
      <alignment horizontal="center" vertical="center" wrapText="1"/>
      <protection locked="0"/>
    </xf>
    <xf numFmtId="2" fontId="45" fillId="4" borderId="1" xfId="84" applyNumberFormat="1" applyFont="1" applyFill="1" applyBorder="1" applyAlignment="1" applyProtection="1">
      <alignment horizontal="center" vertical="center" wrapText="1"/>
      <protection locked="0"/>
    </xf>
    <xf numFmtId="2" fontId="27" fillId="4" borderId="1" xfId="84" applyNumberFormat="1" applyFont="1" applyFill="1" applyBorder="1" applyAlignment="1">
      <alignment horizontal="center" vertical="center"/>
    </xf>
    <xf numFmtId="2" fontId="47" fillId="3" borderId="1" xfId="84" applyNumberFormat="1" applyFont="1" applyFill="1" applyBorder="1" applyAlignment="1">
      <alignment horizontal="center" vertical="center"/>
    </xf>
    <xf numFmtId="0" fontId="27" fillId="3" borderId="1" xfId="84" applyFont="1" applyFill="1" applyBorder="1" applyAlignment="1">
      <alignment horizontal="center" vertical="center" wrapText="1"/>
    </xf>
    <xf numFmtId="0" fontId="27" fillId="3" borderId="1" xfId="85" applyFont="1" applyFill="1" applyBorder="1" applyAlignment="1">
      <alignment horizontal="center" vertical="center" wrapText="1"/>
    </xf>
    <xf numFmtId="49" fontId="46" fillId="4" borderId="1" xfId="5" applyNumberFormat="1" applyFont="1" applyFill="1" applyBorder="1" applyAlignment="1">
      <alignment horizontal="center" vertical="center" wrapText="1"/>
    </xf>
    <xf numFmtId="49" fontId="45" fillId="4" borderId="1" xfId="5" applyNumberFormat="1" applyFont="1" applyFill="1" applyBorder="1" applyAlignment="1">
      <alignment horizontal="left" vertical="center" wrapText="1"/>
    </xf>
    <xf numFmtId="2" fontId="47" fillId="4" borderId="1" xfId="84" applyNumberFormat="1" applyFont="1" applyFill="1" applyBorder="1" applyAlignment="1">
      <alignment horizontal="center" vertical="center"/>
    </xf>
    <xf numFmtId="0" fontId="17" fillId="0" borderId="1" xfId="78" applyFont="1" applyBorder="1" applyAlignment="1">
      <alignment horizontal="left" vertical="center" wrapText="1"/>
    </xf>
    <xf numFmtId="0" fontId="8" fillId="0" borderId="0" xfId="10" applyFont="1"/>
    <xf numFmtId="43" fontId="18" fillId="0" borderId="0" xfId="10" applyNumberFormat="1" applyFont="1"/>
    <xf numFmtId="0" fontId="17" fillId="4" borderId="0" xfId="84" applyFont="1" applyFill="1" applyAlignment="1">
      <alignment horizontal="left" vertical="center" wrapText="1"/>
    </xf>
    <xf numFmtId="0" fontId="16" fillId="3" borderId="1" xfId="0" applyFont="1" applyFill="1" applyBorder="1" applyAlignment="1">
      <alignment horizontal="center" vertical="center"/>
    </xf>
    <xf numFmtId="0" fontId="18" fillId="3" borderId="1" xfId="0" applyFont="1" applyFill="1" applyBorder="1" applyAlignment="1">
      <alignment horizontal="center" vertical="center" wrapText="1"/>
    </xf>
    <xf numFmtId="0" fontId="31" fillId="3" borderId="1" xfId="78" applyFont="1" applyFill="1" applyBorder="1" applyAlignment="1">
      <alignment horizontal="center" vertical="center" wrapText="1"/>
    </xf>
    <xf numFmtId="0" fontId="33" fillId="3" borderId="1" xfId="78" applyFont="1" applyFill="1" applyBorder="1" applyAlignment="1">
      <alignment horizontal="center" vertical="center" wrapText="1"/>
    </xf>
    <xf numFmtId="4" fontId="31" fillId="3" borderId="1" xfId="78" applyNumberFormat="1" applyFont="1" applyFill="1" applyBorder="1" applyAlignment="1">
      <alignment vertical="center"/>
    </xf>
    <xf numFmtId="2" fontId="33" fillId="3" borderId="1" xfId="78" applyNumberFormat="1" applyFont="1" applyFill="1" applyBorder="1" applyAlignment="1">
      <alignment vertical="center"/>
    </xf>
    <xf numFmtId="0" fontId="31" fillId="3" borderId="1" xfId="78" applyFont="1" applyFill="1" applyBorder="1" applyAlignment="1">
      <alignment horizontal="right" vertical="center" wrapText="1"/>
    </xf>
    <xf numFmtId="3" fontId="31" fillId="5" borderId="1" xfId="78" applyNumberFormat="1" applyFont="1" applyFill="1" applyBorder="1" applyAlignment="1">
      <alignment horizontal="right"/>
    </xf>
    <xf numFmtId="2" fontId="35" fillId="3" borderId="1" xfId="0" applyNumberFormat="1" applyFont="1" applyFill="1" applyBorder="1" applyAlignment="1">
      <alignment vertical="center" wrapText="1"/>
    </xf>
    <xf numFmtId="2" fontId="35" fillId="3" borderId="1" xfId="33" applyNumberFormat="1" applyFont="1" applyFill="1" applyBorder="1" applyAlignment="1">
      <alignment horizontal="center" vertical="center" wrapText="1"/>
    </xf>
    <xf numFmtId="2" fontId="35" fillId="3" borderId="1" xfId="0" applyNumberFormat="1" applyFont="1" applyFill="1" applyBorder="1" applyAlignment="1">
      <alignment vertical="center"/>
    </xf>
    <xf numFmtId="2" fontId="35" fillId="3" borderId="1" xfId="33" applyNumberFormat="1" applyFont="1" applyFill="1" applyBorder="1" applyAlignment="1">
      <alignment horizontal="center"/>
    </xf>
    <xf numFmtId="2" fontId="35" fillId="3" borderId="1" xfId="7" applyNumberFormat="1" applyFont="1" applyFill="1" applyBorder="1" applyAlignment="1">
      <alignment horizontal="left" vertical="center"/>
    </xf>
    <xf numFmtId="2" fontId="35" fillId="3" borderId="1" xfId="19" applyNumberFormat="1" applyFont="1" applyFill="1" applyBorder="1" applyAlignment="1">
      <alignment horizontal="center" vertical="center" wrapText="1"/>
    </xf>
    <xf numFmtId="2" fontId="35" fillId="3" borderId="1" xfId="19" applyNumberFormat="1" applyFont="1" applyFill="1" applyBorder="1" applyAlignment="1">
      <alignment horizontal="left" vertical="center" wrapText="1"/>
    </xf>
    <xf numFmtId="2" fontId="35" fillId="3" borderId="1" xfId="7" applyNumberFormat="1" applyFont="1" applyFill="1" applyBorder="1" applyAlignment="1">
      <alignment horizontal="center" vertical="center" wrapText="1"/>
    </xf>
    <xf numFmtId="2" fontId="35" fillId="3" borderId="6" xfId="33" applyNumberFormat="1" applyFont="1" applyFill="1" applyBorder="1" applyAlignment="1">
      <alignment horizontal="center" vertical="center" wrapText="1"/>
    </xf>
    <xf numFmtId="4" fontId="37" fillId="3" borderId="1" xfId="19" applyNumberFormat="1" applyFont="1" applyFill="1" applyBorder="1" applyAlignment="1">
      <alignment horizontal="center" vertical="center" wrapText="1"/>
    </xf>
    <xf numFmtId="2" fontId="35" fillId="4" borderId="1" xfId="19" applyNumberFormat="1" applyFont="1" applyFill="1" applyBorder="1" applyAlignment="1">
      <alignment horizontal="center" wrapText="1"/>
    </xf>
    <xf numFmtId="4" fontId="37" fillId="4" borderId="1" xfId="19" applyNumberFormat="1" applyFont="1" applyFill="1" applyBorder="1" applyAlignment="1">
      <alignment horizontal="center" vertical="center" wrapText="1"/>
    </xf>
    <xf numFmtId="2" fontId="37" fillId="4" borderId="1" xfId="19" applyNumberFormat="1" applyFont="1" applyFill="1" applyBorder="1" applyAlignment="1">
      <alignment horizontal="center" wrapText="1"/>
    </xf>
    <xf numFmtId="2" fontId="35" fillId="0" borderId="1" xfId="19" applyNumberFormat="1" applyFont="1" applyBorder="1" applyAlignment="1">
      <alignment horizontal="center" wrapText="1"/>
    </xf>
    <xf numFmtId="4" fontId="28" fillId="4" borderId="1" xfId="0" applyNumberFormat="1" applyFont="1" applyFill="1" applyBorder="1" applyAlignment="1">
      <alignment horizontal="center"/>
    </xf>
    <xf numFmtId="2" fontId="35" fillId="4" borderId="1" xfId="19" applyNumberFormat="1" applyFont="1" applyFill="1" applyBorder="1" applyAlignment="1">
      <alignment horizontal="center"/>
    </xf>
    <xf numFmtId="4" fontId="28" fillId="0" borderId="1" xfId="0" applyNumberFormat="1" applyFont="1" applyBorder="1" applyAlignment="1">
      <alignment horizontal="center"/>
    </xf>
    <xf numFmtId="2" fontId="35" fillId="4" borderId="1" xfId="21" applyNumberFormat="1" applyFont="1" applyFill="1" applyBorder="1" applyAlignment="1">
      <alignment horizontal="center" vertical="center" wrapText="1"/>
    </xf>
    <xf numFmtId="3" fontId="35" fillId="0" borderId="1" xfId="33" applyNumberFormat="1" applyFont="1" applyBorder="1" applyAlignment="1">
      <alignment horizontal="center"/>
    </xf>
    <xf numFmtId="3" fontId="35" fillId="4" borderId="1" xfId="33" applyNumberFormat="1" applyFont="1" applyFill="1" applyBorder="1" applyAlignment="1">
      <alignment horizontal="center"/>
    </xf>
    <xf numFmtId="0" fontId="19" fillId="8" borderId="0" xfId="77" applyFont="1" applyFill="1" applyAlignment="1">
      <alignment horizontal="center" vertical="center"/>
    </xf>
    <xf numFmtId="2" fontId="18" fillId="8" borderId="0" xfId="77" applyNumberFormat="1" applyFont="1" applyFill="1" applyAlignment="1">
      <alignment horizontal="center"/>
    </xf>
    <xf numFmtId="0" fontId="21" fillId="7" borderId="1" xfId="77" applyFont="1" applyFill="1" applyBorder="1" applyAlignment="1">
      <alignment horizontal="center"/>
    </xf>
    <xf numFmtId="0" fontId="21" fillId="7" borderId="1" xfId="77" applyFont="1" applyFill="1" applyBorder="1" applyAlignment="1">
      <alignment horizontal="center" vertical="center"/>
    </xf>
    <xf numFmtId="0" fontId="21" fillId="7" borderId="1" xfId="77" applyFont="1" applyFill="1" applyBorder="1" applyAlignment="1">
      <alignment horizontal="center" vertical="center" wrapText="1"/>
    </xf>
    <xf numFmtId="2" fontId="18" fillId="8" borderId="1" xfId="77" applyNumberFormat="1" applyFont="1" applyFill="1" applyBorder="1" applyAlignment="1">
      <alignment horizontal="center" vertical="center"/>
    </xf>
    <xf numFmtId="0" fontId="21" fillId="8" borderId="0" xfId="77" applyFont="1" applyFill="1" applyAlignment="1">
      <alignment horizontal="center" vertical="center"/>
    </xf>
    <xf numFmtId="0" fontId="21" fillId="8" borderId="0" xfId="77" applyFont="1" applyFill="1" applyAlignment="1">
      <alignment horizontal="center" vertical="center" wrapText="1"/>
    </xf>
    <xf numFmtId="43" fontId="8" fillId="8" borderId="0" xfId="77" applyNumberFormat="1" applyFont="1" applyFill="1" applyAlignment="1">
      <alignment horizontal="center" vertical="center"/>
    </xf>
    <xf numFmtId="2" fontId="8" fillId="8" borderId="0" xfId="77" applyNumberFormat="1" applyFont="1" applyFill="1" applyAlignment="1">
      <alignment horizontal="center"/>
    </xf>
    <xf numFmtId="0" fontId="17" fillId="4" borderId="0" xfId="84" applyFont="1" applyFill="1" applyAlignment="1">
      <alignment horizontal="center" vertical="center" wrapText="1"/>
    </xf>
    <xf numFmtId="2" fontId="18" fillId="9" borderId="1" xfId="77" applyNumberFormat="1" applyFont="1" applyFill="1" applyBorder="1" applyAlignment="1">
      <alignment horizontal="center"/>
    </xf>
    <xf numFmtId="2" fontId="16" fillId="4" borderId="1" xfId="84" applyNumberFormat="1" applyFont="1" applyFill="1" applyBorder="1"/>
    <xf numFmtId="2" fontId="16" fillId="5" borderId="1" xfId="84" applyNumberFormat="1" applyFont="1" applyFill="1" applyBorder="1"/>
    <xf numFmtId="0" fontId="17" fillId="4" borderId="1" xfId="78" applyFont="1" applyFill="1" applyBorder="1" applyAlignment="1">
      <alignment horizontal="left" vertical="center" wrapText="1"/>
    </xf>
    <xf numFmtId="166" fontId="16" fillId="5" borderId="1" xfId="77" applyNumberFormat="1" applyFont="1" applyFill="1" applyBorder="1" applyAlignment="1">
      <alignment horizontal="center" vertical="center"/>
    </xf>
    <xf numFmtId="43" fontId="16" fillId="5" borderId="1" xfId="77" applyNumberFormat="1" applyFont="1" applyFill="1" applyBorder="1" applyAlignment="1">
      <alignment horizontal="center" vertical="center"/>
    </xf>
    <xf numFmtId="0" fontId="17" fillId="0" borderId="0" xfId="78" applyFont="1"/>
    <xf numFmtId="0" fontId="21" fillId="7" borderId="1" xfId="77" applyFont="1" applyFill="1" applyBorder="1"/>
    <xf numFmtId="0" fontId="21" fillId="12" borderId="0" xfId="77" applyFont="1" applyFill="1"/>
    <xf numFmtId="0" fontId="21" fillId="8" borderId="0" xfId="77" applyFont="1" applyFill="1"/>
    <xf numFmtId="43" fontId="8" fillId="12" borderId="1" xfId="77" applyNumberFormat="1" applyFont="1" applyFill="1" applyBorder="1"/>
    <xf numFmtId="164" fontId="21" fillId="8" borderId="0" xfId="77" applyNumberFormat="1" applyFont="1" applyFill="1"/>
    <xf numFmtId="164" fontId="17" fillId="4" borderId="0" xfId="78" applyNumberFormat="1" applyFont="1" applyFill="1"/>
    <xf numFmtId="2" fontId="8" fillId="12" borderId="1" xfId="77" applyNumberFormat="1" applyFont="1" applyFill="1" applyBorder="1"/>
    <xf numFmtId="2" fontId="21" fillId="8" borderId="0" xfId="77" applyNumberFormat="1" applyFont="1" applyFill="1"/>
    <xf numFmtId="0" fontId="19" fillId="8" borderId="1" xfId="77" applyFont="1" applyFill="1" applyBorder="1" applyAlignment="1">
      <alignment vertical="center"/>
    </xf>
    <xf numFmtId="164" fontId="19" fillId="8" borderId="1" xfId="77" applyNumberFormat="1" applyFont="1" applyFill="1" applyBorder="1" applyAlignment="1">
      <alignment vertical="center"/>
    </xf>
    <xf numFmtId="0" fontId="19" fillId="8" borderId="0" xfId="77" applyFont="1" applyFill="1" applyAlignment="1">
      <alignment vertical="center"/>
    </xf>
    <xf numFmtId="164" fontId="19" fillId="8" borderId="0" xfId="77" applyNumberFormat="1" applyFont="1" applyFill="1" applyAlignment="1">
      <alignment vertical="center"/>
    </xf>
    <xf numFmtId="0" fontId="21" fillId="12" borderId="0" xfId="77" applyFont="1" applyFill="1" applyAlignment="1">
      <alignment horizontal="right"/>
    </xf>
    <xf numFmtId="0" fontId="17" fillId="4" borderId="0" xfId="77" applyFont="1" applyFill="1"/>
    <xf numFmtId="164" fontId="17" fillId="4" borderId="0" xfId="77" applyNumberFormat="1" applyFont="1" applyFill="1"/>
    <xf numFmtId="0" fontId="17" fillId="4" borderId="1" xfId="77" applyFont="1" applyFill="1" applyBorder="1" applyAlignment="1">
      <alignment horizontal="center" vertical="center" wrapText="1"/>
    </xf>
    <xf numFmtId="0" fontId="17" fillId="4" borderId="0" xfId="77" applyFont="1" applyFill="1" applyAlignment="1">
      <alignment vertical="center" wrapText="1"/>
    </xf>
    <xf numFmtId="0" fontId="17" fillId="4" borderId="0" xfId="77" applyFont="1" applyFill="1" applyAlignment="1">
      <alignment horizontal="right"/>
    </xf>
    <xf numFmtId="2" fontId="17" fillId="4" borderId="1" xfId="77" applyNumberFormat="1" applyFont="1" applyFill="1" applyBorder="1" applyAlignment="1">
      <alignment horizontal="center" vertical="center" wrapText="1"/>
    </xf>
    <xf numFmtId="0" fontId="17" fillId="3" borderId="1" xfId="77" applyFont="1" applyFill="1" applyBorder="1" applyAlignment="1">
      <alignment horizontal="center" vertical="center" wrapText="1"/>
    </xf>
    <xf numFmtId="0" fontId="17" fillId="3" borderId="1" xfId="77" applyFont="1" applyFill="1" applyBorder="1"/>
    <xf numFmtId="0" fontId="17" fillId="3" borderId="1" xfId="77" applyFont="1" applyFill="1" applyBorder="1" applyAlignment="1">
      <alignment horizontal="center"/>
    </xf>
    <xf numFmtId="0" fontId="17" fillId="3" borderId="1" xfId="79" applyFont="1" applyFill="1" applyBorder="1" applyAlignment="1">
      <alignment horizontal="center" vertical="center" wrapText="1"/>
    </xf>
    <xf numFmtId="0" fontId="17" fillId="3" borderId="1" xfId="77" applyFont="1" applyFill="1" applyBorder="1" applyAlignment="1">
      <alignment horizontal="center" wrapText="1"/>
    </xf>
    <xf numFmtId="0" fontId="17" fillId="3" borderId="1" xfId="77" applyFont="1" applyFill="1" applyBorder="1" applyAlignment="1">
      <alignment horizontal="center" vertical="center"/>
    </xf>
    <xf numFmtId="0" fontId="8" fillId="4" borderId="1" xfId="80" applyFont="1" applyFill="1" applyBorder="1" applyAlignment="1" applyProtection="1">
      <alignment vertical="center" wrapText="1"/>
      <protection locked="0"/>
    </xf>
    <xf numFmtId="2" fontId="8" fillId="4" borderId="1" xfId="77" applyNumberFormat="1" applyFont="1" applyFill="1" applyBorder="1" applyAlignment="1" applyProtection="1">
      <alignment horizontal="center" vertical="center" wrapText="1"/>
      <protection locked="0"/>
    </xf>
    <xf numFmtId="0" fontId="8" fillId="4" borderId="1" xfId="77" applyFont="1" applyFill="1" applyBorder="1" applyAlignment="1" applyProtection="1">
      <alignment horizontal="center" vertical="center" wrapText="1"/>
      <protection locked="0"/>
    </xf>
    <xf numFmtId="2" fontId="16" fillId="3" borderId="1" xfId="77" applyNumberFormat="1" applyFont="1" applyFill="1" applyBorder="1" applyAlignment="1">
      <alignment horizontal="center" vertical="center"/>
    </xf>
    <xf numFmtId="2" fontId="17" fillId="4" borderId="1" xfId="77" applyNumberFormat="1" applyFont="1" applyFill="1" applyBorder="1" applyAlignment="1">
      <alignment horizontal="center" vertical="center"/>
    </xf>
    <xf numFmtId="0" fontId="17" fillId="4" borderId="1" xfId="77" applyFont="1" applyFill="1" applyBorder="1" applyAlignment="1">
      <alignment horizontal="center" vertical="center"/>
    </xf>
    <xf numFmtId="0" fontId="8" fillId="12" borderId="0" xfId="77" applyFont="1" applyFill="1" applyAlignment="1">
      <alignment vertical="center"/>
    </xf>
    <xf numFmtId="0" fontId="8" fillId="12" borderId="0" xfId="77" applyFont="1" applyFill="1"/>
    <xf numFmtId="3" fontId="21" fillId="7" borderId="1" xfId="77" applyNumberFormat="1" applyFont="1" applyFill="1" applyBorder="1" applyAlignment="1">
      <alignment horizontal="center" vertical="center" wrapText="1"/>
    </xf>
    <xf numFmtId="3" fontId="21" fillId="7" borderId="4" xfId="77" applyNumberFormat="1" applyFont="1" applyFill="1" applyBorder="1" applyAlignment="1">
      <alignment horizontal="center" vertical="center" wrapText="1"/>
    </xf>
    <xf numFmtId="49" fontId="8" fillId="0" borderId="12" xfId="5" applyNumberFormat="1" applyFont="1" applyBorder="1" applyAlignment="1">
      <alignment vertical="center" wrapText="1"/>
    </xf>
    <xf numFmtId="2" fontId="8" fillId="12" borderId="13" xfId="77" applyNumberFormat="1" applyFont="1" applyFill="1" applyBorder="1" applyAlignment="1">
      <alignment horizontal="center" vertical="center" wrapText="1"/>
    </xf>
    <xf numFmtId="2" fontId="8" fillId="12" borderId="5" xfId="77" applyNumberFormat="1" applyFont="1" applyFill="1" applyBorder="1" applyAlignment="1">
      <alignment horizontal="center" vertical="center" wrapText="1"/>
    </xf>
    <xf numFmtId="165" fontId="8" fillId="12" borderId="9" xfId="82" applyNumberFormat="1" applyFont="1" applyFill="1" applyBorder="1" applyAlignment="1">
      <alignment horizontal="center" vertical="center"/>
    </xf>
    <xf numFmtId="165" fontId="8" fillId="12" borderId="5" xfId="82" applyNumberFormat="1" applyFont="1" applyFill="1" applyBorder="1" applyAlignment="1">
      <alignment horizontal="center" vertical="center"/>
    </xf>
    <xf numFmtId="43" fontId="18" fillId="12" borderId="5" xfId="82" applyFont="1" applyFill="1" applyBorder="1" applyAlignment="1">
      <alignment horizontal="center" vertical="center" wrapText="1"/>
    </xf>
    <xf numFmtId="0" fontId="8" fillId="0" borderId="5" xfId="77" applyFont="1" applyBorder="1" applyAlignment="1">
      <alignment horizontal="center" vertical="center"/>
    </xf>
    <xf numFmtId="0" fontId="8" fillId="4" borderId="5" xfId="77" applyFont="1" applyFill="1" applyBorder="1" applyAlignment="1">
      <alignment horizontal="center" wrapText="1"/>
    </xf>
    <xf numFmtId="0" fontId="8" fillId="0" borderId="5" xfId="77" applyFont="1" applyBorder="1" applyAlignment="1">
      <alignment vertical="center" wrapText="1"/>
    </xf>
    <xf numFmtId="166" fontId="8" fillId="0" borderId="1" xfId="77" applyNumberFormat="1" applyFont="1" applyBorder="1" applyAlignment="1">
      <alignment vertical="center" wrapText="1"/>
    </xf>
    <xf numFmtId="2" fontId="8" fillId="0" borderId="1" xfId="77" applyNumberFormat="1" applyFont="1" applyBorder="1" applyAlignment="1">
      <alignment vertical="center" wrapText="1"/>
    </xf>
    <xf numFmtId="43" fontId="18" fillId="0" borderId="1" xfId="82" applyFont="1" applyFill="1" applyBorder="1" applyAlignment="1">
      <alignment horizontal="center" vertical="center"/>
    </xf>
    <xf numFmtId="43" fontId="8" fillId="0" borderId="0" xfId="82" applyFont="1" applyFill="1" applyBorder="1"/>
    <xf numFmtId="0" fontId="15" fillId="8" borderId="0" xfId="77" applyFont="1" applyFill="1"/>
    <xf numFmtId="0" fontId="8" fillId="8" borderId="0" xfId="77" applyFont="1" applyFill="1"/>
    <xf numFmtId="0" fontId="15" fillId="12" borderId="0" xfId="77" applyFont="1" applyFill="1"/>
    <xf numFmtId="0" fontId="26" fillId="12" borderId="0" xfId="77" applyFont="1" applyFill="1"/>
    <xf numFmtId="0" fontId="15" fillId="0" borderId="0" xfId="113" applyFont="1" applyAlignment="1">
      <alignment horizontal="center" vertical="center" wrapText="1"/>
    </xf>
    <xf numFmtId="164" fontId="17" fillId="0" borderId="0" xfId="0" applyNumberFormat="1" applyFont="1"/>
    <xf numFmtId="164" fontId="16" fillId="5" borderId="1" xfId="0" applyNumberFormat="1" applyFont="1" applyFill="1" applyBorder="1"/>
    <xf numFmtId="0" fontId="8" fillId="3" borderId="1" xfId="113" applyFont="1" applyFill="1" applyBorder="1" applyAlignment="1">
      <alignment horizontal="center" vertical="center" wrapText="1"/>
    </xf>
    <xf numFmtId="0" fontId="18" fillId="0" borderId="1" xfId="0" applyFont="1" applyBorder="1"/>
    <xf numFmtId="165" fontId="18" fillId="3" borderId="1" xfId="0" applyNumberFormat="1" applyFont="1" applyFill="1" applyBorder="1"/>
    <xf numFmtId="0" fontId="18" fillId="0" borderId="1" xfId="0" applyFont="1" applyBorder="1" applyAlignment="1">
      <alignment vertical="center" wrapText="1"/>
    </xf>
    <xf numFmtId="165" fontId="18" fillId="4" borderId="1" xfId="2" applyNumberFormat="1" applyFont="1" applyFill="1" applyBorder="1" applyAlignment="1">
      <alignment horizontal="center" vertical="center"/>
    </xf>
    <xf numFmtId="43" fontId="18" fillId="4" borderId="1" xfId="2" applyFont="1" applyFill="1" applyBorder="1" applyAlignment="1">
      <alignment vertical="center"/>
    </xf>
    <xf numFmtId="43" fontId="18" fillId="4" borderId="1" xfId="2" applyFont="1" applyFill="1" applyBorder="1"/>
    <xf numFmtId="43" fontId="18" fillId="3" borderId="1" xfId="2" applyFont="1" applyFill="1" applyBorder="1"/>
    <xf numFmtId="0" fontId="16" fillId="0" borderId="1" xfId="0" applyFont="1" applyBorder="1" applyAlignment="1">
      <alignment vertical="center" wrapText="1"/>
    </xf>
    <xf numFmtId="43" fontId="16" fillId="2" borderId="1" xfId="0" applyNumberFormat="1" applyFont="1" applyFill="1" applyBorder="1"/>
    <xf numFmtId="166" fontId="16" fillId="2" borderId="1" xfId="0" applyNumberFormat="1" applyFont="1" applyFill="1" applyBorder="1"/>
    <xf numFmtId="0" fontId="26" fillId="0" borderId="0" xfId="0" applyFont="1"/>
    <xf numFmtId="4" fontId="17" fillId="0" borderId="1" xfId="0" applyNumberFormat="1" applyFont="1" applyBorder="1"/>
    <xf numFmtId="0" fontId="8" fillId="0" borderId="14" xfId="0" applyFont="1" applyBorder="1" applyAlignment="1">
      <alignment vertical="center" wrapText="1"/>
    </xf>
    <xf numFmtId="0" fontId="19" fillId="7" borderId="1" xfId="0" applyFont="1" applyFill="1" applyBorder="1" applyAlignment="1">
      <alignment horizontal="center"/>
    </xf>
    <xf numFmtId="4" fontId="19" fillId="3" borderId="1" xfId="0" applyNumberFormat="1" applyFont="1" applyFill="1" applyBorder="1" applyAlignment="1">
      <alignment horizontal="center" vertical="center" wrapText="1"/>
    </xf>
    <xf numFmtId="4" fontId="18" fillId="7" borderId="1" xfId="0" applyNumberFormat="1" applyFont="1" applyFill="1" applyBorder="1" applyAlignment="1">
      <alignment horizontal="center" vertical="center"/>
    </xf>
    <xf numFmtId="4" fontId="18" fillId="8" borderId="1" xfId="0" applyNumberFormat="1" applyFont="1" applyFill="1" applyBorder="1" applyAlignment="1">
      <alignment horizontal="center" vertical="center"/>
    </xf>
    <xf numFmtId="4" fontId="19" fillId="0" borderId="1" xfId="0" applyNumberFormat="1" applyFont="1" applyBorder="1" applyAlignment="1">
      <alignment horizontal="center" vertical="center"/>
    </xf>
    <xf numFmtId="4" fontId="19" fillId="9" borderId="1" xfId="0" applyNumberFormat="1" applyFont="1" applyFill="1" applyBorder="1" applyAlignment="1">
      <alignment horizontal="center" vertical="center"/>
    </xf>
    <xf numFmtId="3" fontId="17" fillId="0" borderId="1" xfId="0" applyNumberFormat="1" applyFont="1" applyBorder="1" applyAlignment="1">
      <alignment horizontal="center" vertical="center"/>
    </xf>
    <xf numFmtId="4" fontId="17" fillId="0" borderId="1" xfId="0" applyNumberFormat="1" applyFont="1" applyBorder="1" applyAlignment="1">
      <alignment horizontal="center" vertical="center"/>
    </xf>
    <xf numFmtId="4" fontId="16" fillId="4" borderId="1" xfId="0" applyNumberFormat="1" applyFont="1" applyFill="1" applyBorder="1" applyAlignment="1">
      <alignment horizontal="center" vertical="center"/>
    </xf>
    <xf numFmtId="4" fontId="16" fillId="2" borderId="1" xfId="0" applyNumberFormat="1" applyFont="1" applyFill="1" applyBorder="1"/>
    <xf numFmtId="0" fontId="35" fillId="0" borderId="0" xfId="88" applyFont="1" applyAlignment="1">
      <alignment horizontal="left" vertical="center" wrapText="1"/>
    </xf>
    <xf numFmtId="0" fontId="17" fillId="4" borderId="0" xfId="84" applyFont="1" applyFill="1" applyAlignment="1">
      <alignment horizontal="left"/>
    </xf>
    <xf numFmtId="4" fontId="37" fillId="5" borderId="1" xfId="88" applyNumberFormat="1" applyFont="1" applyFill="1" applyBorder="1" applyAlignment="1">
      <alignment horizontal="center"/>
    </xf>
    <xf numFmtId="4" fontId="37" fillId="3" borderId="1" xfId="88" applyNumberFormat="1" applyFont="1" applyFill="1" applyBorder="1" applyAlignment="1">
      <alignment horizontal="center"/>
    </xf>
    <xf numFmtId="0" fontId="35" fillId="0" borderId="0" xfId="88" applyFont="1" applyAlignment="1">
      <alignment vertical="center" wrapText="1"/>
    </xf>
    <xf numFmtId="4" fontId="35" fillId="4" borderId="1" xfId="88" applyNumberFormat="1" applyFont="1" applyFill="1" applyBorder="1"/>
    <xf numFmtId="0" fontId="35" fillId="0" borderId="1" xfId="88" applyFont="1" applyBorder="1" applyAlignment="1">
      <alignment horizontal="left" vertical="center" wrapText="1"/>
    </xf>
    <xf numFmtId="4" fontId="18" fillId="5" borderId="1" xfId="88" applyNumberFormat="1" applyFont="1" applyFill="1" applyBorder="1" applyAlignment="1">
      <alignment horizontal="center"/>
    </xf>
    <xf numFmtId="2" fontId="16" fillId="4" borderId="0" xfId="84" applyNumberFormat="1" applyFont="1" applyFill="1" applyAlignment="1">
      <alignment horizontal="center" vertical="center"/>
    </xf>
    <xf numFmtId="2" fontId="18" fillId="4" borderId="0" xfId="84" applyNumberFormat="1" applyFont="1" applyFill="1"/>
    <xf numFmtId="2" fontId="17" fillId="4" borderId="0" xfId="84" applyNumberFormat="1" applyFont="1" applyFill="1"/>
    <xf numFmtId="2" fontId="46" fillId="0" borderId="1" xfId="5" applyNumberFormat="1" applyFont="1" applyBorder="1" applyAlignment="1" applyProtection="1">
      <alignment horizontal="center" wrapText="1"/>
      <protection locked="0"/>
    </xf>
    <xf numFmtId="2" fontId="27" fillId="4" borderId="1" xfId="84" applyNumberFormat="1" applyFont="1" applyFill="1" applyBorder="1" applyAlignment="1">
      <alignment horizontal="center" vertical="center" wrapText="1"/>
    </xf>
    <xf numFmtId="0" fontId="35" fillId="4" borderId="0" xfId="88" applyFont="1" applyFill="1" applyAlignment="1">
      <alignment horizontal="left" vertical="center" wrapText="1"/>
    </xf>
    <xf numFmtId="4" fontId="18" fillId="4" borderId="0" xfId="88" applyNumberFormat="1" applyFont="1" applyFill="1" applyAlignment="1">
      <alignment horizontal="center" vertical="center"/>
    </xf>
    <xf numFmtId="0" fontId="17" fillId="4" borderId="0" xfId="84" applyFont="1" applyFill="1" applyAlignment="1">
      <alignment horizontal="center" vertical="center"/>
    </xf>
    <xf numFmtId="49" fontId="8" fillId="4" borderId="1" xfId="5" applyNumberFormat="1" applyFont="1" applyFill="1" applyBorder="1" applyAlignment="1">
      <alignment horizontal="center" vertical="center" wrapText="1"/>
    </xf>
    <xf numFmtId="2" fontId="16" fillId="3" borderId="1" xfId="84" applyNumberFormat="1" applyFont="1" applyFill="1" applyBorder="1" applyAlignment="1">
      <alignment horizontal="center" vertical="center"/>
    </xf>
    <xf numFmtId="49" fontId="8" fillId="4" borderId="1" xfId="5" applyNumberFormat="1" applyFont="1" applyFill="1" applyBorder="1" applyAlignment="1">
      <alignment horizontal="left" vertical="center" wrapText="1"/>
    </xf>
    <xf numFmtId="0" fontId="17" fillId="0" borderId="1" xfId="77" applyFont="1" applyBorder="1" applyAlignment="1">
      <alignment horizontal="center" vertical="center"/>
    </xf>
    <xf numFmtId="2" fontId="17" fillId="0" borderId="1" xfId="77" applyNumberFormat="1" applyFont="1" applyBorder="1" applyAlignment="1">
      <alignment horizontal="center" vertical="center"/>
    </xf>
    <xf numFmtId="3" fontId="17" fillId="3" borderId="1" xfId="77" applyNumberFormat="1" applyFont="1" applyFill="1" applyBorder="1" applyAlignment="1">
      <alignment horizontal="center" vertical="center" wrapText="1"/>
    </xf>
    <xf numFmtId="3" fontId="17" fillId="3" borderId="4" xfId="77" applyNumberFormat="1" applyFont="1" applyFill="1" applyBorder="1" applyAlignment="1">
      <alignment horizontal="center" vertical="center" wrapText="1"/>
    </xf>
    <xf numFmtId="0" fontId="17" fillId="3" borderId="0" xfId="77" applyFont="1" applyFill="1" applyAlignment="1">
      <alignment vertical="center"/>
    </xf>
    <xf numFmtId="0" fontId="17" fillId="3" borderId="0" xfId="77" applyFont="1" applyFill="1"/>
    <xf numFmtId="0" fontId="17" fillId="0" borderId="1" xfId="77" applyFont="1" applyBorder="1" applyAlignment="1">
      <alignment horizontal="center" vertical="center" wrapText="1"/>
    </xf>
    <xf numFmtId="0" fontId="17" fillId="0" borderId="13" xfId="77" applyFont="1" applyBorder="1" applyAlignment="1">
      <alignment horizontal="center" vertical="center" wrapText="1"/>
    </xf>
    <xf numFmtId="0" fontId="17" fillId="0" borderId="5" xfId="77" applyFont="1" applyBorder="1" applyAlignment="1">
      <alignment horizontal="center" vertical="center" wrapText="1"/>
    </xf>
    <xf numFmtId="3" fontId="17" fillId="0" borderId="7" xfId="77" applyNumberFormat="1" applyFont="1" applyBorder="1" applyAlignment="1">
      <alignment horizontal="center" vertical="center" wrapText="1"/>
    </xf>
    <xf numFmtId="3" fontId="17" fillId="0" borderId="4" xfId="77" applyNumberFormat="1" applyFont="1" applyBorder="1" applyAlignment="1">
      <alignment horizontal="center" vertical="center" wrapText="1"/>
    </xf>
    <xf numFmtId="3" fontId="17" fillId="0" borderId="9" xfId="77" applyNumberFormat="1" applyFont="1" applyBorder="1" applyAlignment="1">
      <alignment horizontal="center" vertical="center" wrapText="1"/>
    </xf>
    <xf numFmtId="3" fontId="17" fillId="0" borderId="5" xfId="77" applyNumberFormat="1" applyFont="1" applyBorder="1" applyAlignment="1">
      <alignment horizontal="center" vertical="center" wrapText="1"/>
    </xf>
    <xf numFmtId="0" fontId="17" fillId="4" borderId="9" xfId="77" applyFont="1" applyFill="1" applyBorder="1" applyAlignment="1">
      <alignment horizontal="center" vertical="center"/>
    </xf>
    <xf numFmtId="173" fontId="8" fillId="0" borderId="1" xfId="83" applyNumberFormat="1" applyFont="1" applyBorder="1" applyAlignment="1" applyProtection="1">
      <alignment horizontal="center" vertical="center" wrapText="1"/>
      <protection locked="0"/>
    </xf>
    <xf numFmtId="0" fontId="32" fillId="4" borderId="13" xfId="77" applyFont="1" applyFill="1" applyBorder="1" applyAlignment="1">
      <alignment horizontal="center" vertical="center" wrapText="1"/>
    </xf>
    <xf numFmtId="2" fontId="17" fillId="4" borderId="13" xfId="77" applyNumberFormat="1" applyFont="1" applyFill="1" applyBorder="1" applyAlignment="1">
      <alignment horizontal="center" vertical="center" wrapText="1"/>
    </xf>
    <xf numFmtId="2" fontId="17" fillId="4" borderId="5" xfId="77" applyNumberFormat="1" applyFont="1" applyFill="1" applyBorder="1" applyAlignment="1">
      <alignment horizontal="center" vertical="center" wrapText="1"/>
    </xf>
    <xf numFmtId="165" fontId="17" fillId="4" borderId="1" xfId="82" applyNumberFormat="1" applyFont="1" applyFill="1" applyBorder="1" applyAlignment="1">
      <alignment horizontal="center" vertical="center" wrapText="1"/>
    </xf>
    <xf numFmtId="165" fontId="17" fillId="4" borderId="1" xfId="82" applyNumberFormat="1" applyFont="1" applyFill="1" applyBorder="1" applyAlignment="1">
      <alignment horizontal="center" vertical="center"/>
    </xf>
    <xf numFmtId="165" fontId="17" fillId="4" borderId="5" xfId="82" applyNumberFormat="1" applyFont="1" applyFill="1" applyBorder="1" applyAlignment="1">
      <alignment horizontal="center" vertical="center"/>
    </xf>
    <xf numFmtId="43" fontId="16" fillId="4" borderId="5" xfId="82" applyFont="1" applyFill="1" applyBorder="1" applyAlignment="1">
      <alignment horizontal="center" vertical="center" wrapText="1"/>
    </xf>
    <xf numFmtId="0" fontId="17" fillId="0" borderId="5" xfId="77" applyFont="1" applyBorder="1" applyAlignment="1">
      <alignment horizontal="center" vertical="center"/>
    </xf>
    <xf numFmtId="0" fontId="17" fillId="0" borderId="5" xfId="77" applyFont="1" applyBorder="1" applyAlignment="1">
      <alignment vertical="center" wrapText="1"/>
    </xf>
    <xf numFmtId="166" fontId="17" fillId="4" borderId="1" xfId="77" applyNumberFormat="1" applyFont="1" applyFill="1" applyBorder="1" applyAlignment="1">
      <alignment horizontal="center" vertical="center"/>
    </xf>
    <xf numFmtId="0" fontId="17" fillId="4" borderId="1" xfId="77" applyFont="1" applyFill="1" applyBorder="1"/>
    <xf numFmtId="0" fontId="17" fillId="0" borderId="1" xfId="77" applyFont="1" applyBorder="1" applyAlignment="1">
      <alignment horizontal="left" vertical="center" wrapText="1"/>
    </xf>
    <xf numFmtId="165" fontId="17" fillId="4" borderId="1" xfId="82" applyNumberFormat="1" applyFont="1" applyFill="1" applyBorder="1" applyAlignment="1">
      <alignment vertical="center" wrapText="1"/>
    </xf>
    <xf numFmtId="165" fontId="17" fillId="4" borderId="9" xfId="82" applyNumberFormat="1" applyFont="1" applyFill="1" applyBorder="1" applyAlignment="1">
      <alignment horizontal="center" vertical="center"/>
    </xf>
    <xf numFmtId="43" fontId="18" fillId="0" borderId="1" xfId="82" applyFont="1" applyBorder="1" applyAlignment="1"/>
    <xf numFmtId="43" fontId="18" fillId="0" borderId="6" xfId="82" applyFont="1" applyBorder="1" applyAlignment="1"/>
    <xf numFmtId="43" fontId="18" fillId="0" borderId="1" xfId="82" applyFont="1" applyBorder="1" applyAlignment="1">
      <alignment horizontal="center" vertical="center"/>
    </xf>
    <xf numFmtId="43" fontId="8" fillId="0" borderId="0" xfId="82" applyFont="1"/>
    <xf numFmtId="166" fontId="18" fillId="13" borderId="0" xfId="10" applyNumberFormat="1" applyFont="1" applyFill="1"/>
    <xf numFmtId="0" fontId="26" fillId="4" borderId="0" xfId="77" applyFont="1" applyFill="1"/>
    <xf numFmtId="2" fontId="18" fillId="4" borderId="0" xfId="84" applyNumberFormat="1" applyFont="1" applyFill="1" applyAlignment="1">
      <alignment horizontal="center"/>
    </xf>
    <xf numFmtId="166" fontId="18" fillId="5" borderId="1" xfId="0" applyNumberFormat="1" applyFont="1" applyFill="1" applyBorder="1"/>
    <xf numFmtId="0" fontId="8" fillId="4" borderId="7" xfId="0" applyFont="1" applyFill="1" applyBorder="1" applyAlignment="1">
      <alignment horizontal="right"/>
    </xf>
    <xf numFmtId="164" fontId="18" fillId="3" borderId="1" xfId="0" applyNumberFormat="1" applyFont="1" applyFill="1" applyBorder="1"/>
    <xf numFmtId="164" fontId="17" fillId="0" borderId="1" xfId="0" applyNumberFormat="1" applyFont="1" applyBorder="1" applyAlignment="1">
      <alignment horizontal="center"/>
    </xf>
    <xf numFmtId="165" fontId="8" fillId="0" borderId="1" xfId="2" applyNumberFormat="1" applyFont="1" applyBorder="1"/>
    <xf numFmtId="165" fontId="18" fillId="0" borderId="1" xfId="2" applyNumberFormat="1" applyFont="1" applyBorder="1"/>
    <xf numFmtId="165" fontId="18" fillId="4" borderId="1" xfId="2" applyNumberFormat="1" applyFont="1" applyFill="1" applyBorder="1"/>
    <xf numFmtId="0" fontId="8" fillId="4" borderId="0" xfId="0" applyFont="1" applyFill="1"/>
    <xf numFmtId="0" fontId="18" fillId="4" borderId="1" xfId="0" applyFont="1" applyFill="1" applyBorder="1" applyAlignment="1">
      <alignment vertical="center" wrapText="1"/>
    </xf>
    <xf numFmtId="0" fontId="8" fillId="2"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3" fontId="18" fillId="5" borderId="1" xfId="0" applyNumberFormat="1" applyFont="1" applyFill="1" applyBorder="1" applyAlignment="1">
      <alignment horizontal="center" vertical="center" wrapText="1"/>
    </xf>
    <xf numFmtId="3" fontId="17" fillId="0" borderId="1" xfId="0" applyNumberFormat="1" applyFont="1" applyBorder="1" applyAlignment="1">
      <alignment horizontal="right" vertical="center"/>
    </xf>
    <xf numFmtId="4" fontId="18" fillId="3" borderId="1" xfId="0" applyNumberFormat="1" applyFont="1" applyFill="1" applyBorder="1" applyAlignment="1">
      <alignment vertical="center"/>
    </xf>
    <xf numFmtId="0" fontId="29" fillId="4" borderId="1" xfId="0" applyFont="1" applyFill="1" applyBorder="1" applyAlignment="1">
      <alignment wrapText="1"/>
    </xf>
    <xf numFmtId="4" fontId="18" fillId="4" borderId="1" xfId="0" applyNumberFormat="1" applyFont="1" applyFill="1" applyBorder="1" applyAlignment="1">
      <alignment vertical="center"/>
    </xf>
    <xf numFmtId="0" fontId="8" fillId="4" borderId="1" xfId="0" applyFont="1" applyFill="1" applyBorder="1" applyAlignment="1">
      <alignment horizontal="right" wrapText="1"/>
    </xf>
    <xf numFmtId="4" fontId="18" fillId="5" borderId="1" xfId="0" applyNumberFormat="1" applyFont="1" applyFill="1" applyBorder="1" applyAlignment="1">
      <alignment vertical="center"/>
    </xf>
    <xf numFmtId="0" fontId="49" fillId="0" borderId="0" xfId="0" applyFont="1"/>
    <xf numFmtId="0" fontId="16" fillId="3" borderId="1" xfId="0" applyFont="1" applyFill="1" applyBorder="1" applyAlignment="1">
      <alignment horizontal="center" wrapText="1"/>
    </xf>
    <xf numFmtId="0" fontId="17" fillId="3" borderId="1" xfId="0" applyFont="1" applyFill="1" applyBorder="1"/>
    <xf numFmtId="0" fontId="18" fillId="0" borderId="1" xfId="0" applyFont="1" applyBorder="1" applyAlignment="1">
      <alignment horizontal="center" wrapText="1"/>
    </xf>
    <xf numFmtId="0" fontId="18" fillId="0" borderId="6" xfId="0" applyFont="1" applyBorder="1" applyAlignment="1">
      <alignment horizontal="center" wrapText="1"/>
    </xf>
    <xf numFmtId="0" fontId="8" fillId="0" borderId="4" xfId="0" applyFont="1" applyBorder="1" applyAlignment="1">
      <alignment vertical="center" wrapText="1"/>
    </xf>
    <xf numFmtId="0" fontId="18" fillId="0" borderId="4" xfId="0" applyFont="1" applyBorder="1" applyAlignment="1">
      <alignment horizontal="center" wrapText="1"/>
    </xf>
    <xf numFmtId="4" fontId="18" fillId="3" borderId="1" xfId="0" applyNumberFormat="1" applyFont="1" applyFill="1" applyBorder="1" applyAlignment="1">
      <alignment horizontal="center" wrapText="1"/>
    </xf>
    <xf numFmtId="0" fontId="18" fillId="0" borderId="1" xfId="0" applyFont="1" applyBorder="1" applyAlignment="1">
      <alignment wrapText="1"/>
    </xf>
    <xf numFmtId="4" fontId="8" fillId="0" borderId="1" xfId="0" applyNumberFormat="1" applyFont="1" applyBorder="1"/>
    <xf numFmtId="49" fontId="8" fillId="0" borderId="1" xfId="7" applyNumberFormat="1" applyFont="1" applyBorder="1"/>
    <xf numFmtId="49" fontId="21" fillId="0" borderId="1" xfId="7" applyNumberFormat="1" applyFont="1" applyBorder="1"/>
    <xf numFmtId="4" fontId="16" fillId="3" borderId="1" xfId="0" applyNumberFormat="1" applyFont="1" applyFill="1" applyBorder="1"/>
    <xf numFmtId="0" fontId="21" fillId="0" borderId="1" xfId="0" applyFont="1" applyBorder="1"/>
    <xf numFmtId="0" fontId="18" fillId="4" borderId="1" xfId="0" applyFont="1" applyFill="1" applyBorder="1" applyAlignment="1">
      <alignment horizontal="center" wrapText="1"/>
    </xf>
    <xf numFmtId="4" fontId="16" fillId="0" borderId="1" xfId="0" applyNumberFormat="1" applyFont="1" applyBorder="1" applyAlignment="1">
      <alignment horizontal="center" wrapText="1"/>
    </xf>
    <xf numFmtId="4" fontId="16" fillId="5" borderId="1" xfId="0" applyNumberFormat="1" applyFont="1" applyFill="1" applyBorder="1" applyAlignment="1">
      <alignment horizontal="right" vertical="center"/>
    </xf>
    <xf numFmtId="0" fontId="35" fillId="0" borderId="0" xfId="88" applyFont="1" applyAlignment="1">
      <alignment wrapText="1"/>
    </xf>
    <xf numFmtId="165" fontId="33" fillId="0" borderId="0" xfId="0" applyNumberFormat="1" applyFont="1"/>
    <xf numFmtId="0" fontId="30" fillId="4" borderId="0" xfId="0" applyFont="1" applyFill="1"/>
    <xf numFmtId="165" fontId="15" fillId="4" borderId="0" xfId="0" applyNumberFormat="1" applyFont="1" applyFill="1"/>
    <xf numFmtId="165" fontId="18" fillId="3" borderId="1" xfId="2" applyNumberFormat="1" applyFont="1" applyFill="1" applyBorder="1"/>
    <xf numFmtId="2" fontId="16" fillId="4" borderId="0" xfId="84" applyNumberFormat="1" applyFont="1" applyFill="1"/>
    <xf numFmtId="0" fontId="8" fillId="0" borderId="0" xfId="88" applyFont="1" applyAlignment="1">
      <alignment horizontal="center" vertical="center" wrapText="1"/>
    </xf>
    <xf numFmtId="3" fontId="26" fillId="0" borderId="0" xfId="0" applyNumberFormat="1" applyFont="1"/>
    <xf numFmtId="165" fontId="26" fillId="0" borderId="0" xfId="2" applyNumberFormat="1" applyFont="1" applyBorder="1" applyAlignment="1">
      <alignment horizontal="center" vertical="center"/>
    </xf>
    <xf numFmtId="165" fontId="26" fillId="0" borderId="0" xfId="0" applyNumberFormat="1" applyFont="1" applyAlignment="1">
      <alignment horizontal="center" vertical="center"/>
    </xf>
    <xf numFmtId="0" fontId="35" fillId="0" borderId="0" xfId="88" applyFont="1" applyAlignment="1">
      <alignment horizontal="left" vertical="top" wrapText="1"/>
    </xf>
    <xf numFmtId="0" fontId="51" fillId="0" borderId="0" xfId="78" applyFont="1"/>
    <xf numFmtId="3" fontId="52" fillId="0" borderId="1" xfId="0" applyNumberFormat="1" applyFont="1" applyBorder="1"/>
    <xf numFmtId="0" fontId="53" fillId="4" borderId="1" xfId="0" applyFont="1" applyFill="1" applyBorder="1"/>
    <xf numFmtId="165" fontId="52" fillId="4" borderId="1" xfId="0" applyNumberFormat="1" applyFont="1" applyFill="1" applyBorder="1"/>
    <xf numFmtId="0" fontId="15" fillId="8" borderId="0" xfId="10" applyFont="1" applyFill="1" applyAlignment="1">
      <alignment horizontal="center" vertical="center" wrapText="1"/>
    </xf>
    <xf numFmtId="2" fontId="17" fillId="4" borderId="0" xfId="77" applyNumberFormat="1" applyFont="1" applyFill="1"/>
    <xf numFmtId="165" fontId="17" fillId="4" borderId="0" xfId="77" applyNumberFormat="1" applyFont="1" applyFill="1"/>
    <xf numFmtId="0" fontId="8" fillId="8" borderId="0" xfId="10" applyFont="1" applyFill="1" applyAlignment="1">
      <alignment horizontal="left" vertical="center" wrapText="1"/>
    </xf>
    <xf numFmtId="0" fontId="18" fillId="8" borderId="0" xfId="10" applyFont="1" applyFill="1" applyAlignment="1">
      <alignment horizontal="center" vertical="center" wrapText="1"/>
    </xf>
    <xf numFmtId="0" fontId="21" fillId="4" borderId="0" xfId="78" applyFont="1" applyFill="1" applyAlignment="1">
      <alignment vertical="center" wrapText="1"/>
    </xf>
    <xf numFmtId="0" fontId="21" fillId="4" borderId="0" xfId="78" applyFont="1" applyFill="1" applyAlignment="1">
      <alignment horizontal="center" vertical="center" wrapText="1"/>
    </xf>
    <xf numFmtId="0" fontId="17" fillId="4" borderId="0" xfId="78" applyFont="1" applyFill="1"/>
    <xf numFmtId="43" fontId="8" fillId="4" borderId="0" xfId="83" applyNumberFormat="1" applyFont="1" applyFill="1" applyBorder="1"/>
    <xf numFmtId="166" fontId="8" fillId="4" borderId="0" xfId="83" applyNumberFormat="1" applyFont="1" applyFill="1" applyBorder="1"/>
    <xf numFmtId="3" fontId="17" fillId="4" borderId="0" xfId="78" applyNumberFormat="1" applyFont="1" applyFill="1"/>
    <xf numFmtId="3" fontId="15" fillId="4" borderId="0" xfId="10" applyNumberFormat="1" applyFont="1" applyFill="1" applyAlignment="1">
      <alignment horizontal="center" vertical="center" wrapText="1"/>
    </xf>
    <xf numFmtId="2" fontId="27" fillId="4" borderId="0" xfId="84" applyNumberFormat="1" applyFont="1" applyFill="1"/>
    <xf numFmtId="0" fontId="52" fillId="0" borderId="0" xfId="0" applyFont="1"/>
    <xf numFmtId="0" fontId="53" fillId="0" borderId="0" xfId="0" applyFont="1"/>
    <xf numFmtId="0" fontId="53" fillId="0" borderId="0" xfId="78" applyFont="1"/>
    <xf numFmtId="0" fontId="52" fillId="3" borderId="1" xfId="0" applyFont="1" applyFill="1" applyBorder="1"/>
    <xf numFmtId="165" fontId="53" fillId="0" borderId="1" xfId="2" applyNumberFormat="1" applyFont="1" applyBorder="1"/>
    <xf numFmtId="165" fontId="53" fillId="0" borderId="1" xfId="0" applyNumberFormat="1" applyFont="1" applyBorder="1"/>
    <xf numFmtId="0" fontId="53" fillId="0" borderId="1" xfId="0" applyFont="1" applyBorder="1"/>
    <xf numFmtId="0" fontId="53" fillId="0" borderId="1" xfId="0" applyFont="1" applyBorder="1" applyAlignment="1">
      <alignment wrapText="1"/>
    </xf>
    <xf numFmtId="165" fontId="53" fillId="0" borderId="0" xfId="0" applyNumberFormat="1" applyFont="1"/>
    <xf numFmtId="3" fontId="54" fillId="0" borderId="1" xfId="0" applyNumberFormat="1" applyFont="1" applyBorder="1"/>
    <xf numFmtId="165" fontId="54" fillId="0" borderId="1" xfId="2" applyNumberFormat="1" applyFont="1" applyBorder="1"/>
    <xf numFmtId="165" fontId="54" fillId="0" borderId="1" xfId="0" applyNumberFormat="1" applyFont="1" applyBorder="1"/>
    <xf numFmtId="0" fontId="53" fillId="0" borderId="0" xfId="0" applyFont="1" applyAlignment="1">
      <alignment horizontal="right"/>
    </xf>
    <xf numFmtId="165" fontId="52" fillId="0" borderId="1" xfId="2" applyNumberFormat="1" applyFont="1" applyBorder="1"/>
    <xf numFmtId="165" fontId="52" fillId="0" borderId="1" xfId="0" applyNumberFormat="1" applyFont="1" applyBorder="1"/>
    <xf numFmtId="0" fontId="8" fillId="0" borderId="0" xfId="78" applyFont="1"/>
    <xf numFmtId="165" fontId="8" fillId="4" borderId="1" xfId="0" applyNumberFormat="1" applyFont="1" applyFill="1" applyBorder="1"/>
    <xf numFmtId="0" fontId="29" fillId="0" borderId="0" xfId="0" applyFont="1"/>
    <xf numFmtId="0" fontId="8" fillId="4" borderId="1" xfId="0" applyFont="1" applyFill="1" applyBorder="1"/>
    <xf numFmtId="0" fontId="29" fillId="4" borderId="0" xfId="0" applyFont="1" applyFill="1"/>
    <xf numFmtId="165" fontId="8" fillId="4" borderId="0" xfId="0" applyNumberFormat="1" applyFont="1" applyFill="1"/>
    <xf numFmtId="165" fontId="8" fillId="0" borderId="0" xfId="0" applyNumberFormat="1" applyFont="1"/>
    <xf numFmtId="0" fontId="18" fillId="0" borderId="0" xfId="0" applyFont="1"/>
    <xf numFmtId="0" fontId="55" fillId="3" borderId="1" xfId="0" applyFont="1" applyFill="1" applyBorder="1" applyAlignment="1">
      <alignment horizontal="center" vertical="center"/>
    </xf>
    <xf numFmtId="0" fontId="55" fillId="3" borderId="1" xfId="0" applyFont="1" applyFill="1" applyBorder="1" applyAlignment="1">
      <alignment horizontal="center" vertical="center" wrapText="1"/>
    </xf>
    <xf numFmtId="0" fontId="56" fillId="0" borderId="1" xfId="0" applyFont="1" applyBorder="1"/>
    <xf numFmtId="165" fontId="56" fillId="0" borderId="1" xfId="2" applyNumberFormat="1" applyFont="1" applyBorder="1"/>
    <xf numFmtId="165" fontId="56" fillId="0" borderId="1" xfId="0" applyNumberFormat="1" applyFont="1" applyBorder="1"/>
    <xf numFmtId="0" fontId="55" fillId="0" borderId="1" xfId="0" applyFont="1" applyBorder="1"/>
    <xf numFmtId="165" fontId="55" fillId="0" borderId="1" xfId="2" applyNumberFormat="1" applyFont="1" applyBorder="1"/>
    <xf numFmtId="165" fontId="55" fillId="0" borderId="1" xfId="0" applyNumberFormat="1" applyFont="1" applyBorder="1"/>
    <xf numFmtId="0" fontId="15" fillId="4" borderId="0" xfId="0" applyFont="1" applyFill="1"/>
    <xf numFmtId="0" fontId="17" fillId="4" borderId="0" xfId="0" applyFont="1" applyFill="1"/>
    <xf numFmtId="0" fontId="26" fillId="4" borderId="0" xfId="0" applyFont="1" applyFill="1"/>
    <xf numFmtId="0" fontId="15" fillId="4" borderId="0" xfId="0" applyFont="1" applyFill="1" applyAlignment="1">
      <alignment horizontal="center" vertical="center"/>
    </xf>
    <xf numFmtId="3" fontId="15" fillId="4" borderId="0" xfId="0" applyNumberFormat="1" applyFont="1" applyFill="1"/>
    <xf numFmtId="165" fontId="15" fillId="4" borderId="0" xfId="2" applyNumberFormat="1" applyFont="1" applyFill="1" applyBorder="1" applyAlignment="1">
      <alignment horizontal="center" vertical="center"/>
    </xf>
    <xf numFmtId="165" fontId="15" fillId="4" borderId="0" xfId="0" applyNumberFormat="1" applyFont="1" applyFill="1" applyAlignment="1">
      <alignment horizontal="center" vertical="center"/>
    </xf>
    <xf numFmtId="165" fontId="17" fillId="4" borderId="0" xfId="0" applyNumberFormat="1" applyFont="1" applyFill="1"/>
    <xf numFmtId="0" fontId="17" fillId="4" borderId="0" xfId="0" applyFont="1" applyFill="1" applyAlignment="1">
      <alignment wrapText="1"/>
    </xf>
    <xf numFmtId="165" fontId="17" fillId="4" borderId="0" xfId="2" applyNumberFormat="1" applyFont="1" applyFill="1" applyBorder="1"/>
    <xf numFmtId="165" fontId="26" fillId="4" borderId="0" xfId="2" applyNumberFormat="1" applyFont="1" applyFill="1" applyBorder="1" applyAlignment="1">
      <alignment horizontal="center" vertical="center"/>
    </xf>
    <xf numFmtId="165" fontId="26" fillId="4" borderId="0" xfId="0" applyNumberFormat="1" applyFont="1" applyFill="1" applyAlignment="1">
      <alignment horizontal="center" vertical="center"/>
    </xf>
    <xf numFmtId="3" fontId="26" fillId="4" borderId="0" xfId="0" applyNumberFormat="1" applyFont="1" applyFill="1"/>
    <xf numFmtId="0" fontId="8" fillId="2" borderId="1" xfId="0" applyFont="1" applyFill="1" applyBorder="1" applyAlignment="1">
      <alignment horizontal="center" vertical="center" wrapText="1"/>
    </xf>
    <xf numFmtId="3" fontId="18" fillId="5" borderId="1" xfId="0" applyNumberFormat="1" applyFont="1" applyFill="1" applyBorder="1" applyAlignment="1">
      <alignment horizontal="center" vertical="center" wrapText="1"/>
    </xf>
    <xf numFmtId="0" fontId="18" fillId="5" borderId="1"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16" fillId="0" borderId="2" xfId="0" applyFont="1" applyBorder="1" applyAlignment="1">
      <alignment horizontal="center" vertical="center" wrapText="1"/>
    </xf>
    <xf numFmtId="0" fontId="17" fillId="0" borderId="0" xfId="0" applyFont="1" applyAlignment="1">
      <alignment horizontal="left" vertical="center" wrapText="1"/>
    </xf>
    <xf numFmtId="0" fontId="19" fillId="0" borderId="0" xfId="0" applyFont="1" applyAlignment="1">
      <alignment horizontal="left" vertical="center"/>
    </xf>
    <xf numFmtId="0" fontId="21" fillId="0" borderId="0" xfId="0" applyFont="1" applyAlignment="1">
      <alignment horizontal="left" wrapText="1"/>
    </xf>
    <xf numFmtId="0" fontId="21" fillId="0" borderId="6" xfId="0" applyFont="1" applyBorder="1" applyAlignment="1">
      <alignment horizontal="center"/>
    </xf>
    <xf numFmtId="0" fontId="21" fillId="0" borderId="4" xfId="0" applyFont="1" applyBorder="1" applyAlignment="1">
      <alignment horizontal="center"/>
    </xf>
    <xf numFmtId="0" fontId="21" fillId="0" borderId="1" xfId="0" applyFont="1" applyBorder="1" applyAlignment="1">
      <alignment horizontal="left"/>
    </xf>
    <xf numFmtId="3" fontId="16" fillId="0" borderId="1" xfId="1" applyNumberFormat="1" applyFont="1" applyBorder="1" applyAlignment="1">
      <alignment horizontal="center" vertical="center" wrapText="1"/>
    </xf>
    <xf numFmtId="3" fontId="17" fillId="0" borderId="1" xfId="1" applyNumberFormat="1" applyFont="1" applyBorder="1" applyAlignment="1">
      <alignment horizontal="left" vertical="center" wrapText="1"/>
    </xf>
    <xf numFmtId="0" fontId="16" fillId="3" borderId="6" xfId="0" applyFont="1" applyFill="1" applyBorder="1" applyAlignment="1">
      <alignment horizontal="right" vertical="center"/>
    </xf>
    <xf numFmtId="0" fontId="16" fillId="3" borderId="7" xfId="0" applyFont="1" applyFill="1" applyBorder="1" applyAlignment="1">
      <alignment horizontal="right" vertical="center"/>
    </xf>
    <xf numFmtId="0" fontId="16" fillId="3" borderId="4" xfId="0" applyFont="1" applyFill="1" applyBorder="1" applyAlignment="1">
      <alignment horizontal="right" vertical="center"/>
    </xf>
    <xf numFmtId="0" fontId="17" fillId="0" borderId="0" xfId="0" applyFont="1" applyAlignment="1">
      <alignment horizontal="left" vertical="top" wrapText="1"/>
    </xf>
    <xf numFmtId="0" fontId="16" fillId="0" borderId="1"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5" xfId="1" applyFont="1" applyBorder="1" applyAlignment="1">
      <alignment horizontal="center" vertical="center" wrapText="1"/>
    </xf>
    <xf numFmtId="3" fontId="16" fillId="0" borderId="9" xfId="1" applyNumberFormat="1" applyFont="1" applyBorder="1" applyAlignment="1">
      <alignment horizontal="center" vertical="center" wrapText="1"/>
    </xf>
    <xf numFmtId="3" fontId="16" fillId="0" borderId="5" xfId="1" applyNumberFormat="1" applyFont="1" applyBorder="1" applyAlignment="1">
      <alignment horizontal="center" vertical="center" wrapText="1"/>
    </xf>
    <xf numFmtId="0" fontId="8" fillId="0" borderId="1" xfId="0" applyFont="1" applyBorder="1" applyAlignment="1">
      <alignment horizontal="left" wrapText="1"/>
    </xf>
    <xf numFmtId="0" fontId="16" fillId="0" borderId="0" xfId="0" applyFont="1" applyAlignment="1">
      <alignment horizontal="left"/>
    </xf>
    <xf numFmtId="0" fontId="19" fillId="0" borderId="0" xfId="0" applyFont="1" applyAlignment="1">
      <alignment horizontal="left"/>
    </xf>
    <xf numFmtId="0" fontId="16" fillId="3" borderId="1" xfId="0" applyFont="1" applyFill="1" applyBorder="1" applyAlignment="1">
      <alignment horizontal="center" vertical="center"/>
    </xf>
    <xf numFmtId="0" fontId="16" fillId="3" borderId="6" xfId="0" applyFont="1" applyFill="1" applyBorder="1" applyAlignment="1">
      <alignment horizontal="center" vertical="center"/>
    </xf>
    <xf numFmtId="0" fontId="16" fillId="3" borderId="4" xfId="0" applyFont="1" applyFill="1" applyBorder="1" applyAlignment="1">
      <alignment horizontal="center" vertical="center"/>
    </xf>
    <xf numFmtId="49" fontId="17" fillId="3" borderId="6" xfId="0" applyNumberFormat="1" applyFont="1" applyFill="1" applyBorder="1" applyAlignment="1">
      <alignment horizontal="center" vertical="center"/>
    </xf>
    <xf numFmtId="49" fontId="17" fillId="3" borderId="7" xfId="0" applyNumberFormat="1" applyFont="1" applyFill="1" applyBorder="1" applyAlignment="1">
      <alignment horizontal="center" vertical="center"/>
    </xf>
    <xf numFmtId="49" fontId="17" fillId="3" borderId="4" xfId="0" applyNumberFormat="1" applyFont="1" applyFill="1" applyBorder="1" applyAlignment="1">
      <alignment horizontal="center" vertical="center"/>
    </xf>
    <xf numFmtId="0" fontId="18" fillId="0" borderId="0" xfId="0" applyFont="1" applyAlignment="1">
      <alignment horizontal="center" vertical="center" wrapText="1"/>
    </xf>
    <xf numFmtId="0" fontId="8" fillId="0" borderId="10" xfId="0" applyFont="1" applyBorder="1" applyAlignment="1">
      <alignment horizontal="left"/>
    </xf>
    <xf numFmtId="0" fontId="33" fillId="0" borderId="1" xfId="78" applyFont="1" applyBorder="1" applyAlignment="1">
      <alignment horizontal="left"/>
    </xf>
    <xf numFmtId="0" fontId="31" fillId="5" borderId="1" xfId="78" applyFont="1" applyFill="1" applyBorder="1" applyAlignment="1">
      <alignment horizontal="left"/>
    </xf>
    <xf numFmtId="0" fontId="33" fillId="0" borderId="0" xfId="78" applyFont="1" applyAlignment="1">
      <alignment horizontal="left" vertical="center" wrapText="1"/>
    </xf>
    <xf numFmtId="0" fontId="38" fillId="0" borderId="0" xfId="78" applyFont="1" applyAlignment="1">
      <alignment horizontal="left" wrapText="1"/>
    </xf>
    <xf numFmtId="0" fontId="33" fillId="0" borderId="1" xfId="78" applyFont="1" applyBorder="1" applyAlignment="1">
      <alignment horizontal="left" vertical="center" wrapText="1"/>
    </xf>
    <xf numFmtId="0" fontId="31" fillId="0" borderId="2" xfId="78" applyFont="1" applyBorder="1" applyAlignment="1">
      <alignment horizontal="center" vertical="center" wrapText="1"/>
    </xf>
    <xf numFmtId="0" fontId="35" fillId="0" borderId="6" xfId="88" applyFont="1" applyBorder="1" applyAlignment="1">
      <alignment horizontal="right"/>
    </xf>
    <xf numFmtId="0" fontId="35" fillId="0" borderId="7" xfId="88" applyFont="1" applyBorder="1" applyAlignment="1">
      <alignment horizontal="right"/>
    </xf>
    <xf numFmtId="0" fontId="35" fillId="0" borderId="4" xfId="88" applyFont="1" applyBorder="1" applyAlignment="1">
      <alignment horizontal="right"/>
    </xf>
    <xf numFmtId="0" fontId="37" fillId="2" borderId="6" xfId="88" applyFont="1" applyFill="1" applyBorder="1" applyAlignment="1">
      <alignment horizontal="right"/>
    </xf>
    <xf numFmtId="0" fontId="37" fillId="2" borderId="7" xfId="88" applyFont="1" applyFill="1" applyBorder="1" applyAlignment="1">
      <alignment horizontal="right"/>
    </xf>
    <xf numFmtId="0" fontId="37" fillId="2" borderId="4" xfId="88" applyFont="1" applyFill="1" applyBorder="1" applyAlignment="1">
      <alignment horizontal="right"/>
    </xf>
    <xf numFmtId="0" fontId="35" fillId="0" borderId="15" xfId="88" applyFont="1" applyBorder="1" applyAlignment="1">
      <alignment horizontal="center"/>
    </xf>
    <xf numFmtId="0" fontId="35" fillId="0" borderId="0" xfId="88" applyFont="1" applyAlignment="1">
      <alignment horizontal="center"/>
    </xf>
    <xf numFmtId="0" fontId="35" fillId="0" borderId="0" xfId="88" applyFont="1" applyAlignment="1">
      <alignment horizontal="left" vertical="center" wrapText="1"/>
    </xf>
    <xf numFmtId="0" fontId="8" fillId="0" borderId="0" xfId="88" applyFont="1" applyAlignment="1">
      <alignment horizontal="left" vertical="center" wrapText="1"/>
    </xf>
    <xf numFmtId="0" fontId="35" fillId="0" borderId="6" xfId="88" applyFont="1" applyBorder="1" applyAlignment="1">
      <alignment horizontal="right" vertical="center"/>
    </xf>
    <xf numFmtId="0" fontId="35" fillId="0" borderId="7" xfId="88" applyFont="1" applyBorder="1" applyAlignment="1">
      <alignment horizontal="right" vertical="center"/>
    </xf>
    <xf numFmtId="0" fontId="35" fillId="0" borderId="4" xfId="88" applyFont="1" applyBorder="1" applyAlignment="1">
      <alignment horizontal="right" vertical="center"/>
    </xf>
    <xf numFmtId="0" fontId="35" fillId="4" borderId="2" xfId="88" applyFont="1" applyFill="1" applyBorder="1" applyAlignment="1">
      <alignment horizontal="left" vertical="center" wrapText="1"/>
    </xf>
    <xf numFmtId="0" fontId="37" fillId="3" borderId="6" xfId="88" applyFont="1" applyFill="1" applyBorder="1" applyAlignment="1">
      <alignment horizontal="center" vertical="center" wrapText="1"/>
    </xf>
    <xf numFmtId="0" fontId="37" fillId="3" borderId="7" xfId="88" applyFont="1" applyFill="1" applyBorder="1" applyAlignment="1">
      <alignment horizontal="center" vertical="center" wrapText="1"/>
    </xf>
    <xf numFmtId="0" fontId="37" fillId="3" borderId="4" xfId="88" applyFont="1" applyFill="1" applyBorder="1" applyAlignment="1">
      <alignment horizontal="center" vertical="center" wrapText="1"/>
    </xf>
    <xf numFmtId="0" fontId="35" fillId="0" borderId="2" xfId="88" applyFont="1" applyBorder="1" applyAlignment="1">
      <alignment horizontal="center" vertical="center" wrapText="1"/>
    </xf>
    <xf numFmtId="0" fontId="35" fillId="0" borderId="6" xfId="88" applyFont="1" applyBorder="1" applyAlignment="1">
      <alignment horizontal="center"/>
    </xf>
    <xf numFmtId="0" fontId="35" fillId="0" borderId="7" xfId="88" applyFont="1" applyBorder="1" applyAlignment="1">
      <alignment horizontal="center"/>
    </xf>
    <xf numFmtId="0" fontId="35" fillId="0" borderId="4" xfId="88" applyFont="1" applyBorder="1" applyAlignment="1">
      <alignment horizontal="center"/>
    </xf>
    <xf numFmtId="4" fontId="35" fillId="4" borderId="6" xfId="88" applyNumberFormat="1" applyFont="1" applyFill="1" applyBorder="1" applyAlignment="1">
      <alignment horizontal="center"/>
    </xf>
    <xf numFmtId="4" fontId="35" fillId="4" borderId="7" xfId="88" applyNumberFormat="1" applyFont="1" applyFill="1" applyBorder="1" applyAlignment="1">
      <alignment horizontal="center"/>
    </xf>
    <xf numFmtId="4" fontId="35" fillId="4" borderId="4" xfId="88" applyNumberFormat="1" applyFont="1" applyFill="1" applyBorder="1" applyAlignment="1">
      <alignment horizontal="center"/>
    </xf>
    <xf numFmtId="0" fontId="35" fillId="0" borderId="1" xfId="88" applyFont="1" applyBorder="1" applyAlignment="1">
      <alignment horizontal="right" vertical="center" wrapText="1"/>
    </xf>
    <xf numFmtId="0" fontId="35" fillId="0" borderId="6" xfId="88" applyFont="1" applyBorder="1" applyAlignment="1">
      <alignment horizontal="right" wrapText="1"/>
    </xf>
    <xf numFmtId="0" fontId="35" fillId="0" borderId="7" xfId="88" applyFont="1" applyBorder="1" applyAlignment="1">
      <alignment horizontal="right" wrapText="1"/>
    </xf>
    <xf numFmtId="0" fontId="35" fillId="0" borderId="4" xfId="88" applyFont="1" applyBorder="1" applyAlignment="1">
      <alignment horizontal="right" wrapText="1"/>
    </xf>
    <xf numFmtId="0" fontId="35" fillId="0" borderId="6" xfId="88" applyFont="1" applyBorder="1" applyAlignment="1">
      <alignment horizontal="right" vertical="center" wrapText="1"/>
    </xf>
    <xf numFmtId="0" fontId="35" fillId="0" borderId="7" xfId="88" applyFont="1" applyBorder="1" applyAlignment="1">
      <alignment horizontal="right" vertical="center" wrapText="1"/>
    </xf>
    <xf numFmtId="0" fontId="35" fillId="0" borderId="4" xfId="88" applyFont="1" applyBorder="1" applyAlignment="1">
      <alignment horizontal="right" vertical="center" wrapText="1"/>
    </xf>
    <xf numFmtId="0" fontId="31" fillId="3" borderId="1" xfId="0" applyFont="1" applyFill="1" applyBorder="1" applyAlignment="1">
      <alignment horizontal="center" wrapText="1"/>
    </xf>
    <xf numFmtId="0" fontId="33" fillId="0" borderId="0" xfId="0" applyFont="1" applyAlignment="1">
      <alignment horizontal="left" vertical="center" wrapText="1"/>
    </xf>
    <xf numFmtId="0" fontId="31" fillId="0" borderId="0" xfId="0" applyFont="1" applyAlignment="1">
      <alignment horizontal="center" vertical="center" wrapText="1"/>
    </xf>
    <xf numFmtId="0" fontId="8" fillId="0" borderId="0" xfId="0" applyFont="1" applyAlignment="1">
      <alignment horizontal="left" vertical="center" wrapText="1"/>
    </xf>
    <xf numFmtId="0" fontId="41" fillId="0" borderId="0" xfId="0" applyFont="1" applyAlignment="1">
      <alignment horizontal="left" vertical="center" wrapText="1"/>
    </xf>
    <xf numFmtId="0" fontId="31" fillId="3" borderId="9" xfId="0" applyFont="1" applyFill="1" applyBorder="1" applyAlignment="1">
      <alignment horizontal="center" vertical="center"/>
    </xf>
    <xf numFmtId="0" fontId="31" fillId="3" borderId="5" xfId="0" applyFont="1" applyFill="1" applyBorder="1" applyAlignment="1">
      <alignment horizontal="center" vertical="center"/>
    </xf>
    <xf numFmtId="0" fontId="31" fillId="3" borderId="1" xfId="0" applyFont="1" applyFill="1" applyBorder="1" applyAlignment="1">
      <alignment horizontal="center" vertical="center"/>
    </xf>
    <xf numFmtId="2" fontId="35" fillId="0" borderId="0" xfId="7" applyNumberFormat="1" applyFont="1" applyAlignment="1">
      <alignment horizontal="left" vertical="center" wrapText="1"/>
    </xf>
    <xf numFmtId="2" fontId="35" fillId="3" borderId="9" xfId="0" applyNumberFormat="1" applyFont="1" applyFill="1" applyBorder="1" applyAlignment="1">
      <alignment horizontal="center"/>
    </xf>
    <xf numFmtId="2" fontId="35" fillId="3" borderId="5" xfId="0" applyNumberFormat="1" applyFont="1" applyFill="1" applyBorder="1" applyAlignment="1">
      <alignment horizontal="center"/>
    </xf>
    <xf numFmtId="2" fontId="37" fillId="4" borderId="2" xfId="0" applyNumberFormat="1" applyFont="1" applyFill="1" applyBorder="1" applyAlignment="1">
      <alignment horizontal="center"/>
    </xf>
    <xf numFmtId="0" fontId="17" fillId="0" borderId="2" xfId="78" applyFont="1" applyBorder="1" applyAlignment="1">
      <alignment horizontal="center" vertical="center" wrapText="1"/>
    </xf>
    <xf numFmtId="0" fontId="17" fillId="0" borderId="0" xfId="78" applyFont="1" applyAlignment="1">
      <alignment horizontal="left" vertical="center" wrapText="1"/>
    </xf>
    <xf numFmtId="0" fontId="16" fillId="0" borderId="0" xfId="78" applyFont="1" applyAlignment="1">
      <alignment horizontal="left"/>
    </xf>
    <xf numFmtId="43" fontId="18" fillId="0" borderId="1" xfId="82" applyFont="1" applyFill="1" applyBorder="1" applyAlignment="1">
      <alignment horizontal="center" vertical="center"/>
    </xf>
    <xf numFmtId="43" fontId="18" fillId="0" borderId="6" xfId="82" applyFont="1" applyFill="1" applyBorder="1" applyAlignment="1">
      <alignment horizontal="center" vertical="center"/>
    </xf>
    <xf numFmtId="0" fontId="15" fillId="4" borderId="0" xfId="10" applyFont="1" applyFill="1" applyAlignment="1">
      <alignment vertical="center" wrapText="1"/>
    </xf>
    <xf numFmtId="165" fontId="8" fillId="12" borderId="6" xfId="82" applyNumberFormat="1" applyFont="1" applyFill="1" applyBorder="1" applyAlignment="1">
      <alignment vertical="center" wrapText="1"/>
    </xf>
    <xf numFmtId="165" fontId="8" fillId="12" borderId="4" xfId="82" applyNumberFormat="1" applyFont="1" applyFill="1" applyBorder="1" applyAlignment="1">
      <alignment vertical="center" wrapText="1"/>
    </xf>
    <xf numFmtId="0" fontId="15" fillId="8" borderId="0" xfId="10" applyFont="1" applyFill="1" applyAlignment="1">
      <alignment horizontal="left" vertical="center" wrapText="1"/>
    </xf>
    <xf numFmtId="3" fontId="21" fillId="7" borderId="9" xfId="77" applyNumberFormat="1" applyFont="1" applyFill="1" applyBorder="1" applyAlignment="1">
      <alignment horizontal="center" vertical="center" wrapText="1"/>
    </xf>
    <xf numFmtId="3" fontId="21" fillId="7" borderId="5" xfId="77" applyNumberFormat="1" applyFont="1" applyFill="1" applyBorder="1" applyAlignment="1">
      <alignment horizontal="center" vertical="center" wrapText="1"/>
    </xf>
    <xf numFmtId="0" fontId="21" fillId="7" borderId="1" xfId="78" applyFont="1" applyFill="1" applyBorder="1" applyAlignment="1">
      <alignment horizontal="center" vertical="top" wrapText="1"/>
    </xf>
    <xf numFmtId="0" fontId="8" fillId="8" borderId="0" xfId="10" applyFont="1" applyFill="1" applyAlignment="1">
      <alignment horizontal="left" vertical="center" wrapText="1"/>
    </xf>
    <xf numFmtId="3" fontId="21" fillId="7" borderId="1" xfId="77" applyNumberFormat="1" applyFont="1" applyFill="1" applyBorder="1" applyAlignment="1">
      <alignment horizontal="center" vertical="center" wrapText="1"/>
    </xf>
    <xf numFmtId="0" fontId="21" fillId="7" borderId="1" xfId="77" applyFont="1" applyFill="1" applyBorder="1" applyAlignment="1">
      <alignment horizontal="center" vertical="center" wrapText="1"/>
    </xf>
    <xf numFmtId="0" fontId="21" fillId="4" borderId="0" xfId="78" applyFont="1" applyFill="1" applyAlignment="1">
      <alignment horizontal="center" vertical="center" wrapText="1"/>
    </xf>
    <xf numFmtId="0" fontId="17" fillId="3" borderId="1" xfId="77" applyFont="1" applyFill="1" applyBorder="1" applyAlignment="1">
      <alignment horizontal="center" vertical="center" wrapText="1"/>
    </xf>
    <xf numFmtId="0" fontId="21" fillId="7" borderId="6" xfId="77" applyFont="1" applyFill="1" applyBorder="1" applyAlignment="1">
      <alignment horizontal="center" vertical="center" wrapText="1"/>
    </xf>
    <xf numFmtId="0" fontId="21" fillId="7" borderId="7" xfId="77" applyFont="1" applyFill="1" applyBorder="1" applyAlignment="1">
      <alignment horizontal="center" vertical="center" wrapText="1"/>
    </xf>
    <xf numFmtId="0" fontId="21" fillId="7" borderId="4" xfId="77" applyFont="1" applyFill="1" applyBorder="1" applyAlignment="1">
      <alignment horizontal="center" vertical="center" wrapText="1"/>
    </xf>
    <xf numFmtId="3" fontId="21" fillId="7" borderId="6" xfId="77" applyNumberFormat="1" applyFont="1" applyFill="1" applyBorder="1" applyAlignment="1">
      <alignment horizontal="center" vertical="center" wrapText="1"/>
    </xf>
    <xf numFmtId="3" fontId="21" fillId="7" borderId="7" xfId="77" applyNumberFormat="1" applyFont="1" applyFill="1" applyBorder="1" applyAlignment="1">
      <alignment horizontal="center" vertical="center" wrapText="1"/>
    </xf>
    <xf numFmtId="3" fontId="21" fillId="7" borderId="4" xfId="77" applyNumberFormat="1" applyFont="1" applyFill="1" applyBorder="1" applyAlignment="1">
      <alignment horizontal="center" vertical="center" wrapText="1"/>
    </xf>
    <xf numFmtId="0" fontId="19" fillId="8" borderId="0" xfId="77" applyFont="1" applyFill="1" applyAlignment="1">
      <alignment horizontal="center"/>
    </xf>
    <xf numFmtId="0" fontId="17" fillId="4" borderId="11" xfId="77" applyFont="1" applyFill="1" applyBorder="1" applyAlignment="1">
      <alignment horizontal="center" vertical="center" wrapText="1"/>
    </xf>
    <xf numFmtId="0" fontId="17" fillId="4" borderId="11" xfId="77" applyFont="1" applyFill="1" applyBorder="1" applyAlignment="1">
      <alignment horizontal="center" vertical="center"/>
    </xf>
    <xf numFmtId="0" fontId="16" fillId="4" borderId="0" xfId="84" applyFont="1" applyFill="1" applyAlignment="1">
      <alignment horizontal="left"/>
    </xf>
    <xf numFmtId="0" fontId="27" fillId="3" borderId="9" xfId="84" applyFont="1" applyFill="1" applyBorder="1" applyAlignment="1">
      <alignment horizontal="center" vertical="center"/>
    </xf>
    <xf numFmtId="0" fontId="27" fillId="3" borderId="14" xfId="84" applyFont="1" applyFill="1" applyBorder="1" applyAlignment="1">
      <alignment horizontal="center" vertical="center"/>
    </xf>
    <xf numFmtId="0" fontId="27" fillId="3" borderId="5" xfId="84" applyFont="1" applyFill="1" applyBorder="1" applyAlignment="1">
      <alignment horizontal="center" vertical="center"/>
    </xf>
    <xf numFmtId="0" fontId="17" fillId="4" borderId="0" xfId="84" applyFont="1" applyFill="1" applyAlignment="1">
      <alignment horizontal="left" vertical="center" wrapText="1"/>
    </xf>
    <xf numFmtId="0" fontId="27" fillId="3" borderId="9" xfId="84" applyFont="1" applyFill="1" applyBorder="1" applyAlignment="1">
      <alignment horizontal="center" vertical="center" wrapText="1"/>
    </xf>
    <xf numFmtId="0" fontId="27" fillId="3" borderId="14" xfId="84" applyFont="1" applyFill="1" applyBorder="1" applyAlignment="1">
      <alignment horizontal="center" vertical="center" wrapText="1"/>
    </xf>
    <xf numFmtId="0" fontId="27" fillId="3" borderId="5" xfId="84" applyFont="1" applyFill="1" applyBorder="1" applyAlignment="1">
      <alignment horizontal="center" vertical="center" wrapText="1"/>
    </xf>
    <xf numFmtId="0" fontId="17" fillId="4" borderId="2" xfId="84" applyFont="1" applyFill="1" applyBorder="1" applyAlignment="1">
      <alignment horizontal="center" vertical="center" wrapText="1"/>
    </xf>
    <xf numFmtId="0" fontId="17" fillId="4" borderId="2" xfId="84" applyFont="1" applyFill="1" applyBorder="1" applyAlignment="1">
      <alignment horizontal="center"/>
    </xf>
    <xf numFmtId="0" fontId="27" fillId="3" borderId="1" xfId="84" applyFont="1" applyFill="1" applyBorder="1" applyAlignment="1">
      <alignment horizontal="center" vertical="center" wrapText="1"/>
    </xf>
    <xf numFmtId="0" fontId="17" fillId="4" borderId="0" xfId="84" applyFont="1" applyFill="1" applyAlignment="1">
      <alignment horizontal="left"/>
    </xf>
    <xf numFmtId="0" fontId="27" fillId="4" borderId="11" xfId="84" applyFont="1" applyFill="1" applyBorder="1" applyAlignment="1">
      <alignment horizontal="center" vertical="center" wrapText="1"/>
    </xf>
    <xf numFmtId="0" fontId="27" fillId="4" borderId="11" xfId="84" applyFont="1" applyFill="1" applyBorder="1" applyAlignment="1">
      <alignment horizontal="center" vertical="center"/>
    </xf>
    <xf numFmtId="3" fontId="17" fillId="3" borderId="1" xfId="1" applyNumberFormat="1" applyFont="1" applyFill="1" applyBorder="1" applyAlignment="1">
      <alignment horizontal="center" vertical="center" wrapText="1"/>
    </xf>
    <xf numFmtId="3" fontId="17" fillId="4" borderId="1" xfId="1" applyNumberFormat="1" applyFont="1" applyFill="1" applyBorder="1" applyAlignment="1">
      <alignment horizontal="center" vertical="center" wrapText="1"/>
    </xf>
    <xf numFmtId="0" fontId="17" fillId="4" borderId="1" xfId="84" applyFont="1" applyFill="1" applyBorder="1" applyAlignment="1">
      <alignment horizontal="center" vertical="center"/>
    </xf>
    <xf numFmtId="0" fontId="17" fillId="3" borderId="1" xfId="1" applyFont="1" applyFill="1" applyBorder="1" applyAlignment="1">
      <alignment horizontal="center" vertical="center" wrapText="1"/>
    </xf>
    <xf numFmtId="0" fontId="17" fillId="3" borderId="7" xfId="1" applyFont="1" applyFill="1" applyBorder="1" applyAlignment="1">
      <alignment horizontal="center" vertical="center" wrapText="1"/>
    </xf>
    <xf numFmtId="0" fontId="17" fillId="3" borderId="4" xfId="1" applyFont="1" applyFill="1" applyBorder="1" applyAlignment="1">
      <alignment horizontal="center" vertical="center" wrapText="1"/>
    </xf>
    <xf numFmtId="3" fontId="17" fillId="3" borderId="6" xfId="1" applyNumberFormat="1" applyFont="1" applyFill="1" applyBorder="1" applyAlignment="1">
      <alignment horizontal="center" vertical="center" wrapText="1"/>
    </xf>
    <xf numFmtId="3" fontId="17" fillId="3" borderId="7" xfId="1" applyNumberFormat="1" applyFont="1" applyFill="1" applyBorder="1" applyAlignment="1">
      <alignment horizontal="center" vertical="center" wrapText="1"/>
    </xf>
    <xf numFmtId="3" fontId="17" fillId="3" borderId="4" xfId="1" applyNumberFormat="1" applyFont="1" applyFill="1" applyBorder="1" applyAlignment="1">
      <alignment horizontal="center" vertical="center" wrapText="1"/>
    </xf>
    <xf numFmtId="0" fontId="35" fillId="0" borderId="6" xfId="88" applyFont="1" applyBorder="1" applyAlignment="1">
      <alignment horizontal="center" vertical="center" wrapText="1"/>
    </xf>
    <xf numFmtId="0" fontId="35" fillId="0" borderId="4" xfId="88" applyFont="1" applyBorder="1" applyAlignment="1">
      <alignment horizontal="center" vertical="center" wrapText="1"/>
    </xf>
    <xf numFmtId="0" fontId="35" fillId="4" borderId="0" xfId="88" applyFont="1" applyFill="1" applyAlignment="1">
      <alignment horizontal="center" vertical="center" wrapText="1"/>
    </xf>
    <xf numFmtId="4" fontId="18" fillId="5" borderId="6" xfId="88" applyNumberFormat="1" applyFont="1" applyFill="1" applyBorder="1" applyAlignment="1">
      <alignment horizontal="center" vertical="center"/>
    </xf>
    <xf numFmtId="4" fontId="18" fillId="5" borderId="4" xfId="88" applyNumberFormat="1" applyFont="1" applyFill="1" applyBorder="1" applyAlignment="1">
      <alignment horizontal="center" vertical="center"/>
    </xf>
    <xf numFmtId="0" fontId="17" fillId="4" borderId="2" xfId="77" applyFont="1" applyFill="1" applyBorder="1" applyAlignment="1">
      <alignment horizontal="center" vertical="center" wrapText="1"/>
    </xf>
    <xf numFmtId="0" fontId="17" fillId="4" borderId="11" xfId="84" applyFont="1" applyFill="1" applyBorder="1" applyAlignment="1">
      <alignment horizontal="center" vertical="center" wrapText="1"/>
    </xf>
    <xf numFmtId="0" fontId="17" fillId="4" borderId="11" xfId="84" applyFont="1" applyFill="1" applyBorder="1" applyAlignment="1">
      <alignment horizontal="center" vertical="center"/>
    </xf>
    <xf numFmtId="165" fontId="15" fillId="4" borderId="0" xfId="2" applyNumberFormat="1" applyFont="1" applyFill="1" applyBorder="1" applyAlignment="1">
      <alignment horizontal="left" vertical="center"/>
    </xf>
    <xf numFmtId="0" fontId="17" fillId="3" borderId="1" xfId="84" applyFont="1" applyFill="1" applyBorder="1" applyAlignment="1">
      <alignment horizontal="center" vertical="center" wrapText="1"/>
    </xf>
    <xf numFmtId="0" fontId="17" fillId="3" borderId="9" xfId="84" applyFont="1" applyFill="1" applyBorder="1" applyAlignment="1">
      <alignment horizontal="center" vertical="center"/>
    </xf>
    <xf numFmtId="0" fontId="17" fillId="3" borderId="14" xfId="84" applyFont="1" applyFill="1" applyBorder="1" applyAlignment="1">
      <alignment horizontal="center" vertical="center"/>
    </xf>
    <xf numFmtId="0" fontId="17" fillId="3" borderId="5" xfId="84" applyFont="1" applyFill="1" applyBorder="1" applyAlignment="1">
      <alignment horizontal="center" vertical="center"/>
    </xf>
    <xf numFmtId="0" fontId="8" fillId="0" borderId="6" xfId="88" applyFont="1" applyBorder="1" applyAlignment="1">
      <alignment horizontal="center" vertical="center" wrapText="1"/>
    </xf>
    <xf numFmtId="0" fontId="8" fillId="0" borderId="4" xfId="88" applyFont="1" applyBorder="1" applyAlignment="1">
      <alignment horizontal="center" vertical="center" wrapText="1"/>
    </xf>
    <xf numFmtId="0" fontId="8" fillId="0" borderId="6" xfId="88" applyFont="1" applyBorder="1" applyAlignment="1">
      <alignment horizontal="left" vertical="center" wrapText="1"/>
    </xf>
    <xf numFmtId="0" fontId="8" fillId="0" borderId="4" xfId="88" applyFont="1" applyBorder="1" applyAlignment="1">
      <alignment horizontal="left" vertical="center" wrapText="1"/>
    </xf>
    <xf numFmtId="0" fontId="17" fillId="3" borderId="6" xfId="77" applyFont="1" applyFill="1" applyBorder="1" applyAlignment="1">
      <alignment horizontal="center" vertical="center" wrapText="1"/>
    </xf>
    <xf numFmtId="0" fontId="17" fillId="3" borderId="7" xfId="77" applyFont="1" applyFill="1" applyBorder="1" applyAlignment="1">
      <alignment horizontal="center" vertical="center" wrapText="1"/>
    </xf>
    <xf numFmtId="0" fontId="17" fillId="3" borderId="4" xfId="77" applyFont="1" applyFill="1" applyBorder="1" applyAlignment="1">
      <alignment horizontal="center" vertical="center" wrapText="1"/>
    </xf>
    <xf numFmtId="3" fontId="17" fillId="3" borderId="1" xfId="77" applyNumberFormat="1" applyFont="1" applyFill="1" applyBorder="1" applyAlignment="1">
      <alignment horizontal="center" vertical="center" wrapText="1"/>
    </xf>
    <xf numFmtId="3" fontId="17" fillId="3" borderId="6" xfId="77" applyNumberFormat="1" applyFont="1" applyFill="1" applyBorder="1" applyAlignment="1">
      <alignment horizontal="center" vertical="center" wrapText="1"/>
    </xf>
    <xf numFmtId="3" fontId="17" fillId="3" borderId="7" xfId="77" applyNumberFormat="1" applyFont="1" applyFill="1" applyBorder="1" applyAlignment="1">
      <alignment horizontal="center" vertical="center" wrapText="1"/>
    </xf>
    <xf numFmtId="3" fontId="17" fillId="3" borderId="4" xfId="77" applyNumberFormat="1" applyFont="1" applyFill="1" applyBorder="1" applyAlignment="1">
      <alignment horizontal="center" vertical="center" wrapText="1"/>
    </xf>
    <xf numFmtId="3" fontId="17" fillId="3" borderId="9" xfId="77" applyNumberFormat="1" applyFont="1" applyFill="1" applyBorder="1" applyAlignment="1">
      <alignment horizontal="center" vertical="center" wrapText="1"/>
    </xf>
    <xf numFmtId="3" fontId="17" fillId="3" borderId="5" xfId="77" applyNumberFormat="1" applyFont="1" applyFill="1" applyBorder="1" applyAlignment="1">
      <alignment horizontal="center" vertical="center" wrapText="1"/>
    </xf>
    <xf numFmtId="0" fontId="17" fillId="3" borderId="9" xfId="84" applyFont="1" applyFill="1" applyBorder="1" applyAlignment="1">
      <alignment horizontal="center" vertical="center" wrapText="1"/>
    </xf>
    <xf numFmtId="0" fontId="17" fillId="3" borderId="14" xfId="84" applyFont="1" applyFill="1" applyBorder="1" applyAlignment="1">
      <alignment horizontal="center" vertical="center" wrapText="1"/>
    </xf>
    <xf numFmtId="0" fontId="17" fillId="3" borderId="5" xfId="84" applyFont="1" applyFill="1" applyBorder="1" applyAlignment="1">
      <alignment horizontal="center" vertical="center" wrapText="1"/>
    </xf>
    <xf numFmtId="0" fontId="16" fillId="0" borderId="2" xfId="0" applyFont="1" applyBorder="1" applyAlignment="1">
      <alignment horizontal="left"/>
    </xf>
    <xf numFmtId="0" fontId="8" fillId="4" borderId="1" xfId="0" applyFont="1" applyFill="1" applyBorder="1" applyAlignment="1">
      <alignment horizontal="left" wrapText="1"/>
    </xf>
    <xf numFmtId="0" fontId="8" fillId="4" borderId="1" xfId="0" applyFont="1" applyFill="1" applyBorder="1" applyAlignment="1">
      <alignment horizontal="center" wrapText="1"/>
    </xf>
    <xf numFmtId="0" fontId="17" fillId="0" borderId="1" xfId="0" applyFont="1" applyBorder="1" applyAlignment="1">
      <alignment horizontal="right"/>
    </xf>
    <xf numFmtId="0" fontId="20" fillId="3" borderId="1" xfId="0" applyFont="1" applyFill="1" applyBorder="1" applyAlignment="1">
      <alignment horizontal="left" wrapText="1"/>
    </xf>
    <xf numFmtId="0" fontId="50" fillId="3" borderId="6" xfId="0" applyFont="1" applyFill="1" applyBorder="1" applyAlignment="1">
      <alignment horizontal="left" wrapText="1"/>
    </xf>
    <xf numFmtId="0" fontId="50" fillId="3" borderId="4" xfId="0" applyFont="1" applyFill="1" applyBorder="1" applyAlignment="1">
      <alignment horizontal="left" wrapText="1"/>
    </xf>
    <xf numFmtId="0" fontId="18" fillId="0" borderId="0" xfId="0" applyFont="1" applyAlignment="1">
      <alignment horizontal="left"/>
    </xf>
    <xf numFmtId="0" fontId="8" fillId="0" borderId="1" xfId="0" applyFont="1" applyBorder="1" applyAlignment="1">
      <alignment horizontal="left" vertical="center" wrapText="1"/>
    </xf>
    <xf numFmtId="0" fontId="8" fillId="0" borderId="0" xfId="0" applyFont="1" applyAlignment="1">
      <alignment horizontal="left" wrapText="1"/>
    </xf>
    <xf numFmtId="0" fontId="16" fillId="4" borderId="2" xfId="0" applyFont="1" applyFill="1" applyBorder="1" applyAlignment="1">
      <alignment horizontal="left" vertical="center"/>
    </xf>
    <xf numFmtId="4" fontId="17" fillId="0" borderId="0" xfId="0" applyNumberFormat="1" applyFont="1" applyAlignment="1">
      <alignment horizontal="left" vertical="center" wrapText="1"/>
    </xf>
    <xf numFmtId="0" fontId="20" fillId="7" borderId="6" xfId="0" applyFont="1" applyFill="1" applyBorder="1" applyAlignment="1">
      <alignment horizontal="left"/>
    </xf>
    <xf numFmtId="0" fontId="20" fillId="7" borderId="4" xfId="0" applyFont="1" applyFill="1" applyBorder="1" applyAlignment="1">
      <alignment horizontal="left"/>
    </xf>
    <xf numFmtId="0" fontId="20" fillId="7" borderId="1" xfId="0" applyFont="1" applyFill="1" applyBorder="1" applyAlignment="1">
      <alignment horizontal="left"/>
    </xf>
    <xf numFmtId="0" fontId="17" fillId="0" borderId="1" xfId="0" applyFont="1" applyBorder="1" applyAlignment="1">
      <alignment horizontal="left"/>
    </xf>
    <xf numFmtId="0" fontId="32" fillId="0" borderId="1" xfId="0" applyFont="1" applyBorder="1" applyAlignment="1">
      <alignment horizontal="left" vertical="center" wrapText="1"/>
    </xf>
    <xf numFmtId="0" fontId="17" fillId="0" borderId="6" xfId="0" applyFont="1" applyBorder="1" applyAlignment="1">
      <alignment horizontal="left"/>
    </xf>
    <xf numFmtId="0" fontId="17" fillId="0" borderId="7" xfId="0" applyFont="1" applyBorder="1" applyAlignment="1">
      <alignment horizontal="left"/>
    </xf>
    <xf numFmtId="0" fontId="17" fillId="0" borderId="4" xfId="0" applyFont="1" applyBorder="1" applyAlignment="1">
      <alignment horizontal="left"/>
    </xf>
    <xf numFmtId="0" fontId="17" fillId="0" borderId="0" xfId="0" applyFont="1" applyAlignment="1">
      <alignment horizontal="left"/>
    </xf>
    <xf numFmtId="0" fontId="8" fillId="4" borderId="6" xfId="0" applyFont="1" applyFill="1" applyBorder="1" applyAlignment="1">
      <alignment horizontal="left"/>
    </xf>
    <xf numFmtId="0" fontId="8" fillId="4" borderId="7" xfId="0" applyFont="1" applyFill="1" applyBorder="1" applyAlignment="1">
      <alignment horizontal="left"/>
    </xf>
    <xf numFmtId="0" fontId="16" fillId="0" borderId="0" xfId="0" applyFont="1" applyAlignment="1">
      <alignment horizontal="center"/>
    </xf>
  </cellXfs>
  <cellStyles count="115">
    <cellStyle name="Comma" xfId="2" builtinId="3"/>
    <cellStyle name="Comma 11" xfId="82" xr:uid="{AF896FAF-C80E-4A31-9BBF-4B94B878B4F8}"/>
    <cellStyle name="Comma 11 2" xfId="103" xr:uid="{45ADABAA-597E-48E2-AC4B-C6A1101D9288}"/>
    <cellStyle name="Comma 2" xfId="6" xr:uid="{F8E5A03D-4C81-45F0-A24C-29B156F336D9}"/>
    <cellStyle name="Comma 2 14" xfId="25" xr:uid="{EAE09C23-5D27-4E8B-B866-CC2DF5F4B137}"/>
    <cellStyle name="Comma 2 2" xfId="19" xr:uid="{EFF771D3-00CD-4E38-A540-7AA094F129DF}"/>
    <cellStyle name="Comma 2 2 2" xfId="36" xr:uid="{1227F8BB-C479-47B7-9A9B-AB727FA4B86A}"/>
    <cellStyle name="Comma 2 2 2 2" xfId="50" xr:uid="{E69A759C-438F-419F-A182-BFDDF03DC9E4}"/>
    <cellStyle name="Comma 2 2 2 2 2" xfId="71" xr:uid="{EF891585-FA3D-4A8A-B886-BD84E4417266}"/>
    <cellStyle name="Comma 2 2 2 3" xfId="59" xr:uid="{97799BEF-A32F-4C57-A7E2-555AC1E4685F}"/>
    <cellStyle name="Comma 2 2 3" xfId="40" xr:uid="{F7E2DE27-ED63-4180-B71E-05E8DC85F622}"/>
    <cellStyle name="Comma 2 2 3 2" xfId="53" xr:uid="{1CCB7A4A-1668-4DDB-8505-8E2C4D60A715}"/>
    <cellStyle name="Comma 2 2 3 2 2" xfId="73" xr:uid="{E57F6B54-38FF-467D-9E10-45FAA133099F}"/>
    <cellStyle name="Comma 2 2 3 3" xfId="63" xr:uid="{66A7B720-F124-4368-ABF4-60838BD3D2C5}"/>
    <cellStyle name="Comma 2 2 4" xfId="43" xr:uid="{A8F448CC-12DF-4C64-9245-4940B85514DE}"/>
    <cellStyle name="Comma 2 2 4 2" xfId="66" xr:uid="{039733EC-34BD-4D5C-947D-7D4F93CE3A51}"/>
    <cellStyle name="Comma 2 2 5" xfId="56" xr:uid="{0AD17CE4-15E5-461E-AC97-CF3AAF7D2DE2}"/>
    <cellStyle name="Comma 2 2 6 4" xfId="86" xr:uid="{D0B9E24B-BC42-4BF2-868F-3AB261E65C30}"/>
    <cellStyle name="Comma 2 2 6 4 2" xfId="104" xr:uid="{3D52B5E5-9FE8-4612-8D21-D0FBD74C82BE}"/>
    <cellStyle name="Comma 2 3" xfId="49" xr:uid="{079E960B-B0E5-4605-A8EB-8A7E915CEDC5}"/>
    <cellStyle name="Comma 2 3 2" xfId="70" xr:uid="{E70EE57D-3678-4CD7-8383-CFF9246110DA}"/>
    <cellStyle name="Comma 2 4" xfId="58" xr:uid="{1F25E8B7-314C-4853-A3E0-F8458E48EC79}"/>
    <cellStyle name="Comma 2 5" xfId="35" xr:uid="{AA72B262-ED1B-4ADF-9383-7C1C118D8D7E}"/>
    <cellStyle name="Comma 3" xfId="39" xr:uid="{2CD2EDFA-D08A-4718-B5D2-2A216D40357F}"/>
    <cellStyle name="Comma 3 2" xfId="55" xr:uid="{32D5D383-164E-4C1F-BDC8-2B8F556CFC55}"/>
    <cellStyle name="Comma 3 2 2" xfId="75" xr:uid="{193C1309-8E2A-408A-95E6-C46343A93B53}"/>
    <cellStyle name="Comma 3 3" xfId="62" xr:uid="{3DB9DA43-7099-4E34-82FC-B9D3B4EF1994}"/>
    <cellStyle name="Comma 3 4" xfId="114" xr:uid="{AB54612A-D22A-4B15-A418-C1EF5B988764}"/>
    <cellStyle name="Comma 4" xfId="42" xr:uid="{91082DB4-EBD5-48C2-812F-0DFBEE090DBD}"/>
    <cellStyle name="Comma 4 2" xfId="65" xr:uid="{E08857C9-F001-4E16-BD66-5A165AD5F0CB}"/>
    <cellStyle name="Explanatory Text 2" xfId="47" xr:uid="{0CFAB8FB-1AC8-47B7-B967-42181E74E9A5}"/>
    <cellStyle name="Heading 3 2" xfId="32" xr:uid="{37552F23-3622-47EA-ABFD-BB8566047997}"/>
    <cellStyle name="Hyperlink 2 4" xfId="87" xr:uid="{5C390165-CC96-4200-BA05-7952EB0EE8EE}"/>
    <cellStyle name="Normal" xfId="0" builtinId="0"/>
    <cellStyle name="Normal 10 2 2" xfId="5" xr:uid="{FF7E0BA5-C699-41B5-B3FB-FB8AECEDABA8}"/>
    <cellStyle name="Normal 10 5 7 2 2" xfId="88" xr:uid="{C1030EC4-42D8-48AF-BB58-2DB61FD46227}"/>
    <cellStyle name="Normal 10 7" xfId="1" xr:uid="{B87162E3-279D-492E-A80A-1D366F2C10B1}"/>
    <cellStyle name="Normal 10 7 2" xfId="12" xr:uid="{F1F34BD1-1BC5-4917-823B-5C4CC65352A3}"/>
    <cellStyle name="Normal 10 7 2 2" xfId="94" xr:uid="{22D8D509-BB55-4C4A-9FA9-7D73196A2F8A}"/>
    <cellStyle name="Normal 10 7 2 3" xfId="27" xr:uid="{AEC00C90-34F6-404E-947B-6B652B179256}"/>
    <cellStyle name="Normal 10 7 2 3 2" xfId="99" xr:uid="{ED732E20-D447-4A3B-A0C7-DF189334318E}"/>
    <cellStyle name="Normal 10 7 2 3 3" xfId="112" xr:uid="{C6490DFC-AEF2-405F-A39A-597D01E390BC}"/>
    <cellStyle name="Normal 10 7 2 4" xfId="109" xr:uid="{64E6F596-D029-432D-B436-554FDD7D8E6A}"/>
    <cellStyle name="Normal 10 7 3" xfId="89" xr:uid="{2179370A-72B5-4D37-B628-D65D59FF4FE5}"/>
    <cellStyle name="Normal 10 7 4" xfId="105" xr:uid="{3EFC7511-DC60-4EB4-BC8C-DF65C46E1FCD}"/>
    <cellStyle name="Normal 17" xfId="78" xr:uid="{4926C055-7E3B-4ECA-9174-0BF090E9553F}"/>
    <cellStyle name="Normal 18 3" xfId="76" xr:uid="{1F903A20-FAC5-434A-9C19-4128DE642303}"/>
    <cellStyle name="Normal 2" xfId="7" xr:uid="{954FA722-CE8B-4175-BF8B-A58446D12F00}"/>
    <cellStyle name="Normal 2 12" xfId="3" xr:uid="{45F65235-D49D-4588-928B-78307C5BD61B}"/>
    <cellStyle name="Normal 2 12 2" xfId="28" xr:uid="{1D8B82A3-B0CD-4714-B33E-13A7AEB4C579}"/>
    <cellStyle name="Normal 2 12 2 2" xfId="100" xr:uid="{397F4742-FA9A-437C-8775-8FA4690D2D7C}"/>
    <cellStyle name="Normal 2 12 2 3" xfId="113" xr:uid="{4AA3E389-9F9D-4077-A894-99D66AF202E9}"/>
    <cellStyle name="Normal 2 12 3" xfId="90" xr:uid="{141CB662-C4A6-4163-B801-49FA46E69238}"/>
    <cellStyle name="Normal 2 12 4" xfId="106" xr:uid="{D59DCA6F-8C01-4D64-970F-3DF8F481142D}"/>
    <cellStyle name="Normal 2 2" xfId="11" xr:uid="{AD369875-CC1F-432C-909F-F19AFA256CD1}"/>
    <cellStyle name="Normal 2 2 2 2" xfId="10" xr:uid="{FDAFF4A3-E2DE-420A-A2FF-EC7062D714CF}"/>
    <cellStyle name="Normal 2 2 3" xfId="33" xr:uid="{C34F88E5-3A9B-424B-8A70-9009ACA4825E}"/>
    <cellStyle name="Normal 2 3" xfId="20" xr:uid="{E57256AD-3FDD-46D8-AED8-814C5027D22C}"/>
    <cellStyle name="Normal 2 3 2" xfId="45" xr:uid="{1A4FF852-DA00-41E2-B1EA-1CF3AA7FA357}"/>
    <cellStyle name="Normal 2 3 2 2" xfId="68" xr:uid="{9D24A7B3-BEBE-4668-A2EF-B5738B5CFADE}"/>
    <cellStyle name="Normal 2 3 3" xfId="54" xr:uid="{8970CAAB-5B1D-4072-B0E4-3F5EA057A5DA}"/>
    <cellStyle name="Normal 2 3 3 2" xfId="74" xr:uid="{983ED0BA-0BA8-41B6-854F-70974E8F0FB6}"/>
    <cellStyle name="Normal 2 3 4" xfId="61" xr:uid="{613FC81B-40D3-4677-9570-30A6D1072641}"/>
    <cellStyle name="Normal 2 3 5" xfId="38" xr:uid="{518EC1A4-892F-42B7-B0AA-B1E9F46D4021}"/>
    <cellStyle name="Normal 2 4" xfId="31" xr:uid="{B90A5704-AE15-4274-A9FF-2B55B9B74CA7}"/>
    <cellStyle name="Normal 2 5" xfId="14" xr:uid="{7CED82DD-6B0D-4F2E-BE76-5AE0C059A149}"/>
    <cellStyle name="Normal 3" xfId="4" xr:uid="{4C0CDB01-6437-4D12-B304-2B700A91E263}"/>
    <cellStyle name="Normal 3 10" xfId="22" xr:uid="{D7B9BAC9-ADAA-4718-949F-A588F7604141}"/>
    <cellStyle name="Normal 3 10 2 4" xfId="84" xr:uid="{3BB04862-E0E4-407D-BC33-82DED5AFE7D9}"/>
    <cellStyle name="Normal 3 10 7" xfId="77" xr:uid="{5AAA0796-D02C-460C-A2DB-DCD35A68407E}"/>
    <cellStyle name="Normal 3 2" xfId="16" xr:uid="{47BF0F56-8A4E-4EB1-A76C-6ED27F3962C3}"/>
    <cellStyle name="Normal 3 2 2" xfId="21" xr:uid="{B6B550E6-15C7-48E5-9AAC-E8A6866856D9}"/>
    <cellStyle name="Normal 3 2 2 2" xfId="46" xr:uid="{FCAE0558-ACE3-4DBB-AE4A-0CEC3F8AC91A}"/>
    <cellStyle name="Normal 3 2 2 2 2" xfId="102" xr:uid="{18EB5BA8-6BAC-4566-984A-5ABE7E3466E5}"/>
    <cellStyle name="Normal 3 2 3" xfId="60" xr:uid="{2D67EECB-1066-42B7-BA97-010E7D3460CE}"/>
    <cellStyle name="Normal 3 2 4" xfId="37" xr:uid="{67A77990-9E17-4CEF-A5AE-BDA33701E9A6}"/>
    <cellStyle name="Normal 3 3" xfId="41" xr:uid="{6BEF556F-53AF-485A-A001-B56014148746}"/>
    <cellStyle name="Normal 3 3 2" xfId="51" xr:uid="{8D5D79C6-5EFC-4CD2-8DC0-0D747D13B039}"/>
    <cellStyle name="Normal 3 3 2 11" xfId="85" xr:uid="{6D2F6A73-7969-43F5-B8D6-FCCBE956A670}"/>
    <cellStyle name="Normal 3 3 2 2" xfId="72" xr:uid="{AAC45439-3BE0-4FF4-AE30-938EB370A926}"/>
    <cellStyle name="Normal 3 3 3" xfId="64" xr:uid="{A20A0E8B-9626-4E87-BB78-FDA469A8DC89}"/>
    <cellStyle name="Normal 3 3 6" xfId="79" xr:uid="{DE0C0D5F-C3FC-4F53-B7D9-C42E945B8B6B}"/>
    <cellStyle name="Normal 3 4" xfId="44" xr:uid="{6CC30DC2-6183-4DF4-85A4-149EE55A9999}"/>
    <cellStyle name="Normal 3 4 2" xfId="67" xr:uid="{C9653A96-2520-4BBE-B607-66737FDA51A9}"/>
    <cellStyle name="Normal 3 40" xfId="91" xr:uid="{16B80B40-28E9-4E6C-B277-4E08391C65E8}"/>
    <cellStyle name="Normal 3 5" xfId="57" xr:uid="{2118D3A1-AC42-4CE2-A127-984E31E8A93B}"/>
    <cellStyle name="Normal 3 5 2 10" xfId="97" xr:uid="{A9A0D507-043F-4517-A699-0475DAC27060}"/>
    <cellStyle name="Normal 3 5 2 9" xfId="80" xr:uid="{D6FE7C5A-3CCD-4BAF-A12B-59E759700051}"/>
    <cellStyle name="Normal 3 50" xfId="81" xr:uid="{E8056653-1B8C-4AE1-BF72-33A109F2BFEE}"/>
    <cellStyle name="Normal 39 9" xfId="17" xr:uid="{CD7ECA4A-2C3A-4B23-AA4A-D9652F8AC9E8}"/>
    <cellStyle name="Normal 4" xfId="18" xr:uid="{7F0533C3-CC03-496D-AA49-C1E5084FE938}"/>
    <cellStyle name="Normal 4 2" xfId="52" xr:uid="{F49381D4-8A8A-4942-BD1A-F50F7EAA2E12}"/>
    <cellStyle name="Normal 4 3" xfId="69" xr:uid="{45480B8E-55F5-4ED6-A12B-77E928620CFA}"/>
    <cellStyle name="Normal 4 4" xfId="48" xr:uid="{C6F9C65B-6D39-48B0-9A24-25ADEBDC4316}"/>
    <cellStyle name="Normal 5" xfId="9" xr:uid="{191FEB95-2F1C-49E4-BF83-0707315C7AB5}"/>
    <cellStyle name="Normal 5 2" xfId="34" xr:uid="{CBEB4462-8E3C-4C35-ACE8-EAA1ADB35066}"/>
    <cellStyle name="Normal 5 2 2" xfId="101" xr:uid="{92617865-1E81-4BAE-AC10-EA9F8AD4B559}"/>
    <cellStyle name="Normal 5 3" xfId="15" xr:uid="{BB7F8095-DDC0-4589-A093-E3E2CE034CED}"/>
    <cellStyle name="Normal 5 3 2" xfId="96" xr:uid="{D185B000-9160-4F3C-8CDE-A09FA21531F3}"/>
    <cellStyle name="Normal 5 3 3" xfId="111" xr:uid="{777531A7-BCB0-4E44-BC34-247CAC9CAD42}"/>
    <cellStyle name="Normal 5 4" xfId="93" xr:uid="{FB648124-0E2B-46D5-B041-D2DE82FCFFA7}"/>
    <cellStyle name="Normal 5 5" xfId="108" xr:uid="{D9DFD9A9-FAD1-45C5-AF4D-ADAED2B2FA8D}"/>
    <cellStyle name="Normal 6" xfId="8" xr:uid="{7A4BD534-C035-4E40-9D1A-98264385F07D}"/>
    <cellStyle name="Normal 6 11" xfId="13" xr:uid="{15F41F5B-2142-44DB-A3BF-F60EA7792A01}"/>
    <cellStyle name="Normal 6 11 2" xfId="95" xr:uid="{BC4860FC-1BE3-4903-95E7-39673D4FEE30}"/>
    <cellStyle name="Normal 6 11 3" xfId="110" xr:uid="{5F30E323-B302-4BD2-951D-F29916E49C24}"/>
    <cellStyle name="Normal 6 2" xfId="92" xr:uid="{F0EAF7FD-8323-43D9-AD79-9A18451D58CF}"/>
    <cellStyle name="Normal 6 3" xfId="107" xr:uid="{6AE7EC98-8791-45C8-A1C4-77C12D13CCCA}"/>
    <cellStyle name="Normal 7" xfId="23" xr:uid="{8ADB24A4-718C-4B3F-85DB-F4E4AF1F1357}"/>
    <cellStyle name="Normal 7 9" xfId="26" xr:uid="{CFBC25EF-963C-4F51-A3EF-716DDFBEB81C}"/>
    <cellStyle name="Normal 8" xfId="29" xr:uid="{C11851F5-2E93-44C3-8AF4-B636ECC1D36A}"/>
    <cellStyle name="Normal 99" xfId="24" xr:uid="{F072C0E1-FAFA-4931-8C7A-9C066BCA553F}"/>
    <cellStyle name="Normal 99 2" xfId="98" xr:uid="{B0099618-A827-48B1-9933-5D9D31C33131}"/>
    <cellStyle name="Normal_Sheet1 2 2 2" xfId="83" xr:uid="{F0EDA474-9597-4660-9DB5-0784CD06F473}"/>
    <cellStyle name="V?st." xfId="30" xr:uid="{0A31E6FB-CB9B-4E2E-B8F1-077C2E8E03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0C24F-2D7B-49B8-A909-CC9ECA16A381}">
  <sheetPr>
    <tabColor theme="4" tint="0.59999389629810485"/>
  </sheetPr>
  <dimension ref="A1:D20"/>
  <sheetViews>
    <sheetView tabSelected="1" zoomScale="62" zoomScaleNormal="62" workbookViewId="0">
      <selection activeCell="K26" sqref="K26"/>
    </sheetView>
  </sheetViews>
  <sheetFormatPr defaultRowHeight="20.25" customHeight="1"/>
  <cols>
    <col min="1" max="1" width="46.7109375" style="5" customWidth="1"/>
    <col min="2" max="2" width="27.28515625" style="5" customWidth="1"/>
    <col min="3" max="3" width="26.140625" style="5" customWidth="1"/>
    <col min="4" max="4" width="44.7109375" style="5" customWidth="1"/>
    <col min="5" max="16384" width="9.140625" style="5"/>
  </cols>
  <sheetData>
    <row r="1" spans="1:4" ht="54.75" customHeight="1">
      <c r="C1" s="589" t="s">
        <v>76</v>
      </c>
      <c r="D1" s="589"/>
    </row>
    <row r="2" spans="1:4" ht="37.5" customHeight="1">
      <c r="A2" s="588" t="s">
        <v>104</v>
      </c>
      <c r="B2" s="588"/>
      <c r="C2" s="588"/>
      <c r="D2" s="588"/>
    </row>
    <row r="3" spans="1:4" ht="20.25" customHeight="1">
      <c r="A3" s="586" t="s">
        <v>94</v>
      </c>
      <c r="B3" s="9" t="s">
        <v>92</v>
      </c>
      <c r="C3" s="9" t="s">
        <v>93</v>
      </c>
      <c r="D3" s="9" t="s">
        <v>93</v>
      </c>
    </row>
    <row r="4" spans="1:4" ht="35.25" customHeight="1">
      <c r="A4" s="587"/>
      <c r="B4" s="583" t="s">
        <v>105</v>
      </c>
      <c r="C4" s="583"/>
      <c r="D4" s="485" t="s">
        <v>106</v>
      </c>
    </row>
    <row r="5" spans="1:4" ht="20.25" customHeight="1">
      <c r="A5" s="484" t="s">
        <v>95</v>
      </c>
      <c r="B5" s="486">
        <f>B6+B8+B10+B12+B14+B16</f>
        <v>2739848</v>
      </c>
      <c r="C5" s="487">
        <f>C6+C8+C10+C12+C14+C16</f>
        <v>3653130</v>
      </c>
      <c r="D5" s="487">
        <f>D6+D8+D10+D12+D14+D16+D18</f>
        <v>3210132</v>
      </c>
    </row>
    <row r="6" spans="1:4" ht="20.25" customHeight="1">
      <c r="A6" s="75" t="s">
        <v>96</v>
      </c>
      <c r="B6" s="45">
        <v>429</v>
      </c>
      <c r="C6" s="45">
        <v>572</v>
      </c>
      <c r="D6" s="45">
        <v>502</v>
      </c>
    </row>
    <row r="7" spans="1:4" ht="20.25" customHeight="1">
      <c r="A7" s="41" t="s">
        <v>97</v>
      </c>
      <c r="B7" s="46">
        <v>429</v>
      </c>
      <c r="C7" s="46">
        <v>572</v>
      </c>
      <c r="D7" s="46">
        <v>502</v>
      </c>
    </row>
    <row r="8" spans="1:4" ht="20.25" customHeight="1">
      <c r="A8" s="75" t="s">
        <v>98</v>
      </c>
      <c r="B8" s="45">
        <v>436425</v>
      </c>
      <c r="C8" s="45">
        <v>581900</v>
      </c>
      <c r="D8" s="45">
        <v>511143</v>
      </c>
    </row>
    <row r="9" spans="1:4" ht="20.25" customHeight="1">
      <c r="A9" s="41" t="s">
        <v>97</v>
      </c>
      <c r="B9" s="46">
        <v>436425</v>
      </c>
      <c r="C9" s="46">
        <v>581900</v>
      </c>
      <c r="D9" s="46">
        <v>511143</v>
      </c>
    </row>
    <row r="10" spans="1:4" ht="20.25" customHeight="1">
      <c r="A10" s="75" t="s">
        <v>99</v>
      </c>
      <c r="B10" s="45">
        <v>115411</v>
      </c>
      <c r="C10" s="45">
        <v>153881</v>
      </c>
      <c r="D10" s="45">
        <v>135170</v>
      </c>
    </row>
    <row r="11" spans="1:4" ht="20.25" customHeight="1">
      <c r="A11" s="41" t="s">
        <v>97</v>
      </c>
      <c r="B11" s="46">
        <v>115411</v>
      </c>
      <c r="C11" s="46">
        <v>153881</v>
      </c>
      <c r="D11" s="46">
        <v>135170</v>
      </c>
    </row>
    <row r="12" spans="1:4" ht="20.25" customHeight="1">
      <c r="A12" s="75" t="s">
        <v>100</v>
      </c>
      <c r="B12" s="45">
        <v>772610</v>
      </c>
      <c r="C12" s="45">
        <v>1030147</v>
      </c>
      <c r="D12" s="45">
        <v>904885</v>
      </c>
    </row>
    <row r="13" spans="1:4" ht="20.25" customHeight="1">
      <c r="A13" s="41" t="s">
        <v>97</v>
      </c>
      <c r="B13" s="46">
        <v>772610</v>
      </c>
      <c r="C13" s="46">
        <v>1030147</v>
      </c>
      <c r="D13" s="46">
        <v>904885</v>
      </c>
    </row>
    <row r="14" spans="1:4" ht="20.25" customHeight="1">
      <c r="A14" s="75" t="s">
        <v>101</v>
      </c>
      <c r="B14" s="45">
        <v>910284</v>
      </c>
      <c r="C14" s="45">
        <v>1213712</v>
      </c>
      <c r="D14" s="45">
        <v>1066129</v>
      </c>
    </row>
    <row r="15" spans="1:4" ht="20.25" customHeight="1">
      <c r="A15" s="41" t="s">
        <v>97</v>
      </c>
      <c r="B15" s="46">
        <v>910284</v>
      </c>
      <c r="C15" s="46">
        <v>1213712</v>
      </c>
      <c r="D15" s="46">
        <v>1066129</v>
      </c>
    </row>
    <row r="16" spans="1:4" ht="20.25" customHeight="1">
      <c r="A16" s="75" t="s">
        <v>102</v>
      </c>
      <c r="B16" s="45">
        <v>504689</v>
      </c>
      <c r="C16" s="45">
        <v>672918</v>
      </c>
      <c r="D16" s="45">
        <v>591094</v>
      </c>
    </row>
    <row r="17" spans="1:4" ht="20.25" customHeight="1">
      <c r="A17" s="41" t="s">
        <v>97</v>
      </c>
      <c r="B17" s="46">
        <v>504689</v>
      </c>
      <c r="C17" s="46">
        <v>672918</v>
      </c>
      <c r="D17" s="46">
        <v>591094</v>
      </c>
    </row>
    <row r="18" spans="1:4" ht="20.25" customHeight="1">
      <c r="A18" s="75" t="s">
        <v>103</v>
      </c>
      <c r="B18" s="42"/>
      <c r="C18" s="46"/>
      <c r="D18" s="45">
        <v>1209</v>
      </c>
    </row>
    <row r="19" spans="1:4" ht="20.25" customHeight="1">
      <c r="A19" s="41" t="s">
        <v>97</v>
      </c>
      <c r="B19" s="42"/>
      <c r="C19" s="46"/>
      <c r="D19" s="46">
        <v>1209</v>
      </c>
    </row>
    <row r="20" spans="1:4" ht="20.25" customHeight="1">
      <c r="A20" s="43"/>
      <c r="B20" s="44"/>
      <c r="C20" s="584">
        <f>C5+D5</f>
        <v>6863262</v>
      </c>
      <c r="D20" s="585"/>
    </row>
  </sheetData>
  <mergeCells count="5">
    <mergeCell ref="B4:C4"/>
    <mergeCell ref="C20:D20"/>
    <mergeCell ref="A3:A4"/>
    <mergeCell ref="A2:D2"/>
    <mergeCell ref="C1:D1"/>
  </mergeCells>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4A7B-676F-4AFE-8140-DB21A8F9E4CE}">
  <sheetPr>
    <tabColor theme="4" tint="0.59999389629810485"/>
  </sheetPr>
  <dimension ref="A1:N19"/>
  <sheetViews>
    <sheetView zoomScale="82" zoomScaleNormal="82" workbookViewId="0">
      <selection activeCell="A31" sqref="A31"/>
    </sheetView>
  </sheetViews>
  <sheetFormatPr defaultColWidth="9.140625" defaultRowHeight="12.75"/>
  <cols>
    <col min="1" max="1" width="70.140625" style="5" customWidth="1"/>
    <col min="2" max="2" width="17.28515625" style="5" customWidth="1"/>
    <col min="3" max="5" width="14.5703125" style="5" customWidth="1"/>
    <col min="6" max="6" width="19.5703125" style="5" customWidth="1"/>
    <col min="7" max="7" width="15.42578125" style="5" customWidth="1"/>
    <col min="8" max="8" width="14.5703125" style="5" customWidth="1"/>
    <col min="9" max="16384" width="9.140625" style="5"/>
  </cols>
  <sheetData>
    <row r="1" spans="1:14" ht="48.75" customHeight="1">
      <c r="E1" s="589" t="s">
        <v>73</v>
      </c>
      <c r="F1" s="589"/>
      <c r="G1" s="589"/>
      <c r="H1" s="589"/>
    </row>
    <row r="2" spans="1:14">
      <c r="A2" s="48" t="s">
        <v>107</v>
      </c>
      <c r="B2" s="8"/>
      <c r="C2" s="8"/>
      <c r="D2" s="8"/>
      <c r="E2" s="8"/>
      <c r="F2" s="8"/>
      <c r="G2" s="8"/>
      <c r="H2" s="8"/>
    </row>
    <row r="3" spans="1:14" ht="25.5">
      <c r="A3" s="590"/>
      <c r="B3" s="590"/>
      <c r="C3" s="590"/>
      <c r="D3" s="590"/>
      <c r="E3" s="49" t="s">
        <v>616</v>
      </c>
      <c r="F3" s="50" t="s">
        <v>109</v>
      </c>
      <c r="G3" s="48"/>
    </row>
    <row r="4" spans="1:14">
      <c r="A4" s="51"/>
      <c r="B4" s="51"/>
      <c r="C4" s="51"/>
      <c r="D4" s="51"/>
      <c r="E4" s="52">
        <f>F8</f>
        <v>1720493</v>
      </c>
      <c r="F4" s="52">
        <f>G8</f>
        <v>6762991</v>
      </c>
      <c r="G4" s="48"/>
      <c r="H4" s="53"/>
      <c r="I4" s="53"/>
      <c r="J4" s="53"/>
    </row>
    <row r="5" spans="1:14">
      <c r="A5" s="51"/>
      <c r="B5" s="51"/>
      <c r="C5" s="51"/>
      <c r="D5" s="51"/>
      <c r="E5" s="51"/>
      <c r="F5" s="51"/>
      <c r="G5" s="51"/>
      <c r="H5" s="51"/>
    </row>
    <row r="6" spans="1:14" ht="63.75">
      <c r="A6" s="54" t="s">
        <v>110</v>
      </c>
      <c r="B6" s="55" t="s">
        <v>111</v>
      </c>
      <c r="C6" s="55" t="s">
        <v>112</v>
      </c>
      <c r="D6" s="55" t="s">
        <v>113</v>
      </c>
      <c r="E6" s="55" t="s">
        <v>114</v>
      </c>
      <c r="F6" s="55" t="s">
        <v>115</v>
      </c>
      <c r="G6" s="55" t="s">
        <v>116</v>
      </c>
      <c r="H6" s="55" t="s">
        <v>117</v>
      </c>
    </row>
    <row r="7" spans="1:14">
      <c r="A7" s="56" t="s">
        <v>118</v>
      </c>
      <c r="B7" s="56">
        <v>723</v>
      </c>
      <c r="C7" s="56">
        <v>51.33</v>
      </c>
      <c r="D7" s="57">
        <f>B7*C7</f>
        <v>37111.589999999997</v>
      </c>
      <c r="E7" s="56">
        <v>46.36</v>
      </c>
      <c r="F7" s="57">
        <f>ROUND(D7*E7,0)</f>
        <v>1720493</v>
      </c>
      <c r="G7" s="57">
        <f>ROUNDUP(C16*C7*E7,0)</f>
        <v>6762991</v>
      </c>
      <c r="H7" s="57">
        <f>ROUNDUP(C16*C7*E7,0)</f>
        <v>6762991</v>
      </c>
    </row>
    <row r="8" spans="1:14">
      <c r="A8" s="58" t="s">
        <v>119</v>
      </c>
      <c r="B8" s="59">
        <f>B7</f>
        <v>723</v>
      </c>
      <c r="C8" s="59"/>
      <c r="D8" s="60">
        <f>D7</f>
        <v>37111.589999999997</v>
      </c>
      <c r="E8" s="59"/>
      <c r="F8" s="61">
        <f>F7</f>
        <v>1720493</v>
      </c>
      <c r="G8" s="61">
        <f t="shared" ref="G8:H8" si="0">G7</f>
        <v>6762991</v>
      </c>
      <c r="H8" s="61">
        <f t="shared" si="0"/>
        <v>6762991</v>
      </c>
    </row>
    <row r="9" spans="1:14">
      <c r="A9" s="8"/>
      <c r="B9" s="8"/>
      <c r="C9" s="8"/>
      <c r="D9" s="8"/>
      <c r="E9" s="8"/>
      <c r="F9" s="8"/>
      <c r="G9" s="8"/>
      <c r="H9" s="8"/>
    </row>
    <row r="10" spans="1:14">
      <c r="A10" s="591" t="s">
        <v>120</v>
      </c>
      <c r="B10" s="591"/>
      <c r="C10" s="591"/>
      <c r="D10" s="591"/>
      <c r="E10" s="591"/>
      <c r="F10" s="591"/>
      <c r="G10" s="591"/>
      <c r="H10" s="591"/>
      <c r="I10" s="62"/>
      <c r="J10" s="62"/>
      <c r="K10" s="62"/>
      <c r="L10" s="62"/>
      <c r="M10" s="62"/>
      <c r="N10" s="62"/>
    </row>
    <row r="11" spans="1:14">
      <c r="A11" s="8" t="s">
        <v>121</v>
      </c>
      <c r="B11" s="8"/>
      <c r="C11" s="8"/>
      <c r="D11" s="8"/>
      <c r="E11" s="63"/>
      <c r="F11" s="64"/>
      <c r="G11" s="65"/>
      <c r="H11" s="8"/>
    </row>
    <row r="12" spans="1:14">
      <c r="A12" s="5" t="s">
        <v>122</v>
      </c>
      <c r="B12" s="8"/>
      <c r="C12" s="8"/>
      <c r="D12" s="8"/>
      <c r="E12" s="8"/>
      <c r="F12" s="8"/>
      <c r="G12" s="8"/>
      <c r="H12" s="8"/>
    </row>
    <row r="13" spans="1:14">
      <c r="A13" s="13" t="s">
        <v>617</v>
      </c>
      <c r="B13" s="13"/>
      <c r="C13" s="13"/>
      <c r="D13" s="13"/>
      <c r="E13" s="8"/>
      <c r="F13" s="8"/>
      <c r="G13" s="8"/>
      <c r="H13" s="8"/>
    </row>
    <row r="14" spans="1:14">
      <c r="A14" s="592"/>
      <c r="B14" s="593"/>
      <c r="C14" s="66" t="s">
        <v>123</v>
      </c>
      <c r="D14" s="67"/>
      <c r="E14" s="8"/>
      <c r="F14" s="8"/>
      <c r="G14" s="8"/>
      <c r="H14" s="8"/>
    </row>
    <row r="15" spans="1:14">
      <c r="A15" s="594" t="s">
        <v>124</v>
      </c>
      <c r="B15" s="594"/>
      <c r="C15" s="68">
        <v>1894500</v>
      </c>
      <c r="E15" s="8"/>
      <c r="F15" s="8"/>
      <c r="G15" s="8"/>
      <c r="H15" s="8"/>
    </row>
    <row r="16" spans="1:14">
      <c r="A16" s="594" t="s">
        <v>125</v>
      </c>
      <c r="B16" s="594"/>
      <c r="C16" s="68">
        <f>ROUND(C15/100000*150,0)</f>
        <v>2842</v>
      </c>
      <c r="E16" s="8"/>
      <c r="F16" s="8"/>
      <c r="G16" s="8"/>
      <c r="H16" s="8"/>
    </row>
    <row r="17" spans="1:8">
      <c r="A17" s="589" t="s">
        <v>126</v>
      </c>
      <c r="B17" s="589"/>
      <c r="C17" s="589"/>
      <c r="D17" s="589"/>
      <c r="E17" s="589"/>
      <c r="F17" s="589"/>
      <c r="G17" s="589"/>
      <c r="H17" s="589"/>
    </row>
    <row r="19" spans="1:8">
      <c r="A19" s="5" t="s">
        <v>127</v>
      </c>
    </row>
  </sheetData>
  <mergeCells count="7">
    <mergeCell ref="E1:H1"/>
    <mergeCell ref="A17:H17"/>
    <mergeCell ref="A3:D3"/>
    <mergeCell ref="A10:H10"/>
    <mergeCell ref="A14:B14"/>
    <mergeCell ref="A15:B15"/>
    <mergeCell ref="A16:B16"/>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889C9-16F5-440D-8C61-3510E9A02896}">
  <sheetPr>
    <tabColor theme="4" tint="0.59999389629810485"/>
  </sheetPr>
  <dimension ref="A1:O110"/>
  <sheetViews>
    <sheetView zoomScale="68" zoomScaleNormal="68" workbookViewId="0">
      <selection activeCell="Q23" sqref="Q23"/>
    </sheetView>
  </sheetViews>
  <sheetFormatPr defaultColWidth="9.140625" defaultRowHeight="12.75"/>
  <cols>
    <col min="1" max="1" width="6" style="5" customWidth="1"/>
    <col min="2" max="2" width="16.5703125" style="5" customWidth="1"/>
    <col min="3" max="3" width="44.42578125" style="5" customWidth="1"/>
    <col min="4" max="4" width="56.7109375" style="5" customWidth="1"/>
    <col min="5" max="5" width="13.42578125" style="5" customWidth="1"/>
    <col min="6" max="6" width="20.42578125" style="5" customWidth="1"/>
    <col min="7" max="7" width="13" style="5" customWidth="1"/>
    <col min="8" max="9" width="14.140625" style="5" customWidth="1"/>
    <col min="10" max="10" width="12.85546875" style="5" customWidth="1"/>
    <col min="11" max="12" width="13.42578125" style="5" customWidth="1"/>
    <col min="13" max="13" width="12.5703125" style="5" customWidth="1"/>
    <col min="14" max="15" width="13.140625" style="5" customWidth="1"/>
    <col min="16" max="16384" width="9.140625" style="5"/>
  </cols>
  <sheetData>
    <row r="1" spans="1:15" ht="51" customHeight="1">
      <c r="I1" s="589" t="s">
        <v>77</v>
      </c>
      <c r="J1" s="589"/>
      <c r="K1" s="589"/>
      <c r="L1" s="589"/>
    </row>
    <row r="2" spans="1:15">
      <c r="A2" s="607" t="s">
        <v>128</v>
      </c>
      <c r="B2" s="607"/>
      <c r="C2" s="607"/>
      <c r="K2" s="47"/>
      <c r="L2" s="47"/>
    </row>
    <row r="3" spans="1:15" ht="25.5">
      <c r="A3" s="608"/>
      <c r="B3" s="608"/>
      <c r="C3" s="608"/>
      <c r="D3" s="608"/>
      <c r="E3" s="49" t="s">
        <v>108</v>
      </c>
      <c r="F3" s="49" t="s">
        <v>109</v>
      </c>
    </row>
    <row r="4" spans="1:15">
      <c r="A4" s="51"/>
      <c r="B4" s="51"/>
      <c r="C4" s="51"/>
      <c r="D4" s="51"/>
      <c r="E4" s="69">
        <f>I57+I71+I107</f>
        <v>2434369</v>
      </c>
      <c r="F4" s="69">
        <f>J57+I71+J107</f>
        <v>3245825</v>
      </c>
    </row>
    <row r="5" spans="1:15">
      <c r="A5" s="16" t="s">
        <v>129</v>
      </c>
    </row>
    <row r="6" spans="1:15">
      <c r="G6" s="609" t="s">
        <v>130</v>
      </c>
      <c r="H6" s="609"/>
      <c r="I6" s="609"/>
      <c r="J6" s="609" t="s">
        <v>131</v>
      </c>
      <c r="K6" s="609"/>
      <c r="L6" s="609"/>
      <c r="M6" s="70"/>
      <c r="N6" s="70"/>
      <c r="O6" s="70"/>
    </row>
    <row r="7" spans="1:15" ht="63.75">
      <c r="A7" s="71" t="s">
        <v>132</v>
      </c>
      <c r="B7" s="610" t="s">
        <v>133</v>
      </c>
      <c r="C7" s="611"/>
      <c r="D7" s="72" t="s">
        <v>134</v>
      </c>
      <c r="E7" s="72" t="s">
        <v>135</v>
      </c>
      <c r="F7" s="72" t="s">
        <v>136</v>
      </c>
      <c r="G7" s="72" t="s">
        <v>137</v>
      </c>
      <c r="H7" s="72" t="s">
        <v>138</v>
      </c>
      <c r="I7" s="72" t="s">
        <v>139</v>
      </c>
      <c r="J7" s="72" t="s">
        <v>140</v>
      </c>
      <c r="K7" s="72" t="s">
        <v>141</v>
      </c>
      <c r="L7" s="72" t="s">
        <v>142</v>
      </c>
    </row>
    <row r="8" spans="1:15">
      <c r="A8" s="612"/>
      <c r="B8" s="613"/>
      <c r="C8" s="613"/>
      <c r="D8" s="614"/>
      <c r="E8" s="73">
        <v>1</v>
      </c>
      <c r="F8" s="73">
        <v>2</v>
      </c>
      <c r="G8" s="73" t="s">
        <v>143</v>
      </c>
      <c r="H8" s="73" t="s">
        <v>144</v>
      </c>
      <c r="I8" s="73" t="s">
        <v>145</v>
      </c>
      <c r="J8" s="73" t="s">
        <v>143</v>
      </c>
      <c r="K8" s="73" t="s">
        <v>144</v>
      </c>
      <c r="L8" s="73" t="s">
        <v>145</v>
      </c>
    </row>
    <row r="9" spans="1:15">
      <c r="A9" s="74" t="s">
        <v>146</v>
      </c>
      <c r="B9" s="606" t="s">
        <v>147</v>
      </c>
      <c r="C9" s="606"/>
      <c r="D9" s="75" t="s">
        <v>148</v>
      </c>
      <c r="E9" s="76">
        <v>10.45</v>
      </c>
      <c r="F9" s="77">
        <v>0.21</v>
      </c>
      <c r="G9" s="78">
        <v>5767</v>
      </c>
      <c r="H9" s="79">
        <f t="shared" ref="H9:H49" si="0">E9*G9</f>
        <v>60265.149999999994</v>
      </c>
      <c r="I9" s="79">
        <f>ROUND(H9*1.21,2)</f>
        <v>72920.83</v>
      </c>
      <c r="J9" s="78">
        <v>7713</v>
      </c>
      <c r="K9" s="80">
        <f t="shared" ref="K9:K49" si="1">E9*J9</f>
        <v>80600.849999999991</v>
      </c>
      <c r="L9" s="80">
        <f>ROUND(K9*1.21,2)</f>
        <v>97527.03</v>
      </c>
    </row>
    <row r="10" spans="1:15" ht="12.75" customHeight="1">
      <c r="A10" s="74" t="s">
        <v>149</v>
      </c>
      <c r="B10" s="606" t="s">
        <v>147</v>
      </c>
      <c r="C10" s="606"/>
      <c r="D10" s="75" t="s">
        <v>150</v>
      </c>
      <c r="E10" s="76">
        <v>10.45</v>
      </c>
      <c r="F10" s="77">
        <v>0.21</v>
      </c>
      <c r="G10" s="78">
        <v>5767</v>
      </c>
      <c r="H10" s="79">
        <f t="shared" si="0"/>
        <v>60265.149999999994</v>
      </c>
      <c r="I10" s="79">
        <f t="shared" ref="I10:I49" si="2">ROUND(H10*1.21,2)</f>
        <v>72920.83</v>
      </c>
      <c r="J10" s="78">
        <v>7713</v>
      </c>
      <c r="K10" s="80">
        <f t="shared" si="1"/>
        <v>80600.849999999991</v>
      </c>
      <c r="L10" s="80">
        <f t="shared" ref="L10:L49" si="3">ROUND(K10*1.21,2)</f>
        <v>97527.03</v>
      </c>
    </row>
    <row r="11" spans="1:15" ht="12.75" customHeight="1">
      <c r="A11" s="74" t="s">
        <v>151</v>
      </c>
      <c r="B11" s="606" t="s">
        <v>147</v>
      </c>
      <c r="C11" s="606"/>
      <c r="D11" s="75" t="s">
        <v>152</v>
      </c>
      <c r="E11" s="76">
        <v>10.45</v>
      </c>
      <c r="F11" s="77">
        <v>0.21</v>
      </c>
      <c r="G11" s="78">
        <v>5383</v>
      </c>
      <c r="H11" s="79">
        <f t="shared" si="0"/>
        <v>56252.35</v>
      </c>
      <c r="I11" s="79">
        <f t="shared" si="2"/>
        <v>68065.34</v>
      </c>
      <c r="J11" s="78">
        <v>7199</v>
      </c>
      <c r="K11" s="80">
        <f t="shared" si="1"/>
        <v>75229.549999999988</v>
      </c>
      <c r="L11" s="80">
        <f t="shared" si="3"/>
        <v>91027.76</v>
      </c>
    </row>
    <row r="12" spans="1:15" ht="12.75" customHeight="1">
      <c r="A12" s="74" t="s">
        <v>153</v>
      </c>
      <c r="B12" s="606" t="s">
        <v>147</v>
      </c>
      <c r="C12" s="606"/>
      <c r="D12" s="75" t="s">
        <v>154</v>
      </c>
      <c r="E12" s="76">
        <v>10.45</v>
      </c>
      <c r="F12" s="77">
        <v>0.21</v>
      </c>
      <c r="G12" s="78">
        <v>3076</v>
      </c>
      <c r="H12" s="79">
        <f t="shared" si="0"/>
        <v>32144.199999999997</v>
      </c>
      <c r="I12" s="79">
        <f t="shared" si="2"/>
        <v>38894.480000000003</v>
      </c>
      <c r="J12" s="78">
        <v>4114</v>
      </c>
      <c r="K12" s="80">
        <f t="shared" si="1"/>
        <v>42991.299999999996</v>
      </c>
      <c r="L12" s="80">
        <f t="shared" si="3"/>
        <v>52019.47</v>
      </c>
    </row>
    <row r="13" spans="1:15" ht="12.75" customHeight="1">
      <c r="A13" s="74" t="s">
        <v>155</v>
      </c>
      <c r="B13" s="606" t="s">
        <v>147</v>
      </c>
      <c r="C13" s="606"/>
      <c r="D13" s="75" t="s">
        <v>156</v>
      </c>
      <c r="E13" s="76">
        <v>11.5</v>
      </c>
      <c r="F13" s="77">
        <v>0.21</v>
      </c>
      <c r="G13" s="78">
        <v>3075</v>
      </c>
      <c r="H13" s="79">
        <f t="shared" si="0"/>
        <v>35362.5</v>
      </c>
      <c r="I13" s="79">
        <f t="shared" si="2"/>
        <v>42788.63</v>
      </c>
      <c r="J13" s="78">
        <v>4114</v>
      </c>
      <c r="K13" s="80">
        <f t="shared" si="1"/>
        <v>47311</v>
      </c>
      <c r="L13" s="80">
        <f t="shared" si="3"/>
        <v>57246.31</v>
      </c>
    </row>
    <row r="14" spans="1:15">
      <c r="A14" s="74" t="s">
        <v>157</v>
      </c>
      <c r="B14" s="606" t="s">
        <v>147</v>
      </c>
      <c r="C14" s="606"/>
      <c r="D14" s="75" t="s">
        <v>158</v>
      </c>
      <c r="E14" s="76">
        <v>11.5</v>
      </c>
      <c r="F14" s="77">
        <v>0.21</v>
      </c>
      <c r="G14" s="78">
        <v>3460</v>
      </c>
      <c r="H14" s="79">
        <f t="shared" si="0"/>
        <v>39790</v>
      </c>
      <c r="I14" s="79">
        <f t="shared" si="2"/>
        <v>48145.9</v>
      </c>
      <c r="J14" s="78">
        <v>4628</v>
      </c>
      <c r="K14" s="80">
        <f t="shared" si="1"/>
        <v>53222</v>
      </c>
      <c r="L14" s="80">
        <f t="shared" si="3"/>
        <v>64398.62</v>
      </c>
    </row>
    <row r="15" spans="1:15" ht="12.75" customHeight="1">
      <c r="A15" s="74" t="s">
        <v>159</v>
      </c>
      <c r="B15" s="606" t="s">
        <v>147</v>
      </c>
      <c r="C15" s="606"/>
      <c r="D15" s="75" t="s">
        <v>160</v>
      </c>
      <c r="E15" s="76">
        <v>10.25</v>
      </c>
      <c r="F15" s="77">
        <v>0.21</v>
      </c>
      <c r="G15" s="78">
        <v>3845</v>
      </c>
      <c r="H15" s="79">
        <f t="shared" si="0"/>
        <v>39411.25</v>
      </c>
      <c r="I15" s="79">
        <f t="shared" si="2"/>
        <v>47687.61</v>
      </c>
      <c r="J15" s="78">
        <v>5142</v>
      </c>
      <c r="K15" s="80">
        <f t="shared" si="1"/>
        <v>52705.5</v>
      </c>
      <c r="L15" s="80">
        <f t="shared" si="3"/>
        <v>63773.66</v>
      </c>
    </row>
    <row r="16" spans="1:15" ht="12.75" customHeight="1">
      <c r="A16" s="74" t="s">
        <v>161</v>
      </c>
      <c r="B16" s="606" t="s">
        <v>147</v>
      </c>
      <c r="C16" s="606"/>
      <c r="D16" s="75" t="s">
        <v>162</v>
      </c>
      <c r="E16" s="76">
        <v>11.8</v>
      </c>
      <c r="F16" s="77">
        <v>0.21</v>
      </c>
      <c r="G16" s="78">
        <v>3460</v>
      </c>
      <c r="H16" s="79">
        <f t="shared" si="0"/>
        <v>40828</v>
      </c>
      <c r="I16" s="79">
        <f t="shared" si="2"/>
        <v>49401.88</v>
      </c>
      <c r="J16" s="78">
        <v>4628</v>
      </c>
      <c r="K16" s="80">
        <f t="shared" si="1"/>
        <v>54610.400000000001</v>
      </c>
      <c r="L16" s="80">
        <f t="shared" si="3"/>
        <v>66078.58</v>
      </c>
    </row>
    <row r="17" spans="1:12" ht="12.75" customHeight="1">
      <c r="A17" s="74" t="s">
        <v>163</v>
      </c>
      <c r="B17" s="606" t="s">
        <v>147</v>
      </c>
      <c r="C17" s="606"/>
      <c r="D17" s="75" t="s">
        <v>164</v>
      </c>
      <c r="E17" s="76">
        <v>10.25</v>
      </c>
      <c r="F17" s="77">
        <v>0.21</v>
      </c>
      <c r="G17" s="78">
        <v>3076</v>
      </c>
      <c r="H17" s="79">
        <f t="shared" si="0"/>
        <v>31529</v>
      </c>
      <c r="I17" s="79">
        <f t="shared" si="2"/>
        <v>38150.089999999997</v>
      </c>
      <c r="J17" s="78">
        <v>4114</v>
      </c>
      <c r="K17" s="80">
        <f t="shared" si="1"/>
        <v>42168.5</v>
      </c>
      <c r="L17" s="80">
        <f t="shared" si="3"/>
        <v>51023.89</v>
      </c>
    </row>
    <row r="18" spans="1:12" ht="12.75" customHeight="1">
      <c r="A18" s="74" t="s">
        <v>165</v>
      </c>
      <c r="B18" s="606" t="s">
        <v>147</v>
      </c>
      <c r="C18" s="606"/>
      <c r="D18" s="75" t="s">
        <v>166</v>
      </c>
      <c r="E18" s="76">
        <v>10.25</v>
      </c>
      <c r="F18" s="77">
        <v>0.21</v>
      </c>
      <c r="G18" s="78">
        <v>2499</v>
      </c>
      <c r="H18" s="79">
        <f t="shared" si="0"/>
        <v>25614.75</v>
      </c>
      <c r="I18" s="79">
        <f t="shared" si="2"/>
        <v>30993.85</v>
      </c>
      <c r="J18" s="78">
        <v>3342</v>
      </c>
      <c r="K18" s="80">
        <f t="shared" si="1"/>
        <v>34255.5</v>
      </c>
      <c r="L18" s="80">
        <f t="shared" si="3"/>
        <v>41449.160000000003</v>
      </c>
    </row>
    <row r="19" spans="1:12" ht="12.75" customHeight="1">
      <c r="A19" s="74" t="s">
        <v>167</v>
      </c>
      <c r="B19" s="606" t="s">
        <v>147</v>
      </c>
      <c r="C19" s="606"/>
      <c r="D19" s="75" t="s">
        <v>168</v>
      </c>
      <c r="E19" s="76">
        <v>25</v>
      </c>
      <c r="F19" s="77">
        <v>0.21</v>
      </c>
      <c r="G19" s="78">
        <v>4325</v>
      </c>
      <c r="H19" s="79">
        <f t="shared" si="0"/>
        <v>108125</v>
      </c>
      <c r="I19" s="79">
        <f t="shared" si="2"/>
        <v>130831.25</v>
      </c>
      <c r="J19" s="78">
        <v>5785</v>
      </c>
      <c r="K19" s="80">
        <f t="shared" si="1"/>
        <v>144625</v>
      </c>
      <c r="L19" s="80">
        <f t="shared" si="3"/>
        <v>174996.25</v>
      </c>
    </row>
    <row r="20" spans="1:12" ht="12.75" customHeight="1">
      <c r="A20" s="74" t="s">
        <v>169</v>
      </c>
      <c r="B20" s="606" t="s">
        <v>147</v>
      </c>
      <c r="C20" s="606"/>
      <c r="D20" s="75" t="s">
        <v>170</v>
      </c>
      <c r="E20" s="76">
        <v>25</v>
      </c>
      <c r="F20" s="77">
        <v>0.21</v>
      </c>
      <c r="G20" s="78">
        <v>4614</v>
      </c>
      <c r="H20" s="79">
        <f t="shared" si="0"/>
        <v>115350</v>
      </c>
      <c r="I20" s="79">
        <f t="shared" si="2"/>
        <v>139573.5</v>
      </c>
      <c r="J20" s="78">
        <v>6170</v>
      </c>
      <c r="K20" s="80">
        <f t="shared" si="1"/>
        <v>154250</v>
      </c>
      <c r="L20" s="80">
        <f t="shared" si="3"/>
        <v>186642.5</v>
      </c>
    </row>
    <row r="21" spans="1:12" ht="12.75" customHeight="1">
      <c r="A21" s="74" t="s">
        <v>171</v>
      </c>
      <c r="B21" s="606" t="s">
        <v>147</v>
      </c>
      <c r="C21" s="606"/>
      <c r="D21" s="75" t="s">
        <v>172</v>
      </c>
      <c r="E21" s="76">
        <v>13.55</v>
      </c>
      <c r="F21" s="77">
        <v>0.21</v>
      </c>
      <c r="G21" s="78">
        <v>3845</v>
      </c>
      <c r="H21" s="79">
        <f t="shared" si="0"/>
        <v>52099.75</v>
      </c>
      <c r="I21" s="79">
        <f t="shared" si="2"/>
        <v>63040.7</v>
      </c>
      <c r="J21" s="78">
        <v>5142</v>
      </c>
      <c r="K21" s="80">
        <f t="shared" si="1"/>
        <v>69674.100000000006</v>
      </c>
      <c r="L21" s="80">
        <f t="shared" si="3"/>
        <v>84305.66</v>
      </c>
    </row>
    <row r="22" spans="1:12" ht="12" customHeight="1">
      <c r="A22" s="74" t="s">
        <v>173</v>
      </c>
      <c r="B22" s="606" t="s">
        <v>147</v>
      </c>
      <c r="C22" s="606"/>
      <c r="D22" s="75" t="s">
        <v>174</v>
      </c>
      <c r="E22" s="76">
        <v>14</v>
      </c>
      <c r="F22" s="77">
        <v>0.21</v>
      </c>
      <c r="G22" s="78">
        <v>2163</v>
      </c>
      <c r="H22" s="79">
        <f t="shared" si="0"/>
        <v>30282</v>
      </c>
      <c r="I22" s="79">
        <f t="shared" si="2"/>
        <v>36641.22</v>
      </c>
      <c r="J22" s="78">
        <v>2892</v>
      </c>
      <c r="K22" s="80">
        <f t="shared" si="1"/>
        <v>40488</v>
      </c>
      <c r="L22" s="80">
        <f t="shared" si="3"/>
        <v>48990.48</v>
      </c>
    </row>
    <row r="23" spans="1:12" ht="12.75" customHeight="1">
      <c r="A23" s="74" t="s">
        <v>175</v>
      </c>
      <c r="B23" s="606" t="s">
        <v>147</v>
      </c>
      <c r="C23" s="606"/>
      <c r="D23" s="81" t="s">
        <v>176</v>
      </c>
      <c r="E23" s="76">
        <v>16.72</v>
      </c>
      <c r="F23" s="77">
        <v>0.21</v>
      </c>
      <c r="G23" s="78">
        <v>2307</v>
      </c>
      <c r="H23" s="79">
        <f t="shared" si="0"/>
        <v>38573.040000000001</v>
      </c>
      <c r="I23" s="79">
        <f t="shared" si="2"/>
        <v>46673.38</v>
      </c>
      <c r="J23" s="78">
        <v>3085</v>
      </c>
      <c r="K23" s="80">
        <f t="shared" si="1"/>
        <v>51581.2</v>
      </c>
      <c r="L23" s="80">
        <f t="shared" si="3"/>
        <v>62413.25</v>
      </c>
    </row>
    <row r="24" spans="1:12" ht="12.75" customHeight="1">
      <c r="A24" s="74" t="s">
        <v>177</v>
      </c>
      <c r="B24" s="606" t="s">
        <v>147</v>
      </c>
      <c r="C24" s="606"/>
      <c r="D24" s="81" t="s">
        <v>178</v>
      </c>
      <c r="E24" s="76">
        <v>11.25</v>
      </c>
      <c r="F24" s="77">
        <v>0.21</v>
      </c>
      <c r="G24" s="78">
        <v>2595</v>
      </c>
      <c r="H24" s="79">
        <f t="shared" si="0"/>
        <v>29193.75</v>
      </c>
      <c r="I24" s="79">
        <f t="shared" si="2"/>
        <v>35324.44</v>
      </c>
      <c r="J24" s="78">
        <v>3471</v>
      </c>
      <c r="K24" s="80">
        <f t="shared" si="1"/>
        <v>39048.75</v>
      </c>
      <c r="L24" s="80">
        <f t="shared" si="3"/>
        <v>47248.99</v>
      </c>
    </row>
    <row r="25" spans="1:12" ht="12.75" customHeight="1">
      <c r="A25" s="74" t="s">
        <v>179</v>
      </c>
      <c r="B25" s="606" t="s">
        <v>147</v>
      </c>
      <c r="C25" s="606"/>
      <c r="D25" s="81" t="s">
        <v>180</v>
      </c>
      <c r="E25" s="76">
        <v>11.25</v>
      </c>
      <c r="F25" s="77">
        <v>0.21</v>
      </c>
      <c r="G25" s="78">
        <v>2595</v>
      </c>
      <c r="H25" s="79">
        <f t="shared" si="0"/>
        <v>29193.75</v>
      </c>
      <c r="I25" s="79">
        <f t="shared" si="2"/>
        <v>35324.44</v>
      </c>
      <c r="J25" s="78">
        <v>3471</v>
      </c>
      <c r="K25" s="80">
        <f t="shared" si="1"/>
        <v>39048.75</v>
      </c>
      <c r="L25" s="80">
        <f t="shared" si="3"/>
        <v>47248.99</v>
      </c>
    </row>
    <row r="26" spans="1:12" ht="12.75" customHeight="1">
      <c r="A26" s="74" t="s">
        <v>181</v>
      </c>
      <c r="B26" s="606" t="s">
        <v>147</v>
      </c>
      <c r="C26" s="606"/>
      <c r="D26" s="81" t="s">
        <v>182</v>
      </c>
      <c r="E26" s="76">
        <v>11.25</v>
      </c>
      <c r="F26" s="77">
        <v>0.21</v>
      </c>
      <c r="G26" s="78">
        <v>2595</v>
      </c>
      <c r="H26" s="79">
        <f t="shared" si="0"/>
        <v>29193.75</v>
      </c>
      <c r="I26" s="79">
        <f t="shared" si="2"/>
        <v>35324.44</v>
      </c>
      <c r="J26" s="78">
        <v>3471</v>
      </c>
      <c r="K26" s="80">
        <f t="shared" si="1"/>
        <v>39048.75</v>
      </c>
      <c r="L26" s="80">
        <f t="shared" si="3"/>
        <v>47248.99</v>
      </c>
    </row>
    <row r="27" spans="1:12" ht="12.75" customHeight="1">
      <c r="A27" s="74" t="s">
        <v>183</v>
      </c>
      <c r="B27" s="606" t="s">
        <v>147</v>
      </c>
      <c r="C27" s="606"/>
      <c r="D27" s="81" t="s">
        <v>184</v>
      </c>
      <c r="E27" s="76">
        <v>19.04</v>
      </c>
      <c r="F27" s="77">
        <v>0.21</v>
      </c>
      <c r="G27" s="78">
        <v>3037</v>
      </c>
      <c r="H27" s="79">
        <f t="shared" si="0"/>
        <v>57824.479999999996</v>
      </c>
      <c r="I27" s="79">
        <f t="shared" si="2"/>
        <v>69967.62</v>
      </c>
      <c r="J27" s="78">
        <v>4071</v>
      </c>
      <c r="K27" s="80">
        <f t="shared" si="1"/>
        <v>77511.839999999997</v>
      </c>
      <c r="L27" s="80">
        <f t="shared" si="3"/>
        <v>93789.33</v>
      </c>
    </row>
    <row r="28" spans="1:12" ht="12.75" customHeight="1">
      <c r="A28" s="74" t="s">
        <v>185</v>
      </c>
      <c r="B28" s="606" t="s">
        <v>147</v>
      </c>
      <c r="C28" s="606"/>
      <c r="D28" s="81" t="s">
        <v>186</v>
      </c>
      <c r="E28" s="76">
        <v>19.04</v>
      </c>
      <c r="F28" s="77">
        <v>0.21</v>
      </c>
      <c r="G28" s="78">
        <v>3204</v>
      </c>
      <c r="H28" s="79">
        <f t="shared" si="0"/>
        <v>61004.159999999996</v>
      </c>
      <c r="I28" s="79">
        <f t="shared" si="2"/>
        <v>73815.03</v>
      </c>
      <c r="J28" s="78">
        <v>4285</v>
      </c>
      <c r="K28" s="80">
        <f t="shared" si="1"/>
        <v>81586.399999999994</v>
      </c>
      <c r="L28" s="80">
        <f t="shared" si="3"/>
        <v>98719.54</v>
      </c>
    </row>
    <row r="29" spans="1:12" ht="12.75" customHeight="1">
      <c r="A29" s="74" t="s">
        <v>187</v>
      </c>
      <c r="B29" s="606" t="s">
        <v>147</v>
      </c>
      <c r="C29" s="606"/>
      <c r="D29" s="81" t="s">
        <v>188</v>
      </c>
      <c r="E29" s="76">
        <v>19.04</v>
      </c>
      <c r="F29" s="77">
        <v>0.21</v>
      </c>
      <c r="G29" s="78">
        <v>3364</v>
      </c>
      <c r="H29" s="79">
        <f t="shared" si="0"/>
        <v>64050.559999999998</v>
      </c>
      <c r="I29" s="79">
        <f t="shared" si="2"/>
        <v>77501.179999999993</v>
      </c>
      <c r="J29" s="78">
        <v>4499</v>
      </c>
      <c r="K29" s="80">
        <f t="shared" si="1"/>
        <v>85660.959999999992</v>
      </c>
      <c r="L29" s="80">
        <f t="shared" si="3"/>
        <v>103649.76</v>
      </c>
    </row>
    <row r="30" spans="1:12" ht="12.75" customHeight="1">
      <c r="A30" s="74" t="s">
        <v>189</v>
      </c>
      <c r="B30" s="606" t="s">
        <v>147</v>
      </c>
      <c r="C30" s="606"/>
      <c r="D30" s="81" t="s">
        <v>190</v>
      </c>
      <c r="E30" s="76">
        <v>19.04</v>
      </c>
      <c r="F30" s="77">
        <v>0.21</v>
      </c>
      <c r="G30" s="78">
        <v>3364</v>
      </c>
      <c r="H30" s="79">
        <f t="shared" si="0"/>
        <v>64050.559999999998</v>
      </c>
      <c r="I30" s="79">
        <f t="shared" si="2"/>
        <v>77501.179999999993</v>
      </c>
      <c r="J30" s="78">
        <v>4499</v>
      </c>
      <c r="K30" s="80">
        <f t="shared" si="1"/>
        <v>85660.959999999992</v>
      </c>
      <c r="L30" s="80">
        <f t="shared" si="3"/>
        <v>103649.76</v>
      </c>
    </row>
    <row r="31" spans="1:12" ht="12.75" customHeight="1">
      <c r="A31" s="74" t="s">
        <v>191</v>
      </c>
      <c r="B31" s="606" t="s">
        <v>147</v>
      </c>
      <c r="C31" s="606"/>
      <c r="D31" s="81" t="s">
        <v>192</v>
      </c>
      <c r="E31" s="76">
        <v>19.04</v>
      </c>
      <c r="F31" s="77">
        <v>0.21</v>
      </c>
      <c r="G31" s="78">
        <v>3364</v>
      </c>
      <c r="H31" s="79">
        <f t="shared" si="0"/>
        <v>64050.559999999998</v>
      </c>
      <c r="I31" s="79">
        <f t="shared" si="2"/>
        <v>77501.179999999993</v>
      </c>
      <c r="J31" s="78">
        <v>4499</v>
      </c>
      <c r="K31" s="80">
        <f t="shared" si="1"/>
        <v>85660.959999999992</v>
      </c>
      <c r="L31" s="80">
        <f t="shared" si="3"/>
        <v>103649.76</v>
      </c>
    </row>
    <row r="32" spans="1:12" ht="12.75" customHeight="1">
      <c r="A32" s="74" t="s">
        <v>193</v>
      </c>
      <c r="B32" s="606" t="s">
        <v>147</v>
      </c>
      <c r="C32" s="606"/>
      <c r="D32" s="81" t="s">
        <v>194</v>
      </c>
      <c r="E32" s="76">
        <v>19.04</v>
      </c>
      <c r="F32" s="77">
        <v>0.21</v>
      </c>
      <c r="G32" s="78">
        <v>3044</v>
      </c>
      <c r="H32" s="79">
        <f t="shared" si="0"/>
        <v>57957.759999999995</v>
      </c>
      <c r="I32" s="79">
        <f t="shared" si="2"/>
        <v>70128.89</v>
      </c>
      <c r="J32" s="78">
        <v>4071</v>
      </c>
      <c r="K32" s="80">
        <f t="shared" si="1"/>
        <v>77511.839999999997</v>
      </c>
      <c r="L32" s="80">
        <f t="shared" si="3"/>
        <v>93789.33</v>
      </c>
    </row>
    <row r="33" spans="1:12" ht="12.75" customHeight="1">
      <c r="A33" s="74" t="s">
        <v>195</v>
      </c>
      <c r="B33" s="606" t="s">
        <v>147</v>
      </c>
      <c r="C33" s="606"/>
      <c r="D33" s="81" t="s">
        <v>196</v>
      </c>
      <c r="E33" s="76">
        <v>19.04</v>
      </c>
      <c r="F33" s="77">
        <v>0.21</v>
      </c>
      <c r="G33" s="78">
        <v>2924</v>
      </c>
      <c r="H33" s="79">
        <f t="shared" si="0"/>
        <v>55672.959999999999</v>
      </c>
      <c r="I33" s="79">
        <f t="shared" si="2"/>
        <v>67364.28</v>
      </c>
      <c r="J33" s="78">
        <v>3910</v>
      </c>
      <c r="K33" s="80">
        <f t="shared" si="1"/>
        <v>74446.399999999994</v>
      </c>
      <c r="L33" s="80">
        <f t="shared" si="3"/>
        <v>90080.14</v>
      </c>
    </row>
    <row r="34" spans="1:12" ht="12.75" customHeight="1">
      <c r="A34" s="74" t="s">
        <v>197</v>
      </c>
      <c r="B34" s="606" t="s">
        <v>147</v>
      </c>
      <c r="C34" s="606"/>
      <c r="D34" s="81" t="s">
        <v>198</v>
      </c>
      <c r="E34" s="76">
        <v>19.04</v>
      </c>
      <c r="F34" s="77">
        <v>0.21</v>
      </c>
      <c r="G34" s="78">
        <v>3244</v>
      </c>
      <c r="H34" s="79">
        <f t="shared" si="0"/>
        <v>61765.759999999995</v>
      </c>
      <c r="I34" s="79">
        <f t="shared" si="2"/>
        <v>74736.570000000007</v>
      </c>
      <c r="J34" s="78">
        <v>4339</v>
      </c>
      <c r="K34" s="80">
        <f t="shared" si="1"/>
        <v>82614.559999999998</v>
      </c>
      <c r="L34" s="80">
        <f t="shared" si="3"/>
        <v>99963.62</v>
      </c>
    </row>
    <row r="35" spans="1:12" ht="12.75" customHeight="1">
      <c r="A35" s="74" t="s">
        <v>199</v>
      </c>
      <c r="B35" s="606" t="s">
        <v>147</v>
      </c>
      <c r="C35" s="606"/>
      <c r="D35" s="81" t="s">
        <v>200</v>
      </c>
      <c r="E35" s="76">
        <v>16.72</v>
      </c>
      <c r="F35" s="77">
        <v>0.21</v>
      </c>
      <c r="G35" s="78">
        <v>2283</v>
      </c>
      <c r="H35" s="79">
        <f t="shared" si="0"/>
        <v>38171.759999999995</v>
      </c>
      <c r="I35" s="79">
        <f t="shared" si="2"/>
        <v>46187.83</v>
      </c>
      <c r="J35" s="78">
        <v>3053</v>
      </c>
      <c r="K35" s="80">
        <f t="shared" si="1"/>
        <v>51046.159999999996</v>
      </c>
      <c r="L35" s="80">
        <f t="shared" si="3"/>
        <v>61765.85</v>
      </c>
    </row>
    <row r="36" spans="1:12" ht="12.75" customHeight="1">
      <c r="A36" s="74" t="s">
        <v>201</v>
      </c>
      <c r="B36" s="606" t="s">
        <v>147</v>
      </c>
      <c r="C36" s="606"/>
      <c r="D36" s="81" t="s">
        <v>176</v>
      </c>
      <c r="E36" s="76">
        <v>16.72</v>
      </c>
      <c r="F36" s="77">
        <v>0.21</v>
      </c>
      <c r="G36" s="78">
        <v>3004</v>
      </c>
      <c r="H36" s="79">
        <f t="shared" si="0"/>
        <v>50226.879999999997</v>
      </c>
      <c r="I36" s="79">
        <f t="shared" si="2"/>
        <v>60774.52</v>
      </c>
      <c r="J36" s="78">
        <v>4017</v>
      </c>
      <c r="K36" s="80">
        <f t="shared" si="1"/>
        <v>67164.239999999991</v>
      </c>
      <c r="L36" s="80">
        <f t="shared" si="3"/>
        <v>81268.73</v>
      </c>
    </row>
    <row r="37" spans="1:12" ht="12.75" customHeight="1">
      <c r="A37" s="74" t="s">
        <v>202</v>
      </c>
      <c r="B37" s="606" t="s">
        <v>147</v>
      </c>
      <c r="C37" s="606"/>
      <c r="D37" s="81" t="s">
        <v>203</v>
      </c>
      <c r="E37" s="76">
        <v>16.72</v>
      </c>
      <c r="F37" s="77">
        <v>0.21</v>
      </c>
      <c r="G37" s="78">
        <v>2643</v>
      </c>
      <c r="H37" s="79">
        <f t="shared" si="0"/>
        <v>44190.96</v>
      </c>
      <c r="I37" s="79">
        <f t="shared" si="2"/>
        <v>53471.06</v>
      </c>
      <c r="J37" s="78">
        <v>3535</v>
      </c>
      <c r="K37" s="80">
        <f t="shared" si="1"/>
        <v>59105.2</v>
      </c>
      <c r="L37" s="80">
        <f t="shared" si="3"/>
        <v>71517.289999999994</v>
      </c>
    </row>
    <row r="38" spans="1:12" ht="12.75" customHeight="1">
      <c r="A38" s="74" t="s">
        <v>204</v>
      </c>
      <c r="B38" s="606" t="s">
        <v>147</v>
      </c>
      <c r="C38" s="606"/>
      <c r="D38" s="81" t="s">
        <v>205</v>
      </c>
      <c r="E38" s="76">
        <v>16.72</v>
      </c>
      <c r="F38" s="77">
        <v>0.21</v>
      </c>
      <c r="G38" s="78">
        <v>2763</v>
      </c>
      <c r="H38" s="79">
        <f t="shared" si="0"/>
        <v>46197.359999999993</v>
      </c>
      <c r="I38" s="79">
        <f t="shared" si="2"/>
        <v>55898.81</v>
      </c>
      <c r="J38" s="78">
        <v>3696</v>
      </c>
      <c r="K38" s="80">
        <f t="shared" si="1"/>
        <v>61797.119999999995</v>
      </c>
      <c r="L38" s="80">
        <f t="shared" si="3"/>
        <v>74774.52</v>
      </c>
    </row>
    <row r="39" spans="1:12" ht="12.75" customHeight="1">
      <c r="A39" s="74" t="s">
        <v>206</v>
      </c>
      <c r="B39" s="606" t="s">
        <v>147</v>
      </c>
      <c r="C39" s="606"/>
      <c r="D39" s="81" t="s">
        <v>207</v>
      </c>
      <c r="E39" s="76">
        <v>16.72</v>
      </c>
      <c r="F39" s="77">
        <v>0.21</v>
      </c>
      <c r="G39" s="78">
        <v>2403</v>
      </c>
      <c r="H39" s="79">
        <f t="shared" si="0"/>
        <v>40178.159999999996</v>
      </c>
      <c r="I39" s="79">
        <f t="shared" si="2"/>
        <v>48615.57</v>
      </c>
      <c r="J39" s="78">
        <v>3214</v>
      </c>
      <c r="K39" s="80">
        <f t="shared" si="1"/>
        <v>53738.079999999994</v>
      </c>
      <c r="L39" s="80">
        <f t="shared" si="3"/>
        <v>65023.08</v>
      </c>
    </row>
    <row r="40" spans="1:12" ht="12.75" customHeight="1">
      <c r="A40" s="74" t="s">
        <v>208</v>
      </c>
      <c r="B40" s="606" t="s">
        <v>147</v>
      </c>
      <c r="C40" s="606"/>
      <c r="D40" s="81" t="s">
        <v>209</v>
      </c>
      <c r="E40" s="76">
        <v>10.45</v>
      </c>
      <c r="F40" s="77">
        <v>0.21</v>
      </c>
      <c r="G40" s="78">
        <v>2307</v>
      </c>
      <c r="H40" s="79">
        <f t="shared" si="0"/>
        <v>24108.149999999998</v>
      </c>
      <c r="I40" s="79">
        <f t="shared" si="2"/>
        <v>29170.86</v>
      </c>
      <c r="J40" s="78">
        <v>3085</v>
      </c>
      <c r="K40" s="80">
        <f t="shared" si="1"/>
        <v>32238.249999999996</v>
      </c>
      <c r="L40" s="80">
        <f t="shared" si="3"/>
        <v>39008.28</v>
      </c>
    </row>
    <row r="41" spans="1:12" ht="12.75" customHeight="1">
      <c r="A41" s="74" t="s">
        <v>210</v>
      </c>
      <c r="B41" s="606" t="s">
        <v>147</v>
      </c>
      <c r="C41" s="606"/>
      <c r="D41" s="81" t="s">
        <v>211</v>
      </c>
      <c r="E41" s="76">
        <v>10.45</v>
      </c>
      <c r="F41" s="77">
        <v>0.21</v>
      </c>
      <c r="G41" s="78">
        <v>2307</v>
      </c>
      <c r="H41" s="79">
        <f t="shared" si="0"/>
        <v>24108.149999999998</v>
      </c>
      <c r="I41" s="79">
        <f t="shared" si="2"/>
        <v>29170.86</v>
      </c>
      <c r="J41" s="78">
        <v>3085</v>
      </c>
      <c r="K41" s="80">
        <f t="shared" si="1"/>
        <v>32238.249999999996</v>
      </c>
      <c r="L41" s="80">
        <f t="shared" si="3"/>
        <v>39008.28</v>
      </c>
    </row>
    <row r="42" spans="1:12" ht="12.75" customHeight="1">
      <c r="A42" s="74" t="s">
        <v>212</v>
      </c>
      <c r="B42" s="606" t="s">
        <v>147</v>
      </c>
      <c r="C42" s="606"/>
      <c r="D42" s="81" t="s">
        <v>213</v>
      </c>
      <c r="E42" s="76">
        <v>10.45</v>
      </c>
      <c r="F42" s="77">
        <v>0.21</v>
      </c>
      <c r="G42" s="78">
        <v>2163</v>
      </c>
      <c r="H42" s="79">
        <f t="shared" si="0"/>
        <v>22603.35</v>
      </c>
      <c r="I42" s="79">
        <f t="shared" si="2"/>
        <v>27350.05</v>
      </c>
      <c r="J42" s="78">
        <v>2892</v>
      </c>
      <c r="K42" s="80">
        <f t="shared" si="1"/>
        <v>30221.399999999998</v>
      </c>
      <c r="L42" s="80">
        <f t="shared" si="3"/>
        <v>36567.89</v>
      </c>
    </row>
    <row r="43" spans="1:12" ht="12.75" customHeight="1">
      <c r="A43" s="74" t="s">
        <v>214</v>
      </c>
      <c r="B43" s="606" t="s">
        <v>147</v>
      </c>
      <c r="C43" s="606"/>
      <c r="D43" s="81" t="s">
        <v>215</v>
      </c>
      <c r="E43" s="76">
        <v>10.45</v>
      </c>
      <c r="F43" s="77">
        <v>0.21</v>
      </c>
      <c r="G43" s="78">
        <v>2163</v>
      </c>
      <c r="H43" s="79">
        <f t="shared" si="0"/>
        <v>22603.35</v>
      </c>
      <c r="I43" s="79">
        <f t="shared" si="2"/>
        <v>27350.05</v>
      </c>
      <c r="J43" s="78">
        <v>2891</v>
      </c>
      <c r="K43" s="80">
        <f t="shared" si="1"/>
        <v>30210.949999999997</v>
      </c>
      <c r="L43" s="80">
        <f t="shared" si="3"/>
        <v>36555.25</v>
      </c>
    </row>
    <row r="44" spans="1:12" ht="12.75" customHeight="1">
      <c r="A44" s="74" t="s">
        <v>216</v>
      </c>
      <c r="B44" s="606" t="s">
        <v>147</v>
      </c>
      <c r="C44" s="606"/>
      <c r="D44" s="81" t="s">
        <v>217</v>
      </c>
      <c r="E44" s="76">
        <v>9.65</v>
      </c>
      <c r="F44" s="77">
        <v>0.21</v>
      </c>
      <c r="G44" s="78">
        <v>2880</v>
      </c>
      <c r="H44" s="79">
        <f t="shared" si="0"/>
        <v>27792</v>
      </c>
      <c r="I44" s="79">
        <f t="shared" si="2"/>
        <v>33628.32</v>
      </c>
      <c r="J44" s="78">
        <v>3857</v>
      </c>
      <c r="K44" s="80">
        <f t="shared" si="1"/>
        <v>37220.050000000003</v>
      </c>
      <c r="L44" s="80">
        <f t="shared" si="3"/>
        <v>45036.26</v>
      </c>
    </row>
    <row r="45" spans="1:12" ht="12.75" customHeight="1">
      <c r="A45" s="74" t="s">
        <v>218</v>
      </c>
      <c r="B45" s="606" t="s">
        <v>147</v>
      </c>
      <c r="C45" s="606"/>
      <c r="D45" s="81" t="s">
        <v>219</v>
      </c>
      <c r="E45" s="76">
        <v>9.65</v>
      </c>
      <c r="F45" s="77">
        <v>0.21</v>
      </c>
      <c r="G45" s="78">
        <v>2884</v>
      </c>
      <c r="H45" s="79">
        <f t="shared" si="0"/>
        <v>27830.600000000002</v>
      </c>
      <c r="I45" s="79">
        <f t="shared" si="2"/>
        <v>33675.03</v>
      </c>
      <c r="J45" s="78">
        <v>3856</v>
      </c>
      <c r="K45" s="80">
        <f t="shared" si="1"/>
        <v>37210.400000000001</v>
      </c>
      <c r="L45" s="80">
        <f t="shared" si="3"/>
        <v>45024.58</v>
      </c>
    </row>
    <row r="46" spans="1:12" ht="12.75" customHeight="1">
      <c r="A46" s="74" t="s">
        <v>220</v>
      </c>
      <c r="B46" s="606" t="s">
        <v>147</v>
      </c>
      <c r="C46" s="606"/>
      <c r="D46" s="81" t="s">
        <v>221</v>
      </c>
      <c r="E46" s="76">
        <v>18.16</v>
      </c>
      <c r="F46" s="77">
        <v>0.21</v>
      </c>
      <c r="G46" s="78">
        <v>1802</v>
      </c>
      <c r="H46" s="79">
        <f t="shared" si="0"/>
        <v>32724.32</v>
      </c>
      <c r="I46" s="79">
        <f t="shared" si="2"/>
        <v>39596.43</v>
      </c>
      <c r="J46" s="78">
        <v>2410</v>
      </c>
      <c r="K46" s="80">
        <f t="shared" si="1"/>
        <v>43765.599999999999</v>
      </c>
      <c r="L46" s="80">
        <f t="shared" si="3"/>
        <v>52956.38</v>
      </c>
    </row>
    <row r="47" spans="1:12" ht="12.75" customHeight="1">
      <c r="A47" s="74" t="s">
        <v>222</v>
      </c>
      <c r="B47" s="606" t="s">
        <v>147</v>
      </c>
      <c r="C47" s="606"/>
      <c r="D47" s="81" t="s">
        <v>223</v>
      </c>
      <c r="E47" s="76">
        <v>18.16</v>
      </c>
      <c r="F47" s="77">
        <v>0.21</v>
      </c>
      <c r="G47" s="78">
        <v>1802</v>
      </c>
      <c r="H47" s="79">
        <f t="shared" si="0"/>
        <v>32724.32</v>
      </c>
      <c r="I47" s="79">
        <f t="shared" si="2"/>
        <v>39596.43</v>
      </c>
      <c r="J47" s="78">
        <v>2410</v>
      </c>
      <c r="K47" s="80">
        <f t="shared" si="1"/>
        <v>43765.599999999999</v>
      </c>
      <c r="L47" s="80">
        <f t="shared" si="3"/>
        <v>52956.38</v>
      </c>
    </row>
    <row r="48" spans="1:12" ht="12.75" customHeight="1">
      <c r="A48" s="74" t="s">
        <v>224</v>
      </c>
      <c r="B48" s="606" t="s">
        <v>147</v>
      </c>
      <c r="C48" s="606"/>
      <c r="D48" s="81" t="s">
        <v>225</v>
      </c>
      <c r="E48" s="76">
        <v>16.72</v>
      </c>
      <c r="F48" s="77">
        <v>0.21</v>
      </c>
      <c r="G48" s="78">
        <v>3605</v>
      </c>
      <c r="H48" s="79">
        <f t="shared" si="0"/>
        <v>60275.6</v>
      </c>
      <c r="I48" s="79">
        <f t="shared" si="2"/>
        <v>72933.48</v>
      </c>
      <c r="J48" s="78">
        <v>4821</v>
      </c>
      <c r="K48" s="80">
        <f t="shared" si="1"/>
        <v>80607.12</v>
      </c>
      <c r="L48" s="80">
        <f t="shared" si="3"/>
        <v>97534.62</v>
      </c>
    </row>
    <row r="49" spans="1:15" ht="12.75" customHeight="1">
      <c r="A49" s="74" t="s">
        <v>226</v>
      </c>
      <c r="B49" s="606" t="s">
        <v>147</v>
      </c>
      <c r="C49" s="606"/>
      <c r="D49" s="81" t="s">
        <v>227</v>
      </c>
      <c r="E49" s="76">
        <v>16.72</v>
      </c>
      <c r="F49" s="77">
        <v>0.21</v>
      </c>
      <c r="G49" s="78">
        <v>3605</v>
      </c>
      <c r="H49" s="79">
        <f t="shared" si="0"/>
        <v>60275.6</v>
      </c>
      <c r="I49" s="79">
        <f t="shared" si="2"/>
        <v>72933.48</v>
      </c>
      <c r="J49" s="78">
        <v>4820</v>
      </c>
      <c r="K49" s="80">
        <f t="shared" si="1"/>
        <v>80590.399999999994</v>
      </c>
      <c r="L49" s="80">
        <f t="shared" si="3"/>
        <v>97514.38</v>
      </c>
    </row>
    <row r="50" spans="1:15">
      <c r="A50" s="597" t="s">
        <v>228</v>
      </c>
      <c r="B50" s="598"/>
      <c r="C50" s="598"/>
      <c r="D50" s="599"/>
      <c r="E50" s="82"/>
      <c r="F50" s="82"/>
      <c r="G50" s="83">
        <f>SUM(G9:G49)</f>
        <v>128606</v>
      </c>
      <c r="H50" s="84">
        <f t="shared" ref="H50:J50" si="4">SUM(H9:H49)</f>
        <v>1893860.7500000005</v>
      </c>
      <c r="I50" s="84">
        <f t="shared" si="4"/>
        <v>2291571.5200000005</v>
      </c>
      <c r="J50" s="83">
        <f t="shared" si="4"/>
        <v>172009</v>
      </c>
      <c r="K50" s="85">
        <f>SUM(K9:K49)</f>
        <v>2533032.7399999998</v>
      </c>
      <c r="L50" s="85">
        <f>SUM(L9:L49)</f>
        <v>3064969.6299999994</v>
      </c>
    </row>
    <row r="51" spans="1:15">
      <c r="A51" s="70"/>
      <c r="B51" s="70"/>
      <c r="D51" s="70"/>
      <c r="E51" s="70"/>
      <c r="F51" s="70"/>
      <c r="G51" s="70"/>
      <c r="H51" s="70"/>
      <c r="I51" s="86"/>
      <c r="J51" s="86"/>
      <c r="K51" s="86"/>
      <c r="L51" s="86"/>
    </row>
    <row r="52" spans="1:15" ht="16.5" customHeight="1">
      <c r="A52" s="600" t="s">
        <v>229</v>
      </c>
      <c r="B52" s="600"/>
      <c r="C52" s="600"/>
      <c r="D52" s="600"/>
      <c r="E52" s="600"/>
      <c r="F52" s="600"/>
      <c r="G52" s="600"/>
      <c r="H52" s="600"/>
      <c r="I52" s="600"/>
      <c r="J52" s="600"/>
      <c r="K52" s="600"/>
      <c r="L52" s="600"/>
      <c r="M52" s="600"/>
      <c r="N52" s="600"/>
      <c r="O52" s="600"/>
    </row>
    <row r="53" spans="1:15">
      <c r="A53" s="600" t="s">
        <v>230</v>
      </c>
      <c r="B53" s="600"/>
      <c r="C53" s="600"/>
      <c r="D53" s="600"/>
      <c r="E53" s="600"/>
      <c r="F53" s="600"/>
      <c r="G53" s="600"/>
      <c r="H53" s="600"/>
      <c r="I53" s="600"/>
      <c r="J53" s="600"/>
      <c r="K53" s="600"/>
      <c r="L53" s="600"/>
      <c r="M53" s="600"/>
      <c r="N53" s="600"/>
    </row>
    <row r="54" spans="1:15">
      <c r="A54" s="87"/>
      <c r="B54" s="87"/>
      <c r="C54" s="87"/>
      <c r="D54" s="87"/>
      <c r="E54" s="87"/>
      <c r="F54" s="87"/>
      <c r="G54" s="87"/>
      <c r="H54" s="87"/>
      <c r="I54" s="87"/>
      <c r="J54" s="87"/>
      <c r="K54" s="87"/>
      <c r="L54" s="87"/>
      <c r="M54" s="87"/>
      <c r="N54" s="87"/>
    </row>
    <row r="55" spans="1:15">
      <c r="A55" s="70"/>
      <c r="B55" s="70"/>
      <c r="D55" s="70"/>
      <c r="E55" s="70"/>
      <c r="F55" s="88"/>
      <c r="G55" s="70"/>
      <c r="H55" s="70"/>
      <c r="I55" s="86"/>
      <c r="K55" s="89"/>
      <c r="L55" s="89"/>
    </row>
    <row r="56" spans="1:15" ht="38.25">
      <c r="A56" s="70"/>
      <c r="B56" s="70"/>
      <c r="D56" s="70"/>
      <c r="E56" s="70"/>
      <c r="F56" s="88"/>
      <c r="G56" s="70"/>
      <c r="H56" s="70"/>
      <c r="I56" s="49" t="s">
        <v>231</v>
      </c>
      <c r="J56" s="49" t="s">
        <v>109</v>
      </c>
    </row>
    <row r="57" spans="1:15">
      <c r="A57" s="70"/>
      <c r="B57" s="70"/>
      <c r="D57" s="70"/>
      <c r="E57" s="70"/>
      <c r="F57" s="70"/>
      <c r="G57" s="70"/>
      <c r="H57" s="70"/>
      <c r="I57" s="90">
        <f>ROUND(I50,0)</f>
        <v>2291572</v>
      </c>
      <c r="J57" s="90">
        <f>ROUND(L50,0)</f>
        <v>3064970</v>
      </c>
      <c r="K57" s="5" t="s">
        <v>232</v>
      </c>
    </row>
    <row r="58" spans="1:15">
      <c r="J58" s="18"/>
      <c r="K58" s="91"/>
      <c r="L58" s="7"/>
    </row>
    <row r="59" spans="1:15" s="93" customFormat="1" ht="15.75" customHeight="1">
      <c r="A59" s="16" t="s">
        <v>233</v>
      </c>
      <c r="B59" s="92"/>
      <c r="C59" s="92"/>
      <c r="D59" s="92"/>
      <c r="E59" s="92"/>
      <c r="F59" s="92"/>
      <c r="G59" s="92"/>
      <c r="H59" s="92"/>
      <c r="J59" s="94"/>
      <c r="K59" s="94"/>
    </row>
    <row r="60" spans="1:15" s="93" customFormat="1" ht="15.75" customHeight="1">
      <c r="A60" s="16"/>
      <c r="B60" s="92"/>
      <c r="C60" s="92"/>
      <c r="D60" s="92"/>
      <c r="E60" s="92"/>
      <c r="F60" s="92"/>
      <c r="G60" s="92"/>
      <c r="H60" s="92"/>
    </row>
    <row r="61" spans="1:15" s="93" customFormat="1" ht="15.75" customHeight="1">
      <c r="A61" s="16"/>
      <c r="B61" s="601" t="s">
        <v>234</v>
      </c>
      <c r="C61" s="601" t="s">
        <v>235</v>
      </c>
      <c r="D61" s="601" t="s">
        <v>236</v>
      </c>
      <c r="E61" s="595" t="s">
        <v>237</v>
      </c>
      <c r="F61" s="601" t="s">
        <v>238</v>
      </c>
      <c r="G61" s="602" t="s">
        <v>239</v>
      </c>
      <c r="H61" s="604" t="s">
        <v>240</v>
      </c>
      <c r="I61" s="595" t="s">
        <v>241</v>
      </c>
      <c r="J61" s="595"/>
      <c r="K61" s="595"/>
      <c r="L61" s="595"/>
    </row>
    <row r="62" spans="1:15" s="93" customFormat="1" ht="36.75" customHeight="1">
      <c r="A62" s="16"/>
      <c r="B62" s="601"/>
      <c r="C62" s="601"/>
      <c r="D62" s="601"/>
      <c r="E62" s="595"/>
      <c r="F62" s="601"/>
      <c r="G62" s="603"/>
      <c r="H62" s="605"/>
      <c r="I62" s="595"/>
      <c r="J62" s="595"/>
      <c r="K62" s="595"/>
      <c r="L62" s="595"/>
    </row>
    <row r="63" spans="1:15" s="93" customFormat="1" ht="70.5" customHeight="1">
      <c r="A63" s="16"/>
      <c r="B63" s="95" t="s">
        <v>242</v>
      </c>
      <c r="C63" s="96" t="s">
        <v>243</v>
      </c>
      <c r="D63" s="97">
        <v>18.309999999999999</v>
      </c>
      <c r="E63" s="98">
        <v>0</v>
      </c>
      <c r="F63" s="99">
        <v>35</v>
      </c>
      <c r="G63" s="99">
        <v>54</v>
      </c>
      <c r="H63" s="100">
        <f>ROUNDDOWN(D63*F63*G63,0)</f>
        <v>34605</v>
      </c>
      <c r="I63" s="596" t="s">
        <v>244</v>
      </c>
      <c r="J63" s="596"/>
      <c r="K63" s="596"/>
      <c r="L63" s="596"/>
    </row>
    <row r="64" spans="1:15" s="93" customFormat="1"/>
    <row r="65" spans="1:12" s="93" customFormat="1">
      <c r="B65" s="101" t="s">
        <v>234</v>
      </c>
      <c r="C65" s="101" t="s">
        <v>10</v>
      </c>
      <c r="D65" s="101" t="s">
        <v>245</v>
      </c>
      <c r="E65" s="101" t="s">
        <v>246</v>
      </c>
      <c r="F65" s="101" t="s">
        <v>247</v>
      </c>
      <c r="G65" s="101" t="s">
        <v>248</v>
      </c>
      <c r="H65" s="101" t="s">
        <v>249</v>
      </c>
      <c r="I65" s="101" t="s">
        <v>250</v>
      </c>
      <c r="J65" s="101" t="s">
        <v>251</v>
      </c>
      <c r="K65" s="101" t="s">
        <v>252</v>
      </c>
    </row>
    <row r="66" spans="1:12" s="93" customFormat="1" ht="25.5">
      <c r="B66" s="102" t="s">
        <v>253</v>
      </c>
      <c r="C66" s="103" t="s">
        <v>243</v>
      </c>
      <c r="D66" s="104"/>
      <c r="E66" s="104"/>
      <c r="F66" s="102">
        <f>ROUND(3.609*3,2)</f>
        <v>10.83</v>
      </c>
      <c r="G66" s="102"/>
      <c r="H66" s="102">
        <v>7.48</v>
      </c>
      <c r="I66" s="104"/>
      <c r="J66" s="105"/>
      <c r="K66" s="106">
        <f>SUM(D66:J66)</f>
        <v>18.310000000000002</v>
      </c>
    </row>
    <row r="67" spans="1:12" s="93" customFormat="1"/>
    <row r="68" spans="1:12" s="93" customFormat="1">
      <c r="B68" s="93" t="s">
        <v>254</v>
      </c>
    </row>
    <row r="69" spans="1:12" s="93" customFormat="1">
      <c r="B69" s="93" t="s">
        <v>255</v>
      </c>
    </row>
    <row r="70" spans="1:12" s="111" customFormat="1" ht="46.5" customHeight="1">
      <c r="A70" s="107"/>
      <c r="B70" s="108"/>
      <c r="C70" s="109"/>
      <c r="D70" s="110"/>
      <c r="E70" s="107"/>
      <c r="F70" s="107"/>
      <c r="G70" s="107"/>
      <c r="H70" s="110"/>
      <c r="I70" s="49" t="s">
        <v>256</v>
      </c>
    </row>
    <row r="71" spans="1:12" s="111" customFormat="1" ht="15" customHeight="1">
      <c r="A71" s="107"/>
      <c r="B71" s="108"/>
      <c r="C71" s="109"/>
      <c r="D71" s="110"/>
      <c r="E71" s="107"/>
      <c r="F71" s="107"/>
      <c r="G71" s="107"/>
      <c r="H71" s="110"/>
      <c r="I71" s="90">
        <f>H63</f>
        <v>34605</v>
      </c>
      <c r="J71" s="111" t="s">
        <v>127</v>
      </c>
    </row>
    <row r="72" spans="1:12" s="111" customFormat="1" ht="15" customHeight="1">
      <c r="A72" s="107"/>
      <c r="B72" s="108"/>
      <c r="C72" s="109"/>
      <c r="D72" s="110"/>
      <c r="E72" s="107"/>
      <c r="F72" s="107"/>
      <c r="G72" s="107"/>
      <c r="H72" s="110"/>
      <c r="I72" s="112"/>
      <c r="K72" s="89"/>
    </row>
    <row r="73" spans="1:12" s="111" customFormat="1" ht="15" customHeight="1">
      <c r="A73" s="16" t="s">
        <v>257</v>
      </c>
      <c r="B73" s="108"/>
      <c r="C73" s="109"/>
      <c r="D73" s="110"/>
      <c r="E73" s="107"/>
      <c r="F73" s="107"/>
      <c r="G73" s="107"/>
      <c r="H73" s="110"/>
      <c r="I73" s="112"/>
      <c r="K73" s="89"/>
    </row>
    <row r="74" spans="1:12" s="111" customFormat="1" ht="15" customHeight="1">
      <c r="A74" s="107"/>
      <c r="B74" s="108"/>
      <c r="C74" s="109"/>
      <c r="D74" s="110"/>
      <c r="E74" s="107"/>
      <c r="F74" s="107"/>
      <c r="G74" s="107"/>
      <c r="H74" s="110"/>
      <c r="I74" s="112"/>
      <c r="K74" s="89"/>
    </row>
    <row r="75" spans="1:12" s="111" customFormat="1" ht="76.5">
      <c r="A75" s="107"/>
      <c r="B75" s="108"/>
      <c r="C75" s="72" t="s">
        <v>258</v>
      </c>
      <c r="D75" s="72" t="s">
        <v>259</v>
      </c>
      <c r="E75" s="72" t="s">
        <v>260</v>
      </c>
      <c r="F75" s="72" t="s">
        <v>261</v>
      </c>
      <c r="G75" s="72" t="s">
        <v>262</v>
      </c>
      <c r="H75" s="72" t="s">
        <v>263</v>
      </c>
      <c r="I75" s="72" t="s">
        <v>264</v>
      </c>
      <c r="J75" s="113"/>
      <c r="L75" s="89"/>
    </row>
    <row r="76" spans="1:12" s="111" customFormat="1" ht="15" customHeight="1">
      <c r="A76" s="107"/>
      <c r="B76" s="108"/>
      <c r="C76" s="114" t="s">
        <v>265</v>
      </c>
      <c r="D76" s="81" t="s">
        <v>266</v>
      </c>
      <c r="E76" s="76">
        <v>4.38</v>
      </c>
      <c r="F76" s="115">
        <v>3</v>
      </c>
      <c r="G76" s="78">
        <f>E76*F76*600</f>
        <v>7884</v>
      </c>
      <c r="H76" s="115">
        <v>4</v>
      </c>
      <c r="I76" s="78">
        <f t="shared" ref="I76:I101" si="5">E76*H76*600</f>
        <v>10512</v>
      </c>
      <c r="J76" s="113"/>
      <c r="L76" s="89"/>
    </row>
    <row r="77" spans="1:12" s="111" customFormat="1" ht="15" customHeight="1">
      <c r="A77" s="107"/>
      <c r="B77" s="108"/>
      <c r="C77" s="114" t="s">
        <v>267</v>
      </c>
      <c r="D77" s="116" t="s">
        <v>268</v>
      </c>
      <c r="E77" s="76">
        <v>1.59</v>
      </c>
      <c r="F77" s="115">
        <v>3</v>
      </c>
      <c r="G77" s="78">
        <f t="shared" ref="G77:G101" si="6">E77*F77*600</f>
        <v>2862.0000000000005</v>
      </c>
      <c r="H77" s="115">
        <v>4</v>
      </c>
      <c r="I77" s="78">
        <f t="shared" si="5"/>
        <v>3816</v>
      </c>
      <c r="J77" s="113"/>
      <c r="L77" s="89"/>
    </row>
    <row r="78" spans="1:12" s="111" customFormat="1" ht="15" customHeight="1">
      <c r="A78" s="107"/>
      <c r="B78" s="108"/>
      <c r="C78" s="117" t="s">
        <v>269</v>
      </c>
      <c r="D78" s="116" t="s">
        <v>270</v>
      </c>
      <c r="E78" s="76">
        <v>1.3</v>
      </c>
      <c r="F78" s="115">
        <v>3</v>
      </c>
      <c r="G78" s="78">
        <f t="shared" si="6"/>
        <v>2340</v>
      </c>
      <c r="H78" s="115">
        <v>4</v>
      </c>
      <c r="I78" s="78">
        <f t="shared" si="5"/>
        <v>3120</v>
      </c>
      <c r="J78" s="113"/>
      <c r="L78" s="89"/>
    </row>
    <row r="79" spans="1:12" s="111" customFormat="1" ht="15" customHeight="1">
      <c r="A79" s="107"/>
      <c r="B79" s="108"/>
      <c r="C79" s="117" t="s">
        <v>271</v>
      </c>
      <c r="D79" s="116" t="s">
        <v>272</v>
      </c>
      <c r="E79" s="76">
        <v>1.97</v>
      </c>
      <c r="F79" s="115">
        <v>3</v>
      </c>
      <c r="G79" s="78">
        <f t="shared" si="6"/>
        <v>3546</v>
      </c>
      <c r="H79" s="115">
        <v>4</v>
      </c>
      <c r="I79" s="78">
        <f t="shared" si="5"/>
        <v>4728</v>
      </c>
      <c r="J79" s="113"/>
      <c r="L79" s="89"/>
    </row>
    <row r="80" spans="1:12" s="111" customFormat="1" ht="15" customHeight="1">
      <c r="A80" s="107"/>
      <c r="B80" s="108"/>
      <c r="C80" s="117" t="s">
        <v>273</v>
      </c>
      <c r="D80" s="116" t="s">
        <v>274</v>
      </c>
      <c r="E80" s="76">
        <v>1.42</v>
      </c>
      <c r="F80" s="115">
        <v>3</v>
      </c>
      <c r="G80" s="78">
        <f t="shared" si="6"/>
        <v>2556</v>
      </c>
      <c r="H80" s="115">
        <v>4</v>
      </c>
      <c r="I80" s="78">
        <f t="shared" si="5"/>
        <v>3408</v>
      </c>
      <c r="J80" s="113"/>
      <c r="L80" s="89"/>
    </row>
    <row r="81" spans="1:12" s="111" customFormat="1" ht="15" customHeight="1">
      <c r="A81" s="107"/>
      <c r="B81" s="108"/>
      <c r="C81" s="117" t="s">
        <v>275</v>
      </c>
      <c r="D81" s="116" t="s">
        <v>276</v>
      </c>
      <c r="E81" s="76">
        <v>1.58</v>
      </c>
      <c r="F81" s="115">
        <v>3</v>
      </c>
      <c r="G81" s="78">
        <f t="shared" si="6"/>
        <v>2844</v>
      </c>
      <c r="H81" s="115">
        <v>4</v>
      </c>
      <c r="I81" s="78">
        <f t="shared" si="5"/>
        <v>3792</v>
      </c>
      <c r="J81" s="113"/>
      <c r="L81" s="89"/>
    </row>
    <row r="82" spans="1:12" s="111" customFormat="1" ht="15" customHeight="1">
      <c r="A82" s="107"/>
      <c r="B82" s="108"/>
      <c r="C82" s="117" t="s">
        <v>277</v>
      </c>
      <c r="D82" s="116" t="s">
        <v>278</v>
      </c>
      <c r="E82" s="76">
        <v>1.58</v>
      </c>
      <c r="F82" s="115">
        <v>3</v>
      </c>
      <c r="G82" s="78">
        <f t="shared" si="6"/>
        <v>2844</v>
      </c>
      <c r="H82" s="115">
        <v>4</v>
      </c>
      <c r="I82" s="78">
        <f t="shared" si="5"/>
        <v>3792</v>
      </c>
      <c r="J82" s="113"/>
      <c r="L82" s="89"/>
    </row>
    <row r="83" spans="1:12" s="111" customFormat="1" ht="15" customHeight="1">
      <c r="A83" s="107"/>
      <c r="B83" s="108"/>
      <c r="C83" s="114" t="s">
        <v>279</v>
      </c>
      <c r="D83" s="116" t="s">
        <v>280</v>
      </c>
      <c r="E83" s="76">
        <v>2.66</v>
      </c>
      <c r="F83" s="115">
        <v>3</v>
      </c>
      <c r="G83" s="78">
        <f t="shared" si="6"/>
        <v>4788</v>
      </c>
      <c r="H83" s="115">
        <v>4</v>
      </c>
      <c r="I83" s="78">
        <f t="shared" si="5"/>
        <v>6384</v>
      </c>
      <c r="J83" s="113"/>
      <c r="L83" s="89"/>
    </row>
    <row r="84" spans="1:12" s="111" customFormat="1" ht="15" customHeight="1">
      <c r="A84" s="107"/>
      <c r="B84" s="108"/>
      <c r="C84" s="117" t="s">
        <v>281</v>
      </c>
      <c r="D84" s="116" t="s">
        <v>282</v>
      </c>
      <c r="E84" s="76">
        <v>1.62</v>
      </c>
      <c r="F84" s="115">
        <v>3</v>
      </c>
      <c r="G84" s="78">
        <f t="shared" si="6"/>
        <v>2916</v>
      </c>
      <c r="H84" s="115">
        <v>4</v>
      </c>
      <c r="I84" s="78">
        <f t="shared" si="5"/>
        <v>3888.0000000000005</v>
      </c>
      <c r="J84" s="113"/>
      <c r="L84" s="89"/>
    </row>
    <row r="85" spans="1:12" s="111" customFormat="1" ht="15" customHeight="1">
      <c r="A85" s="107"/>
      <c r="B85" s="108"/>
      <c r="C85" s="117" t="s">
        <v>283</v>
      </c>
      <c r="D85" s="116" t="s">
        <v>284</v>
      </c>
      <c r="E85" s="76">
        <v>1.3</v>
      </c>
      <c r="F85" s="115">
        <v>3</v>
      </c>
      <c r="G85" s="78">
        <f t="shared" si="6"/>
        <v>2340</v>
      </c>
      <c r="H85" s="115">
        <v>4</v>
      </c>
      <c r="I85" s="78">
        <f t="shared" si="5"/>
        <v>3120</v>
      </c>
      <c r="J85" s="113"/>
      <c r="L85" s="89"/>
    </row>
    <row r="86" spans="1:12" s="111" customFormat="1" ht="15" customHeight="1">
      <c r="A86" s="107"/>
      <c r="B86" s="108"/>
      <c r="C86" s="117" t="s">
        <v>285</v>
      </c>
      <c r="D86" s="116" t="s">
        <v>286</v>
      </c>
      <c r="E86" s="76">
        <v>1.3</v>
      </c>
      <c r="F86" s="115">
        <v>3</v>
      </c>
      <c r="G86" s="78">
        <f t="shared" si="6"/>
        <v>2340</v>
      </c>
      <c r="H86" s="115">
        <v>4</v>
      </c>
      <c r="I86" s="78">
        <f t="shared" si="5"/>
        <v>3120</v>
      </c>
      <c r="J86" s="113"/>
      <c r="L86" s="89"/>
    </row>
    <row r="87" spans="1:12" s="111" customFormat="1" ht="15" customHeight="1">
      <c r="A87" s="107"/>
      <c r="B87" s="108"/>
      <c r="C87" s="117" t="s">
        <v>287</v>
      </c>
      <c r="D87" s="116" t="s">
        <v>288</v>
      </c>
      <c r="E87" s="76">
        <v>1.3</v>
      </c>
      <c r="F87" s="115">
        <v>3</v>
      </c>
      <c r="G87" s="78">
        <f t="shared" si="6"/>
        <v>2340</v>
      </c>
      <c r="H87" s="115">
        <v>4</v>
      </c>
      <c r="I87" s="78">
        <f t="shared" si="5"/>
        <v>3120</v>
      </c>
      <c r="J87" s="113"/>
      <c r="L87" s="89"/>
    </row>
    <row r="88" spans="1:12" s="111" customFormat="1" ht="15" customHeight="1">
      <c r="A88" s="107"/>
      <c r="B88" s="108"/>
      <c r="C88" s="114" t="s">
        <v>289</v>
      </c>
      <c r="D88" s="116" t="s">
        <v>290</v>
      </c>
      <c r="E88" s="76">
        <v>1.6</v>
      </c>
      <c r="F88" s="115">
        <v>3</v>
      </c>
      <c r="G88" s="78">
        <f t="shared" si="6"/>
        <v>2880.0000000000005</v>
      </c>
      <c r="H88" s="115">
        <v>4</v>
      </c>
      <c r="I88" s="78">
        <f t="shared" si="5"/>
        <v>3840</v>
      </c>
      <c r="J88" s="113"/>
      <c r="L88" s="89"/>
    </row>
    <row r="89" spans="1:12" s="111" customFormat="1" ht="15" customHeight="1">
      <c r="A89" s="107"/>
      <c r="B89" s="108"/>
      <c r="C89" s="117" t="s">
        <v>291</v>
      </c>
      <c r="D89" s="116" t="s">
        <v>292</v>
      </c>
      <c r="E89" s="76">
        <v>1.6</v>
      </c>
      <c r="F89" s="115">
        <v>3</v>
      </c>
      <c r="G89" s="78">
        <f t="shared" si="6"/>
        <v>2880.0000000000005</v>
      </c>
      <c r="H89" s="115">
        <v>4</v>
      </c>
      <c r="I89" s="78">
        <f t="shared" si="5"/>
        <v>3840</v>
      </c>
      <c r="J89" s="113"/>
      <c r="L89" s="89"/>
    </row>
    <row r="90" spans="1:12" s="111" customFormat="1" ht="15" customHeight="1">
      <c r="A90" s="107"/>
      <c r="B90" s="108"/>
      <c r="C90" s="114" t="s">
        <v>293</v>
      </c>
      <c r="D90" s="116" t="s">
        <v>294</v>
      </c>
      <c r="E90" s="76">
        <v>2.5499999999999998</v>
      </c>
      <c r="F90" s="115">
        <v>3</v>
      </c>
      <c r="G90" s="78">
        <f t="shared" si="6"/>
        <v>4590</v>
      </c>
      <c r="H90" s="115">
        <v>4</v>
      </c>
      <c r="I90" s="78">
        <f t="shared" si="5"/>
        <v>6120</v>
      </c>
      <c r="J90" s="113"/>
      <c r="L90" s="89"/>
    </row>
    <row r="91" spans="1:12" s="111" customFormat="1" ht="15" customHeight="1">
      <c r="A91" s="107"/>
      <c r="B91" s="108"/>
      <c r="C91" s="117" t="s">
        <v>295</v>
      </c>
      <c r="D91" s="81" t="s">
        <v>296</v>
      </c>
      <c r="E91" s="76">
        <v>1.51</v>
      </c>
      <c r="F91" s="115">
        <v>3</v>
      </c>
      <c r="G91" s="78">
        <f t="shared" si="6"/>
        <v>2718</v>
      </c>
      <c r="H91" s="115">
        <v>4</v>
      </c>
      <c r="I91" s="78">
        <f t="shared" si="5"/>
        <v>3624</v>
      </c>
      <c r="J91" s="113"/>
      <c r="L91" s="89"/>
    </row>
    <row r="92" spans="1:12" s="111" customFormat="1" ht="15" customHeight="1">
      <c r="A92" s="107"/>
      <c r="B92" s="108"/>
      <c r="C92" s="117" t="s">
        <v>297</v>
      </c>
      <c r="D92" s="81" t="s">
        <v>298</v>
      </c>
      <c r="E92" s="76">
        <v>3.24</v>
      </c>
      <c r="F92" s="115">
        <v>3</v>
      </c>
      <c r="G92" s="78">
        <f t="shared" si="6"/>
        <v>5832</v>
      </c>
      <c r="H92" s="115">
        <v>4</v>
      </c>
      <c r="I92" s="78">
        <f t="shared" si="5"/>
        <v>7776.0000000000009</v>
      </c>
      <c r="J92" s="113"/>
      <c r="L92" s="89"/>
    </row>
    <row r="93" spans="1:12" s="111" customFormat="1" ht="15" customHeight="1">
      <c r="A93" s="107"/>
      <c r="B93" s="108"/>
      <c r="C93" s="117" t="s">
        <v>299</v>
      </c>
      <c r="D93" s="81" t="s">
        <v>300</v>
      </c>
      <c r="E93" s="76">
        <v>3.63</v>
      </c>
      <c r="F93" s="115">
        <v>3</v>
      </c>
      <c r="G93" s="78">
        <f t="shared" si="6"/>
        <v>6534</v>
      </c>
      <c r="H93" s="115">
        <v>4</v>
      </c>
      <c r="I93" s="78">
        <f t="shared" si="5"/>
        <v>8712</v>
      </c>
      <c r="J93" s="113"/>
      <c r="L93" s="89"/>
    </row>
    <row r="94" spans="1:12" s="111" customFormat="1" ht="15" customHeight="1">
      <c r="A94" s="107"/>
      <c r="B94" s="108"/>
      <c r="C94" s="117" t="s">
        <v>301</v>
      </c>
      <c r="D94" s="116" t="s">
        <v>302</v>
      </c>
      <c r="E94" s="76">
        <v>2.08</v>
      </c>
      <c r="F94" s="115">
        <v>3</v>
      </c>
      <c r="G94" s="78">
        <f t="shared" si="6"/>
        <v>3744</v>
      </c>
      <c r="H94" s="115">
        <v>4</v>
      </c>
      <c r="I94" s="78">
        <f t="shared" si="5"/>
        <v>4992</v>
      </c>
      <c r="J94" s="113"/>
      <c r="L94" s="89"/>
    </row>
    <row r="95" spans="1:12" s="111" customFormat="1" ht="15" customHeight="1">
      <c r="A95" s="107"/>
      <c r="B95" s="108"/>
      <c r="C95" s="117" t="s">
        <v>303</v>
      </c>
      <c r="D95" s="116" t="s">
        <v>304</v>
      </c>
      <c r="E95" s="76">
        <v>7.42</v>
      </c>
      <c r="F95" s="115">
        <v>1</v>
      </c>
      <c r="G95" s="78">
        <f t="shared" si="6"/>
        <v>4452</v>
      </c>
      <c r="H95" s="115">
        <v>2</v>
      </c>
      <c r="I95" s="78">
        <f t="shared" si="5"/>
        <v>8904</v>
      </c>
      <c r="J95" s="113"/>
      <c r="L95" s="89"/>
    </row>
    <row r="96" spans="1:12" s="111" customFormat="1" ht="15" customHeight="1">
      <c r="A96" s="107"/>
      <c r="B96" s="108"/>
      <c r="C96" s="117" t="s">
        <v>305</v>
      </c>
      <c r="D96" s="116" t="s">
        <v>306</v>
      </c>
      <c r="E96" s="76">
        <v>9.0399999999999991</v>
      </c>
      <c r="F96" s="115">
        <v>1</v>
      </c>
      <c r="G96" s="78">
        <f t="shared" si="6"/>
        <v>5423.9999999999991</v>
      </c>
      <c r="H96" s="115">
        <v>2</v>
      </c>
      <c r="I96" s="78">
        <f t="shared" si="5"/>
        <v>10847.999999999998</v>
      </c>
      <c r="J96" s="113"/>
      <c r="L96" s="89"/>
    </row>
    <row r="97" spans="1:12" s="111" customFormat="1" ht="15" customHeight="1">
      <c r="A97" s="107"/>
      <c r="B97" s="108"/>
      <c r="C97" s="117" t="s">
        <v>307</v>
      </c>
      <c r="D97" s="116" t="s">
        <v>308</v>
      </c>
      <c r="E97" s="76">
        <v>8.23</v>
      </c>
      <c r="F97" s="115">
        <v>1</v>
      </c>
      <c r="G97" s="78">
        <f t="shared" si="6"/>
        <v>4938</v>
      </c>
      <c r="H97" s="115">
        <v>1</v>
      </c>
      <c r="I97" s="78">
        <f t="shared" si="5"/>
        <v>4938</v>
      </c>
      <c r="J97" s="113"/>
      <c r="L97" s="89"/>
    </row>
    <row r="98" spans="1:12" s="111" customFormat="1" ht="15" customHeight="1">
      <c r="A98" s="107"/>
      <c r="B98" s="108"/>
      <c r="C98" s="117" t="s">
        <v>309</v>
      </c>
      <c r="D98" s="116" t="s">
        <v>310</v>
      </c>
      <c r="E98" s="76">
        <v>1.79</v>
      </c>
      <c r="F98" s="115">
        <v>1</v>
      </c>
      <c r="G98" s="78">
        <f t="shared" si="6"/>
        <v>1074</v>
      </c>
      <c r="H98" s="115">
        <v>1</v>
      </c>
      <c r="I98" s="78">
        <f t="shared" si="5"/>
        <v>1074</v>
      </c>
      <c r="J98" s="113"/>
      <c r="L98" s="89"/>
    </row>
    <row r="99" spans="1:12" s="111" customFormat="1" ht="15" customHeight="1">
      <c r="A99" s="107"/>
      <c r="B99" s="108"/>
      <c r="C99" s="117" t="s">
        <v>311</v>
      </c>
      <c r="D99" s="118" t="s">
        <v>312</v>
      </c>
      <c r="E99" s="76">
        <v>8.76</v>
      </c>
      <c r="F99" s="115">
        <v>3</v>
      </c>
      <c r="G99" s="78">
        <f t="shared" si="6"/>
        <v>15768</v>
      </c>
      <c r="H99" s="115">
        <v>4</v>
      </c>
      <c r="I99" s="78">
        <f t="shared" si="5"/>
        <v>21024</v>
      </c>
      <c r="J99" s="113"/>
      <c r="L99" s="89"/>
    </row>
    <row r="100" spans="1:12" s="111" customFormat="1" ht="15" customHeight="1">
      <c r="A100" s="107"/>
      <c r="B100" s="108"/>
      <c r="C100" s="117" t="s">
        <v>313</v>
      </c>
      <c r="D100" s="116" t="s">
        <v>314</v>
      </c>
      <c r="E100" s="76">
        <v>3.94</v>
      </c>
      <c r="F100" s="115">
        <v>1</v>
      </c>
      <c r="G100" s="78">
        <f t="shared" si="6"/>
        <v>2364</v>
      </c>
      <c r="H100" s="115">
        <v>1</v>
      </c>
      <c r="I100" s="78">
        <f t="shared" si="5"/>
        <v>2364</v>
      </c>
      <c r="J100" s="113"/>
      <c r="L100" s="89"/>
    </row>
    <row r="101" spans="1:12" s="111" customFormat="1" ht="15" customHeight="1">
      <c r="A101" s="107"/>
      <c r="B101" s="108"/>
      <c r="C101" s="117" t="s">
        <v>315</v>
      </c>
      <c r="D101" s="116" t="s">
        <v>316</v>
      </c>
      <c r="E101" s="76">
        <v>8.99</v>
      </c>
      <c r="F101" s="115">
        <v>1</v>
      </c>
      <c r="G101" s="78">
        <f t="shared" si="6"/>
        <v>5394</v>
      </c>
      <c r="H101" s="115">
        <v>1</v>
      </c>
      <c r="I101" s="78">
        <f t="shared" si="5"/>
        <v>5394</v>
      </c>
      <c r="J101" s="113"/>
      <c r="L101" s="89"/>
    </row>
    <row r="102" spans="1:12" s="111" customFormat="1" ht="15" customHeight="1">
      <c r="A102" s="107"/>
      <c r="B102" s="108"/>
      <c r="C102" s="109"/>
      <c r="D102" s="119" t="s">
        <v>119</v>
      </c>
      <c r="E102" s="120"/>
      <c r="F102" s="120"/>
      <c r="G102" s="121">
        <f>ROUND(SUM(G76:G101),0)</f>
        <v>108192</v>
      </c>
      <c r="H102" s="121"/>
      <c r="I102" s="121">
        <f t="shared" ref="I102" si="7">ROUND(SUM(I76:I101),0)</f>
        <v>146250</v>
      </c>
      <c r="K102" s="89"/>
    </row>
    <row r="103" spans="1:12" s="111" customFormat="1">
      <c r="A103" s="107"/>
      <c r="B103" s="108"/>
      <c r="C103" s="109"/>
      <c r="D103" s="122"/>
      <c r="E103" s="107"/>
      <c r="F103" s="107"/>
      <c r="G103" s="107"/>
      <c r="H103" s="110"/>
      <c r="I103" s="112"/>
    </row>
    <row r="104" spans="1:12">
      <c r="C104" s="5" t="s">
        <v>317</v>
      </c>
      <c r="D104" s="113"/>
      <c r="E104" s="123"/>
      <c r="F104" s="123"/>
      <c r="G104" s="123"/>
      <c r="H104" s="123"/>
    </row>
    <row r="105" spans="1:12">
      <c r="D105" s="113"/>
      <c r="E105" s="123"/>
      <c r="F105" s="123"/>
      <c r="G105" s="123"/>
      <c r="H105" s="123"/>
    </row>
    <row r="106" spans="1:12" ht="38.25">
      <c r="D106" s="113"/>
      <c r="E106" s="123"/>
      <c r="F106" s="123"/>
      <c r="G106" s="123"/>
      <c r="I106" s="49" t="s">
        <v>318</v>
      </c>
      <c r="J106" s="49" t="s">
        <v>109</v>
      </c>
    </row>
    <row r="107" spans="1:12">
      <c r="D107" s="113"/>
      <c r="E107" s="123"/>
      <c r="F107" s="123"/>
      <c r="G107" s="123"/>
      <c r="I107" s="90">
        <f>G102</f>
        <v>108192</v>
      </c>
      <c r="J107" s="90">
        <f>I102</f>
        <v>146250</v>
      </c>
      <c r="K107" s="5" t="s">
        <v>319</v>
      </c>
    </row>
    <row r="108" spans="1:12">
      <c r="D108" s="113"/>
      <c r="E108" s="123"/>
      <c r="F108" s="123"/>
      <c r="G108" s="123"/>
      <c r="H108" s="123"/>
    </row>
    <row r="109" spans="1:12">
      <c r="B109" s="5" t="s">
        <v>320</v>
      </c>
      <c r="D109" s="113"/>
      <c r="E109" s="123"/>
      <c r="F109" s="123"/>
      <c r="G109" s="123"/>
      <c r="H109" s="123"/>
    </row>
    <row r="110" spans="1:12">
      <c r="C110" s="39"/>
      <c r="D110" s="39"/>
      <c r="E110" s="124"/>
      <c r="F110" s="124"/>
      <c r="G110" s="124"/>
      <c r="H110" s="124"/>
    </row>
  </sheetData>
  <mergeCells count="60">
    <mergeCell ref="I1:L1"/>
    <mergeCell ref="B13:C13"/>
    <mergeCell ref="A2:C2"/>
    <mergeCell ref="A3:D3"/>
    <mergeCell ref="G6:I6"/>
    <mergeCell ref="J6:L6"/>
    <mergeCell ref="B7:C7"/>
    <mergeCell ref="A8:D8"/>
    <mergeCell ref="B9:C9"/>
    <mergeCell ref="B10:C10"/>
    <mergeCell ref="B11:C11"/>
    <mergeCell ref="B12:C12"/>
    <mergeCell ref="B25:C25"/>
    <mergeCell ref="B14:C14"/>
    <mergeCell ref="B15:C15"/>
    <mergeCell ref="B16:C16"/>
    <mergeCell ref="B17:C17"/>
    <mergeCell ref="B18:C18"/>
    <mergeCell ref="B19:C19"/>
    <mergeCell ref="B20:C20"/>
    <mergeCell ref="B21:C21"/>
    <mergeCell ref="B22:C22"/>
    <mergeCell ref="B23:C23"/>
    <mergeCell ref="B24:C24"/>
    <mergeCell ref="B37:C37"/>
    <mergeCell ref="B26:C26"/>
    <mergeCell ref="B27:C27"/>
    <mergeCell ref="B28:C28"/>
    <mergeCell ref="B29:C29"/>
    <mergeCell ref="B30:C30"/>
    <mergeCell ref="B31:C31"/>
    <mergeCell ref="B32:C32"/>
    <mergeCell ref="B33:C33"/>
    <mergeCell ref="B34:C34"/>
    <mergeCell ref="B35:C35"/>
    <mergeCell ref="B36:C36"/>
    <mergeCell ref="B49:C49"/>
    <mergeCell ref="B38:C38"/>
    <mergeCell ref="B39:C39"/>
    <mergeCell ref="B40:C40"/>
    <mergeCell ref="B41:C41"/>
    <mergeCell ref="B42:C42"/>
    <mergeCell ref="B43:C43"/>
    <mergeCell ref="B44:C44"/>
    <mergeCell ref="B45:C45"/>
    <mergeCell ref="B46:C46"/>
    <mergeCell ref="B47:C47"/>
    <mergeCell ref="B48:C48"/>
    <mergeCell ref="I61:L62"/>
    <mergeCell ref="I63:L63"/>
    <mergeCell ref="A50:D50"/>
    <mergeCell ref="A52:O52"/>
    <mergeCell ref="A53:N53"/>
    <mergeCell ref="B61:B62"/>
    <mergeCell ref="C61:C62"/>
    <mergeCell ref="D61:D62"/>
    <mergeCell ref="E61:E62"/>
    <mergeCell ref="F61:F62"/>
    <mergeCell ref="G61:G62"/>
    <mergeCell ref="H61:H6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5DF60-E04C-4CBA-AF14-8019DC70ABB4}">
  <sheetPr>
    <tabColor theme="4" tint="0.59999389629810485"/>
  </sheetPr>
  <dimension ref="A1:G1053"/>
  <sheetViews>
    <sheetView zoomScale="69" zoomScaleNormal="69" workbookViewId="0">
      <selection activeCell="M16" sqref="M16"/>
    </sheetView>
  </sheetViews>
  <sheetFormatPr defaultColWidth="9.140625" defaultRowHeight="12.75"/>
  <cols>
    <col min="1" max="1" width="19.85546875" style="13" customWidth="1"/>
    <col min="2" max="2" width="12.5703125" style="13" customWidth="1"/>
    <col min="3" max="3" width="23.85546875" style="13" customWidth="1"/>
    <col min="4" max="4" width="26.42578125" style="13" customWidth="1"/>
    <col min="5" max="5" width="44.140625" style="13" customWidth="1"/>
    <col min="6" max="16384" width="9.140625" style="13"/>
  </cols>
  <sheetData>
    <row r="1" spans="1:7" ht="51">
      <c r="E1" s="139" t="s">
        <v>78</v>
      </c>
    </row>
    <row r="2" spans="1:7" ht="39.75" customHeight="1">
      <c r="A2" s="615" t="s">
        <v>321</v>
      </c>
      <c r="B2" s="615"/>
      <c r="C2" s="615"/>
      <c r="D2" s="615"/>
      <c r="E2" s="615"/>
    </row>
    <row r="3" spans="1:7">
      <c r="C3" s="125">
        <v>75</v>
      </c>
      <c r="D3" s="125">
        <v>250</v>
      </c>
      <c r="E3" s="125">
        <v>250</v>
      </c>
    </row>
    <row r="4" spans="1:7" ht="69.75" customHeight="1">
      <c r="A4" s="126" t="s">
        <v>322</v>
      </c>
      <c r="B4" s="72" t="s">
        <v>67</v>
      </c>
      <c r="C4" s="72" t="s">
        <v>323</v>
      </c>
      <c r="D4" s="72" t="s">
        <v>324</v>
      </c>
      <c r="E4" s="72" t="s">
        <v>325</v>
      </c>
    </row>
    <row r="5" spans="1:7">
      <c r="A5" s="127" t="s">
        <v>68</v>
      </c>
      <c r="B5" s="128">
        <f>SUM(B6:B1050)</f>
        <v>3518</v>
      </c>
      <c r="C5" s="128">
        <f>SUM(C6:C1050)</f>
        <v>263850</v>
      </c>
      <c r="D5" s="128">
        <f>SUM(D6:D1050)</f>
        <v>615650</v>
      </c>
      <c r="E5" s="129">
        <f>ROUND(SUM(E6:E1051),0)</f>
        <v>703650</v>
      </c>
    </row>
    <row r="6" spans="1:7">
      <c r="A6" s="130" t="s">
        <v>326</v>
      </c>
      <c r="B6" s="131">
        <v>5</v>
      </c>
      <c r="C6" s="132">
        <f>B6*75</f>
        <v>375</v>
      </c>
      <c r="D6" s="132">
        <f>B6*250-C6</f>
        <v>875</v>
      </c>
      <c r="E6" s="132">
        <f>B6*250-C6</f>
        <v>875</v>
      </c>
      <c r="G6" s="133"/>
    </row>
    <row r="7" spans="1:7">
      <c r="A7" s="33" t="s">
        <v>326</v>
      </c>
      <c r="B7" s="36">
        <v>2</v>
      </c>
      <c r="C7" s="37">
        <f t="shared" ref="C7:C70" si="0">B7*75</f>
        <v>150</v>
      </c>
      <c r="D7" s="132">
        <f t="shared" ref="D7:D70" si="1">B7*250-C7</f>
        <v>350</v>
      </c>
      <c r="E7" s="132">
        <f t="shared" ref="E7:E70" si="2">B7*250-C7</f>
        <v>350</v>
      </c>
    </row>
    <row r="8" spans="1:7">
      <c r="A8" s="33" t="s">
        <v>326</v>
      </c>
      <c r="B8" s="36">
        <v>13</v>
      </c>
      <c r="C8" s="37">
        <f t="shared" si="0"/>
        <v>975</v>
      </c>
      <c r="D8" s="132">
        <f t="shared" si="1"/>
        <v>2275</v>
      </c>
      <c r="E8" s="132">
        <f t="shared" si="2"/>
        <v>2275</v>
      </c>
    </row>
    <row r="9" spans="1:7">
      <c r="A9" s="33" t="s">
        <v>326</v>
      </c>
      <c r="B9" s="36">
        <v>3</v>
      </c>
      <c r="C9" s="37">
        <f t="shared" si="0"/>
        <v>225</v>
      </c>
      <c r="D9" s="132">
        <f t="shared" si="1"/>
        <v>525</v>
      </c>
      <c r="E9" s="132">
        <f t="shared" si="2"/>
        <v>525</v>
      </c>
    </row>
    <row r="10" spans="1:7">
      <c r="A10" s="33" t="s">
        <v>326</v>
      </c>
      <c r="B10" s="36">
        <v>4</v>
      </c>
      <c r="C10" s="37">
        <f t="shared" si="0"/>
        <v>300</v>
      </c>
      <c r="D10" s="132">
        <f t="shared" si="1"/>
        <v>700</v>
      </c>
      <c r="E10" s="132">
        <f t="shared" si="2"/>
        <v>700</v>
      </c>
    </row>
    <row r="11" spans="1:7">
      <c r="A11" s="33" t="s">
        <v>326</v>
      </c>
      <c r="B11" s="36">
        <v>6</v>
      </c>
      <c r="C11" s="37">
        <f t="shared" si="0"/>
        <v>450</v>
      </c>
      <c r="D11" s="132">
        <f t="shared" si="1"/>
        <v>1050</v>
      </c>
      <c r="E11" s="132">
        <f t="shared" si="2"/>
        <v>1050</v>
      </c>
    </row>
    <row r="12" spans="1:7">
      <c r="A12" s="33" t="s">
        <v>326</v>
      </c>
      <c r="B12" s="36">
        <v>5</v>
      </c>
      <c r="C12" s="37">
        <f t="shared" si="0"/>
        <v>375</v>
      </c>
      <c r="D12" s="132">
        <f t="shared" si="1"/>
        <v>875</v>
      </c>
      <c r="E12" s="132">
        <f t="shared" si="2"/>
        <v>875</v>
      </c>
    </row>
    <row r="13" spans="1:7">
      <c r="A13" s="33" t="s">
        <v>326</v>
      </c>
      <c r="B13" s="36">
        <v>3</v>
      </c>
      <c r="C13" s="37">
        <f t="shared" si="0"/>
        <v>225</v>
      </c>
      <c r="D13" s="132">
        <f t="shared" si="1"/>
        <v>525</v>
      </c>
      <c r="E13" s="132">
        <f t="shared" si="2"/>
        <v>525</v>
      </c>
    </row>
    <row r="14" spans="1:7">
      <c r="A14" s="33" t="s">
        <v>326</v>
      </c>
      <c r="B14" s="36">
        <v>8</v>
      </c>
      <c r="C14" s="37">
        <f t="shared" si="0"/>
        <v>600</v>
      </c>
      <c r="D14" s="132">
        <f t="shared" si="1"/>
        <v>1400</v>
      </c>
      <c r="E14" s="132">
        <f t="shared" si="2"/>
        <v>1400</v>
      </c>
    </row>
    <row r="15" spans="1:7">
      <c r="A15" s="33" t="s">
        <v>326</v>
      </c>
      <c r="B15" s="36">
        <v>2</v>
      </c>
      <c r="C15" s="37">
        <f t="shared" si="0"/>
        <v>150</v>
      </c>
      <c r="D15" s="132">
        <f t="shared" si="1"/>
        <v>350</v>
      </c>
      <c r="E15" s="132">
        <f t="shared" si="2"/>
        <v>350</v>
      </c>
    </row>
    <row r="16" spans="1:7">
      <c r="A16" s="33" t="s">
        <v>326</v>
      </c>
      <c r="B16" s="36">
        <v>2</v>
      </c>
      <c r="C16" s="37">
        <f t="shared" si="0"/>
        <v>150</v>
      </c>
      <c r="D16" s="132">
        <f t="shared" si="1"/>
        <v>350</v>
      </c>
      <c r="E16" s="132">
        <f t="shared" si="2"/>
        <v>350</v>
      </c>
    </row>
    <row r="17" spans="1:5">
      <c r="A17" s="33" t="s">
        <v>326</v>
      </c>
      <c r="B17" s="36">
        <v>5</v>
      </c>
      <c r="C17" s="37">
        <f t="shared" si="0"/>
        <v>375</v>
      </c>
      <c r="D17" s="132">
        <f t="shared" si="1"/>
        <v>875</v>
      </c>
      <c r="E17" s="132">
        <f t="shared" si="2"/>
        <v>875</v>
      </c>
    </row>
    <row r="18" spans="1:5">
      <c r="A18" s="33" t="s">
        <v>326</v>
      </c>
      <c r="B18" s="36">
        <v>3</v>
      </c>
      <c r="C18" s="37">
        <f t="shared" si="0"/>
        <v>225</v>
      </c>
      <c r="D18" s="132">
        <f t="shared" si="1"/>
        <v>525</v>
      </c>
      <c r="E18" s="132">
        <f t="shared" si="2"/>
        <v>525</v>
      </c>
    </row>
    <row r="19" spans="1:5">
      <c r="A19" s="33" t="s">
        <v>326</v>
      </c>
      <c r="B19" s="36">
        <v>7</v>
      </c>
      <c r="C19" s="37">
        <f t="shared" si="0"/>
        <v>525</v>
      </c>
      <c r="D19" s="132">
        <f t="shared" si="1"/>
        <v>1225</v>
      </c>
      <c r="E19" s="132">
        <f t="shared" si="2"/>
        <v>1225</v>
      </c>
    </row>
    <row r="20" spans="1:5">
      <c r="A20" s="33" t="s">
        <v>326</v>
      </c>
      <c r="B20" s="36">
        <v>6</v>
      </c>
      <c r="C20" s="37">
        <f t="shared" si="0"/>
        <v>450</v>
      </c>
      <c r="D20" s="132">
        <f t="shared" si="1"/>
        <v>1050</v>
      </c>
      <c r="E20" s="132">
        <f t="shared" si="2"/>
        <v>1050</v>
      </c>
    </row>
    <row r="21" spans="1:5">
      <c r="A21" s="33" t="s">
        <v>326</v>
      </c>
      <c r="B21" s="36">
        <v>6</v>
      </c>
      <c r="C21" s="37">
        <f t="shared" si="0"/>
        <v>450</v>
      </c>
      <c r="D21" s="132">
        <f t="shared" si="1"/>
        <v>1050</v>
      </c>
      <c r="E21" s="132">
        <f t="shared" si="2"/>
        <v>1050</v>
      </c>
    </row>
    <row r="22" spans="1:5">
      <c r="A22" s="33" t="s">
        <v>326</v>
      </c>
      <c r="B22" s="36">
        <v>2</v>
      </c>
      <c r="C22" s="37">
        <f t="shared" si="0"/>
        <v>150</v>
      </c>
      <c r="D22" s="132">
        <f t="shared" si="1"/>
        <v>350</v>
      </c>
      <c r="E22" s="132">
        <f t="shared" si="2"/>
        <v>350</v>
      </c>
    </row>
    <row r="23" spans="1:5">
      <c r="A23" s="33" t="s">
        <v>326</v>
      </c>
      <c r="B23" s="36">
        <v>2</v>
      </c>
      <c r="C23" s="37">
        <f t="shared" si="0"/>
        <v>150</v>
      </c>
      <c r="D23" s="132">
        <f t="shared" si="1"/>
        <v>350</v>
      </c>
      <c r="E23" s="132">
        <f t="shared" si="2"/>
        <v>350</v>
      </c>
    </row>
    <row r="24" spans="1:5">
      <c r="A24" s="33" t="s">
        <v>326</v>
      </c>
      <c r="B24" s="36">
        <v>1</v>
      </c>
      <c r="C24" s="37">
        <f t="shared" si="0"/>
        <v>75</v>
      </c>
      <c r="D24" s="132">
        <f t="shared" si="1"/>
        <v>175</v>
      </c>
      <c r="E24" s="132">
        <f t="shared" si="2"/>
        <v>175</v>
      </c>
    </row>
    <row r="25" spans="1:5">
      <c r="A25" s="33" t="s">
        <v>326</v>
      </c>
      <c r="B25" s="36">
        <v>2</v>
      </c>
      <c r="C25" s="37">
        <f t="shared" si="0"/>
        <v>150</v>
      </c>
      <c r="D25" s="132">
        <f t="shared" si="1"/>
        <v>350</v>
      </c>
      <c r="E25" s="132">
        <f t="shared" si="2"/>
        <v>350</v>
      </c>
    </row>
    <row r="26" spans="1:5">
      <c r="A26" s="33" t="s">
        <v>326</v>
      </c>
      <c r="B26" s="36">
        <v>3</v>
      </c>
      <c r="C26" s="37">
        <f t="shared" si="0"/>
        <v>225</v>
      </c>
      <c r="D26" s="132">
        <f t="shared" si="1"/>
        <v>525</v>
      </c>
      <c r="E26" s="132">
        <f t="shared" si="2"/>
        <v>525</v>
      </c>
    </row>
    <row r="27" spans="1:5">
      <c r="A27" s="33" t="s">
        <v>326</v>
      </c>
      <c r="B27" s="36">
        <v>6</v>
      </c>
      <c r="C27" s="37">
        <f t="shared" si="0"/>
        <v>450</v>
      </c>
      <c r="D27" s="132">
        <f t="shared" si="1"/>
        <v>1050</v>
      </c>
      <c r="E27" s="132">
        <f t="shared" si="2"/>
        <v>1050</v>
      </c>
    </row>
    <row r="28" spans="1:5">
      <c r="A28" s="33" t="s">
        <v>326</v>
      </c>
      <c r="B28" s="36">
        <v>1</v>
      </c>
      <c r="C28" s="37">
        <f t="shared" si="0"/>
        <v>75</v>
      </c>
      <c r="D28" s="132">
        <f t="shared" si="1"/>
        <v>175</v>
      </c>
      <c r="E28" s="132">
        <f t="shared" si="2"/>
        <v>175</v>
      </c>
    </row>
    <row r="29" spans="1:5">
      <c r="A29" s="33" t="s">
        <v>326</v>
      </c>
      <c r="B29" s="36">
        <v>7</v>
      </c>
      <c r="C29" s="37">
        <f t="shared" si="0"/>
        <v>525</v>
      </c>
      <c r="D29" s="132">
        <f t="shared" si="1"/>
        <v>1225</v>
      </c>
      <c r="E29" s="132">
        <f t="shared" si="2"/>
        <v>1225</v>
      </c>
    </row>
    <row r="30" spans="1:5">
      <c r="A30" s="33" t="s">
        <v>326</v>
      </c>
      <c r="B30" s="36">
        <v>3</v>
      </c>
      <c r="C30" s="37">
        <f t="shared" si="0"/>
        <v>225</v>
      </c>
      <c r="D30" s="132">
        <f t="shared" si="1"/>
        <v>525</v>
      </c>
      <c r="E30" s="132">
        <f t="shared" si="2"/>
        <v>525</v>
      </c>
    </row>
    <row r="31" spans="1:5">
      <c r="A31" s="33" t="s">
        <v>326</v>
      </c>
      <c r="B31" s="36">
        <v>6</v>
      </c>
      <c r="C31" s="37">
        <f t="shared" si="0"/>
        <v>450</v>
      </c>
      <c r="D31" s="132">
        <f t="shared" si="1"/>
        <v>1050</v>
      </c>
      <c r="E31" s="132">
        <f t="shared" si="2"/>
        <v>1050</v>
      </c>
    </row>
    <row r="32" spans="1:5">
      <c r="A32" s="33" t="s">
        <v>326</v>
      </c>
      <c r="B32" s="36">
        <v>1</v>
      </c>
      <c r="C32" s="37">
        <f t="shared" si="0"/>
        <v>75</v>
      </c>
      <c r="D32" s="132">
        <f t="shared" si="1"/>
        <v>175</v>
      </c>
      <c r="E32" s="132">
        <f t="shared" si="2"/>
        <v>175</v>
      </c>
    </row>
    <row r="33" spans="1:5">
      <c r="A33" s="33" t="s">
        <v>326</v>
      </c>
      <c r="B33" s="36">
        <v>8</v>
      </c>
      <c r="C33" s="37">
        <f t="shared" si="0"/>
        <v>600</v>
      </c>
      <c r="D33" s="132">
        <f t="shared" si="1"/>
        <v>1400</v>
      </c>
      <c r="E33" s="132">
        <f t="shared" si="2"/>
        <v>1400</v>
      </c>
    </row>
    <row r="34" spans="1:5">
      <c r="A34" s="33" t="s">
        <v>326</v>
      </c>
      <c r="B34" s="36">
        <v>3</v>
      </c>
      <c r="C34" s="37">
        <f t="shared" si="0"/>
        <v>225</v>
      </c>
      <c r="D34" s="132">
        <f t="shared" si="1"/>
        <v>525</v>
      </c>
      <c r="E34" s="132">
        <f t="shared" si="2"/>
        <v>525</v>
      </c>
    </row>
    <row r="35" spans="1:5">
      <c r="A35" s="33" t="s">
        <v>326</v>
      </c>
      <c r="B35" s="36">
        <v>4</v>
      </c>
      <c r="C35" s="37">
        <f t="shared" si="0"/>
        <v>300</v>
      </c>
      <c r="D35" s="132">
        <f t="shared" si="1"/>
        <v>700</v>
      </c>
      <c r="E35" s="132">
        <f t="shared" si="2"/>
        <v>700</v>
      </c>
    </row>
    <row r="36" spans="1:5">
      <c r="A36" s="33" t="s">
        <v>326</v>
      </c>
      <c r="B36" s="36">
        <v>2</v>
      </c>
      <c r="C36" s="37">
        <f t="shared" si="0"/>
        <v>150</v>
      </c>
      <c r="D36" s="132">
        <f t="shared" si="1"/>
        <v>350</v>
      </c>
      <c r="E36" s="132">
        <f t="shared" si="2"/>
        <v>350</v>
      </c>
    </row>
    <row r="37" spans="1:5">
      <c r="A37" s="33" t="s">
        <v>326</v>
      </c>
      <c r="B37" s="36">
        <v>2</v>
      </c>
      <c r="C37" s="37">
        <f t="shared" si="0"/>
        <v>150</v>
      </c>
      <c r="D37" s="132">
        <f t="shared" si="1"/>
        <v>350</v>
      </c>
      <c r="E37" s="132">
        <f t="shared" si="2"/>
        <v>350</v>
      </c>
    </row>
    <row r="38" spans="1:5">
      <c r="A38" s="33" t="s">
        <v>326</v>
      </c>
      <c r="B38" s="36">
        <v>1</v>
      </c>
      <c r="C38" s="37">
        <f t="shared" si="0"/>
        <v>75</v>
      </c>
      <c r="D38" s="132">
        <f t="shared" si="1"/>
        <v>175</v>
      </c>
      <c r="E38" s="132">
        <f t="shared" si="2"/>
        <v>175</v>
      </c>
    </row>
    <row r="39" spans="1:5">
      <c r="A39" s="33" t="s">
        <v>326</v>
      </c>
      <c r="B39" s="36">
        <v>1</v>
      </c>
      <c r="C39" s="37">
        <f t="shared" si="0"/>
        <v>75</v>
      </c>
      <c r="D39" s="132">
        <f t="shared" si="1"/>
        <v>175</v>
      </c>
      <c r="E39" s="132">
        <f t="shared" si="2"/>
        <v>175</v>
      </c>
    </row>
    <row r="40" spans="1:5">
      <c r="A40" s="33" t="s">
        <v>326</v>
      </c>
      <c r="B40" s="36">
        <v>2</v>
      </c>
      <c r="C40" s="37">
        <f t="shared" si="0"/>
        <v>150</v>
      </c>
      <c r="D40" s="132">
        <f t="shared" si="1"/>
        <v>350</v>
      </c>
      <c r="E40" s="132">
        <f t="shared" si="2"/>
        <v>350</v>
      </c>
    </row>
    <row r="41" spans="1:5">
      <c r="A41" s="33" t="s">
        <v>326</v>
      </c>
      <c r="B41" s="36">
        <v>2</v>
      </c>
      <c r="C41" s="37">
        <f t="shared" si="0"/>
        <v>150</v>
      </c>
      <c r="D41" s="132">
        <f t="shared" si="1"/>
        <v>350</v>
      </c>
      <c r="E41" s="132">
        <f t="shared" si="2"/>
        <v>350</v>
      </c>
    </row>
    <row r="42" spans="1:5">
      <c r="A42" s="33" t="s">
        <v>326</v>
      </c>
      <c r="B42" s="36">
        <v>1</v>
      </c>
      <c r="C42" s="37">
        <f t="shared" si="0"/>
        <v>75</v>
      </c>
      <c r="D42" s="132">
        <f t="shared" si="1"/>
        <v>175</v>
      </c>
      <c r="E42" s="132">
        <f t="shared" si="2"/>
        <v>175</v>
      </c>
    </row>
    <row r="43" spans="1:5">
      <c r="A43" s="33" t="s">
        <v>326</v>
      </c>
      <c r="B43" s="36">
        <v>1</v>
      </c>
      <c r="C43" s="37">
        <f t="shared" si="0"/>
        <v>75</v>
      </c>
      <c r="D43" s="132">
        <f t="shared" si="1"/>
        <v>175</v>
      </c>
      <c r="E43" s="132">
        <f t="shared" si="2"/>
        <v>175</v>
      </c>
    </row>
    <row r="44" spans="1:5">
      <c r="A44" s="33" t="s">
        <v>326</v>
      </c>
      <c r="B44" s="36">
        <v>6</v>
      </c>
      <c r="C44" s="37">
        <f t="shared" si="0"/>
        <v>450</v>
      </c>
      <c r="D44" s="132">
        <f t="shared" si="1"/>
        <v>1050</v>
      </c>
      <c r="E44" s="132">
        <f t="shared" si="2"/>
        <v>1050</v>
      </c>
    </row>
    <row r="45" spans="1:5">
      <c r="A45" s="33" t="s">
        <v>326</v>
      </c>
      <c r="B45" s="36">
        <v>1</v>
      </c>
      <c r="C45" s="37">
        <f t="shared" si="0"/>
        <v>75</v>
      </c>
      <c r="D45" s="132">
        <f t="shared" si="1"/>
        <v>175</v>
      </c>
      <c r="E45" s="132">
        <f t="shared" si="2"/>
        <v>175</v>
      </c>
    </row>
    <row r="46" spans="1:5">
      <c r="A46" s="33" t="s">
        <v>326</v>
      </c>
      <c r="B46" s="36">
        <v>4</v>
      </c>
      <c r="C46" s="37">
        <f t="shared" si="0"/>
        <v>300</v>
      </c>
      <c r="D46" s="132">
        <f t="shared" si="1"/>
        <v>700</v>
      </c>
      <c r="E46" s="132">
        <f t="shared" si="2"/>
        <v>700</v>
      </c>
    </row>
    <row r="47" spans="1:5">
      <c r="A47" s="33" t="s">
        <v>326</v>
      </c>
      <c r="B47" s="36">
        <v>6</v>
      </c>
      <c r="C47" s="37">
        <f t="shared" si="0"/>
        <v>450</v>
      </c>
      <c r="D47" s="132">
        <f t="shared" si="1"/>
        <v>1050</v>
      </c>
      <c r="E47" s="132">
        <f t="shared" si="2"/>
        <v>1050</v>
      </c>
    </row>
    <row r="48" spans="1:5">
      <c r="A48" s="33" t="s">
        <v>326</v>
      </c>
      <c r="B48" s="36">
        <v>1</v>
      </c>
      <c r="C48" s="37">
        <f t="shared" si="0"/>
        <v>75</v>
      </c>
      <c r="D48" s="132">
        <f t="shared" si="1"/>
        <v>175</v>
      </c>
      <c r="E48" s="132">
        <f t="shared" si="2"/>
        <v>175</v>
      </c>
    </row>
    <row r="49" spans="1:5">
      <c r="A49" s="33" t="s">
        <v>326</v>
      </c>
      <c r="B49" s="36">
        <v>5</v>
      </c>
      <c r="C49" s="37">
        <f t="shared" si="0"/>
        <v>375</v>
      </c>
      <c r="D49" s="132">
        <f t="shared" si="1"/>
        <v>875</v>
      </c>
      <c r="E49" s="132">
        <f t="shared" si="2"/>
        <v>875</v>
      </c>
    </row>
    <row r="50" spans="1:5">
      <c r="A50" s="33" t="s">
        <v>326</v>
      </c>
      <c r="B50" s="36">
        <v>4</v>
      </c>
      <c r="C50" s="37">
        <f t="shared" si="0"/>
        <v>300</v>
      </c>
      <c r="D50" s="132">
        <f t="shared" si="1"/>
        <v>700</v>
      </c>
      <c r="E50" s="132">
        <f t="shared" si="2"/>
        <v>700</v>
      </c>
    </row>
    <row r="51" spans="1:5">
      <c r="A51" s="33" t="s">
        <v>326</v>
      </c>
      <c r="B51" s="36">
        <v>1</v>
      </c>
      <c r="C51" s="37">
        <f t="shared" si="0"/>
        <v>75</v>
      </c>
      <c r="D51" s="132">
        <f t="shared" si="1"/>
        <v>175</v>
      </c>
      <c r="E51" s="132">
        <f t="shared" si="2"/>
        <v>175</v>
      </c>
    </row>
    <row r="52" spans="1:5">
      <c r="A52" s="33" t="s">
        <v>326</v>
      </c>
      <c r="B52" s="36">
        <v>5</v>
      </c>
      <c r="C52" s="37">
        <f t="shared" si="0"/>
        <v>375</v>
      </c>
      <c r="D52" s="132">
        <f t="shared" si="1"/>
        <v>875</v>
      </c>
      <c r="E52" s="132">
        <f t="shared" si="2"/>
        <v>875</v>
      </c>
    </row>
    <row r="53" spans="1:5">
      <c r="A53" s="33" t="s">
        <v>326</v>
      </c>
      <c r="B53" s="36">
        <v>6</v>
      </c>
      <c r="C53" s="37">
        <f t="shared" si="0"/>
        <v>450</v>
      </c>
      <c r="D53" s="132">
        <f t="shared" si="1"/>
        <v>1050</v>
      </c>
      <c r="E53" s="132">
        <f t="shared" si="2"/>
        <v>1050</v>
      </c>
    </row>
    <row r="54" spans="1:5">
      <c r="A54" s="33" t="s">
        <v>326</v>
      </c>
      <c r="B54" s="36">
        <v>8</v>
      </c>
      <c r="C54" s="37">
        <f t="shared" si="0"/>
        <v>600</v>
      </c>
      <c r="D54" s="132">
        <f t="shared" si="1"/>
        <v>1400</v>
      </c>
      <c r="E54" s="132">
        <f t="shared" si="2"/>
        <v>1400</v>
      </c>
    </row>
    <row r="55" spans="1:5">
      <c r="A55" s="33" t="s">
        <v>326</v>
      </c>
      <c r="B55" s="36">
        <v>2</v>
      </c>
      <c r="C55" s="37">
        <f t="shared" si="0"/>
        <v>150</v>
      </c>
      <c r="D55" s="132">
        <f t="shared" si="1"/>
        <v>350</v>
      </c>
      <c r="E55" s="132">
        <f t="shared" si="2"/>
        <v>350</v>
      </c>
    </row>
    <row r="56" spans="1:5">
      <c r="A56" s="33" t="s">
        <v>326</v>
      </c>
      <c r="B56" s="36">
        <v>2</v>
      </c>
      <c r="C56" s="37">
        <f t="shared" si="0"/>
        <v>150</v>
      </c>
      <c r="D56" s="132">
        <f t="shared" si="1"/>
        <v>350</v>
      </c>
      <c r="E56" s="132">
        <f t="shared" si="2"/>
        <v>350</v>
      </c>
    </row>
    <row r="57" spans="1:5">
      <c r="A57" s="33" t="s">
        <v>326</v>
      </c>
      <c r="B57" s="36">
        <v>3</v>
      </c>
      <c r="C57" s="37">
        <f t="shared" si="0"/>
        <v>225</v>
      </c>
      <c r="D57" s="132">
        <f t="shared" si="1"/>
        <v>525</v>
      </c>
      <c r="E57" s="132">
        <f t="shared" si="2"/>
        <v>525</v>
      </c>
    </row>
    <row r="58" spans="1:5">
      <c r="A58" s="33" t="s">
        <v>326</v>
      </c>
      <c r="B58" s="36">
        <v>4</v>
      </c>
      <c r="C58" s="37">
        <f t="shared" si="0"/>
        <v>300</v>
      </c>
      <c r="D58" s="132">
        <f t="shared" si="1"/>
        <v>700</v>
      </c>
      <c r="E58" s="132">
        <f t="shared" si="2"/>
        <v>700</v>
      </c>
    </row>
    <row r="59" spans="1:5">
      <c r="A59" s="33" t="s">
        <v>326</v>
      </c>
      <c r="B59" s="36">
        <v>1</v>
      </c>
      <c r="C59" s="37">
        <f t="shared" si="0"/>
        <v>75</v>
      </c>
      <c r="D59" s="132">
        <f t="shared" si="1"/>
        <v>175</v>
      </c>
      <c r="E59" s="132">
        <f t="shared" si="2"/>
        <v>175</v>
      </c>
    </row>
    <row r="60" spans="1:5">
      <c r="A60" s="33" t="s">
        <v>326</v>
      </c>
      <c r="B60" s="36">
        <v>2</v>
      </c>
      <c r="C60" s="37">
        <f t="shared" si="0"/>
        <v>150</v>
      </c>
      <c r="D60" s="132">
        <f t="shared" si="1"/>
        <v>350</v>
      </c>
      <c r="E60" s="132">
        <f t="shared" si="2"/>
        <v>350</v>
      </c>
    </row>
    <row r="61" spans="1:5">
      <c r="A61" s="33" t="s">
        <v>326</v>
      </c>
      <c r="B61" s="36">
        <v>8</v>
      </c>
      <c r="C61" s="37">
        <f t="shared" si="0"/>
        <v>600</v>
      </c>
      <c r="D61" s="132">
        <f t="shared" si="1"/>
        <v>1400</v>
      </c>
      <c r="E61" s="132">
        <f t="shared" si="2"/>
        <v>1400</v>
      </c>
    </row>
    <row r="62" spans="1:5">
      <c r="A62" s="33" t="s">
        <v>326</v>
      </c>
      <c r="B62" s="36">
        <v>3</v>
      </c>
      <c r="C62" s="37">
        <f t="shared" si="0"/>
        <v>225</v>
      </c>
      <c r="D62" s="132">
        <f t="shared" si="1"/>
        <v>525</v>
      </c>
      <c r="E62" s="132">
        <f t="shared" si="2"/>
        <v>525</v>
      </c>
    </row>
    <row r="63" spans="1:5">
      <c r="A63" s="33" t="s">
        <v>326</v>
      </c>
      <c r="B63" s="36">
        <v>8</v>
      </c>
      <c r="C63" s="37">
        <f t="shared" si="0"/>
        <v>600</v>
      </c>
      <c r="D63" s="132">
        <f t="shared" si="1"/>
        <v>1400</v>
      </c>
      <c r="E63" s="132">
        <f t="shared" si="2"/>
        <v>1400</v>
      </c>
    </row>
    <row r="64" spans="1:5">
      <c r="A64" s="33" t="s">
        <v>326</v>
      </c>
      <c r="B64" s="36">
        <v>2</v>
      </c>
      <c r="C64" s="37">
        <f t="shared" si="0"/>
        <v>150</v>
      </c>
      <c r="D64" s="132">
        <f t="shared" si="1"/>
        <v>350</v>
      </c>
      <c r="E64" s="132">
        <f t="shared" si="2"/>
        <v>350</v>
      </c>
    </row>
    <row r="65" spans="1:5">
      <c r="A65" s="33" t="s">
        <v>326</v>
      </c>
      <c r="B65" s="36">
        <v>3</v>
      </c>
      <c r="C65" s="37">
        <f t="shared" si="0"/>
        <v>225</v>
      </c>
      <c r="D65" s="132">
        <f t="shared" si="1"/>
        <v>525</v>
      </c>
      <c r="E65" s="132">
        <f t="shared" si="2"/>
        <v>525</v>
      </c>
    </row>
    <row r="66" spans="1:5">
      <c r="A66" s="33" t="s">
        <v>326</v>
      </c>
      <c r="B66" s="36">
        <v>1</v>
      </c>
      <c r="C66" s="37">
        <f t="shared" si="0"/>
        <v>75</v>
      </c>
      <c r="D66" s="132">
        <f t="shared" si="1"/>
        <v>175</v>
      </c>
      <c r="E66" s="132">
        <f t="shared" si="2"/>
        <v>175</v>
      </c>
    </row>
    <row r="67" spans="1:5">
      <c r="A67" s="33" t="s">
        <v>326</v>
      </c>
      <c r="B67" s="36">
        <v>2</v>
      </c>
      <c r="C67" s="37">
        <f t="shared" si="0"/>
        <v>150</v>
      </c>
      <c r="D67" s="132">
        <f t="shared" si="1"/>
        <v>350</v>
      </c>
      <c r="E67" s="132">
        <f t="shared" si="2"/>
        <v>350</v>
      </c>
    </row>
    <row r="68" spans="1:5">
      <c r="A68" s="33" t="s">
        <v>326</v>
      </c>
      <c r="B68" s="36">
        <v>8</v>
      </c>
      <c r="C68" s="37">
        <f t="shared" si="0"/>
        <v>600</v>
      </c>
      <c r="D68" s="132">
        <f t="shared" si="1"/>
        <v>1400</v>
      </c>
      <c r="E68" s="132">
        <f t="shared" si="2"/>
        <v>1400</v>
      </c>
    </row>
    <row r="69" spans="1:5">
      <c r="A69" s="33" t="s">
        <v>326</v>
      </c>
      <c r="B69" s="36">
        <v>10</v>
      </c>
      <c r="C69" s="37">
        <f t="shared" si="0"/>
        <v>750</v>
      </c>
      <c r="D69" s="132">
        <f t="shared" si="1"/>
        <v>1750</v>
      </c>
      <c r="E69" s="132">
        <f t="shared" si="2"/>
        <v>1750</v>
      </c>
    </row>
    <row r="70" spans="1:5">
      <c r="A70" s="33" t="s">
        <v>326</v>
      </c>
      <c r="B70" s="36">
        <v>7</v>
      </c>
      <c r="C70" s="37">
        <f t="shared" si="0"/>
        <v>525</v>
      </c>
      <c r="D70" s="132">
        <f t="shared" si="1"/>
        <v>1225</v>
      </c>
      <c r="E70" s="132">
        <f t="shared" si="2"/>
        <v>1225</v>
      </c>
    </row>
    <row r="71" spans="1:5">
      <c r="A71" s="33" t="s">
        <v>326</v>
      </c>
      <c r="B71" s="36">
        <v>2</v>
      </c>
      <c r="C71" s="37">
        <f t="shared" ref="C71:C134" si="3">B71*75</f>
        <v>150</v>
      </c>
      <c r="D71" s="132">
        <f t="shared" ref="D71:D134" si="4">B71*250-C71</f>
        <v>350</v>
      </c>
      <c r="E71" s="132">
        <f t="shared" ref="E71:E134" si="5">B71*250-C71</f>
        <v>350</v>
      </c>
    </row>
    <row r="72" spans="1:5">
      <c r="A72" s="33" t="s">
        <v>326</v>
      </c>
      <c r="B72" s="36">
        <v>2</v>
      </c>
      <c r="C72" s="37">
        <f t="shared" si="3"/>
        <v>150</v>
      </c>
      <c r="D72" s="132">
        <f t="shared" si="4"/>
        <v>350</v>
      </c>
      <c r="E72" s="132">
        <f t="shared" si="5"/>
        <v>350</v>
      </c>
    </row>
    <row r="73" spans="1:5">
      <c r="A73" s="33" t="s">
        <v>326</v>
      </c>
      <c r="B73" s="36">
        <v>8</v>
      </c>
      <c r="C73" s="37">
        <f t="shared" si="3"/>
        <v>600</v>
      </c>
      <c r="D73" s="132">
        <f t="shared" si="4"/>
        <v>1400</v>
      </c>
      <c r="E73" s="132">
        <f t="shared" si="5"/>
        <v>1400</v>
      </c>
    </row>
    <row r="74" spans="1:5">
      <c r="A74" s="33" t="s">
        <v>326</v>
      </c>
      <c r="B74" s="36">
        <v>4</v>
      </c>
      <c r="C74" s="37">
        <f t="shared" si="3"/>
        <v>300</v>
      </c>
      <c r="D74" s="132">
        <f t="shared" si="4"/>
        <v>700</v>
      </c>
      <c r="E74" s="132">
        <f t="shared" si="5"/>
        <v>700</v>
      </c>
    </row>
    <row r="75" spans="1:5">
      <c r="A75" s="33" t="s">
        <v>326</v>
      </c>
      <c r="B75" s="36">
        <v>9</v>
      </c>
      <c r="C75" s="37">
        <f t="shared" si="3"/>
        <v>675</v>
      </c>
      <c r="D75" s="132">
        <f t="shared" si="4"/>
        <v>1575</v>
      </c>
      <c r="E75" s="132">
        <f t="shared" si="5"/>
        <v>1575</v>
      </c>
    </row>
    <row r="76" spans="1:5">
      <c r="A76" s="33" t="s">
        <v>326</v>
      </c>
      <c r="B76" s="36">
        <v>6</v>
      </c>
      <c r="C76" s="37">
        <f t="shared" si="3"/>
        <v>450</v>
      </c>
      <c r="D76" s="132">
        <f t="shared" si="4"/>
        <v>1050</v>
      </c>
      <c r="E76" s="132">
        <f t="shared" si="5"/>
        <v>1050</v>
      </c>
    </row>
    <row r="77" spans="1:5">
      <c r="A77" s="33" t="s">
        <v>326</v>
      </c>
      <c r="B77" s="36">
        <v>2</v>
      </c>
      <c r="C77" s="37">
        <f t="shared" si="3"/>
        <v>150</v>
      </c>
      <c r="D77" s="132">
        <f t="shared" si="4"/>
        <v>350</v>
      </c>
      <c r="E77" s="132">
        <f t="shared" si="5"/>
        <v>350</v>
      </c>
    </row>
    <row r="78" spans="1:5">
      <c r="A78" s="33" t="s">
        <v>326</v>
      </c>
      <c r="B78" s="36">
        <v>5</v>
      </c>
      <c r="C78" s="37">
        <f t="shared" si="3"/>
        <v>375</v>
      </c>
      <c r="D78" s="132">
        <f t="shared" si="4"/>
        <v>875</v>
      </c>
      <c r="E78" s="132">
        <f t="shared" si="5"/>
        <v>875</v>
      </c>
    </row>
    <row r="79" spans="1:5">
      <c r="A79" s="33" t="s">
        <v>326</v>
      </c>
      <c r="B79" s="36">
        <v>1</v>
      </c>
      <c r="C79" s="37">
        <f t="shared" si="3"/>
        <v>75</v>
      </c>
      <c r="D79" s="132">
        <f t="shared" si="4"/>
        <v>175</v>
      </c>
      <c r="E79" s="132">
        <f t="shared" si="5"/>
        <v>175</v>
      </c>
    </row>
    <row r="80" spans="1:5">
      <c r="A80" s="33" t="s">
        <v>326</v>
      </c>
      <c r="B80" s="36">
        <v>7</v>
      </c>
      <c r="C80" s="37">
        <f t="shared" si="3"/>
        <v>525</v>
      </c>
      <c r="D80" s="132">
        <f t="shared" si="4"/>
        <v>1225</v>
      </c>
      <c r="E80" s="132">
        <f t="shared" si="5"/>
        <v>1225</v>
      </c>
    </row>
    <row r="81" spans="1:5">
      <c r="A81" s="33" t="s">
        <v>326</v>
      </c>
      <c r="B81" s="36">
        <v>2</v>
      </c>
      <c r="C81" s="37">
        <f t="shared" si="3"/>
        <v>150</v>
      </c>
      <c r="D81" s="132">
        <f t="shared" si="4"/>
        <v>350</v>
      </c>
      <c r="E81" s="132">
        <f t="shared" si="5"/>
        <v>350</v>
      </c>
    </row>
    <row r="82" spans="1:5">
      <c r="A82" s="33" t="s">
        <v>326</v>
      </c>
      <c r="B82" s="36">
        <v>9</v>
      </c>
      <c r="C82" s="37">
        <f t="shared" si="3"/>
        <v>675</v>
      </c>
      <c r="D82" s="132">
        <f t="shared" si="4"/>
        <v>1575</v>
      </c>
      <c r="E82" s="132">
        <f t="shared" si="5"/>
        <v>1575</v>
      </c>
    </row>
    <row r="83" spans="1:5">
      <c r="A83" s="33" t="s">
        <v>326</v>
      </c>
      <c r="B83" s="36">
        <v>5</v>
      </c>
      <c r="C83" s="37">
        <f t="shared" si="3"/>
        <v>375</v>
      </c>
      <c r="D83" s="132">
        <f t="shared" si="4"/>
        <v>875</v>
      </c>
      <c r="E83" s="132">
        <f t="shared" si="5"/>
        <v>875</v>
      </c>
    </row>
    <row r="84" spans="1:5">
      <c r="A84" s="33" t="s">
        <v>326</v>
      </c>
      <c r="B84" s="36">
        <v>3</v>
      </c>
      <c r="C84" s="37">
        <f t="shared" si="3"/>
        <v>225</v>
      </c>
      <c r="D84" s="132">
        <f t="shared" si="4"/>
        <v>525</v>
      </c>
      <c r="E84" s="132">
        <f t="shared" si="5"/>
        <v>525</v>
      </c>
    </row>
    <row r="85" spans="1:5">
      <c r="A85" s="33" t="s">
        <v>326</v>
      </c>
      <c r="B85" s="36">
        <v>6</v>
      </c>
      <c r="C85" s="37">
        <f t="shared" si="3"/>
        <v>450</v>
      </c>
      <c r="D85" s="132">
        <f t="shared" si="4"/>
        <v>1050</v>
      </c>
      <c r="E85" s="132">
        <f t="shared" si="5"/>
        <v>1050</v>
      </c>
    </row>
    <row r="86" spans="1:5">
      <c r="A86" s="33" t="s">
        <v>326</v>
      </c>
      <c r="B86" s="36">
        <v>1</v>
      </c>
      <c r="C86" s="37">
        <f t="shared" si="3"/>
        <v>75</v>
      </c>
      <c r="D86" s="132">
        <f t="shared" si="4"/>
        <v>175</v>
      </c>
      <c r="E86" s="132">
        <f t="shared" si="5"/>
        <v>175</v>
      </c>
    </row>
    <row r="87" spans="1:5">
      <c r="A87" s="33" t="s">
        <v>326</v>
      </c>
      <c r="B87" s="36">
        <v>3</v>
      </c>
      <c r="C87" s="37">
        <f t="shared" si="3"/>
        <v>225</v>
      </c>
      <c r="D87" s="132">
        <f t="shared" si="4"/>
        <v>525</v>
      </c>
      <c r="E87" s="132">
        <f t="shared" si="5"/>
        <v>525</v>
      </c>
    </row>
    <row r="88" spans="1:5">
      <c r="A88" s="33" t="s">
        <v>326</v>
      </c>
      <c r="B88" s="36">
        <v>4</v>
      </c>
      <c r="C88" s="37">
        <f t="shared" si="3"/>
        <v>300</v>
      </c>
      <c r="D88" s="132">
        <f t="shared" si="4"/>
        <v>700</v>
      </c>
      <c r="E88" s="132">
        <f t="shared" si="5"/>
        <v>700</v>
      </c>
    </row>
    <row r="89" spans="1:5">
      <c r="A89" s="33" t="s">
        <v>326</v>
      </c>
      <c r="B89" s="36">
        <v>1</v>
      </c>
      <c r="C89" s="37">
        <f t="shared" si="3"/>
        <v>75</v>
      </c>
      <c r="D89" s="132">
        <f t="shared" si="4"/>
        <v>175</v>
      </c>
      <c r="E89" s="132">
        <f t="shared" si="5"/>
        <v>175</v>
      </c>
    </row>
    <row r="90" spans="1:5">
      <c r="A90" s="33" t="s">
        <v>326</v>
      </c>
      <c r="B90" s="36">
        <v>2</v>
      </c>
      <c r="C90" s="37">
        <f t="shared" si="3"/>
        <v>150</v>
      </c>
      <c r="D90" s="132">
        <f t="shared" si="4"/>
        <v>350</v>
      </c>
      <c r="E90" s="132">
        <f t="shared" si="5"/>
        <v>350</v>
      </c>
    </row>
    <row r="91" spans="1:5">
      <c r="A91" s="33" t="s">
        <v>326</v>
      </c>
      <c r="B91" s="36">
        <v>5</v>
      </c>
      <c r="C91" s="37">
        <f t="shared" si="3"/>
        <v>375</v>
      </c>
      <c r="D91" s="132">
        <f t="shared" si="4"/>
        <v>875</v>
      </c>
      <c r="E91" s="132">
        <f t="shared" si="5"/>
        <v>875</v>
      </c>
    </row>
    <row r="92" spans="1:5">
      <c r="A92" s="33" t="s">
        <v>326</v>
      </c>
      <c r="B92" s="36">
        <v>4</v>
      </c>
      <c r="C92" s="37">
        <f t="shared" si="3"/>
        <v>300</v>
      </c>
      <c r="D92" s="132">
        <f t="shared" si="4"/>
        <v>700</v>
      </c>
      <c r="E92" s="132">
        <f t="shared" si="5"/>
        <v>700</v>
      </c>
    </row>
    <row r="93" spans="1:5">
      <c r="A93" s="33" t="s">
        <v>326</v>
      </c>
      <c r="B93" s="36">
        <v>7</v>
      </c>
      <c r="C93" s="37">
        <f t="shared" si="3"/>
        <v>525</v>
      </c>
      <c r="D93" s="132">
        <f t="shared" si="4"/>
        <v>1225</v>
      </c>
      <c r="E93" s="132">
        <f t="shared" si="5"/>
        <v>1225</v>
      </c>
    </row>
    <row r="94" spans="1:5">
      <c r="A94" s="33" t="s">
        <v>326</v>
      </c>
      <c r="B94" s="36">
        <v>1</v>
      </c>
      <c r="C94" s="37">
        <f t="shared" si="3"/>
        <v>75</v>
      </c>
      <c r="D94" s="132">
        <f t="shared" si="4"/>
        <v>175</v>
      </c>
      <c r="E94" s="132">
        <f t="shared" si="5"/>
        <v>175</v>
      </c>
    </row>
    <row r="95" spans="1:5">
      <c r="A95" s="33" t="s">
        <v>326</v>
      </c>
      <c r="B95" s="36">
        <v>4</v>
      </c>
      <c r="C95" s="37">
        <f t="shared" si="3"/>
        <v>300</v>
      </c>
      <c r="D95" s="132">
        <f t="shared" si="4"/>
        <v>700</v>
      </c>
      <c r="E95" s="132">
        <f t="shared" si="5"/>
        <v>700</v>
      </c>
    </row>
    <row r="96" spans="1:5">
      <c r="A96" s="33" t="s">
        <v>326</v>
      </c>
      <c r="B96" s="36">
        <v>2</v>
      </c>
      <c r="C96" s="37">
        <f t="shared" si="3"/>
        <v>150</v>
      </c>
      <c r="D96" s="132">
        <f t="shared" si="4"/>
        <v>350</v>
      </c>
      <c r="E96" s="132">
        <f t="shared" si="5"/>
        <v>350</v>
      </c>
    </row>
    <row r="97" spans="1:5">
      <c r="A97" s="33" t="s">
        <v>326</v>
      </c>
      <c r="B97" s="36">
        <v>6</v>
      </c>
      <c r="C97" s="37">
        <f t="shared" si="3"/>
        <v>450</v>
      </c>
      <c r="D97" s="132">
        <f t="shared" si="4"/>
        <v>1050</v>
      </c>
      <c r="E97" s="132">
        <f t="shared" si="5"/>
        <v>1050</v>
      </c>
    </row>
    <row r="98" spans="1:5">
      <c r="A98" s="33" t="s">
        <v>326</v>
      </c>
      <c r="B98" s="36">
        <v>8</v>
      </c>
      <c r="C98" s="37">
        <f t="shared" si="3"/>
        <v>600</v>
      </c>
      <c r="D98" s="132">
        <f t="shared" si="4"/>
        <v>1400</v>
      </c>
      <c r="E98" s="132">
        <f t="shared" si="5"/>
        <v>1400</v>
      </c>
    </row>
    <row r="99" spans="1:5">
      <c r="A99" s="33" t="s">
        <v>326</v>
      </c>
      <c r="B99" s="36">
        <v>1</v>
      </c>
      <c r="C99" s="37">
        <f t="shared" si="3"/>
        <v>75</v>
      </c>
      <c r="D99" s="132">
        <f t="shared" si="4"/>
        <v>175</v>
      </c>
      <c r="E99" s="132">
        <f t="shared" si="5"/>
        <v>175</v>
      </c>
    </row>
    <row r="100" spans="1:5">
      <c r="A100" s="33" t="s">
        <v>326</v>
      </c>
      <c r="B100" s="36">
        <v>2</v>
      </c>
      <c r="C100" s="37">
        <f t="shared" si="3"/>
        <v>150</v>
      </c>
      <c r="D100" s="132">
        <f t="shared" si="4"/>
        <v>350</v>
      </c>
      <c r="E100" s="132">
        <f t="shared" si="5"/>
        <v>350</v>
      </c>
    </row>
    <row r="101" spans="1:5">
      <c r="A101" s="33" t="s">
        <v>326</v>
      </c>
      <c r="B101" s="36">
        <v>1</v>
      </c>
      <c r="C101" s="37">
        <f t="shared" si="3"/>
        <v>75</v>
      </c>
      <c r="D101" s="132">
        <f t="shared" si="4"/>
        <v>175</v>
      </c>
      <c r="E101" s="132">
        <f t="shared" si="5"/>
        <v>175</v>
      </c>
    </row>
    <row r="102" spans="1:5">
      <c r="A102" s="33" t="s">
        <v>326</v>
      </c>
      <c r="B102" s="36">
        <v>1</v>
      </c>
      <c r="C102" s="37">
        <f t="shared" si="3"/>
        <v>75</v>
      </c>
      <c r="D102" s="132">
        <f t="shared" si="4"/>
        <v>175</v>
      </c>
      <c r="E102" s="132">
        <f t="shared" si="5"/>
        <v>175</v>
      </c>
    </row>
    <row r="103" spans="1:5">
      <c r="A103" s="33" t="s">
        <v>326</v>
      </c>
      <c r="B103" s="36">
        <v>5</v>
      </c>
      <c r="C103" s="37">
        <f t="shared" si="3"/>
        <v>375</v>
      </c>
      <c r="D103" s="132">
        <f t="shared" si="4"/>
        <v>875</v>
      </c>
      <c r="E103" s="132">
        <f t="shared" si="5"/>
        <v>875</v>
      </c>
    </row>
    <row r="104" spans="1:5">
      <c r="A104" s="33" t="s">
        <v>326</v>
      </c>
      <c r="B104" s="36">
        <v>7</v>
      </c>
      <c r="C104" s="37">
        <f t="shared" si="3"/>
        <v>525</v>
      </c>
      <c r="D104" s="132">
        <f t="shared" si="4"/>
        <v>1225</v>
      </c>
      <c r="E104" s="132">
        <f t="shared" si="5"/>
        <v>1225</v>
      </c>
    </row>
    <row r="105" spans="1:5">
      <c r="A105" s="33" t="s">
        <v>326</v>
      </c>
      <c r="B105" s="36">
        <v>3</v>
      </c>
      <c r="C105" s="37">
        <f t="shared" si="3"/>
        <v>225</v>
      </c>
      <c r="D105" s="132">
        <f t="shared" si="4"/>
        <v>525</v>
      </c>
      <c r="E105" s="132">
        <f t="shared" si="5"/>
        <v>525</v>
      </c>
    </row>
    <row r="106" spans="1:5">
      <c r="A106" s="33" t="s">
        <v>326</v>
      </c>
      <c r="B106" s="36">
        <v>2</v>
      </c>
      <c r="C106" s="37">
        <f t="shared" si="3"/>
        <v>150</v>
      </c>
      <c r="D106" s="132">
        <f t="shared" si="4"/>
        <v>350</v>
      </c>
      <c r="E106" s="132">
        <f t="shared" si="5"/>
        <v>350</v>
      </c>
    </row>
    <row r="107" spans="1:5">
      <c r="A107" s="33" t="s">
        <v>326</v>
      </c>
      <c r="B107" s="36">
        <v>4</v>
      </c>
      <c r="C107" s="37">
        <f t="shared" si="3"/>
        <v>300</v>
      </c>
      <c r="D107" s="132">
        <f t="shared" si="4"/>
        <v>700</v>
      </c>
      <c r="E107" s="132">
        <f t="shared" si="5"/>
        <v>700</v>
      </c>
    </row>
    <row r="108" spans="1:5">
      <c r="A108" s="33" t="s">
        <v>326</v>
      </c>
      <c r="B108" s="36">
        <v>8</v>
      </c>
      <c r="C108" s="37">
        <f t="shared" si="3"/>
        <v>600</v>
      </c>
      <c r="D108" s="132">
        <f t="shared" si="4"/>
        <v>1400</v>
      </c>
      <c r="E108" s="132">
        <f t="shared" si="5"/>
        <v>1400</v>
      </c>
    </row>
    <row r="109" spans="1:5">
      <c r="A109" s="33" t="s">
        <v>326</v>
      </c>
      <c r="B109" s="36">
        <v>7</v>
      </c>
      <c r="C109" s="37">
        <f t="shared" si="3"/>
        <v>525</v>
      </c>
      <c r="D109" s="132">
        <f t="shared" si="4"/>
        <v>1225</v>
      </c>
      <c r="E109" s="132">
        <f t="shared" si="5"/>
        <v>1225</v>
      </c>
    </row>
    <row r="110" spans="1:5">
      <c r="A110" s="33" t="s">
        <v>326</v>
      </c>
      <c r="B110" s="36">
        <v>2</v>
      </c>
      <c r="C110" s="37">
        <f t="shared" si="3"/>
        <v>150</v>
      </c>
      <c r="D110" s="132">
        <f t="shared" si="4"/>
        <v>350</v>
      </c>
      <c r="E110" s="132">
        <f t="shared" si="5"/>
        <v>350</v>
      </c>
    </row>
    <row r="111" spans="1:5">
      <c r="A111" s="33" t="s">
        <v>326</v>
      </c>
      <c r="B111" s="36">
        <v>2</v>
      </c>
      <c r="C111" s="37">
        <f t="shared" si="3"/>
        <v>150</v>
      </c>
      <c r="D111" s="132">
        <f t="shared" si="4"/>
        <v>350</v>
      </c>
      <c r="E111" s="132">
        <f t="shared" si="5"/>
        <v>350</v>
      </c>
    </row>
    <row r="112" spans="1:5">
      <c r="A112" s="33" t="s">
        <v>326</v>
      </c>
      <c r="B112" s="36">
        <v>1</v>
      </c>
      <c r="C112" s="37">
        <f t="shared" si="3"/>
        <v>75</v>
      </c>
      <c r="D112" s="132">
        <f t="shared" si="4"/>
        <v>175</v>
      </c>
      <c r="E112" s="132">
        <f t="shared" si="5"/>
        <v>175</v>
      </c>
    </row>
    <row r="113" spans="1:5">
      <c r="A113" s="33" t="s">
        <v>326</v>
      </c>
      <c r="B113" s="36">
        <v>2</v>
      </c>
      <c r="C113" s="37">
        <f t="shared" si="3"/>
        <v>150</v>
      </c>
      <c r="D113" s="132">
        <f t="shared" si="4"/>
        <v>350</v>
      </c>
      <c r="E113" s="132">
        <f t="shared" si="5"/>
        <v>350</v>
      </c>
    </row>
    <row r="114" spans="1:5">
      <c r="A114" s="33" t="s">
        <v>326</v>
      </c>
      <c r="B114" s="36">
        <v>4</v>
      </c>
      <c r="C114" s="37">
        <f t="shared" si="3"/>
        <v>300</v>
      </c>
      <c r="D114" s="132">
        <f t="shared" si="4"/>
        <v>700</v>
      </c>
      <c r="E114" s="132">
        <f t="shared" si="5"/>
        <v>700</v>
      </c>
    </row>
    <row r="115" spans="1:5">
      <c r="A115" s="33" t="s">
        <v>326</v>
      </c>
      <c r="B115" s="36">
        <v>7</v>
      </c>
      <c r="C115" s="37">
        <f t="shared" si="3"/>
        <v>525</v>
      </c>
      <c r="D115" s="132">
        <f t="shared" si="4"/>
        <v>1225</v>
      </c>
      <c r="E115" s="132">
        <f t="shared" si="5"/>
        <v>1225</v>
      </c>
    </row>
    <row r="116" spans="1:5">
      <c r="A116" s="33" t="s">
        <v>326</v>
      </c>
      <c r="B116" s="36">
        <v>3</v>
      </c>
      <c r="C116" s="37">
        <f t="shared" si="3"/>
        <v>225</v>
      </c>
      <c r="D116" s="132">
        <f t="shared" si="4"/>
        <v>525</v>
      </c>
      <c r="E116" s="132">
        <f t="shared" si="5"/>
        <v>525</v>
      </c>
    </row>
    <row r="117" spans="1:5">
      <c r="A117" s="33" t="s">
        <v>326</v>
      </c>
      <c r="B117" s="36">
        <v>3</v>
      </c>
      <c r="C117" s="37">
        <f t="shared" si="3"/>
        <v>225</v>
      </c>
      <c r="D117" s="132">
        <f t="shared" si="4"/>
        <v>525</v>
      </c>
      <c r="E117" s="132">
        <f t="shared" si="5"/>
        <v>525</v>
      </c>
    </row>
    <row r="118" spans="1:5">
      <c r="A118" s="33" t="s">
        <v>326</v>
      </c>
      <c r="B118" s="36">
        <v>4</v>
      </c>
      <c r="C118" s="37">
        <f t="shared" si="3"/>
        <v>300</v>
      </c>
      <c r="D118" s="132">
        <f t="shared" si="4"/>
        <v>700</v>
      </c>
      <c r="E118" s="132">
        <f t="shared" si="5"/>
        <v>700</v>
      </c>
    </row>
    <row r="119" spans="1:5">
      <c r="A119" s="33" t="s">
        <v>326</v>
      </c>
      <c r="B119" s="36">
        <v>2</v>
      </c>
      <c r="C119" s="37">
        <f t="shared" si="3"/>
        <v>150</v>
      </c>
      <c r="D119" s="132">
        <f t="shared" si="4"/>
        <v>350</v>
      </c>
      <c r="E119" s="132">
        <f t="shared" si="5"/>
        <v>350</v>
      </c>
    </row>
    <row r="120" spans="1:5">
      <c r="A120" s="33" t="s">
        <v>326</v>
      </c>
      <c r="B120" s="36">
        <v>1</v>
      </c>
      <c r="C120" s="37">
        <f t="shared" si="3"/>
        <v>75</v>
      </c>
      <c r="D120" s="132">
        <f t="shared" si="4"/>
        <v>175</v>
      </c>
      <c r="E120" s="132">
        <f t="shared" si="5"/>
        <v>175</v>
      </c>
    </row>
    <row r="121" spans="1:5">
      <c r="A121" s="33" t="s">
        <v>326</v>
      </c>
      <c r="B121" s="36">
        <v>4</v>
      </c>
      <c r="C121" s="37">
        <f t="shared" si="3"/>
        <v>300</v>
      </c>
      <c r="D121" s="132">
        <f t="shared" si="4"/>
        <v>700</v>
      </c>
      <c r="E121" s="132">
        <f t="shared" si="5"/>
        <v>700</v>
      </c>
    </row>
    <row r="122" spans="1:5">
      <c r="A122" s="33" t="s">
        <v>326</v>
      </c>
      <c r="B122" s="36">
        <v>3</v>
      </c>
      <c r="C122" s="37">
        <f t="shared" si="3"/>
        <v>225</v>
      </c>
      <c r="D122" s="132">
        <f t="shared" si="4"/>
        <v>525</v>
      </c>
      <c r="E122" s="132">
        <f t="shared" si="5"/>
        <v>525</v>
      </c>
    </row>
    <row r="123" spans="1:5">
      <c r="A123" s="33" t="s">
        <v>326</v>
      </c>
      <c r="B123" s="36">
        <v>1</v>
      </c>
      <c r="C123" s="37">
        <f t="shared" si="3"/>
        <v>75</v>
      </c>
      <c r="D123" s="132">
        <f t="shared" si="4"/>
        <v>175</v>
      </c>
      <c r="E123" s="132">
        <f t="shared" si="5"/>
        <v>175</v>
      </c>
    </row>
    <row r="124" spans="1:5">
      <c r="A124" s="33" t="s">
        <v>326</v>
      </c>
      <c r="B124" s="36">
        <v>1</v>
      </c>
      <c r="C124" s="37">
        <f t="shared" si="3"/>
        <v>75</v>
      </c>
      <c r="D124" s="132">
        <f t="shared" si="4"/>
        <v>175</v>
      </c>
      <c r="E124" s="132">
        <f t="shared" si="5"/>
        <v>175</v>
      </c>
    </row>
    <row r="125" spans="1:5">
      <c r="A125" s="33" t="s">
        <v>326</v>
      </c>
      <c r="B125" s="36">
        <v>5</v>
      </c>
      <c r="C125" s="37">
        <f t="shared" si="3"/>
        <v>375</v>
      </c>
      <c r="D125" s="132">
        <f t="shared" si="4"/>
        <v>875</v>
      </c>
      <c r="E125" s="132">
        <f t="shared" si="5"/>
        <v>875</v>
      </c>
    </row>
    <row r="126" spans="1:5">
      <c r="A126" s="33" t="s">
        <v>326</v>
      </c>
      <c r="B126" s="36">
        <v>5</v>
      </c>
      <c r="C126" s="37">
        <f t="shared" si="3"/>
        <v>375</v>
      </c>
      <c r="D126" s="132">
        <f t="shared" si="4"/>
        <v>875</v>
      </c>
      <c r="E126" s="132">
        <f t="shared" si="5"/>
        <v>875</v>
      </c>
    </row>
    <row r="127" spans="1:5">
      <c r="A127" s="33" t="s">
        <v>326</v>
      </c>
      <c r="B127" s="36">
        <v>3</v>
      </c>
      <c r="C127" s="37">
        <f t="shared" si="3"/>
        <v>225</v>
      </c>
      <c r="D127" s="132">
        <f t="shared" si="4"/>
        <v>525</v>
      </c>
      <c r="E127" s="132">
        <f t="shared" si="5"/>
        <v>525</v>
      </c>
    </row>
    <row r="128" spans="1:5">
      <c r="A128" s="33" t="s">
        <v>326</v>
      </c>
      <c r="B128" s="36">
        <v>3</v>
      </c>
      <c r="C128" s="37">
        <f t="shared" si="3"/>
        <v>225</v>
      </c>
      <c r="D128" s="132">
        <f t="shared" si="4"/>
        <v>525</v>
      </c>
      <c r="E128" s="132">
        <f t="shared" si="5"/>
        <v>525</v>
      </c>
    </row>
    <row r="129" spans="1:5">
      <c r="A129" s="33" t="s">
        <v>326</v>
      </c>
      <c r="B129" s="36">
        <v>1</v>
      </c>
      <c r="C129" s="37">
        <f t="shared" si="3"/>
        <v>75</v>
      </c>
      <c r="D129" s="132">
        <f t="shared" si="4"/>
        <v>175</v>
      </c>
      <c r="E129" s="132">
        <f t="shared" si="5"/>
        <v>175</v>
      </c>
    </row>
    <row r="130" spans="1:5">
      <c r="A130" s="33" t="s">
        <v>326</v>
      </c>
      <c r="B130" s="36">
        <v>2</v>
      </c>
      <c r="C130" s="37">
        <f t="shared" si="3"/>
        <v>150</v>
      </c>
      <c r="D130" s="132">
        <f t="shared" si="4"/>
        <v>350</v>
      </c>
      <c r="E130" s="132">
        <f t="shared" si="5"/>
        <v>350</v>
      </c>
    </row>
    <row r="131" spans="1:5">
      <c r="A131" s="33" t="s">
        <v>326</v>
      </c>
      <c r="B131" s="36">
        <v>1</v>
      </c>
      <c r="C131" s="37">
        <f t="shared" si="3"/>
        <v>75</v>
      </c>
      <c r="D131" s="132">
        <f t="shared" si="4"/>
        <v>175</v>
      </c>
      <c r="E131" s="132">
        <f t="shared" si="5"/>
        <v>175</v>
      </c>
    </row>
    <row r="132" spans="1:5">
      <c r="A132" s="33" t="s">
        <v>326</v>
      </c>
      <c r="B132" s="36">
        <v>3</v>
      </c>
      <c r="C132" s="37">
        <f t="shared" si="3"/>
        <v>225</v>
      </c>
      <c r="D132" s="132">
        <f t="shared" si="4"/>
        <v>525</v>
      </c>
      <c r="E132" s="132">
        <f t="shared" si="5"/>
        <v>525</v>
      </c>
    </row>
    <row r="133" spans="1:5">
      <c r="A133" s="33" t="s">
        <v>326</v>
      </c>
      <c r="B133" s="36">
        <v>1</v>
      </c>
      <c r="C133" s="37">
        <f t="shared" si="3"/>
        <v>75</v>
      </c>
      <c r="D133" s="132">
        <f t="shared" si="4"/>
        <v>175</v>
      </c>
      <c r="E133" s="132">
        <f t="shared" si="5"/>
        <v>175</v>
      </c>
    </row>
    <row r="134" spans="1:5">
      <c r="A134" s="33" t="s">
        <v>326</v>
      </c>
      <c r="B134" s="36">
        <v>4</v>
      </c>
      <c r="C134" s="37">
        <f t="shared" si="3"/>
        <v>300</v>
      </c>
      <c r="D134" s="132">
        <f t="shared" si="4"/>
        <v>700</v>
      </c>
      <c r="E134" s="132">
        <f t="shared" si="5"/>
        <v>700</v>
      </c>
    </row>
    <row r="135" spans="1:5">
      <c r="A135" s="33" t="s">
        <v>326</v>
      </c>
      <c r="B135" s="36">
        <v>4</v>
      </c>
      <c r="C135" s="37">
        <f t="shared" ref="C135:C198" si="6">B135*75</f>
        <v>300</v>
      </c>
      <c r="D135" s="132">
        <f t="shared" ref="D135:D198" si="7">B135*250-C135</f>
        <v>700</v>
      </c>
      <c r="E135" s="132">
        <f t="shared" ref="E135:E198" si="8">B135*250-C135</f>
        <v>700</v>
      </c>
    </row>
    <row r="136" spans="1:5">
      <c r="A136" s="33" t="s">
        <v>326</v>
      </c>
      <c r="B136" s="36">
        <v>4</v>
      </c>
      <c r="C136" s="37">
        <f t="shared" si="6"/>
        <v>300</v>
      </c>
      <c r="D136" s="132">
        <f t="shared" si="7"/>
        <v>700</v>
      </c>
      <c r="E136" s="132">
        <f t="shared" si="8"/>
        <v>700</v>
      </c>
    </row>
    <row r="137" spans="1:5">
      <c r="A137" s="33" t="s">
        <v>326</v>
      </c>
      <c r="B137" s="36">
        <v>8</v>
      </c>
      <c r="C137" s="37">
        <f t="shared" si="6"/>
        <v>600</v>
      </c>
      <c r="D137" s="132">
        <f t="shared" si="7"/>
        <v>1400</v>
      </c>
      <c r="E137" s="132">
        <f t="shared" si="8"/>
        <v>1400</v>
      </c>
    </row>
    <row r="138" spans="1:5">
      <c r="A138" s="33" t="s">
        <v>326</v>
      </c>
      <c r="B138" s="36">
        <v>1</v>
      </c>
      <c r="C138" s="37">
        <f t="shared" si="6"/>
        <v>75</v>
      </c>
      <c r="D138" s="132">
        <f t="shared" si="7"/>
        <v>175</v>
      </c>
      <c r="E138" s="132">
        <f t="shared" si="8"/>
        <v>175</v>
      </c>
    </row>
    <row r="139" spans="1:5">
      <c r="A139" s="33" t="s">
        <v>326</v>
      </c>
      <c r="B139" s="36">
        <v>3</v>
      </c>
      <c r="C139" s="37">
        <f t="shared" si="6"/>
        <v>225</v>
      </c>
      <c r="D139" s="132">
        <f t="shared" si="7"/>
        <v>525</v>
      </c>
      <c r="E139" s="132">
        <f t="shared" si="8"/>
        <v>525</v>
      </c>
    </row>
    <row r="140" spans="1:5">
      <c r="A140" s="33" t="s">
        <v>326</v>
      </c>
      <c r="B140" s="36">
        <v>5</v>
      </c>
      <c r="C140" s="37">
        <f t="shared" si="6"/>
        <v>375</v>
      </c>
      <c r="D140" s="132">
        <f t="shared" si="7"/>
        <v>875</v>
      </c>
      <c r="E140" s="132">
        <f t="shared" si="8"/>
        <v>875</v>
      </c>
    </row>
    <row r="141" spans="1:5">
      <c r="A141" s="33" t="s">
        <v>326</v>
      </c>
      <c r="B141" s="36">
        <v>2</v>
      </c>
      <c r="C141" s="37">
        <f t="shared" si="6"/>
        <v>150</v>
      </c>
      <c r="D141" s="132">
        <f t="shared" si="7"/>
        <v>350</v>
      </c>
      <c r="E141" s="132">
        <f t="shared" si="8"/>
        <v>350</v>
      </c>
    </row>
    <row r="142" spans="1:5">
      <c r="A142" s="33" t="s">
        <v>326</v>
      </c>
      <c r="B142" s="36">
        <v>2</v>
      </c>
      <c r="C142" s="37">
        <f t="shared" si="6"/>
        <v>150</v>
      </c>
      <c r="D142" s="132">
        <f t="shared" si="7"/>
        <v>350</v>
      </c>
      <c r="E142" s="132">
        <f t="shared" si="8"/>
        <v>350</v>
      </c>
    </row>
    <row r="143" spans="1:5">
      <c r="A143" s="33" t="s">
        <v>326</v>
      </c>
      <c r="B143" s="36">
        <v>5</v>
      </c>
      <c r="C143" s="37">
        <f t="shared" si="6"/>
        <v>375</v>
      </c>
      <c r="D143" s="132">
        <f t="shared" si="7"/>
        <v>875</v>
      </c>
      <c r="E143" s="132">
        <f t="shared" si="8"/>
        <v>875</v>
      </c>
    </row>
    <row r="144" spans="1:5">
      <c r="A144" s="33" t="s">
        <v>326</v>
      </c>
      <c r="B144" s="36">
        <v>1</v>
      </c>
      <c r="C144" s="37">
        <f t="shared" si="6"/>
        <v>75</v>
      </c>
      <c r="D144" s="132">
        <f t="shared" si="7"/>
        <v>175</v>
      </c>
      <c r="E144" s="132">
        <f t="shared" si="8"/>
        <v>175</v>
      </c>
    </row>
    <row r="145" spans="1:5">
      <c r="A145" s="33" t="s">
        <v>326</v>
      </c>
      <c r="B145" s="36">
        <v>2</v>
      </c>
      <c r="C145" s="37">
        <f t="shared" si="6"/>
        <v>150</v>
      </c>
      <c r="D145" s="132">
        <f t="shared" si="7"/>
        <v>350</v>
      </c>
      <c r="E145" s="132">
        <f t="shared" si="8"/>
        <v>350</v>
      </c>
    </row>
    <row r="146" spans="1:5">
      <c r="A146" s="33" t="s">
        <v>326</v>
      </c>
      <c r="B146" s="36">
        <v>3</v>
      </c>
      <c r="C146" s="37">
        <f t="shared" si="6"/>
        <v>225</v>
      </c>
      <c r="D146" s="132">
        <f t="shared" si="7"/>
        <v>525</v>
      </c>
      <c r="E146" s="132">
        <f t="shared" si="8"/>
        <v>525</v>
      </c>
    </row>
    <row r="147" spans="1:5">
      <c r="A147" s="33" t="s">
        <v>326</v>
      </c>
      <c r="B147" s="36">
        <v>2</v>
      </c>
      <c r="C147" s="37">
        <f t="shared" si="6"/>
        <v>150</v>
      </c>
      <c r="D147" s="132">
        <f t="shared" si="7"/>
        <v>350</v>
      </c>
      <c r="E147" s="132">
        <f t="shared" si="8"/>
        <v>350</v>
      </c>
    </row>
    <row r="148" spans="1:5">
      <c r="A148" s="33" t="s">
        <v>326</v>
      </c>
      <c r="B148" s="36">
        <v>1</v>
      </c>
      <c r="C148" s="37">
        <f t="shared" si="6"/>
        <v>75</v>
      </c>
      <c r="D148" s="132">
        <f t="shared" si="7"/>
        <v>175</v>
      </c>
      <c r="E148" s="132">
        <f t="shared" si="8"/>
        <v>175</v>
      </c>
    </row>
    <row r="149" spans="1:5">
      <c r="A149" s="33" t="s">
        <v>326</v>
      </c>
      <c r="B149" s="36">
        <v>8</v>
      </c>
      <c r="C149" s="37">
        <f t="shared" si="6"/>
        <v>600</v>
      </c>
      <c r="D149" s="132">
        <f t="shared" si="7"/>
        <v>1400</v>
      </c>
      <c r="E149" s="132">
        <f t="shared" si="8"/>
        <v>1400</v>
      </c>
    </row>
    <row r="150" spans="1:5">
      <c r="A150" s="33" t="s">
        <v>326</v>
      </c>
      <c r="B150" s="36">
        <v>4</v>
      </c>
      <c r="C150" s="37">
        <f t="shared" si="6"/>
        <v>300</v>
      </c>
      <c r="D150" s="132">
        <f t="shared" si="7"/>
        <v>700</v>
      </c>
      <c r="E150" s="132">
        <f t="shared" si="8"/>
        <v>700</v>
      </c>
    </row>
    <row r="151" spans="1:5">
      <c r="A151" s="33" t="s">
        <v>326</v>
      </c>
      <c r="B151" s="36">
        <v>1</v>
      </c>
      <c r="C151" s="37">
        <f t="shared" si="6"/>
        <v>75</v>
      </c>
      <c r="D151" s="132">
        <f t="shared" si="7"/>
        <v>175</v>
      </c>
      <c r="E151" s="132">
        <f t="shared" si="8"/>
        <v>175</v>
      </c>
    </row>
    <row r="152" spans="1:5">
      <c r="A152" s="33" t="s">
        <v>326</v>
      </c>
      <c r="B152" s="36">
        <v>2</v>
      </c>
      <c r="C152" s="37">
        <f t="shared" si="6"/>
        <v>150</v>
      </c>
      <c r="D152" s="132">
        <f t="shared" si="7"/>
        <v>350</v>
      </c>
      <c r="E152" s="132">
        <f t="shared" si="8"/>
        <v>350</v>
      </c>
    </row>
    <row r="153" spans="1:5">
      <c r="A153" s="33" t="s">
        <v>326</v>
      </c>
      <c r="B153" s="36">
        <v>5</v>
      </c>
      <c r="C153" s="37">
        <f t="shared" si="6"/>
        <v>375</v>
      </c>
      <c r="D153" s="132">
        <f t="shared" si="7"/>
        <v>875</v>
      </c>
      <c r="E153" s="132">
        <f t="shared" si="8"/>
        <v>875</v>
      </c>
    </row>
    <row r="154" spans="1:5">
      <c r="A154" s="33" t="s">
        <v>326</v>
      </c>
      <c r="B154" s="36">
        <v>4</v>
      </c>
      <c r="C154" s="37">
        <f t="shared" si="6"/>
        <v>300</v>
      </c>
      <c r="D154" s="132">
        <f t="shared" si="7"/>
        <v>700</v>
      </c>
      <c r="E154" s="132">
        <f t="shared" si="8"/>
        <v>700</v>
      </c>
    </row>
    <row r="155" spans="1:5">
      <c r="A155" s="33" t="s">
        <v>326</v>
      </c>
      <c r="B155" s="36">
        <v>4</v>
      </c>
      <c r="C155" s="37">
        <f t="shared" si="6"/>
        <v>300</v>
      </c>
      <c r="D155" s="132">
        <f t="shared" si="7"/>
        <v>700</v>
      </c>
      <c r="E155" s="132">
        <f t="shared" si="8"/>
        <v>700</v>
      </c>
    </row>
    <row r="156" spans="1:5">
      <c r="A156" s="33" t="s">
        <v>326</v>
      </c>
      <c r="B156" s="36">
        <v>5</v>
      </c>
      <c r="C156" s="37">
        <f t="shared" si="6"/>
        <v>375</v>
      </c>
      <c r="D156" s="132">
        <f t="shared" si="7"/>
        <v>875</v>
      </c>
      <c r="E156" s="132">
        <f t="shared" si="8"/>
        <v>875</v>
      </c>
    </row>
    <row r="157" spans="1:5">
      <c r="A157" s="33" t="s">
        <v>326</v>
      </c>
      <c r="B157" s="36">
        <v>3</v>
      </c>
      <c r="C157" s="37">
        <f t="shared" si="6"/>
        <v>225</v>
      </c>
      <c r="D157" s="132">
        <f t="shared" si="7"/>
        <v>525</v>
      </c>
      <c r="E157" s="132">
        <f t="shared" si="8"/>
        <v>525</v>
      </c>
    </row>
    <row r="158" spans="1:5">
      <c r="A158" s="33" t="s">
        <v>326</v>
      </c>
      <c r="B158" s="36">
        <v>2</v>
      </c>
      <c r="C158" s="37">
        <f t="shared" si="6"/>
        <v>150</v>
      </c>
      <c r="D158" s="132">
        <f t="shared" si="7"/>
        <v>350</v>
      </c>
      <c r="E158" s="132">
        <f t="shared" si="8"/>
        <v>350</v>
      </c>
    </row>
    <row r="159" spans="1:5">
      <c r="A159" s="33" t="s">
        <v>326</v>
      </c>
      <c r="B159" s="36">
        <v>4</v>
      </c>
      <c r="C159" s="37">
        <f t="shared" si="6"/>
        <v>300</v>
      </c>
      <c r="D159" s="132">
        <f t="shared" si="7"/>
        <v>700</v>
      </c>
      <c r="E159" s="132">
        <f t="shared" si="8"/>
        <v>700</v>
      </c>
    </row>
    <row r="160" spans="1:5">
      <c r="A160" s="33" t="s">
        <v>326</v>
      </c>
      <c r="B160" s="36">
        <v>2</v>
      </c>
      <c r="C160" s="37">
        <f t="shared" si="6"/>
        <v>150</v>
      </c>
      <c r="D160" s="132">
        <f t="shared" si="7"/>
        <v>350</v>
      </c>
      <c r="E160" s="132">
        <f t="shared" si="8"/>
        <v>350</v>
      </c>
    </row>
    <row r="161" spans="1:5">
      <c r="A161" s="33" t="s">
        <v>326</v>
      </c>
      <c r="B161" s="36">
        <v>4</v>
      </c>
      <c r="C161" s="37">
        <f t="shared" si="6"/>
        <v>300</v>
      </c>
      <c r="D161" s="132">
        <f t="shared" si="7"/>
        <v>700</v>
      </c>
      <c r="E161" s="132">
        <f t="shared" si="8"/>
        <v>700</v>
      </c>
    </row>
    <row r="162" spans="1:5">
      <c r="A162" s="33" t="s">
        <v>326</v>
      </c>
      <c r="B162" s="36">
        <v>2</v>
      </c>
      <c r="C162" s="37">
        <f t="shared" si="6"/>
        <v>150</v>
      </c>
      <c r="D162" s="132">
        <f t="shared" si="7"/>
        <v>350</v>
      </c>
      <c r="E162" s="132">
        <f t="shared" si="8"/>
        <v>350</v>
      </c>
    </row>
    <row r="163" spans="1:5">
      <c r="A163" s="33" t="s">
        <v>326</v>
      </c>
      <c r="B163" s="36">
        <v>4</v>
      </c>
      <c r="C163" s="37">
        <f t="shared" si="6"/>
        <v>300</v>
      </c>
      <c r="D163" s="132">
        <f t="shared" si="7"/>
        <v>700</v>
      </c>
      <c r="E163" s="132">
        <f t="shared" si="8"/>
        <v>700</v>
      </c>
    </row>
    <row r="164" spans="1:5">
      <c r="A164" s="33" t="s">
        <v>326</v>
      </c>
      <c r="B164" s="36">
        <v>3</v>
      </c>
      <c r="C164" s="37">
        <f t="shared" si="6"/>
        <v>225</v>
      </c>
      <c r="D164" s="132">
        <f t="shared" si="7"/>
        <v>525</v>
      </c>
      <c r="E164" s="132">
        <f t="shared" si="8"/>
        <v>525</v>
      </c>
    </row>
    <row r="165" spans="1:5">
      <c r="A165" s="33" t="s">
        <v>326</v>
      </c>
      <c r="B165" s="36">
        <v>5</v>
      </c>
      <c r="C165" s="37">
        <f t="shared" si="6"/>
        <v>375</v>
      </c>
      <c r="D165" s="132">
        <f t="shared" si="7"/>
        <v>875</v>
      </c>
      <c r="E165" s="132">
        <f t="shared" si="8"/>
        <v>875</v>
      </c>
    </row>
    <row r="166" spans="1:5">
      <c r="A166" s="33" t="s">
        <v>326</v>
      </c>
      <c r="B166" s="36">
        <v>1</v>
      </c>
      <c r="C166" s="37">
        <f t="shared" si="6"/>
        <v>75</v>
      </c>
      <c r="D166" s="132">
        <f t="shared" si="7"/>
        <v>175</v>
      </c>
      <c r="E166" s="132">
        <f t="shared" si="8"/>
        <v>175</v>
      </c>
    </row>
    <row r="167" spans="1:5">
      <c r="A167" s="33" t="s">
        <v>326</v>
      </c>
      <c r="B167" s="36">
        <v>1</v>
      </c>
      <c r="C167" s="37">
        <f t="shared" si="6"/>
        <v>75</v>
      </c>
      <c r="D167" s="132">
        <f t="shared" si="7"/>
        <v>175</v>
      </c>
      <c r="E167" s="132">
        <f t="shared" si="8"/>
        <v>175</v>
      </c>
    </row>
    <row r="168" spans="1:5">
      <c r="A168" s="33" t="s">
        <v>326</v>
      </c>
      <c r="B168" s="36">
        <v>3</v>
      </c>
      <c r="C168" s="37">
        <f t="shared" si="6"/>
        <v>225</v>
      </c>
      <c r="D168" s="132">
        <f t="shared" si="7"/>
        <v>525</v>
      </c>
      <c r="E168" s="132">
        <f t="shared" si="8"/>
        <v>525</v>
      </c>
    </row>
    <row r="169" spans="1:5">
      <c r="A169" s="33" t="s">
        <v>326</v>
      </c>
      <c r="B169" s="36">
        <v>1</v>
      </c>
      <c r="C169" s="37">
        <f t="shared" si="6"/>
        <v>75</v>
      </c>
      <c r="D169" s="132">
        <f t="shared" si="7"/>
        <v>175</v>
      </c>
      <c r="E169" s="132">
        <f t="shared" si="8"/>
        <v>175</v>
      </c>
    </row>
    <row r="170" spans="1:5">
      <c r="A170" s="33" t="s">
        <v>327</v>
      </c>
      <c r="B170" s="36">
        <v>5</v>
      </c>
      <c r="C170" s="37">
        <f t="shared" si="6"/>
        <v>375</v>
      </c>
      <c r="D170" s="132">
        <f t="shared" si="7"/>
        <v>875</v>
      </c>
      <c r="E170" s="132">
        <f t="shared" si="8"/>
        <v>875</v>
      </c>
    </row>
    <row r="171" spans="1:5">
      <c r="A171" s="33" t="s">
        <v>327</v>
      </c>
      <c r="B171" s="36">
        <v>10</v>
      </c>
      <c r="C171" s="37">
        <f t="shared" si="6"/>
        <v>750</v>
      </c>
      <c r="D171" s="132">
        <f t="shared" si="7"/>
        <v>1750</v>
      </c>
      <c r="E171" s="132">
        <f t="shared" si="8"/>
        <v>1750</v>
      </c>
    </row>
    <row r="172" spans="1:5">
      <c r="A172" s="33" t="s">
        <v>327</v>
      </c>
      <c r="B172" s="36">
        <v>4</v>
      </c>
      <c r="C172" s="37">
        <f t="shared" si="6"/>
        <v>300</v>
      </c>
      <c r="D172" s="132">
        <f t="shared" si="7"/>
        <v>700</v>
      </c>
      <c r="E172" s="132">
        <f t="shared" si="8"/>
        <v>700</v>
      </c>
    </row>
    <row r="173" spans="1:5">
      <c r="A173" s="33" t="s">
        <v>327</v>
      </c>
      <c r="B173" s="36">
        <v>5</v>
      </c>
      <c r="C173" s="37">
        <f t="shared" si="6"/>
        <v>375</v>
      </c>
      <c r="D173" s="132">
        <f t="shared" si="7"/>
        <v>875</v>
      </c>
      <c r="E173" s="132">
        <f t="shared" si="8"/>
        <v>875</v>
      </c>
    </row>
    <row r="174" spans="1:5">
      <c r="A174" s="33" t="s">
        <v>327</v>
      </c>
      <c r="B174" s="36">
        <v>4</v>
      </c>
      <c r="C174" s="37">
        <f t="shared" si="6"/>
        <v>300</v>
      </c>
      <c r="D174" s="132">
        <f t="shared" si="7"/>
        <v>700</v>
      </c>
      <c r="E174" s="132">
        <f t="shared" si="8"/>
        <v>700</v>
      </c>
    </row>
    <row r="175" spans="1:5">
      <c r="A175" s="33" t="s">
        <v>327</v>
      </c>
      <c r="B175" s="36">
        <v>3</v>
      </c>
      <c r="C175" s="37">
        <f t="shared" si="6"/>
        <v>225</v>
      </c>
      <c r="D175" s="132">
        <f t="shared" si="7"/>
        <v>525</v>
      </c>
      <c r="E175" s="132">
        <f t="shared" si="8"/>
        <v>525</v>
      </c>
    </row>
    <row r="176" spans="1:5">
      <c r="A176" s="33" t="s">
        <v>327</v>
      </c>
      <c r="B176" s="36">
        <v>6</v>
      </c>
      <c r="C176" s="37">
        <f t="shared" si="6"/>
        <v>450</v>
      </c>
      <c r="D176" s="132">
        <f t="shared" si="7"/>
        <v>1050</v>
      </c>
      <c r="E176" s="132">
        <f t="shared" si="8"/>
        <v>1050</v>
      </c>
    </row>
    <row r="177" spans="1:5">
      <c r="A177" s="33" t="s">
        <v>327</v>
      </c>
      <c r="B177" s="36">
        <v>1</v>
      </c>
      <c r="C177" s="37">
        <f t="shared" si="6"/>
        <v>75</v>
      </c>
      <c r="D177" s="132">
        <f t="shared" si="7"/>
        <v>175</v>
      </c>
      <c r="E177" s="132">
        <f t="shared" si="8"/>
        <v>175</v>
      </c>
    </row>
    <row r="178" spans="1:5">
      <c r="A178" s="33" t="s">
        <v>327</v>
      </c>
      <c r="B178" s="36">
        <v>3</v>
      </c>
      <c r="C178" s="37">
        <f t="shared" si="6"/>
        <v>225</v>
      </c>
      <c r="D178" s="132">
        <f t="shared" si="7"/>
        <v>525</v>
      </c>
      <c r="E178" s="132">
        <f t="shared" si="8"/>
        <v>525</v>
      </c>
    </row>
    <row r="179" spans="1:5">
      <c r="A179" s="33" t="s">
        <v>327</v>
      </c>
      <c r="B179" s="36">
        <v>1</v>
      </c>
      <c r="C179" s="37">
        <f t="shared" si="6"/>
        <v>75</v>
      </c>
      <c r="D179" s="132">
        <f t="shared" si="7"/>
        <v>175</v>
      </c>
      <c r="E179" s="132">
        <f t="shared" si="8"/>
        <v>175</v>
      </c>
    </row>
    <row r="180" spans="1:5">
      <c r="A180" s="33" t="s">
        <v>327</v>
      </c>
      <c r="B180" s="36">
        <v>5</v>
      </c>
      <c r="C180" s="37">
        <f t="shared" si="6"/>
        <v>375</v>
      </c>
      <c r="D180" s="132">
        <f t="shared" si="7"/>
        <v>875</v>
      </c>
      <c r="E180" s="132">
        <f t="shared" si="8"/>
        <v>875</v>
      </c>
    </row>
    <row r="181" spans="1:5">
      <c r="A181" s="33" t="s">
        <v>327</v>
      </c>
      <c r="B181" s="36">
        <v>3</v>
      </c>
      <c r="C181" s="37">
        <f t="shared" si="6"/>
        <v>225</v>
      </c>
      <c r="D181" s="132">
        <f t="shared" si="7"/>
        <v>525</v>
      </c>
      <c r="E181" s="132">
        <f t="shared" si="8"/>
        <v>525</v>
      </c>
    </row>
    <row r="182" spans="1:5">
      <c r="A182" s="33" t="s">
        <v>327</v>
      </c>
      <c r="B182" s="36">
        <v>3</v>
      </c>
      <c r="C182" s="37">
        <f t="shared" si="6"/>
        <v>225</v>
      </c>
      <c r="D182" s="132">
        <f t="shared" si="7"/>
        <v>525</v>
      </c>
      <c r="E182" s="132">
        <f t="shared" si="8"/>
        <v>525</v>
      </c>
    </row>
    <row r="183" spans="1:5">
      <c r="A183" s="33" t="s">
        <v>327</v>
      </c>
      <c r="B183" s="36">
        <v>1</v>
      </c>
      <c r="C183" s="37">
        <f t="shared" si="6"/>
        <v>75</v>
      </c>
      <c r="D183" s="132">
        <f t="shared" si="7"/>
        <v>175</v>
      </c>
      <c r="E183" s="132">
        <f t="shared" si="8"/>
        <v>175</v>
      </c>
    </row>
    <row r="184" spans="1:5">
      <c r="A184" s="33" t="s">
        <v>327</v>
      </c>
      <c r="B184" s="36">
        <v>1</v>
      </c>
      <c r="C184" s="37">
        <f t="shared" si="6"/>
        <v>75</v>
      </c>
      <c r="D184" s="132">
        <f t="shared" si="7"/>
        <v>175</v>
      </c>
      <c r="E184" s="132">
        <f t="shared" si="8"/>
        <v>175</v>
      </c>
    </row>
    <row r="185" spans="1:5">
      <c r="A185" s="33" t="s">
        <v>327</v>
      </c>
      <c r="B185" s="36">
        <v>3</v>
      </c>
      <c r="C185" s="37">
        <f t="shared" si="6"/>
        <v>225</v>
      </c>
      <c r="D185" s="132">
        <f t="shared" si="7"/>
        <v>525</v>
      </c>
      <c r="E185" s="132">
        <f t="shared" si="8"/>
        <v>525</v>
      </c>
    </row>
    <row r="186" spans="1:5">
      <c r="A186" s="33" t="s">
        <v>327</v>
      </c>
      <c r="B186" s="36">
        <v>6</v>
      </c>
      <c r="C186" s="37">
        <f t="shared" si="6"/>
        <v>450</v>
      </c>
      <c r="D186" s="132">
        <f t="shared" si="7"/>
        <v>1050</v>
      </c>
      <c r="E186" s="132">
        <f t="shared" si="8"/>
        <v>1050</v>
      </c>
    </row>
    <row r="187" spans="1:5">
      <c r="A187" s="33" t="s">
        <v>327</v>
      </c>
      <c r="B187" s="36">
        <v>4</v>
      </c>
      <c r="C187" s="37">
        <f t="shared" si="6"/>
        <v>300</v>
      </c>
      <c r="D187" s="132">
        <f t="shared" si="7"/>
        <v>700</v>
      </c>
      <c r="E187" s="132">
        <f t="shared" si="8"/>
        <v>700</v>
      </c>
    </row>
    <row r="188" spans="1:5">
      <c r="A188" s="33" t="s">
        <v>327</v>
      </c>
      <c r="B188" s="36">
        <v>4</v>
      </c>
      <c r="C188" s="37">
        <f t="shared" si="6"/>
        <v>300</v>
      </c>
      <c r="D188" s="132">
        <f t="shared" si="7"/>
        <v>700</v>
      </c>
      <c r="E188" s="132">
        <f t="shared" si="8"/>
        <v>700</v>
      </c>
    </row>
    <row r="189" spans="1:5">
      <c r="A189" s="33" t="s">
        <v>327</v>
      </c>
      <c r="B189" s="36">
        <v>4</v>
      </c>
      <c r="C189" s="37">
        <f t="shared" si="6"/>
        <v>300</v>
      </c>
      <c r="D189" s="132">
        <f t="shared" si="7"/>
        <v>700</v>
      </c>
      <c r="E189" s="132">
        <f t="shared" si="8"/>
        <v>700</v>
      </c>
    </row>
    <row r="190" spans="1:5">
      <c r="A190" s="33" t="s">
        <v>327</v>
      </c>
      <c r="B190" s="36">
        <v>3</v>
      </c>
      <c r="C190" s="37">
        <f t="shared" si="6"/>
        <v>225</v>
      </c>
      <c r="D190" s="132">
        <f t="shared" si="7"/>
        <v>525</v>
      </c>
      <c r="E190" s="132">
        <f t="shared" si="8"/>
        <v>525</v>
      </c>
    </row>
    <row r="191" spans="1:5">
      <c r="A191" s="33" t="s">
        <v>327</v>
      </c>
      <c r="B191" s="36">
        <v>2</v>
      </c>
      <c r="C191" s="37">
        <f t="shared" si="6"/>
        <v>150</v>
      </c>
      <c r="D191" s="132">
        <f t="shared" si="7"/>
        <v>350</v>
      </c>
      <c r="E191" s="132">
        <f t="shared" si="8"/>
        <v>350</v>
      </c>
    </row>
    <row r="192" spans="1:5">
      <c r="A192" s="33" t="s">
        <v>327</v>
      </c>
      <c r="B192" s="36">
        <v>4</v>
      </c>
      <c r="C192" s="37">
        <f t="shared" si="6"/>
        <v>300</v>
      </c>
      <c r="D192" s="132">
        <f t="shared" si="7"/>
        <v>700</v>
      </c>
      <c r="E192" s="132">
        <f t="shared" si="8"/>
        <v>700</v>
      </c>
    </row>
    <row r="193" spans="1:5">
      <c r="A193" s="33" t="s">
        <v>327</v>
      </c>
      <c r="B193" s="36">
        <v>2</v>
      </c>
      <c r="C193" s="37">
        <f t="shared" si="6"/>
        <v>150</v>
      </c>
      <c r="D193" s="132">
        <f t="shared" si="7"/>
        <v>350</v>
      </c>
      <c r="E193" s="132">
        <f t="shared" si="8"/>
        <v>350</v>
      </c>
    </row>
    <row r="194" spans="1:5">
      <c r="A194" s="33" t="s">
        <v>327</v>
      </c>
      <c r="B194" s="36">
        <v>2</v>
      </c>
      <c r="C194" s="37">
        <f t="shared" si="6"/>
        <v>150</v>
      </c>
      <c r="D194" s="132">
        <f t="shared" si="7"/>
        <v>350</v>
      </c>
      <c r="E194" s="132">
        <f t="shared" si="8"/>
        <v>350</v>
      </c>
    </row>
    <row r="195" spans="1:5">
      <c r="A195" s="33" t="s">
        <v>327</v>
      </c>
      <c r="B195" s="36">
        <v>10</v>
      </c>
      <c r="C195" s="37">
        <f t="shared" si="6"/>
        <v>750</v>
      </c>
      <c r="D195" s="132">
        <f t="shared" si="7"/>
        <v>1750</v>
      </c>
      <c r="E195" s="132">
        <f t="shared" si="8"/>
        <v>1750</v>
      </c>
    </row>
    <row r="196" spans="1:5">
      <c r="A196" s="33" t="s">
        <v>327</v>
      </c>
      <c r="B196" s="36">
        <v>2</v>
      </c>
      <c r="C196" s="37">
        <f t="shared" si="6"/>
        <v>150</v>
      </c>
      <c r="D196" s="132">
        <f t="shared" si="7"/>
        <v>350</v>
      </c>
      <c r="E196" s="132">
        <f t="shared" si="8"/>
        <v>350</v>
      </c>
    </row>
    <row r="197" spans="1:5">
      <c r="A197" s="33" t="s">
        <v>327</v>
      </c>
      <c r="B197" s="36">
        <v>1</v>
      </c>
      <c r="C197" s="37">
        <f t="shared" si="6"/>
        <v>75</v>
      </c>
      <c r="D197" s="132">
        <f t="shared" si="7"/>
        <v>175</v>
      </c>
      <c r="E197" s="132">
        <f t="shared" si="8"/>
        <v>175</v>
      </c>
    </row>
    <row r="198" spans="1:5">
      <c r="A198" s="33" t="s">
        <v>327</v>
      </c>
      <c r="B198" s="36">
        <v>2</v>
      </c>
      <c r="C198" s="37">
        <f t="shared" si="6"/>
        <v>150</v>
      </c>
      <c r="D198" s="132">
        <f t="shared" si="7"/>
        <v>350</v>
      </c>
      <c r="E198" s="132">
        <f t="shared" si="8"/>
        <v>350</v>
      </c>
    </row>
    <row r="199" spans="1:5">
      <c r="A199" s="33" t="s">
        <v>327</v>
      </c>
      <c r="B199" s="36">
        <v>7</v>
      </c>
      <c r="C199" s="37">
        <f t="shared" ref="C199:C262" si="9">B199*75</f>
        <v>525</v>
      </c>
      <c r="D199" s="132">
        <f t="shared" ref="D199:D262" si="10">B199*250-C199</f>
        <v>1225</v>
      </c>
      <c r="E199" s="132">
        <f t="shared" ref="E199:E262" si="11">B199*250-C199</f>
        <v>1225</v>
      </c>
    </row>
    <row r="200" spans="1:5">
      <c r="A200" s="33" t="s">
        <v>327</v>
      </c>
      <c r="B200" s="36">
        <v>1</v>
      </c>
      <c r="C200" s="37">
        <f t="shared" si="9"/>
        <v>75</v>
      </c>
      <c r="D200" s="132">
        <f t="shared" si="10"/>
        <v>175</v>
      </c>
      <c r="E200" s="132">
        <f t="shared" si="11"/>
        <v>175</v>
      </c>
    </row>
    <row r="201" spans="1:5">
      <c r="A201" s="33" t="s">
        <v>327</v>
      </c>
      <c r="B201" s="36">
        <v>1</v>
      </c>
      <c r="C201" s="37">
        <f t="shared" si="9"/>
        <v>75</v>
      </c>
      <c r="D201" s="132">
        <f t="shared" si="10"/>
        <v>175</v>
      </c>
      <c r="E201" s="132">
        <f t="shared" si="11"/>
        <v>175</v>
      </c>
    </row>
    <row r="202" spans="1:5">
      <c r="A202" s="33" t="s">
        <v>327</v>
      </c>
      <c r="B202" s="36">
        <v>2</v>
      </c>
      <c r="C202" s="37">
        <f t="shared" si="9"/>
        <v>150</v>
      </c>
      <c r="D202" s="132">
        <f t="shared" si="10"/>
        <v>350</v>
      </c>
      <c r="E202" s="132">
        <f t="shared" si="11"/>
        <v>350</v>
      </c>
    </row>
    <row r="203" spans="1:5">
      <c r="A203" s="33" t="s">
        <v>327</v>
      </c>
      <c r="B203" s="36">
        <v>2</v>
      </c>
      <c r="C203" s="37">
        <f t="shared" si="9"/>
        <v>150</v>
      </c>
      <c r="D203" s="132">
        <f t="shared" si="10"/>
        <v>350</v>
      </c>
      <c r="E203" s="132">
        <f t="shared" si="11"/>
        <v>350</v>
      </c>
    </row>
    <row r="204" spans="1:5">
      <c r="A204" s="33" t="s">
        <v>327</v>
      </c>
      <c r="B204" s="36">
        <v>6</v>
      </c>
      <c r="C204" s="37">
        <f t="shared" si="9"/>
        <v>450</v>
      </c>
      <c r="D204" s="132">
        <f t="shared" si="10"/>
        <v>1050</v>
      </c>
      <c r="E204" s="132">
        <f t="shared" si="11"/>
        <v>1050</v>
      </c>
    </row>
    <row r="205" spans="1:5">
      <c r="A205" s="33" t="s">
        <v>327</v>
      </c>
      <c r="B205" s="36">
        <v>4</v>
      </c>
      <c r="C205" s="37">
        <f t="shared" si="9"/>
        <v>300</v>
      </c>
      <c r="D205" s="132">
        <f t="shared" si="10"/>
        <v>700</v>
      </c>
      <c r="E205" s="132">
        <f t="shared" si="11"/>
        <v>700</v>
      </c>
    </row>
    <row r="206" spans="1:5">
      <c r="A206" s="33" t="s">
        <v>327</v>
      </c>
      <c r="B206" s="36">
        <v>7</v>
      </c>
      <c r="C206" s="37">
        <f t="shared" si="9"/>
        <v>525</v>
      </c>
      <c r="D206" s="132">
        <f t="shared" si="10"/>
        <v>1225</v>
      </c>
      <c r="E206" s="132">
        <f t="shared" si="11"/>
        <v>1225</v>
      </c>
    </row>
    <row r="207" spans="1:5">
      <c r="A207" s="33" t="s">
        <v>327</v>
      </c>
      <c r="B207" s="36">
        <v>2</v>
      </c>
      <c r="C207" s="37">
        <f t="shared" si="9"/>
        <v>150</v>
      </c>
      <c r="D207" s="132">
        <f t="shared" si="10"/>
        <v>350</v>
      </c>
      <c r="E207" s="132">
        <f t="shared" si="11"/>
        <v>350</v>
      </c>
    </row>
    <row r="208" spans="1:5">
      <c r="A208" s="33" t="s">
        <v>327</v>
      </c>
      <c r="B208" s="36">
        <v>5</v>
      </c>
      <c r="C208" s="37">
        <f t="shared" si="9"/>
        <v>375</v>
      </c>
      <c r="D208" s="132">
        <f t="shared" si="10"/>
        <v>875</v>
      </c>
      <c r="E208" s="132">
        <f t="shared" si="11"/>
        <v>875</v>
      </c>
    </row>
    <row r="209" spans="1:5">
      <c r="A209" s="33" t="s">
        <v>327</v>
      </c>
      <c r="B209" s="36">
        <v>2</v>
      </c>
      <c r="C209" s="37">
        <f t="shared" si="9"/>
        <v>150</v>
      </c>
      <c r="D209" s="132">
        <f t="shared" si="10"/>
        <v>350</v>
      </c>
      <c r="E209" s="132">
        <f t="shared" si="11"/>
        <v>350</v>
      </c>
    </row>
    <row r="210" spans="1:5">
      <c r="A210" s="33" t="s">
        <v>327</v>
      </c>
      <c r="B210" s="36">
        <v>1</v>
      </c>
      <c r="C210" s="37">
        <f t="shared" si="9"/>
        <v>75</v>
      </c>
      <c r="D210" s="132">
        <f t="shared" si="10"/>
        <v>175</v>
      </c>
      <c r="E210" s="132">
        <f t="shared" si="11"/>
        <v>175</v>
      </c>
    </row>
    <row r="211" spans="1:5">
      <c r="A211" s="33" t="s">
        <v>327</v>
      </c>
      <c r="B211" s="36">
        <v>1</v>
      </c>
      <c r="C211" s="37">
        <f t="shared" si="9"/>
        <v>75</v>
      </c>
      <c r="D211" s="132">
        <f t="shared" si="10"/>
        <v>175</v>
      </c>
      <c r="E211" s="132">
        <f t="shared" si="11"/>
        <v>175</v>
      </c>
    </row>
    <row r="212" spans="1:5">
      <c r="A212" s="33" t="s">
        <v>327</v>
      </c>
      <c r="B212" s="36">
        <v>5</v>
      </c>
      <c r="C212" s="37">
        <f t="shared" si="9"/>
        <v>375</v>
      </c>
      <c r="D212" s="132">
        <f t="shared" si="10"/>
        <v>875</v>
      </c>
      <c r="E212" s="132">
        <f t="shared" si="11"/>
        <v>875</v>
      </c>
    </row>
    <row r="213" spans="1:5">
      <c r="A213" s="33" t="s">
        <v>327</v>
      </c>
      <c r="B213" s="36">
        <v>2</v>
      </c>
      <c r="C213" s="37">
        <f t="shared" si="9"/>
        <v>150</v>
      </c>
      <c r="D213" s="132">
        <f t="shared" si="10"/>
        <v>350</v>
      </c>
      <c r="E213" s="132">
        <f t="shared" si="11"/>
        <v>350</v>
      </c>
    </row>
    <row r="214" spans="1:5">
      <c r="A214" s="33" t="s">
        <v>327</v>
      </c>
      <c r="B214" s="36">
        <v>2</v>
      </c>
      <c r="C214" s="37">
        <f t="shared" si="9"/>
        <v>150</v>
      </c>
      <c r="D214" s="132">
        <f t="shared" si="10"/>
        <v>350</v>
      </c>
      <c r="E214" s="132">
        <f t="shared" si="11"/>
        <v>350</v>
      </c>
    </row>
    <row r="215" spans="1:5">
      <c r="A215" s="33" t="s">
        <v>327</v>
      </c>
      <c r="B215" s="36">
        <v>4</v>
      </c>
      <c r="C215" s="37">
        <f t="shared" si="9"/>
        <v>300</v>
      </c>
      <c r="D215" s="132">
        <f t="shared" si="10"/>
        <v>700</v>
      </c>
      <c r="E215" s="132">
        <f t="shared" si="11"/>
        <v>700</v>
      </c>
    </row>
    <row r="216" spans="1:5">
      <c r="A216" s="33" t="s">
        <v>327</v>
      </c>
      <c r="B216" s="36">
        <v>6</v>
      </c>
      <c r="C216" s="37">
        <f t="shared" si="9"/>
        <v>450</v>
      </c>
      <c r="D216" s="132">
        <f t="shared" si="10"/>
        <v>1050</v>
      </c>
      <c r="E216" s="132">
        <f t="shared" si="11"/>
        <v>1050</v>
      </c>
    </row>
    <row r="217" spans="1:5">
      <c r="A217" s="33" t="s">
        <v>327</v>
      </c>
      <c r="B217" s="36">
        <v>4</v>
      </c>
      <c r="C217" s="37">
        <f t="shared" si="9"/>
        <v>300</v>
      </c>
      <c r="D217" s="132">
        <f t="shared" si="10"/>
        <v>700</v>
      </c>
      <c r="E217" s="132">
        <f t="shared" si="11"/>
        <v>700</v>
      </c>
    </row>
    <row r="218" spans="1:5">
      <c r="A218" s="33" t="s">
        <v>327</v>
      </c>
      <c r="B218" s="36">
        <v>4</v>
      </c>
      <c r="C218" s="37">
        <f t="shared" si="9"/>
        <v>300</v>
      </c>
      <c r="D218" s="132">
        <f t="shared" si="10"/>
        <v>700</v>
      </c>
      <c r="E218" s="132">
        <f t="shared" si="11"/>
        <v>700</v>
      </c>
    </row>
    <row r="219" spans="1:5">
      <c r="A219" s="33" t="s">
        <v>327</v>
      </c>
      <c r="B219" s="36">
        <v>3</v>
      </c>
      <c r="C219" s="37">
        <f t="shared" si="9"/>
        <v>225</v>
      </c>
      <c r="D219" s="132">
        <f t="shared" si="10"/>
        <v>525</v>
      </c>
      <c r="E219" s="132">
        <f t="shared" si="11"/>
        <v>525</v>
      </c>
    </row>
    <row r="220" spans="1:5">
      <c r="A220" s="33" t="s">
        <v>327</v>
      </c>
      <c r="B220" s="36">
        <v>6</v>
      </c>
      <c r="C220" s="37">
        <f t="shared" si="9"/>
        <v>450</v>
      </c>
      <c r="D220" s="132">
        <f t="shared" si="10"/>
        <v>1050</v>
      </c>
      <c r="E220" s="132">
        <f t="shared" si="11"/>
        <v>1050</v>
      </c>
    </row>
    <row r="221" spans="1:5">
      <c r="A221" s="33" t="s">
        <v>327</v>
      </c>
      <c r="B221" s="36">
        <v>2</v>
      </c>
      <c r="C221" s="37">
        <f t="shared" si="9"/>
        <v>150</v>
      </c>
      <c r="D221" s="132">
        <f t="shared" si="10"/>
        <v>350</v>
      </c>
      <c r="E221" s="132">
        <f t="shared" si="11"/>
        <v>350</v>
      </c>
    </row>
    <row r="222" spans="1:5">
      <c r="A222" s="33" t="s">
        <v>327</v>
      </c>
      <c r="B222" s="36">
        <v>7</v>
      </c>
      <c r="C222" s="37">
        <f t="shared" si="9"/>
        <v>525</v>
      </c>
      <c r="D222" s="132">
        <f t="shared" si="10"/>
        <v>1225</v>
      </c>
      <c r="E222" s="132">
        <f t="shared" si="11"/>
        <v>1225</v>
      </c>
    </row>
    <row r="223" spans="1:5">
      <c r="A223" s="33" t="s">
        <v>327</v>
      </c>
      <c r="B223" s="36">
        <v>6</v>
      </c>
      <c r="C223" s="37">
        <f t="shared" si="9"/>
        <v>450</v>
      </c>
      <c r="D223" s="132">
        <f t="shared" si="10"/>
        <v>1050</v>
      </c>
      <c r="E223" s="132">
        <f t="shared" si="11"/>
        <v>1050</v>
      </c>
    </row>
    <row r="224" spans="1:5">
      <c r="A224" s="33" t="s">
        <v>327</v>
      </c>
      <c r="B224" s="36">
        <v>2</v>
      </c>
      <c r="C224" s="37">
        <f t="shared" si="9"/>
        <v>150</v>
      </c>
      <c r="D224" s="132">
        <f t="shared" si="10"/>
        <v>350</v>
      </c>
      <c r="E224" s="132">
        <f t="shared" si="11"/>
        <v>350</v>
      </c>
    </row>
    <row r="225" spans="1:5">
      <c r="A225" s="33" t="s">
        <v>327</v>
      </c>
      <c r="B225" s="36">
        <v>2</v>
      </c>
      <c r="C225" s="37">
        <f t="shared" si="9"/>
        <v>150</v>
      </c>
      <c r="D225" s="132">
        <f t="shared" si="10"/>
        <v>350</v>
      </c>
      <c r="E225" s="132">
        <f t="shared" si="11"/>
        <v>350</v>
      </c>
    </row>
    <row r="226" spans="1:5">
      <c r="A226" s="33" t="s">
        <v>327</v>
      </c>
      <c r="B226" s="36">
        <v>5</v>
      </c>
      <c r="C226" s="37">
        <f t="shared" si="9"/>
        <v>375</v>
      </c>
      <c r="D226" s="132">
        <f t="shared" si="10"/>
        <v>875</v>
      </c>
      <c r="E226" s="132">
        <f t="shared" si="11"/>
        <v>875</v>
      </c>
    </row>
    <row r="227" spans="1:5">
      <c r="A227" s="33" t="s">
        <v>327</v>
      </c>
      <c r="B227" s="36">
        <v>3</v>
      </c>
      <c r="C227" s="37">
        <f t="shared" si="9"/>
        <v>225</v>
      </c>
      <c r="D227" s="132">
        <f t="shared" si="10"/>
        <v>525</v>
      </c>
      <c r="E227" s="132">
        <f t="shared" si="11"/>
        <v>525</v>
      </c>
    </row>
    <row r="228" spans="1:5">
      <c r="A228" s="33" t="s">
        <v>327</v>
      </c>
      <c r="B228" s="36">
        <v>1</v>
      </c>
      <c r="C228" s="37">
        <f t="shared" si="9"/>
        <v>75</v>
      </c>
      <c r="D228" s="132">
        <f t="shared" si="10"/>
        <v>175</v>
      </c>
      <c r="E228" s="132">
        <f t="shared" si="11"/>
        <v>175</v>
      </c>
    </row>
    <row r="229" spans="1:5">
      <c r="A229" s="33" t="s">
        <v>327</v>
      </c>
      <c r="B229" s="36">
        <v>2</v>
      </c>
      <c r="C229" s="37">
        <f t="shared" si="9"/>
        <v>150</v>
      </c>
      <c r="D229" s="132">
        <f t="shared" si="10"/>
        <v>350</v>
      </c>
      <c r="E229" s="132">
        <f t="shared" si="11"/>
        <v>350</v>
      </c>
    </row>
    <row r="230" spans="1:5">
      <c r="A230" s="33" t="s">
        <v>327</v>
      </c>
      <c r="B230" s="36">
        <v>3</v>
      </c>
      <c r="C230" s="37">
        <f t="shared" si="9"/>
        <v>225</v>
      </c>
      <c r="D230" s="132">
        <f t="shared" si="10"/>
        <v>525</v>
      </c>
      <c r="E230" s="132">
        <f t="shared" si="11"/>
        <v>525</v>
      </c>
    </row>
    <row r="231" spans="1:5">
      <c r="A231" s="33" t="s">
        <v>327</v>
      </c>
      <c r="B231" s="36">
        <v>3</v>
      </c>
      <c r="C231" s="37">
        <f t="shared" si="9"/>
        <v>225</v>
      </c>
      <c r="D231" s="132">
        <f t="shared" si="10"/>
        <v>525</v>
      </c>
      <c r="E231" s="132">
        <f t="shared" si="11"/>
        <v>525</v>
      </c>
    </row>
    <row r="232" spans="1:5">
      <c r="A232" s="33" t="s">
        <v>327</v>
      </c>
      <c r="B232" s="36">
        <v>6</v>
      </c>
      <c r="C232" s="37">
        <f t="shared" si="9"/>
        <v>450</v>
      </c>
      <c r="D232" s="132">
        <f t="shared" si="10"/>
        <v>1050</v>
      </c>
      <c r="E232" s="132">
        <f t="shared" si="11"/>
        <v>1050</v>
      </c>
    </row>
    <row r="233" spans="1:5">
      <c r="A233" s="33" t="s">
        <v>327</v>
      </c>
      <c r="B233" s="36">
        <v>13</v>
      </c>
      <c r="C233" s="37">
        <f t="shared" si="9"/>
        <v>975</v>
      </c>
      <c r="D233" s="132">
        <f t="shared" si="10"/>
        <v>2275</v>
      </c>
      <c r="E233" s="132">
        <f t="shared" si="11"/>
        <v>2275</v>
      </c>
    </row>
    <row r="234" spans="1:5">
      <c r="A234" s="33" t="s">
        <v>327</v>
      </c>
      <c r="B234" s="36">
        <v>3</v>
      </c>
      <c r="C234" s="37">
        <f t="shared" si="9"/>
        <v>225</v>
      </c>
      <c r="D234" s="132">
        <f t="shared" si="10"/>
        <v>525</v>
      </c>
      <c r="E234" s="132">
        <f t="shared" si="11"/>
        <v>525</v>
      </c>
    </row>
    <row r="235" spans="1:5">
      <c r="A235" s="33" t="s">
        <v>327</v>
      </c>
      <c r="B235" s="36">
        <v>7</v>
      </c>
      <c r="C235" s="37">
        <f t="shared" si="9"/>
        <v>525</v>
      </c>
      <c r="D235" s="132">
        <f t="shared" si="10"/>
        <v>1225</v>
      </c>
      <c r="E235" s="132">
        <f t="shared" si="11"/>
        <v>1225</v>
      </c>
    </row>
    <row r="236" spans="1:5">
      <c r="A236" s="33" t="s">
        <v>327</v>
      </c>
      <c r="B236" s="36">
        <v>3</v>
      </c>
      <c r="C236" s="37">
        <f t="shared" si="9"/>
        <v>225</v>
      </c>
      <c r="D236" s="132">
        <f t="shared" si="10"/>
        <v>525</v>
      </c>
      <c r="E236" s="132">
        <f t="shared" si="11"/>
        <v>525</v>
      </c>
    </row>
    <row r="237" spans="1:5">
      <c r="A237" s="33" t="s">
        <v>327</v>
      </c>
      <c r="B237" s="36">
        <v>5</v>
      </c>
      <c r="C237" s="37">
        <f t="shared" si="9"/>
        <v>375</v>
      </c>
      <c r="D237" s="132">
        <f t="shared" si="10"/>
        <v>875</v>
      </c>
      <c r="E237" s="132">
        <f t="shared" si="11"/>
        <v>875</v>
      </c>
    </row>
    <row r="238" spans="1:5">
      <c r="A238" s="33" t="s">
        <v>327</v>
      </c>
      <c r="B238" s="36">
        <v>2</v>
      </c>
      <c r="C238" s="37">
        <f t="shared" si="9"/>
        <v>150</v>
      </c>
      <c r="D238" s="132">
        <f t="shared" si="10"/>
        <v>350</v>
      </c>
      <c r="E238" s="132">
        <f t="shared" si="11"/>
        <v>350</v>
      </c>
    </row>
    <row r="239" spans="1:5">
      <c r="A239" s="33" t="s">
        <v>327</v>
      </c>
      <c r="B239" s="36">
        <v>3</v>
      </c>
      <c r="C239" s="37">
        <f t="shared" si="9"/>
        <v>225</v>
      </c>
      <c r="D239" s="132">
        <f t="shared" si="10"/>
        <v>525</v>
      </c>
      <c r="E239" s="132">
        <f t="shared" si="11"/>
        <v>525</v>
      </c>
    </row>
    <row r="240" spans="1:5">
      <c r="A240" s="33" t="s">
        <v>327</v>
      </c>
      <c r="B240" s="36">
        <v>5</v>
      </c>
      <c r="C240" s="37">
        <f t="shared" si="9"/>
        <v>375</v>
      </c>
      <c r="D240" s="132">
        <f t="shared" si="10"/>
        <v>875</v>
      </c>
      <c r="E240" s="132">
        <f t="shared" si="11"/>
        <v>875</v>
      </c>
    </row>
    <row r="241" spans="1:5">
      <c r="A241" s="33" t="s">
        <v>327</v>
      </c>
      <c r="B241" s="36">
        <v>4</v>
      </c>
      <c r="C241" s="37">
        <f t="shared" si="9"/>
        <v>300</v>
      </c>
      <c r="D241" s="132">
        <f t="shared" si="10"/>
        <v>700</v>
      </c>
      <c r="E241" s="132">
        <f t="shared" si="11"/>
        <v>700</v>
      </c>
    </row>
    <row r="242" spans="1:5">
      <c r="A242" s="33" t="s">
        <v>327</v>
      </c>
      <c r="B242" s="36">
        <v>2</v>
      </c>
      <c r="C242" s="37">
        <f t="shared" si="9"/>
        <v>150</v>
      </c>
      <c r="D242" s="132">
        <f t="shared" si="10"/>
        <v>350</v>
      </c>
      <c r="E242" s="132">
        <f t="shared" si="11"/>
        <v>350</v>
      </c>
    </row>
    <row r="243" spans="1:5">
      <c r="A243" s="33" t="s">
        <v>327</v>
      </c>
      <c r="B243" s="36">
        <v>1</v>
      </c>
      <c r="C243" s="37">
        <f t="shared" si="9"/>
        <v>75</v>
      </c>
      <c r="D243" s="132">
        <f t="shared" si="10"/>
        <v>175</v>
      </c>
      <c r="E243" s="132">
        <f t="shared" si="11"/>
        <v>175</v>
      </c>
    </row>
    <row r="244" spans="1:5">
      <c r="A244" s="33" t="s">
        <v>327</v>
      </c>
      <c r="B244" s="36">
        <v>1</v>
      </c>
      <c r="C244" s="37">
        <f t="shared" si="9"/>
        <v>75</v>
      </c>
      <c r="D244" s="132">
        <f t="shared" si="10"/>
        <v>175</v>
      </c>
      <c r="E244" s="132">
        <f t="shared" si="11"/>
        <v>175</v>
      </c>
    </row>
    <row r="245" spans="1:5">
      <c r="A245" s="33" t="s">
        <v>327</v>
      </c>
      <c r="B245" s="36">
        <v>1</v>
      </c>
      <c r="C245" s="37">
        <f t="shared" si="9"/>
        <v>75</v>
      </c>
      <c r="D245" s="132">
        <f t="shared" si="10"/>
        <v>175</v>
      </c>
      <c r="E245" s="132">
        <f t="shared" si="11"/>
        <v>175</v>
      </c>
    </row>
    <row r="246" spans="1:5">
      <c r="A246" s="33" t="s">
        <v>327</v>
      </c>
      <c r="B246" s="36">
        <v>3</v>
      </c>
      <c r="C246" s="37">
        <f t="shared" si="9"/>
        <v>225</v>
      </c>
      <c r="D246" s="132">
        <f t="shared" si="10"/>
        <v>525</v>
      </c>
      <c r="E246" s="132">
        <f t="shared" si="11"/>
        <v>525</v>
      </c>
    </row>
    <row r="247" spans="1:5">
      <c r="A247" s="33" t="s">
        <v>327</v>
      </c>
      <c r="B247" s="36">
        <v>1</v>
      </c>
      <c r="C247" s="37">
        <f t="shared" si="9"/>
        <v>75</v>
      </c>
      <c r="D247" s="132">
        <f t="shared" si="10"/>
        <v>175</v>
      </c>
      <c r="E247" s="132">
        <f t="shared" si="11"/>
        <v>175</v>
      </c>
    </row>
    <row r="248" spans="1:5">
      <c r="A248" s="33" t="s">
        <v>327</v>
      </c>
      <c r="B248" s="36">
        <v>5</v>
      </c>
      <c r="C248" s="37">
        <f t="shared" si="9"/>
        <v>375</v>
      </c>
      <c r="D248" s="132">
        <f t="shared" si="10"/>
        <v>875</v>
      </c>
      <c r="E248" s="132">
        <f t="shared" si="11"/>
        <v>875</v>
      </c>
    </row>
    <row r="249" spans="1:5">
      <c r="A249" s="33" t="s">
        <v>327</v>
      </c>
      <c r="B249" s="36">
        <v>2</v>
      </c>
      <c r="C249" s="37">
        <f t="shared" si="9"/>
        <v>150</v>
      </c>
      <c r="D249" s="132">
        <f t="shared" si="10"/>
        <v>350</v>
      </c>
      <c r="E249" s="132">
        <f t="shared" si="11"/>
        <v>350</v>
      </c>
    </row>
    <row r="250" spans="1:5">
      <c r="A250" s="33" t="s">
        <v>327</v>
      </c>
      <c r="B250" s="36">
        <v>2</v>
      </c>
      <c r="C250" s="37">
        <f t="shared" si="9"/>
        <v>150</v>
      </c>
      <c r="D250" s="132">
        <f t="shared" si="10"/>
        <v>350</v>
      </c>
      <c r="E250" s="132">
        <f t="shared" si="11"/>
        <v>350</v>
      </c>
    </row>
    <row r="251" spans="1:5">
      <c r="A251" s="33" t="s">
        <v>327</v>
      </c>
      <c r="B251" s="36">
        <v>5</v>
      </c>
      <c r="C251" s="37">
        <f t="shared" si="9"/>
        <v>375</v>
      </c>
      <c r="D251" s="132">
        <f t="shared" si="10"/>
        <v>875</v>
      </c>
      <c r="E251" s="132">
        <f t="shared" si="11"/>
        <v>875</v>
      </c>
    </row>
    <row r="252" spans="1:5">
      <c r="A252" s="33" t="s">
        <v>327</v>
      </c>
      <c r="B252" s="36">
        <v>2</v>
      </c>
      <c r="C252" s="37">
        <f t="shared" si="9"/>
        <v>150</v>
      </c>
      <c r="D252" s="132">
        <f t="shared" si="10"/>
        <v>350</v>
      </c>
      <c r="E252" s="132">
        <f t="shared" si="11"/>
        <v>350</v>
      </c>
    </row>
    <row r="253" spans="1:5">
      <c r="A253" s="33" t="s">
        <v>327</v>
      </c>
      <c r="B253" s="36">
        <v>1</v>
      </c>
      <c r="C253" s="37">
        <f t="shared" si="9"/>
        <v>75</v>
      </c>
      <c r="D253" s="132">
        <f t="shared" si="10"/>
        <v>175</v>
      </c>
      <c r="E253" s="132">
        <f t="shared" si="11"/>
        <v>175</v>
      </c>
    </row>
    <row r="254" spans="1:5">
      <c r="A254" s="33" t="s">
        <v>327</v>
      </c>
      <c r="B254" s="36">
        <v>2</v>
      </c>
      <c r="C254" s="37">
        <f t="shared" si="9"/>
        <v>150</v>
      </c>
      <c r="D254" s="132">
        <f t="shared" si="10"/>
        <v>350</v>
      </c>
      <c r="E254" s="132">
        <f t="shared" si="11"/>
        <v>350</v>
      </c>
    </row>
    <row r="255" spans="1:5">
      <c r="A255" s="33" t="s">
        <v>327</v>
      </c>
      <c r="B255" s="36">
        <v>1</v>
      </c>
      <c r="C255" s="37">
        <f t="shared" si="9"/>
        <v>75</v>
      </c>
      <c r="D255" s="132">
        <f t="shared" si="10"/>
        <v>175</v>
      </c>
      <c r="E255" s="132">
        <f t="shared" si="11"/>
        <v>175</v>
      </c>
    </row>
    <row r="256" spans="1:5">
      <c r="A256" s="33" t="s">
        <v>327</v>
      </c>
      <c r="B256" s="36">
        <v>3</v>
      </c>
      <c r="C256" s="37">
        <f t="shared" si="9"/>
        <v>225</v>
      </c>
      <c r="D256" s="132">
        <f t="shared" si="10"/>
        <v>525</v>
      </c>
      <c r="E256" s="132">
        <f t="shared" si="11"/>
        <v>525</v>
      </c>
    </row>
    <row r="257" spans="1:5">
      <c r="A257" s="33" t="s">
        <v>327</v>
      </c>
      <c r="B257" s="36">
        <v>4</v>
      </c>
      <c r="C257" s="37">
        <f t="shared" si="9"/>
        <v>300</v>
      </c>
      <c r="D257" s="132">
        <f t="shared" si="10"/>
        <v>700</v>
      </c>
      <c r="E257" s="132">
        <f t="shared" si="11"/>
        <v>700</v>
      </c>
    </row>
    <row r="258" spans="1:5">
      <c r="A258" s="33" t="s">
        <v>327</v>
      </c>
      <c r="B258" s="36">
        <v>7</v>
      </c>
      <c r="C258" s="37">
        <f t="shared" si="9"/>
        <v>525</v>
      </c>
      <c r="D258" s="132">
        <f t="shared" si="10"/>
        <v>1225</v>
      </c>
      <c r="E258" s="132">
        <f t="shared" si="11"/>
        <v>1225</v>
      </c>
    </row>
    <row r="259" spans="1:5">
      <c r="A259" s="33" t="s">
        <v>327</v>
      </c>
      <c r="B259" s="36">
        <v>3</v>
      </c>
      <c r="C259" s="37">
        <f t="shared" si="9"/>
        <v>225</v>
      </c>
      <c r="D259" s="132">
        <f t="shared" si="10"/>
        <v>525</v>
      </c>
      <c r="E259" s="132">
        <f t="shared" si="11"/>
        <v>525</v>
      </c>
    </row>
    <row r="260" spans="1:5">
      <c r="A260" s="33" t="s">
        <v>327</v>
      </c>
      <c r="B260" s="36">
        <v>2</v>
      </c>
      <c r="C260" s="37">
        <f t="shared" si="9"/>
        <v>150</v>
      </c>
      <c r="D260" s="132">
        <f t="shared" si="10"/>
        <v>350</v>
      </c>
      <c r="E260" s="132">
        <f t="shared" si="11"/>
        <v>350</v>
      </c>
    </row>
    <row r="261" spans="1:5">
      <c r="A261" s="33" t="s">
        <v>327</v>
      </c>
      <c r="B261" s="36">
        <v>4</v>
      </c>
      <c r="C261" s="37">
        <f t="shared" si="9"/>
        <v>300</v>
      </c>
      <c r="D261" s="132">
        <f t="shared" si="10"/>
        <v>700</v>
      </c>
      <c r="E261" s="132">
        <f t="shared" si="11"/>
        <v>700</v>
      </c>
    </row>
    <row r="262" spans="1:5">
      <c r="A262" s="33" t="s">
        <v>327</v>
      </c>
      <c r="B262" s="36">
        <v>10</v>
      </c>
      <c r="C262" s="37">
        <f t="shared" si="9"/>
        <v>750</v>
      </c>
      <c r="D262" s="132">
        <f t="shared" si="10"/>
        <v>1750</v>
      </c>
      <c r="E262" s="132">
        <f t="shared" si="11"/>
        <v>1750</v>
      </c>
    </row>
    <row r="263" spans="1:5">
      <c r="A263" s="33" t="s">
        <v>327</v>
      </c>
      <c r="B263" s="36">
        <v>8</v>
      </c>
      <c r="C263" s="37">
        <f t="shared" ref="C263:C326" si="12">B263*75</f>
        <v>600</v>
      </c>
      <c r="D263" s="132">
        <f t="shared" ref="D263:D326" si="13">B263*250-C263</f>
        <v>1400</v>
      </c>
      <c r="E263" s="132">
        <f t="shared" ref="E263:E326" si="14">B263*250-C263</f>
        <v>1400</v>
      </c>
    </row>
    <row r="264" spans="1:5">
      <c r="A264" s="33" t="s">
        <v>327</v>
      </c>
      <c r="B264" s="36">
        <v>1</v>
      </c>
      <c r="C264" s="37">
        <f t="shared" si="12"/>
        <v>75</v>
      </c>
      <c r="D264" s="132">
        <f t="shared" si="13"/>
        <v>175</v>
      </c>
      <c r="E264" s="132">
        <f t="shared" si="14"/>
        <v>175</v>
      </c>
    </row>
    <row r="265" spans="1:5">
      <c r="A265" s="33" t="s">
        <v>327</v>
      </c>
      <c r="B265" s="36">
        <v>5</v>
      </c>
      <c r="C265" s="37">
        <f t="shared" si="12"/>
        <v>375</v>
      </c>
      <c r="D265" s="132">
        <f t="shared" si="13"/>
        <v>875</v>
      </c>
      <c r="E265" s="132">
        <f t="shared" si="14"/>
        <v>875</v>
      </c>
    </row>
    <row r="266" spans="1:5">
      <c r="A266" s="33" t="s">
        <v>327</v>
      </c>
      <c r="B266" s="36">
        <v>1</v>
      </c>
      <c r="C266" s="37">
        <f t="shared" si="12"/>
        <v>75</v>
      </c>
      <c r="D266" s="132">
        <f t="shared" si="13"/>
        <v>175</v>
      </c>
      <c r="E266" s="132">
        <f t="shared" si="14"/>
        <v>175</v>
      </c>
    </row>
    <row r="267" spans="1:5">
      <c r="A267" s="33" t="s">
        <v>327</v>
      </c>
      <c r="B267" s="36">
        <v>2</v>
      </c>
      <c r="C267" s="37">
        <f t="shared" si="12"/>
        <v>150</v>
      </c>
      <c r="D267" s="132">
        <f t="shared" si="13"/>
        <v>350</v>
      </c>
      <c r="E267" s="132">
        <f t="shared" si="14"/>
        <v>350</v>
      </c>
    </row>
    <row r="268" spans="1:5">
      <c r="A268" s="33" t="s">
        <v>327</v>
      </c>
      <c r="B268" s="36">
        <v>1</v>
      </c>
      <c r="C268" s="37">
        <f t="shared" si="12"/>
        <v>75</v>
      </c>
      <c r="D268" s="132">
        <f t="shared" si="13"/>
        <v>175</v>
      </c>
      <c r="E268" s="132">
        <f t="shared" si="14"/>
        <v>175</v>
      </c>
    </row>
    <row r="269" spans="1:5">
      <c r="A269" s="33" t="s">
        <v>327</v>
      </c>
      <c r="B269" s="36">
        <v>4</v>
      </c>
      <c r="C269" s="37">
        <f t="shared" si="12"/>
        <v>300</v>
      </c>
      <c r="D269" s="132">
        <f t="shared" si="13"/>
        <v>700</v>
      </c>
      <c r="E269" s="132">
        <f t="shared" si="14"/>
        <v>700</v>
      </c>
    </row>
    <row r="270" spans="1:5">
      <c r="A270" s="33" t="s">
        <v>327</v>
      </c>
      <c r="B270" s="36">
        <v>1</v>
      </c>
      <c r="C270" s="37">
        <f t="shared" si="12"/>
        <v>75</v>
      </c>
      <c r="D270" s="132">
        <f t="shared" si="13"/>
        <v>175</v>
      </c>
      <c r="E270" s="132">
        <f t="shared" si="14"/>
        <v>175</v>
      </c>
    </row>
    <row r="271" spans="1:5">
      <c r="A271" s="33" t="s">
        <v>327</v>
      </c>
      <c r="B271" s="36">
        <v>2</v>
      </c>
      <c r="C271" s="37">
        <f t="shared" si="12"/>
        <v>150</v>
      </c>
      <c r="D271" s="132">
        <f t="shared" si="13"/>
        <v>350</v>
      </c>
      <c r="E271" s="132">
        <f t="shared" si="14"/>
        <v>350</v>
      </c>
    </row>
    <row r="272" spans="1:5">
      <c r="A272" s="33" t="s">
        <v>327</v>
      </c>
      <c r="B272" s="36">
        <v>2</v>
      </c>
      <c r="C272" s="37">
        <f t="shared" si="12"/>
        <v>150</v>
      </c>
      <c r="D272" s="132">
        <f t="shared" si="13"/>
        <v>350</v>
      </c>
      <c r="E272" s="132">
        <f t="shared" si="14"/>
        <v>350</v>
      </c>
    </row>
    <row r="273" spans="1:5">
      <c r="A273" s="33" t="s">
        <v>327</v>
      </c>
      <c r="B273" s="36">
        <v>3</v>
      </c>
      <c r="C273" s="37">
        <f t="shared" si="12"/>
        <v>225</v>
      </c>
      <c r="D273" s="132">
        <f t="shared" si="13"/>
        <v>525</v>
      </c>
      <c r="E273" s="132">
        <f t="shared" si="14"/>
        <v>525</v>
      </c>
    </row>
    <row r="274" spans="1:5">
      <c r="A274" s="33" t="s">
        <v>327</v>
      </c>
      <c r="B274" s="36">
        <v>3</v>
      </c>
      <c r="C274" s="37">
        <f t="shared" si="12"/>
        <v>225</v>
      </c>
      <c r="D274" s="132">
        <f t="shared" si="13"/>
        <v>525</v>
      </c>
      <c r="E274" s="132">
        <f t="shared" si="14"/>
        <v>525</v>
      </c>
    </row>
    <row r="275" spans="1:5">
      <c r="A275" s="33" t="s">
        <v>327</v>
      </c>
      <c r="B275" s="36">
        <v>3</v>
      </c>
      <c r="C275" s="37">
        <f t="shared" si="12"/>
        <v>225</v>
      </c>
      <c r="D275" s="132">
        <f t="shared" si="13"/>
        <v>525</v>
      </c>
      <c r="E275" s="132">
        <f t="shared" si="14"/>
        <v>525</v>
      </c>
    </row>
    <row r="276" spans="1:5">
      <c r="A276" s="33" t="s">
        <v>327</v>
      </c>
      <c r="B276" s="36">
        <v>3</v>
      </c>
      <c r="C276" s="37">
        <f t="shared" si="12"/>
        <v>225</v>
      </c>
      <c r="D276" s="132">
        <f t="shared" si="13"/>
        <v>525</v>
      </c>
      <c r="E276" s="132">
        <f t="shared" si="14"/>
        <v>525</v>
      </c>
    </row>
    <row r="277" spans="1:5">
      <c r="A277" s="33" t="s">
        <v>327</v>
      </c>
      <c r="B277" s="36">
        <v>1</v>
      </c>
      <c r="C277" s="37">
        <f t="shared" si="12"/>
        <v>75</v>
      </c>
      <c r="D277" s="132">
        <f t="shared" si="13"/>
        <v>175</v>
      </c>
      <c r="E277" s="132">
        <f t="shared" si="14"/>
        <v>175</v>
      </c>
    </row>
    <row r="278" spans="1:5">
      <c r="A278" s="33" t="s">
        <v>327</v>
      </c>
      <c r="B278" s="36">
        <v>1</v>
      </c>
      <c r="C278" s="37">
        <f t="shared" si="12"/>
        <v>75</v>
      </c>
      <c r="D278" s="132">
        <f t="shared" si="13"/>
        <v>175</v>
      </c>
      <c r="E278" s="132">
        <f t="shared" si="14"/>
        <v>175</v>
      </c>
    </row>
    <row r="279" spans="1:5">
      <c r="A279" s="33" t="s">
        <v>327</v>
      </c>
      <c r="B279" s="36">
        <v>2</v>
      </c>
      <c r="C279" s="37">
        <f t="shared" si="12"/>
        <v>150</v>
      </c>
      <c r="D279" s="132">
        <f t="shared" si="13"/>
        <v>350</v>
      </c>
      <c r="E279" s="132">
        <f t="shared" si="14"/>
        <v>350</v>
      </c>
    </row>
    <row r="280" spans="1:5">
      <c r="A280" s="33" t="s">
        <v>327</v>
      </c>
      <c r="B280" s="36">
        <v>1</v>
      </c>
      <c r="C280" s="37">
        <f t="shared" si="12"/>
        <v>75</v>
      </c>
      <c r="D280" s="132">
        <f t="shared" si="13"/>
        <v>175</v>
      </c>
      <c r="E280" s="132">
        <f t="shared" si="14"/>
        <v>175</v>
      </c>
    </row>
    <row r="281" spans="1:5">
      <c r="A281" s="33" t="s">
        <v>327</v>
      </c>
      <c r="B281" s="36">
        <v>5</v>
      </c>
      <c r="C281" s="37">
        <f t="shared" si="12"/>
        <v>375</v>
      </c>
      <c r="D281" s="132">
        <f t="shared" si="13"/>
        <v>875</v>
      </c>
      <c r="E281" s="132">
        <f t="shared" si="14"/>
        <v>875</v>
      </c>
    </row>
    <row r="282" spans="1:5">
      <c r="A282" s="33" t="s">
        <v>327</v>
      </c>
      <c r="B282" s="36">
        <v>1</v>
      </c>
      <c r="C282" s="37">
        <f t="shared" si="12"/>
        <v>75</v>
      </c>
      <c r="D282" s="132">
        <f t="shared" si="13"/>
        <v>175</v>
      </c>
      <c r="E282" s="132">
        <f t="shared" si="14"/>
        <v>175</v>
      </c>
    </row>
    <row r="283" spans="1:5">
      <c r="A283" s="33" t="s">
        <v>327</v>
      </c>
      <c r="B283" s="36">
        <v>1</v>
      </c>
      <c r="C283" s="37">
        <f t="shared" si="12"/>
        <v>75</v>
      </c>
      <c r="D283" s="132">
        <f t="shared" si="13"/>
        <v>175</v>
      </c>
      <c r="E283" s="132">
        <f t="shared" si="14"/>
        <v>175</v>
      </c>
    </row>
    <row r="284" spans="1:5">
      <c r="A284" s="33" t="s">
        <v>327</v>
      </c>
      <c r="B284" s="36">
        <v>2</v>
      </c>
      <c r="C284" s="37">
        <f t="shared" si="12"/>
        <v>150</v>
      </c>
      <c r="D284" s="132">
        <f t="shared" si="13"/>
        <v>350</v>
      </c>
      <c r="E284" s="132">
        <f t="shared" si="14"/>
        <v>350</v>
      </c>
    </row>
    <row r="285" spans="1:5">
      <c r="A285" s="33" t="s">
        <v>327</v>
      </c>
      <c r="B285" s="36">
        <v>4</v>
      </c>
      <c r="C285" s="37">
        <f t="shared" si="12"/>
        <v>300</v>
      </c>
      <c r="D285" s="132">
        <f t="shared" si="13"/>
        <v>700</v>
      </c>
      <c r="E285" s="132">
        <f t="shared" si="14"/>
        <v>700</v>
      </c>
    </row>
    <row r="286" spans="1:5">
      <c r="A286" s="33" t="s">
        <v>327</v>
      </c>
      <c r="B286" s="36">
        <v>2</v>
      </c>
      <c r="C286" s="37">
        <f t="shared" si="12"/>
        <v>150</v>
      </c>
      <c r="D286" s="132">
        <f t="shared" si="13"/>
        <v>350</v>
      </c>
      <c r="E286" s="132">
        <f t="shared" si="14"/>
        <v>350</v>
      </c>
    </row>
    <row r="287" spans="1:5">
      <c r="A287" s="33" t="s">
        <v>327</v>
      </c>
      <c r="B287" s="36">
        <v>1</v>
      </c>
      <c r="C287" s="37">
        <f t="shared" si="12"/>
        <v>75</v>
      </c>
      <c r="D287" s="132">
        <f t="shared" si="13"/>
        <v>175</v>
      </c>
      <c r="E287" s="132">
        <f t="shared" si="14"/>
        <v>175</v>
      </c>
    </row>
    <row r="288" spans="1:5">
      <c r="A288" s="33" t="s">
        <v>327</v>
      </c>
      <c r="B288" s="36">
        <v>1</v>
      </c>
      <c r="C288" s="37">
        <f t="shared" si="12"/>
        <v>75</v>
      </c>
      <c r="D288" s="132">
        <f t="shared" si="13"/>
        <v>175</v>
      </c>
      <c r="E288" s="132">
        <f t="shared" si="14"/>
        <v>175</v>
      </c>
    </row>
    <row r="289" spans="1:5">
      <c r="A289" s="33" t="s">
        <v>327</v>
      </c>
      <c r="B289" s="36">
        <v>3</v>
      </c>
      <c r="C289" s="37">
        <f t="shared" si="12"/>
        <v>225</v>
      </c>
      <c r="D289" s="132">
        <f t="shared" si="13"/>
        <v>525</v>
      </c>
      <c r="E289" s="132">
        <f t="shared" si="14"/>
        <v>525</v>
      </c>
    </row>
    <row r="290" spans="1:5">
      <c r="A290" s="33" t="s">
        <v>327</v>
      </c>
      <c r="B290" s="36">
        <v>7</v>
      </c>
      <c r="C290" s="37">
        <f t="shared" si="12"/>
        <v>525</v>
      </c>
      <c r="D290" s="132">
        <f t="shared" si="13"/>
        <v>1225</v>
      </c>
      <c r="E290" s="132">
        <f t="shared" si="14"/>
        <v>1225</v>
      </c>
    </row>
    <row r="291" spans="1:5">
      <c r="A291" s="33" t="s">
        <v>327</v>
      </c>
      <c r="B291" s="36">
        <v>2</v>
      </c>
      <c r="C291" s="37">
        <f t="shared" si="12"/>
        <v>150</v>
      </c>
      <c r="D291" s="132">
        <f t="shared" si="13"/>
        <v>350</v>
      </c>
      <c r="E291" s="132">
        <f t="shared" si="14"/>
        <v>350</v>
      </c>
    </row>
    <row r="292" spans="1:5">
      <c r="A292" s="33" t="s">
        <v>328</v>
      </c>
      <c r="B292" s="36">
        <v>2</v>
      </c>
      <c r="C292" s="37">
        <f t="shared" si="12"/>
        <v>150</v>
      </c>
      <c r="D292" s="132">
        <f t="shared" si="13"/>
        <v>350</v>
      </c>
      <c r="E292" s="132">
        <f t="shared" si="14"/>
        <v>350</v>
      </c>
    </row>
    <row r="293" spans="1:5">
      <c r="A293" s="33" t="s">
        <v>328</v>
      </c>
      <c r="B293" s="36">
        <v>2</v>
      </c>
      <c r="C293" s="37">
        <f t="shared" si="12"/>
        <v>150</v>
      </c>
      <c r="D293" s="132">
        <f t="shared" si="13"/>
        <v>350</v>
      </c>
      <c r="E293" s="132">
        <f t="shared" si="14"/>
        <v>350</v>
      </c>
    </row>
    <row r="294" spans="1:5">
      <c r="A294" s="33" t="s">
        <v>328</v>
      </c>
      <c r="B294" s="36">
        <v>6</v>
      </c>
      <c r="C294" s="37">
        <f t="shared" si="12"/>
        <v>450</v>
      </c>
      <c r="D294" s="132">
        <f t="shared" si="13"/>
        <v>1050</v>
      </c>
      <c r="E294" s="132">
        <f t="shared" si="14"/>
        <v>1050</v>
      </c>
    </row>
    <row r="295" spans="1:5">
      <c r="A295" s="33" t="s">
        <v>328</v>
      </c>
      <c r="B295" s="36">
        <v>2</v>
      </c>
      <c r="C295" s="37">
        <f t="shared" si="12"/>
        <v>150</v>
      </c>
      <c r="D295" s="132">
        <f t="shared" si="13"/>
        <v>350</v>
      </c>
      <c r="E295" s="132">
        <f t="shared" si="14"/>
        <v>350</v>
      </c>
    </row>
    <row r="296" spans="1:5">
      <c r="A296" s="33" t="s">
        <v>328</v>
      </c>
      <c r="B296" s="36">
        <v>4</v>
      </c>
      <c r="C296" s="37">
        <f t="shared" si="12"/>
        <v>300</v>
      </c>
      <c r="D296" s="132">
        <f t="shared" si="13"/>
        <v>700</v>
      </c>
      <c r="E296" s="132">
        <f t="shared" si="14"/>
        <v>700</v>
      </c>
    </row>
    <row r="297" spans="1:5">
      <c r="A297" s="33" t="s">
        <v>328</v>
      </c>
      <c r="B297" s="36">
        <v>3</v>
      </c>
      <c r="C297" s="37">
        <f t="shared" si="12"/>
        <v>225</v>
      </c>
      <c r="D297" s="132">
        <f t="shared" si="13"/>
        <v>525</v>
      </c>
      <c r="E297" s="132">
        <f t="shared" si="14"/>
        <v>525</v>
      </c>
    </row>
    <row r="298" spans="1:5">
      <c r="A298" s="33" t="s">
        <v>328</v>
      </c>
      <c r="B298" s="36">
        <v>4</v>
      </c>
      <c r="C298" s="37">
        <f t="shared" si="12"/>
        <v>300</v>
      </c>
      <c r="D298" s="132">
        <f t="shared" si="13"/>
        <v>700</v>
      </c>
      <c r="E298" s="132">
        <f t="shared" si="14"/>
        <v>700</v>
      </c>
    </row>
    <row r="299" spans="1:5">
      <c r="A299" s="33" t="s">
        <v>328</v>
      </c>
      <c r="B299" s="36">
        <v>1</v>
      </c>
      <c r="C299" s="37">
        <f t="shared" si="12"/>
        <v>75</v>
      </c>
      <c r="D299" s="132">
        <f t="shared" si="13"/>
        <v>175</v>
      </c>
      <c r="E299" s="132">
        <f t="shared" si="14"/>
        <v>175</v>
      </c>
    </row>
    <row r="300" spans="1:5">
      <c r="A300" s="33" t="s">
        <v>328</v>
      </c>
      <c r="B300" s="36">
        <v>1</v>
      </c>
      <c r="C300" s="37">
        <f t="shared" si="12"/>
        <v>75</v>
      </c>
      <c r="D300" s="132">
        <f t="shared" si="13"/>
        <v>175</v>
      </c>
      <c r="E300" s="132">
        <f t="shared" si="14"/>
        <v>175</v>
      </c>
    </row>
    <row r="301" spans="1:5">
      <c r="A301" s="33" t="s">
        <v>328</v>
      </c>
      <c r="B301" s="36">
        <v>8</v>
      </c>
      <c r="C301" s="37">
        <f t="shared" si="12"/>
        <v>600</v>
      </c>
      <c r="D301" s="132">
        <f t="shared" si="13"/>
        <v>1400</v>
      </c>
      <c r="E301" s="132">
        <f t="shared" si="14"/>
        <v>1400</v>
      </c>
    </row>
    <row r="302" spans="1:5">
      <c r="A302" s="33" t="s">
        <v>328</v>
      </c>
      <c r="B302" s="36">
        <v>1</v>
      </c>
      <c r="C302" s="37">
        <f t="shared" si="12"/>
        <v>75</v>
      </c>
      <c r="D302" s="132">
        <f t="shared" si="13"/>
        <v>175</v>
      </c>
      <c r="E302" s="132">
        <f t="shared" si="14"/>
        <v>175</v>
      </c>
    </row>
    <row r="303" spans="1:5">
      <c r="A303" s="33" t="s">
        <v>328</v>
      </c>
      <c r="B303" s="36">
        <v>2</v>
      </c>
      <c r="C303" s="37">
        <f t="shared" si="12"/>
        <v>150</v>
      </c>
      <c r="D303" s="132">
        <f t="shared" si="13"/>
        <v>350</v>
      </c>
      <c r="E303" s="132">
        <f t="shared" si="14"/>
        <v>350</v>
      </c>
    </row>
    <row r="304" spans="1:5">
      <c r="A304" s="33" t="s">
        <v>328</v>
      </c>
      <c r="B304" s="36">
        <v>1</v>
      </c>
      <c r="C304" s="37">
        <f t="shared" si="12"/>
        <v>75</v>
      </c>
      <c r="D304" s="132">
        <f t="shared" si="13"/>
        <v>175</v>
      </c>
      <c r="E304" s="132">
        <f t="shared" si="14"/>
        <v>175</v>
      </c>
    </row>
    <row r="305" spans="1:5">
      <c r="A305" s="33" t="s">
        <v>328</v>
      </c>
      <c r="B305" s="36">
        <v>6</v>
      </c>
      <c r="C305" s="37">
        <f t="shared" si="12"/>
        <v>450</v>
      </c>
      <c r="D305" s="132">
        <f t="shared" si="13"/>
        <v>1050</v>
      </c>
      <c r="E305" s="132">
        <f t="shared" si="14"/>
        <v>1050</v>
      </c>
    </row>
    <row r="306" spans="1:5">
      <c r="A306" s="33" t="s">
        <v>328</v>
      </c>
      <c r="B306" s="36">
        <v>1</v>
      </c>
      <c r="C306" s="37">
        <f t="shared" si="12"/>
        <v>75</v>
      </c>
      <c r="D306" s="132">
        <f t="shared" si="13"/>
        <v>175</v>
      </c>
      <c r="E306" s="132">
        <f t="shared" si="14"/>
        <v>175</v>
      </c>
    </row>
    <row r="307" spans="1:5">
      <c r="A307" s="33" t="s">
        <v>328</v>
      </c>
      <c r="B307" s="36">
        <v>4</v>
      </c>
      <c r="C307" s="37">
        <f t="shared" si="12"/>
        <v>300</v>
      </c>
      <c r="D307" s="132">
        <f t="shared" si="13"/>
        <v>700</v>
      </c>
      <c r="E307" s="132">
        <f t="shared" si="14"/>
        <v>700</v>
      </c>
    </row>
    <row r="308" spans="1:5">
      <c r="A308" s="33" t="s">
        <v>328</v>
      </c>
      <c r="B308" s="36">
        <v>5</v>
      </c>
      <c r="C308" s="37">
        <f t="shared" si="12"/>
        <v>375</v>
      </c>
      <c r="D308" s="132">
        <f t="shared" si="13"/>
        <v>875</v>
      </c>
      <c r="E308" s="132">
        <f t="shared" si="14"/>
        <v>875</v>
      </c>
    </row>
    <row r="309" spans="1:5">
      <c r="A309" s="33" t="s">
        <v>328</v>
      </c>
      <c r="B309" s="36">
        <v>2</v>
      </c>
      <c r="C309" s="37">
        <f t="shared" si="12"/>
        <v>150</v>
      </c>
      <c r="D309" s="132">
        <f t="shared" si="13"/>
        <v>350</v>
      </c>
      <c r="E309" s="132">
        <f t="shared" si="14"/>
        <v>350</v>
      </c>
    </row>
    <row r="310" spans="1:5">
      <c r="A310" s="33" t="s">
        <v>328</v>
      </c>
      <c r="B310" s="36">
        <v>6</v>
      </c>
      <c r="C310" s="37">
        <f t="shared" si="12"/>
        <v>450</v>
      </c>
      <c r="D310" s="132">
        <f t="shared" si="13"/>
        <v>1050</v>
      </c>
      <c r="E310" s="132">
        <f t="shared" si="14"/>
        <v>1050</v>
      </c>
    </row>
    <row r="311" spans="1:5">
      <c r="A311" s="33" t="s">
        <v>328</v>
      </c>
      <c r="B311" s="36">
        <v>5</v>
      </c>
      <c r="C311" s="37">
        <f t="shared" si="12"/>
        <v>375</v>
      </c>
      <c r="D311" s="132">
        <f t="shared" si="13"/>
        <v>875</v>
      </c>
      <c r="E311" s="132">
        <f t="shared" si="14"/>
        <v>875</v>
      </c>
    </row>
    <row r="312" spans="1:5">
      <c r="A312" s="33" t="s">
        <v>328</v>
      </c>
      <c r="B312" s="36">
        <v>4</v>
      </c>
      <c r="C312" s="37">
        <f t="shared" si="12"/>
        <v>300</v>
      </c>
      <c r="D312" s="132">
        <f t="shared" si="13"/>
        <v>700</v>
      </c>
      <c r="E312" s="132">
        <f t="shared" si="14"/>
        <v>700</v>
      </c>
    </row>
    <row r="313" spans="1:5">
      <c r="A313" s="33" t="s">
        <v>328</v>
      </c>
      <c r="B313" s="36">
        <v>3</v>
      </c>
      <c r="C313" s="37">
        <f t="shared" si="12"/>
        <v>225</v>
      </c>
      <c r="D313" s="132">
        <f t="shared" si="13"/>
        <v>525</v>
      </c>
      <c r="E313" s="132">
        <f t="shared" si="14"/>
        <v>525</v>
      </c>
    </row>
    <row r="314" spans="1:5">
      <c r="A314" s="33" t="s">
        <v>328</v>
      </c>
      <c r="B314" s="36">
        <v>6</v>
      </c>
      <c r="C314" s="37">
        <f t="shared" si="12"/>
        <v>450</v>
      </c>
      <c r="D314" s="132">
        <f t="shared" si="13"/>
        <v>1050</v>
      </c>
      <c r="E314" s="132">
        <f t="shared" si="14"/>
        <v>1050</v>
      </c>
    </row>
    <row r="315" spans="1:5">
      <c r="A315" s="33" t="s">
        <v>328</v>
      </c>
      <c r="B315" s="36">
        <v>4</v>
      </c>
      <c r="C315" s="37">
        <f t="shared" si="12"/>
        <v>300</v>
      </c>
      <c r="D315" s="132">
        <f t="shared" si="13"/>
        <v>700</v>
      </c>
      <c r="E315" s="132">
        <f t="shared" si="14"/>
        <v>700</v>
      </c>
    </row>
    <row r="316" spans="1:5">
      <c r="A316" s="33" t="s">
        <v>328</v>
      </c>
      <c r="B316" s="36">
        <v>1</v>
      </c>
      <c r="C316" s="37">
        <f t="shared" si="12"/>
        <v>75</v>
      </c>
      <c r="D316" s="132">
        <f t="shared" si="13"/>
        <v>175</v>
      </c>
      <c r="E316" s="132">
        <f t="shared" si="14"/>
        <v>175</v>
      </c>
    </row>
    <row r="317" spans="1:5">
      <c r="A317" s="33" t="s">
        <v>328</v>
      </c>
      <c r="B317" s="36">
        <v>1</v>
      </c>
      <c r="C317" s="37">
        <f t="shared" si="12"/>
        <v>75</v>
      </c>
      <c r="D317" s="132">
        <f t="shared" si="13"/>
        <v>175</v>
      </c>
      <c r="E317" s="132">
        <f t="shared" si="14"/>
        <v>175</v>
      </c>
    </row>
    <row r="318" spans="1:5">
      <c r="A318" s="33" t="s">
        <v>328</v>
      </c>
      <c r="B318" s="36">
        <v>1</v>
      </c>
      <c r="C318" s="37">
        <f t="shared" si="12"/>
        <v>75</v>
      </c>
      <c r="D318" s="132">
        <f t="shared" si="13"/>
        <v>175</v>
      </c>
      <c r="E318" s="132">
        <f t="shared" si="14"/>
        <v>175</v>
      </c>
    </row>
    <row r="319" spans="1:5">
      <c r="A319" s="33" t="s">
        <v>328</v>
      </c>
      <c r="B319" s="36">
        <v>1</v>
      </c>
      <c r="C319" s="37">
        <f t="shared" si="12"/>
        <v>75</v>
      </c>
      <c r="D319" s="132">
        <f t="shared" si="13"/>
        <v>175</v>
      </c>
      <c r="E319" s="132">
        <f t="shared" si="14"/>
        <v>175</v>
      </c>
    </row>
    <row r="320" spans="1:5">
      <c r="A320" s="33" t="s">
        <v>328</v>
      </c>
      <c r="B320" s="36">
        <v>3</v>
      </c>
      <c r="C320" s="37">
        <f t="shared" si="12"/>
        <v>225</v>
      </c>
      <c r="D320" s="132">
        <f t="shared" si="13"/>
        <v>525</v>
      </c>
      <c r="E320" s="132">
        <f t="shared" si="14"/>
        <v>525</v>
      </c>
    </row>
    <row r="321" spans="1:5">
      <c r="A321" s="33" t="s">
        <v>328</v>
      </c>
      <c r="B321" s="36">
        <v>3</v>
      </c>
      <c r="C321" s="37">
        <f t="shared" si="12"/>
        <v>225</v>
      </c>
      <c r="D321" s="132">
        <f t="shared" si="13"/>
        <v>525</v>
      </c>
      <c r="E321" s="132">
        <f t="shared" si="14"/>
        <v>525</v>
      </c>
    </row>
    <row r="322" spans="1:5">
      <c r="A322" s="33" t="s">
        <v>328</v>
      </c>
      <c r="B322" s="36">
        <v>3</v>
      </c>
      <c r="C322" s="37">
        <f t="shared" si="12"/>
        <v>225</v>
      </c>
      <c r="D322" s="132">
        <f t="shared" si="13"/>
        <v>525</v>
      </c>
      <c r="E322" s="132">
        <f t="shared" si="14"/>
        <v>525</v>
      </c>
    </row>
    <row r="323" spans="1:5">
      <c r="A323" s="33" t="s">
        <v>328</v>
      </c>
      <c r="B323" s="36">
        <v>1</v>
      </c>
      <c r="C323" s="37">
        <f t="shared" si="12"/>
        <v>75</v>
      </c>
      <c r="D323" s="132">
        <f t="shared" si="13"/>
        <v>175</v>
      </c>
      <c r="E323" s="132">
        <f t="shared" si="14"/>
        <v>175</v>
      </c>
    </row>
    <row r="324" spans="1:5">
      <c r="A324" s="33" t="s">
        <v>328</v>
      </c>
      <c r="B324" s="36">
        <v>10</v>
      </c>
      <c r="C324" s="37">
        <f t="shared" si="12"/>
        <v>750</v>
      </c>
      <c r="D324" s="132">
        <f t="shared" si="13"/>
        <v>1750</v>
      </c>
      <c r="E324" s="132">
        <f t="shared" si="14"/>
        <v>1750</v>
      </c>
    </row>
    <row r="325" spans="1:5">
      <c r="A325" s="33" t="s">
        <v>328</v>
      </c>
      <c r="B325" s="36">
        <v>1</v>
      </c>
      <c r="C325" s="37">
        <f t="shared" si="12"/>
        <v>75</v>
      </c>
      <c r="D325" s="132">
        <f t="shared" si="13"/>
        <v>175</v>
      </c>
      <c r="E325" s="132">
        <f t="shared" si="14"/>
        <v>175</v>
      </c>
    </row>
    <row r="326" spans="1:5">
      <c r="A326" s="33" t="s">
        <v>328</v>
      </c>
      <c r="B326" s="36">
        <v>3</v>
      </c>
      <c r="C326" s="37">
        <f t="shared" si="12"/>
        <v>225</v>
      </c>
      <c r="D326" s="132">
        <f t="shared" si="13"/>
        <v>525</v>
      </c>
      <c r="E326" s="132">
        <f t="shared" si="14"/>
        <v>525</v>
      </c>
    </row>
    <row r="327" spans="1:5">
      <c r="A327" s="33" t="s">
        <v>328</v>
      </c>
      <c r="B327" s="36">
        <v>3</v>
      </c>
      <c r="C327" s="37">
        <f t="shared" ref="C327:C390" si="15">B327*75</f>
        <v>225</v>
      </c>
      <c r="D327" s="132">
        <f t="shared" ref="D327:D390" si="16">B327*250-C327</f>
        <v>525</v>
      </c>
      <c r="E327" s="132">
        <f t="shared" ref="E327:E390" si="17">B327*250-C327</f>
        <v>525</v>
      </c>
    </row>
    <row r="328" spans="1:5">
      <c r="A328" s="33" t="s">
        <v>328</v>
      </c>
      <c r="B328" s="36">
        <v>1</v>
      </c>
      <c r="C328" s="37">
        <f t="shared" si="15"/>
        <v>75</v>
      </c>
      <c r="D328" s="132">
        <f t="shared" si="16"/>
        <v>175</v>
      </c>
      <c r="E328" s="132">
        <f t="shared" si="17"/>
        <v>175</v>
      </c>
    </row>
    <row r="329" spans="1:5">
      <c r="A329" s="33" t="s">
        <v>328</v>
      </c>
      <c r="B329" s="36">
        <v>1</v>
      </c>
      <c r="C329" s="37">
        <f t="shared" si="15"/>
        <v>75</v>
      </c>
      <c r="D329" s="132">
        <f t="shared" si="16"/>
        <v>175</v>
      </c>
      <c r="E329" s="132">
        <f t="shared" si="17"/>
        <v>175</v>
      </c>
    </row>
    <row r="330" spans="1:5">
      <c r="A330" s="33" t="s">
        <v>328</v>
      </c>
      <c r="B330" s="36">
        <v>7</v>
      </c>
      <c r="C330" s="37">
        <f t="shared" si="15"/>
        <v>525</v>
      </c>
      <c r="D330" s="132">
        <f t="shared" si="16"/>
        <v>1225</v>
      </c>
      <c r="E330" s="132">
        <f t="shared" si="17"/>
        <v>1225</v>
      </c>
    </row>
    <row r="331" spans="1:5">
      <c r="A331" s="33" t="s">
        <v>328</v>
      </c>
      <c r="B331" s="36">
        <v>3</v>
      </c>
      <c r="C331" s="37">
        <f t="shared" si="15"/>
        <v>225</v>
      </c>
      <c r="D331" s="132">
        <f t="shared" si="16"/>
        <v>525</v>
      </c>
      <c r="E331" s="132">
        <f t="shared" si="17"/>
        <v>525</v>
      </c>
    </row>
    <row r="332" spans="1:5">
      <c r="A332" s="33" t="s">
        <v>328</v>
      </c>
      <c r="B332" s="36">
        <v>1</v>
      </c>
      <c r="C332" s="37">
        <f t="shared" si="15"/>
        <v>75</v>
      </c>
      <c r="D332" s="132">
        <f t="shared" si="16"/>
        <v>175</v>
      </c>
      <c r="E332" s="132">
        <f t="shared" si="17"/>
        <v>175</v>
      </c>
    </row>
    <row r="333" spans="1:5">
      <c r="A333" s="33" t="s">
        <v>328</v>
      </c>
      <c r="B333" s="36">
        <v>6</v>
      </c>
      <c r="C333" s="37">
        <f t="shared" si="15"/>
        <v>450</v>
      </c>
      <c r="D333" s="132">
        <f t="shared" si="16"/>
        <v>1050</v>
      </c>
      <c r="E333" s="132">
        <f t="shared" si="17"/>
        <v>1050</v>
      </c>
    </row>
    <row r="334" spans="1:5">
      <c r="A334" s="33" t="s">
        <v>328</v>
      </c>
      <c r="B334" s="36">
        <v>3</v>
      </c>
      <c r="C334" s="37">
        <f t="shared" si="15"/>
        <v>225</v>
      </c>
      <c r="D334" s="132">
        <f t="shared" si="16"/>
        <v>525</v>
      </c>
      <c r="E334" s="132">
        <f t="shared" si="17"/>
        <v>525</v>
      </c>
    </row>
    <row r="335" spans="1:5">
      <c r="A335" s="33" t="s">
        <v>328</v>
      </c>
      <c r="B335" s="36">
        <v>4</v>
      </c>
      <c r="C335" s="37">
        <f t="shared" si="15"/>
        <v>300</v>
      </c>
      <c r="D335" s="132">
        <f t="shared" si="16"/>
        <v>700</v>
      </c>
      <c r="E335" s="132">
        <f t="shared" si="17"/>
        <v>700</v>
      </c>
    </row>
    <row r="336" spans="1:5">
      <c r="A336" s="33" t="s">
        <v>328</v>
      </c>
      <c r="B336" s="36">
        <v>1</v>
      </c>
      <c r="C336" s="37">
        <f t="shared" si="15"/>
        <v>75</v>
      </c>
      <c r="D336" s="132">
        <f t="shared" si="16"/>
        <v>175</v>
      </c>
      <c r="E336" s="132">
        <f t="shared" si="17"/>
        <v>175</v>
      </c>
    </row>
    <row r="337" spans="1:5">
      <c r="A337" s="33" t="s">
        <v>328</v>
      </c>
      <c r="B337" s="36">
        <v>7</v>
      </c>
      <c r="C337" s="37">
        <f t="shared" si="15"/>
        <v>525</v>
      </c>
      <c r="D337" s="132">
        <f t="shared" si="16"/>
        <v>1225</v>
      </c>
      <c r="E337" s="132">
        <f t="shared" si="17"/>
        <v>1225</v>
      </c>
    </row>
    <row r="338" spans="1:5">
      <c r="A338" s="33" t="s">
        <v>328</v>
      </c>
      <c r="B338" s="36">
        <v>2</v>
      </c>
      <c r="C338" s="37">
        <f t="shared" si="15"/>
        <v>150</v>
      </c>
      <c r="D338" s="132">
        <f t="shared" si="16"/>
        <v>350</v>
      </c>
      <c r="E338" s="132">
        <f>B338*250-C338</f>
        <v>350</v>
      </c>
    </row>
    <row r="339" spans="1:5">
      <c r="A339" s="33" t="s">
        <v>328</v>
      </c>
      <c r="B339" s="36">
        <v>2</v>
      </c>
      <c r="C339" s="37">
        <f t="shared" si="15"/>
        <v>150</v>
      </c>
      <c r="D339" s="132">
        <f t="shared" si="16"/>
        <v>350</v>
      </c>
      <c r="E339" s="132">
        <f t="shared" si="17"/>
        <v>350</v>
      </c>
    </row>
    <row r="340" spans="1:5">
      <c r="A340" s="33" t="s">
        <v>328</v>
      </c>
      <c r="B340" s="36">
        <v>5</v>
      </c>
      <c r="C340" s="37">
        <f t="shared" si="15"/>
        <v>375</v>
      </c>
      <c r="D340" s="132">
        <f t="shared" si="16"/>
        <v>875</v>
      </c>
      <c r="E340" s="132">
        <f t="shared" si="17"/>
        <v>875</v>
      </c>
    </row>
    <row r="341" spans="1:5">
      <c r="A341" s="33" t="s">
        <v>328</v>
      </c>
      <c r="B341" s="36">
        <v>4</v>
      </c>
      <c r="C341" s="37">
        <f t="shared" si="15"/>
        <v>300</v>
      </c>
      <c r="D341" s="132">
        <f t="shared" si="16"/>
        <v>700</v>
      </c>
      <c r="E341" s="132">
        <f t="shared" si="17"/>
        <v>700</v>
      </c>
    </row>
    <row r="342" spans="1:5">
      <c r="A342" s="33" t="s">
        <v>328</v>
      </c>
      <c r="B342" s="36">
        <v>4</v>
      </c>
      <c r="C342" s="37">
        <f t="shared" si="15"/>
        <v>300</v>
      </c>
      <c r="D342" s="132">
        <f t="shared" si="16"/>
        <v>700</v>
      </c>
      <c r="E342" s="132">
        <f t="shared" si="17"/>
        <v>700</v>
      </c>
    </row>
    <row r="343" spans="1:5">
      <c r="A343" s="33" t="s">
        <v>328</v>
      </c>
      <c r="B343" s="36">
        <v>3</v>
      </c>
      <c r="C343" s="37">
        <f t="shared" si="15"/>
        <v>225</v>
      </c>
      <c r="D343" s="132">
        <f t="shared" si="16"/>
        <v>525</v>
      </c>
      <c r="E343" s="132">
        <f t="shared" si="17"/>
        <v>525</v>
      </c>
    </row>
    <row r="344" spans="1:5">
      <c r="A344" s="33" t="s">
        <v>328</v>
      </c>
      <c r="B344" s="36">
        <v>1</v>
      </c>
      <c r="C344" s="37">
        <f t="shared" si="15"/>
        <v>75</v>
      </c>
      <c r="D344" s="132">
        <f t="shared" si="16"/>
        <v>175</v>
      </c>
      <c r="E344" s="132">
        <f t="shared" si="17"/>
        <v>175</v>
      </c>
    </row>
    <row r="345" spans="1:5">
      <c r="A345" s="33" t="s">
        <v>328</v>
      </c>
      <c r="B345" s="36">
        <v>1</v>
      </c>
      <c r="C345" s="37">
        <f t="shared" si="15"/>
        <v>75</v>
      </c>
      <c r="D345" s="132">
        <f t="shared" si="16"/>
        <v>175</v>
      </c>
      <c r="E345" s="132">
        <f t="shared" si="17"/>
        <v>175</v>
      </c>
    </row>
    <row r="346" spans="1:5">
      <c r="A346" s="33" t="s">
        <v>328</v>
      </c>
      <c r="B346" s="36">
        <v>5</v>
      </c>
      <c r="C346" s="37">
        <f t="shared" si="15"/>
        <v>375</v>
      </c>
      <c r="D346" s="132">
        <f t="shared" si="16"/>
        <v>875</v>
      </c>
      <c r="E346" s="132">
        <f t="shared" si="17"/>
        <v>875</v>
      </c>
    </row>
    <row r="347" spans="1:5">
      <c r="A347" s="33" t="s">
        <v>328</v>
      </c>
      <c r="B347" s="36">
        <v>3</v>
      </c>
      <c r="C347" s="37">
        <f t="shared" si="15"/>
        <v>225</v>
      </c>
      <c r="D347" s="132">
        <f t="shared" si="16"/>
        <v>525</v>
      </c>
      <c r="E347" s="132">
        <f t="shared" si="17"/>
        <v>525</v>
      </c>
    </row>
    <row r="348" spans="1:5">
      <c r="A348" s="33" t="s">
        <v>328</v>
      </c>
      <c r="B348" s="36">
        <v>5</v>
      </c>
      <c r="C348" s="37">
        <f t="shared" si="15"/>
        <v>375</v>
      </c>
      <c r="D348" s="132">
        <f t="shared" si="16"/>
        <v>875</v>
      </c>
      <c r="E348" s="132">
        <f t="shared" si="17"/>
        <v>875</v>
      </c>
    </row>
    <row r="349" spans="1:5">
      <c r="A349" s="33" t="s">
        <v>328</v>
      </c>
      <c r="B349" s="36">
        <v>5</v>
      </c>
      <c r="C349" s="37">
        <f t="shared" si="15"/>
        <v>375</v>
      </c>
      <c r="D349" s="132">
        <f t="shared" si="16"/>
        <v>875</v>
      </c>
      <c r="E349" s="132">
        <f t="shared" si="17"/>
        <v>875</v>
      </c>
    </row>
    <row r="350" spans="1:5">
      <c r="A350" s="33" t="s">
        <v>328</v>
      </c>
      <c r="B350" s="36">
        <v>2</v>
      </c>
      <c r="C350" s="37">
        <f t="shared" si="15"/>
        <v>150</v>
      </c>
      <c r="D350" s="132">
        <f t="shared" si="16"/>
        <v>350</v>
      </c>
      <c r="E350" s="132">
        <f t="shared" si="17"/>
        <v>350</v>
      </c>
    </row>
    <row r="351" spans="1:5">
      <c r="A351" s="33" t="s">
        <v>328</v>
      </c>
      <c r="B351" s="36">
        <v>2</v>
      </c>
      <c r="C351" s="37">
        <f t="shared" si="15"/>
        <v>150</v>
      </c>
      <c r="D351" s="132">
        <f t="shared" si="16"/>
        <v>350</v>
      </c>
      <c r="E351" s="132">
        <f t="shared" si="17"/>
        <v>350</v>
      </c>
    </row>
    <row r="352" spans="1:5">
      <c r="A352" s="33" t="s">
        <v>328</v>
      </c>
      <c r="B352" s="36">
        <v>3</v>
      </c>
      <c r="C352" s="37">
        <f t="shared" si="15"/>
        <v>225</v>
      </c>
      <c r="D352" s="132">
        <f t="shared" si="16"/>
        <v>525</v>
      </c>
      <c r="E352" s="132">
        <f t="shared" si="17"/>
        <v>525</v>
      </c>
    </row>
    <row r="353" spans="1:5">
      <c r="A353" s="33" t="s">
        <v>328</v>
      </c>
      <c r="B353" s="36">
        <v>3</v>
      </c>
      <c r="C353" s="37">
        <f t="shared" si="15"/>
        <v>225</v>
      </c>
      <c r="D353" s="132">
        <f t="shared" si="16"/>
        <v>525</v>
      </c>
      <c r="E353" s="132">
        <f t="shared" si="17"/>
        <v>525</v>
      </c>
    </row>
    <row r="354" spans="1:5">
      <c r="A354" s="33" t="s">
        <v>328</v>
      </c>
      <c r="B354" s="36">
        <v>2</v>
      </c>
      <c r="C354" s="37">
        <f t="shared" si="15"/>
        <v>150</v>
      </c>
      <c r="D354" s="132">
        <f t="shared" si="16"/>
        <v>350</v>
      </c>
      <c r="E354" s="132">
        <f t="shared" si="17"/>
        <v>350</v>
      </c>
    </row>
    <row r="355" spans="1:5">
      <c r="A355" s="33" t="s">
        <v>328</v>
      </c>
      <c r="B355" s="36">
        <v>3</v>
      </c>
      <c r="C355" s="37">
        <f t="shared" si="15"/>
        <v>225</v>
      </c>
      <c r="D355" s="132">
        <f t="shared" si="16"/>
        <v>525</v>
      </c>
      <c r="E355" s="132">
        <f t="shared" si="17"/>
        <v>525</v>
      </c>
    </row>
    <row r="356" spans="1:5">
      <c r="A356" s="33" t="s">
        <v>328</v>
      </c>
      <c r="B356" s="36">
        <v>5</v>
      </c>
      <c r="C356" s="37">
        <f t="shared" si="15"/>
        <v>375</v>
      </c>
      <c r="D356" s="132">
        <f t="shared" si="16"/>
        <v>875</v>
      </c>
      <c r="E356" s="132">
        <f t="shared" si="17"/>
        <v>875</v>
      </c>
    </row>
    <row r="357" spans="1:5">
      <c r="A357" s="33" t="s">
        <v>328</v>
      </c>
      <c r="B357" s="36">
        <v>2</v>
      </c>
      <c r="C357" s="37">
        <f t="shared" si="15"/>
        <v>150</v>
      </c>
      <c r="D357" s="132">
        <f t="shared" si="16"/>
        <v>350</v>
      </c>
      <c r="E357" s="132">
        <f t="shared" si="17"/>
        <v>350</v>
      </c>
    </row>
    <row r="358" spans="1:5">
      <c r="A358" s="33" t="s">
        <v>328</v>
      </c>
      <c r="B358" s="36">
        <v>4</v>
      </c>
      <c r="C358" s="37">
        <f t="shared" si="15"/>
        <v>300</v>
      </c>
      <c r="D358" s="132">
        <f t="shared" si="16"/>
        <v>700</v>
      </c>
      <c r="E358" s="132">
        <f t="shared" si="17"/>
        <v>700</v>
      </c>
    </row>
    <row r="359" spans="1:5">
      <c r="A359" s="33" t="s">
        <v>328</v>
      </c>
      <c r="B359" s="36">
        <v>6</v>
      </c>
      <c r="C359" s="37">
        <f t="shared" si="15"/>
        <v>450</v>
      </c>
      <c r="D359" s="132">
        <f t="shared" si="16"/>
        <v>1050</v>
      </c>
      <c r="E359" s="132">
        <f t="shared" si="17"/>
        <v>1050</v>
      </c>
    </row>
    <row r="360" spans="1:5">
      <c r="A360" s="33" t="s">
        <v>328</v>
      </c>
      <c r="B360" s="36">
        <v>5</v>
      </c>
      <c r="C360" s="37">
        <f t="shared" si="15"/>
        <v>375</v>
      </c>
      <c r="D360" s="132">
        <f t="shared" si="16"/>
        <v>875</v>
      </c>
      <c r="E360" s="132">
        <f t="shared" si="17"/>
        <v>875</v>
      </c>
    </row>
    <row r="361" spans="1:5">
      <c r="A361" s="33" t="s">
        <v>328</v>
      </c>
      <c r="B361" s="36">
        <v>2</v>
      </c>
      <c r="C361" s="37">
        <f t="shared" si="15"/>
        <v>150</v>
      </c>
      <c r="D361" s="132">
        <f t="shared" si="16"/>
        <v>350</v>
      </c>
      <c r="E361" s="132">
        <f t="shared" si="17"/>
        <v>350</v>
      </c>
    </row>
    <row r="362" spans="1:5">
      <c r="A362" s="33" t="s">
        <v>328</v>
      </c>
      <c r="B362" s="36">
        <v>1</v>
      </c>
      <c r="C362" s="37">
        <f t="shared" si="15"/>
        <v>75</v>
      </c>
      <c r="D362" s="132">
        <f t="shared" si="16"/>
        <v>175</v>
      </c>
      <c r="E362" s="132">
        <f t="shared" si="17"/>
        <v>175</v>
      </c>
    </row>
    <row r="363" spans="1:5">
      <c r="A363" s="33" t="s">
        <v>328</v>
      </c>
      <c r="B363" s="36">
        <v>2</v>
      </c>
      <c r="C363" s="37">
        <f t="shared" si="15"/>
        <v>150</v>
      </c>
      <c r="D363" s="132">
        <f t="shared" si="16"/>
        <v>350</v>
      </c>
      <c r="E363" s="132">
        <f t="shared" si="17"/>
        <v>350</v>
      </c>
    </row>
    <row r="364" spans="1:5">
      <c r="A364" s="33" t="s">
        <v>328</v>
      </c>
      <c r="B364" s="36">
        <v>3</v>
      </c>
      <c r="C364" s="37">
        <f t="shared" si="15"/>
        <v>225</v>
      </c>
      <c r="D364" s="132">
        <f t="shared" si="16"/>
        <v>525</v>
      </c>
      <c r="E364" s="132">
        <f t="shared" si="17"/>
        <v>525</v>
      </c>
    </row>
    <row r="365" spans="1:5">
      <c r="A365" s="33" t="s">
        <v>328</v>
      </c>
      <c r="B365" s="36">
        <v>7</v>
      </c>
      <c r="C365" s="37">
        <f t="shared" si="15"/>
        <v>525</v>
      </c>
      <c r="D365" s="132">
        <f t="shared" si="16"/>
        <v>1225</v>
      </c>
      <c r="E365" s="132">
        <f t="shared" si="17"/>
        <v>1225</v>
      </c>
    </row>
    <row r="366" spans="1:5">
      <c r="A366" s="33" t="s">
        <v>328</v>
      </c>
      <c r="B366" s="36">
        <v>6</v>
      </c>
      <c r="C366" s="37">
        <f t="shared" si="15"/>
        <v>450</v>
      </c>
      <c r="D366" s="132">
        <f t="shared" si="16"/>
        <v>1050</v>
      </c>
      <c r="E366" s="132">
        <f t="shared" si="17"/>
        <v>1050</v>
      </c>
    </row>
    <row r="367" spans="1:5">
      <c r="A367" s="33" t="s">
        <v>328</v>
      </c>
      <c r="B367" s="36">
        <v>1</v>
      </c>
      <c r="C367" s="37">
        <f t="shared" si="15"/>
        <v>75</v>
      </c>
      <c r="D367" s="132">
        <f t="shared" si="16"/>
        <v>175</v>
      </c>
      <c r="E367" s="132">
        <f t="shared" si="17"/>
        <v>175</v>
      </c>
    </row>
    <row r="368" spans="1:5">
      <c r="A368" s="33" t="s">
        <v>328</v>
      </c>
      <c r="B368" s="36">
        <v>7</v>
      </c>
      <c r="C368" s="37">
        <f t="shared" si="15"/>
        <v>525</v>
      </c>
      <c r="D368" s="132">
        <f t="shared" si="16"/>
        <v>1225</v>
      </c>
      <c r="E368" s="132">
        <f t="shared" si="17"/>
        <v>1225</v>
      </c>
    </row>
    <row r="369" spans="1:5">
      <c r="A369" s="33" t="s">
        <v>328</v>
      </c>
      <c r="B369" s="36">
        <v>2</v>
      </c>
      <c r="C369" s="37">
        <f t="shared" si="15"/>
        <v>150</v>
      </c>
      <c r="D369" s="132">
        <f t="shared" si="16"/>
        <v>350</v>
      </c>
      <c r="E369" s="132">
        <f t="shared" si="17"/>
        <v>350</v>
      </c>
    </row>
    <row r="370" spans="1:5">
      <c r="A370" s="33" t="s">
        <v>328</v>
      </c>
      <c r="B370" s="36">
        <v>5</v>
      </c>
      <c r="C370" s="37">
        <f t="shared" si="15"/>
        <v>375</v>
      </c>
      <c r="D370" s="132">
        <f t="shared" si="16"/>
        <v>875</v>
      </c>
      <c r="E370" s="132">
        <f t="shared" si="17"/>
        <v>875</v>
      </c>
    </row>
    <row r="371" spans="1:5">
      <c r="A371" s="33" t="s">
        <v>328</v>
      </c>
      <c r="B371" s="36">
        <v>3</v>
      </c>
      <c r="C371" s="37">
        <f t="shared" si="15"/>
        <v>225</v>
      </c>
      <c r="D371" s="132">
        <f t="shared" si="16"/>
        <v>525</v>
      </c>
      <c r="E371" s="132">
        <f t="shared" si="17"/>
        <v>525</v>
      </c>
    </row>
    <row r="372" spans="1:5">
      <c r="A372" s="33" t="s">
        <v>328</v>
      </c>
      <c r="B372" s="36">
        <v>8</v>
      </c>
      <c r="C372" s="37">
        <f t="shared" si="15"/>
        <v>600</v>
      </c>
      <c r="D372" s="132">
        <f t="shared" si="16"/>
        <v>1400</v>
      </c>
      <c r="E372" s="132">
        <f t="shared" si="17"/>
        <v>1400</v>
      </c>
    </row>
    <row r="373" spans="1:5">
      <c r="A373" s="33" t="s">
        <v>328</v>
      </c>
      <c r="B373" s="36">
        <v>4</v>
      </c>
      <c r="C373" s="37">
        <f t="shared" si="15"/>
        <v>300</v>
      </c>
      <c r="D373" s="132">
        <f t="shared" si="16"/>
        <v>700</v>
      </c>
      <c r="E373" s="132">
        <f t="shared" si="17"/>
        <v>700</v>
      </c>
    </row>
    <row r="374" spans="1:5">
      <c r="A374" s="33" t="s">
        <v>328</v>
      </c>
      <c r="B374" s="36">
        <v>2</v>
      </c>
      <c r="C374" s="37">
        <f t="shared" si="15"/>
        <v>150</v>
      </c>
      <c r="D374" s="132">
        <f t="shared" si="16"/>
        <v>350</v>
      </c>
      <c r="E374" s="132">
        <f t="shared" si="17"/>
        <v>350</v>
      </c>
    </row>
    <row r="375" spans="1:5">
      <c r="A375" s="33" t="s">
        <v>328</v>
      </c>
      <c r="B375" s="36">
        <v>2</v>
      </c>
      <c r="C375" s="37">
        <f t="shared" si="15"/>
        <v>150</v>
      </c>
      <c r="D375" s="132">
        <f t="shared" si="16"/>
        <v>350</v>
      </c>
      <c r="E375" s="132">
        <f t="shared" si="17"/>
        <v>350</v>
      </c>
    </row>
    <row r="376" spans="1:5">
      <c r="A376" s="33" t="s">
        <v>328</v>
      </c>
      <c r="B376" s="36">
        <v>4</v>
      </c>
      <c r="C376" s="37">
        <f t="shared" si="15"/>
        <v>300</v>
      </c>
      <c r="D376" s="132">
        <f t="shared" si="16"/>
        <v>700</v>
      </c>
      <c r="E376" s="132">
        <f t="shared" si="17"/>
        <v>700</v>
      </c>
    </row>
    <row r="377" spans="1:5">
      <c r="A377" s="33" t="s">
        <v>328</v>
      </c>
      <c r="B377" s="36">
        <v>5</v>
      </c>
      <c r="C377" s="37">
        <f t="shared" si="15"/>
        <v>375</v>
      </c>
      <c r="D377" s="132">
        <f t="shared" si="16"/>
        <v>875</v>
      </c>
      <c r="E377" s="132">
        <f t="shared" si="17"/>
        <v>875</v>
      </c>
    </row>
    <row r="378" spans="1:5">
      <c r="A378" s="33" t="s">
        <v>328</v>
      </c>
      <c r="B378" s="36">
        <v>2</v>
      </c>
      <c r="C378" s="37">
        <f t="shared" si="15"/>
        <v>150</v>
      </c>
      <c r="D378" s="132">
        <f t="shared" si="16"/>
        <v>350</v>
      </c>
      <c r="E378" s="132">
        <f t="shared" si="17"/>
        <v>350</v>
      </c>
    </row>
    <row r="379" spans="1:5">
      <c r="A379" s="33" t="s">
        <v>328</v>
      </c>
      <c r="B379" s="36">
        <v>2</v>
      </c>
      <c r="C379" s="37">
        <f t="shared" si="15"/>
        <v>150</v>
      </c>
      <c r="D379" s="132">
        <f t="shared" si="16"/>
        <v>350</v>
      </c>
      <c r="E379" s="132">
        <f t="shared" si="17"/>
        <v>350</v>
      </c>
    </row>
    <row r="380" spans="1:5">
      <c r="A380" s="33" t="s">
        <v>328</v>
      </c>
      <c r="B380" s="36">
        <v>7</v>
      </c>
      <c r="C380" s="37">
        <f t="shared" si="15"/>
        <v>525</v>
      </c>
      <c r="D380" s="132">
        <f t="shared" si="16"/>
        <v>1225</v>
      </c>
      <c r="E380" s="132">
        <f t="shared" si="17"/>
        <v>1225</v>
      </c>
    </row>
    <row r="381" spans="1:5">
      <c r="A381" s="33" t="s">
        <v>328</v>
      </c>
      <c r="B381" s="36">
        <v>3</v>
      </c>
      <c r="C381" s="37">
        <f t="shared" si="15"/>
        <v>225</v>
      </c>
      <c r="D381" s="132">
        <f t="shared" si="16"/>
        <v>525</v>
      </c>
      <c r="E381" s="132">
        <f t="shared" si="17"/>
        <v>525</v>
      </c>
    </row>
    <row r="382" spans="1:5">
      <c r="A382" s="33" t="s">
        <v>328</v>
      </c>
      <c r="B382" s="36">
        <v>7</v>
      </c>
      <c r="C382" s="37">
        <f t="shared" si="15"/>
        <v>525</v>
      </c>
      <c r="D382" s="132">
        <f t="shared" si="16"/>
        <v>1225</v>
      </c>
      <c r="E382" s="132">
        <f t="shared" si="17"/>
        <v>1225</v>
      </c>
    </row>
    <row r="383" spans="1:5">
      <c r="A383" s="33" t="s">
        <v>328</v>
      </c>
      <c r="B383" s="36">
        <v>2</v>
      </c>
      <c r="C383" s="37">
        <f t="shared" si="15"/>
        <v>150</v>
      </c>
      <c r="D383" s="132">
        <f t="shared" si="16"/>
        <v>350</v>
      </c>
      <c r="E383" s="132">
        <f t="shared" si="17"/>
        <v>350</v>
      </c>
    </row>
    <row r="384" spans="1:5">
      <c r="A384" s="33" t="s">
        <v>328</v>
      </c>
      <c r="B384" s="36">
        <v>3</v>
      </c>
      <c r="C384" s="37">
        <f t="shared" si="15"/>
        <v>225</v>
      </c>
      <c r="D384" s="132">
        <f t="shared" si="16"/>
        <v>525</v>
      </c>
      <c r="E384" s="132">
        <f t="shared" si="17"/>
        <v>525</v>
      </c>
    </row>
    <row r="385" spans="1:5">
      <c r="A385" s="33" t="s">
        <v>328</v>
      </c>
      <c r="B385" s="36">
        <v>10</v>
      </c>
      <c r="C385" s="37">
        <f t="shared" si="15"/>
        <v>750</v>
      </c>
      <c r="D385" s="132">
        <f t="shared" si="16"/>
        <v>1750</v>
      </c>
      <c r="E385" s="132">
        <f t="shared" si="17"/>
        <v>1750</v>
      </c>
    </row>
    <row r="386" spans="1:5">
      <c r="A386" s="33" t="s">
        <v>328</v>
      </c>
      <c r="B386" s="36">
        <v>3</v>
      </c>
      <c r="C386" s="37">
        <f t="shared" si="15"/>
        <v>225</v>
      </c>
      <c r="D386" s="132">
        <f t="shared" si="16"/>
        <v>525</v>
      </c>
      <c r="E386" s="132">
        <f t="shared" si="17"/>
        <v>525</v>
      </c>
    </row>
    <row r="387" spans="1:5">
      <c r="A387" s="33" t="s">
        <v>328</v>
      </c>
      <c r="B387" s="36">
        <v>4</v>
      </c>
      <c r="C387" s="37">
        <f t="shared" si="15"/>
        <v>300</v>
      </c>
      <c r="D387" s="132">
        <f t="shared" si="16"/>
        <v>700</v>
      </c>
      <c r="E387" s="132">
        <f t="shared" si="17"/>
        <v>700</v>
      </c>
    </row>
    <row r="388" spans="1:5">
      <c r="A388" s="33" t="s">
        <v>328</v>
      </c>
      <c r="B388" s="36">
        <v>4</v>
      </c>
      <c r="C388" s="37">
        <f t="shared" si="15"/>
        <v>300</v>
      </c>
      <c r="D388" s="132">
        <f t="shared" si="16"/>
        <v>700</v>
      </c>
      <c r="E388" s="132">
        <f t="shared" si="17"/>
        <v>700</v>
      </c>
    </row>
    <row r="389" spans="1:5">
      <c r="A389" s="33" t="s">
        <v>328</v>
      </c>
      <c r="B389" s="36">
        <v>7</v>
      </c>
      <c r="C389" s="37">
        <f t="shared" si="15"/>
        <v>525</v>
      </c>
      <c r="D389" s="132">
        <f t="shared" si="16"/>
        <v>1225</v>
      </c>
      <c r="E389" s="132">
        <f t="shared" si="17"/>
        <v>1225</v>
      </c>
    </row>
    <row r="390" spans="1:5">
      <c r="A390" s="33" t="s">
        <v>328</v>
      </c>
      <c r="B390" s="36">
        <v>5</v>
      </c>
      <c r="C390" s="37">
        <f t="shared" si="15"/>
        <v>375</v>
      </c>
      <c r="D390" s="132">
        <f t="shared" si="16"/>
        <v>875</v>
      </c>
      <c r="E390" s="132">
        <f t="shared" si="17"/>
        <v>875</v>
      </c>
    </row>
    <row r="391" spans="1:5">
      <c r="A391" s="33" t="s">
        <v>328</v>
      </c>
      <c r="B391" s="36">
        <v>3</v>
      </c>
      <c r="C391" s="37">
        <f t="shared" ref="C391:C454" si="18">B391*75</f>
        <v>225</v>
      </c>
      <c r="D391" s="132">
        <f t="shared" ref="D391:D454" si="19">B391*250-C391</f>
        <v>525</v>
      </c>
      <c r="E391" s="132">
        <f t="shared" ref="E391:E454" si="20">B391*250-C391</f>
        <v>525</v>
      </c>
    </row>
    <row r="392" spans="1:5">
      <c r="A392" s="33" t="s">
        <v>328</v>
      </c>
      <c r="B392" s="36">
        <v>5</v>
      </c>
      <c r="C392" s="37">
        <f t="shared" si="18"/>
        <v>375</v>
      </c>
      <c r="D392" s="132">
        <f t="shared" si="19"/>
        <v>875</v>
      </c>
      <c r="E392" s="132">
        <f t="shared" si="20"/>
        <v>875</v>
      </c>
    </row>
    <row r="393" spans="1:5">
      <c r="A393" s="33" t="s">
        <v>328</v>
      </c>
      <c r="B393" s="36">
        <v>6</v>
      </c>
      <c r="C393" s="37">
        <f t="shared" si="18"/>
        <v>450</v>
      </c>
      <c r="D393" s="132">
        <f t="shared" si="19"/>
        <v>1050</v>
      </c>
      <c r="E393" s="132">
        <f t="shared" si="20"/>
        <v>1050</v>
      </c>
    </row>
    <row r="394" spans="1:5">
      <c r="A394" s="33" t="s">
        <v>328</v>
      </c>
      <c r="B394" s="36">
        <v>1</v>
      </c>
      <c r="C394" s="37">
        <f t="shared" si="18"/>
        <v>75</v>
      </c>
      <c r="D394" s="132">
        <f t="shared" si="19"/>
        <v>175</v>
      </c>
      <c r="E394" s="132">
        <f t="shared" si="20"/>
        <v>175</v>
      </c>
    </row>
    <row r="395" spans="1:5">
      <c r="A395" s="33" t="s">
        <v>328</v>
      </c>
      <c r="B395" s="36">
        <v>1</v>
      </c>
      <c r="C395" s="37">
        <f t="shared" si="18"/>
        <v>75</v>
      </c>
      <c r="D395" s="132">
        <f t="shared" si="19"/>
        <v>175</v>
      </c>
      <c r="E395" s="132">
        <f t="shared" si="20"/>
        <v>175</v>
      </c>
    </row>
    <row r="396" spans="1:5">
      <c r="A396" s="33" t="s">
        <v>328</v>
      </c>
      <c r="B396" s="36">
        <v>11</v>
      </c>
      <c r="C396" s="37">
        <f t="shared" si="18"/>
        <v>825</v>
      </c>
      <c r="D396" s="132">
        <f t="shared" si="19"/>
        <v>1925</v>
      </c>
      <c r="E396" s="132">
        <f t="shared" si="20"/>
        <v>1925</v>
      </c>
    </row>
    <row r="397" spans="1:5">
      <c r="A397" s="33" t="s">
        <v>328</v>
      </c>
      <c r="B397" s="36">
        <v>3</v>
      </c>
      <c r="C397" s="37">
        <f t="shared" si="18"/>
        <v>225</v>
      </c>
      <c r="D397" s="132">
        <f t="shared" si="19"/>
        <v>525</v>
      </c>
      <c r="E397" s="132">
        <f t="shared" si="20"/>
        <v>525</v>
      </c>
    </row>
    <row r="398" spans="1:5">
      <c r="A398" s="33" t="s">
        <v>328</v>
      </c>
      <c r="B398" s="36">
        <v>3</v>
      </c>
      <c r="C398" s="37">
        <f t="shared" si="18"/>
        <v>225</v>
      </c>
      <c r="D398" s="132">
        <f t="shared" si="19"/>
        <v>525</v>
      </c>
      <c r="E398" s="132">
        <f t="shared" si="20"/>
        <v>525</v>
      </c>
    </row>
    <row r="399" spans="1:5">
      <c r="A399" s="33" t="s">
        <v>328</v>
      </c>
      <c r="B399" s="36">
        <v>3</v>
      </c>
      <c r="C399" s="37">
        <f t="shared" si="18"/>
        <v>225</v>
      </c>
      <c r="D399" s="132">
        <f t="shared" si="19"/>
        <v>525</v>
      </c>
      <c r="E399" s="132">
        <f t="shared" si="20"/>
        <v>525</v>
      </c>
    </row>
    <row r="400" spans="1:5">
      <c r="A400" s="33" t="s">
        <v>328</v>
      </c>
      <c r="B400" s="36">
        <v>6</v>
      </c>
      <c r="C400" s="37">
        <f t="shared" si="18"/>
        <v>450</v>
      </c>
      <c r="D400" s="132">
        <f t="shared" si="19"/>
        <v>1050</v>
      </c>
      <c r="E400" s="132">
        <f t="shared" si="20"/>
        <v>1050</v>
      </c>
    </row>
    <row r="401" spans="1:5">
      <c r="A401" s="33" t="s">
        <v>328</v>
      </c>
      <c r="B401" s="36">
        <v>6</v>
      </c>
      <c r="C401" s="37">
        <f t="shared" si="18"/>
        <v>450</v>
      </c>
      <c r="D401" s="132">
        <f t="shared" si="19"/>
        <v>1050</v>
      </c>
      <c r="E401" s="132">
        <f t="shared" si="20"/>
        <v>1050</v>
      </c>
    </row>
    <row r="402" spans="1:5">
      <c r="A402" s="33" t="s">
        <v>328</v>
      </c>
      <c r="B402" s="36">
        <v>1</v>
      </c>
      <c r="C402" s="37">
        <f t="shared" si="18"/>
        <v>75</v>
      </c>
      <c r="D402" s="132">
        <f t="shared" si="19"/>
        <v>175</v>
      </c>
      <c r="E402" s="132">
        <f t="shared" si="20"/>
        <v>175</v>
      </c>
    </row>
    <row r="403" spans="1:5">
      <c r="A403" s="33" t="s">
        <v>328</v>
      </c>
      <c r="B403" s="36">
        <v>3</v>
      </c>
      <c r="C403" s="37">
        <f t="shared" si="18"/>
        <v>225</v>
      </c>
      <c r="D403" s="132">
        <f t="shared" si="19"/>
        <v>525</v>
      </c>
      <c r="E403" s="132">
        <f t="shared" si="20"/>
        <v>525</v>
      </c>
    </row>
    <row r="404" spans="1:5">
      <c r="A404" s="33" t="s">
        <v>328</v>
      </c>
      <c r="B404" s="36">
        <v>1</v>
      </c>
      <c r="C404" s="37">
        <f t="shared" si="18"/>
        <v>75</v>
      </c>
      <c r="D404" s="132">
        <f t="shared" si="19"/>
        <v>175</v>
      </c>
      <c r="E404" s="132">
        <f t="shared" si="20"/>
        <v>175</v>
      </c>
    </row>
    <row r="405" spans="1:5">
      <c r="A405" s="33" t="s">
        <v>328</v>
      </c>
      <c r="B405" s="36">
        <v>1</v>
      </c>
      <c r="C405" s="37">
        <f t="shared" si="18"/>
        <v>75</v>
      </c>
      <c r="D405" s="132">
        <f t="shared" si="19"/>
        <v>175</v>
      </c>
      <c r="E405" s="132">
        <f t="shared" si="20"/>
        <v>175</v>
      </c>
    </row>
    <row r="406" spans="1:5">
      <c r="A406" s="33" t="s">
        <v>328</v>
      </c>
      <c r="B406" s="36">
        <v>4</v>
      </c>
      <c r="C406" s="37">
        <f t="shared" si="18"/>
        <v>300</v>
      </c>
      <c r="D406" s="132">
        <f t="shared" si="19"/>
        <v>700</v>
      </c>
      <c r="E406" s="132">
        <f t="shared" si="20"/>
        <v>700</v>
      </c>
    </row>
    <row r="407" spans="1:5">
      <c r="A407" s="33" t="s">
        <v>328</v>
      </c>
      <c r="B407" s="36">
        <v>6</v>
      </c>
      <c r="C407" s="37">
        <f t="shared" si="18"/>
        <v>450</v>
      </c>
      <c r="D407" s="132">
        <f t="shared" si="19"/>
        <v>1050</v>
      </c>
      <c r="E407" s="132">
        <f t="shared" si="20"/>
        <v>1050</v>
      </c>
    </row>
    <row r="408" spans="1:5">
      <c r="A408" s="33" t="s">
        <v>328</v>
      </c>
      <c r="B408" s="36">
        <v>3</v>
      </c>
      <c r="C408" s="37">
        <f t="shared" si="18"/>
        <v>225</v>
      </c>
      <c r="D408" s="132">
        <f t="shared" si="19"/>
        <v>525</v>
      </c>
      <c r="E408" s="132">
        <f t="shared" si="20"/>
        <v>525</v>
      </c>
    </row>
    <row r="409" spans="1:5">
      <c r="A409" s="33" t="s">
        <v>328</v>
      </c>
      <c r="B409" s="36">
        <v>1</v>
      </c>
      <c r="C409" s="37">
        <f t="shared" si="18"/>
        <v>75</v>
      </c>
      <c r="D409" s="132">
        <f t="shared" si="19"/>
        <v>175</v>
      </c>
      <c r="E409" s="132">
        <f t="shared" si="20"/>
        <v>175</v>
      </c>
    </row>
    <row r="410" spans="1:5">
      <c r="A410" s="33" t="s">
        <v>328</v>
      </c>
      <c r="B410" s="36">
        <v>2</v>
      </c>
      <c r="C410" s="37">
        <f t="shared" si="18"/>
        <v>150</v>
      </c>
      <c r="D410" s="132">
        <f t="shared" si="19"/>
        <v>350</v>
      </c>
      <c r="E410" s="132">
        <f t="shared" si="20"/>
        <v>350</v>
      </c>
    </row>
    <row r="411" spans="1:5">
      <c r="A411" s="33" t="s">
        <v>328</v>
      </c>
      <c r="B411" s="36">
        <v>4</v>
      </c>
      <c r="C411" s="37">
        <f t="shared" si="18"/>
        <v>300</v>
      </c>
      <c r="D411" s="132">
        <f t="shared" si="19"/>
        <v>700</v>
      </c>
      <c r="E411" s="132">
        <f t="shared" si="20"/>
        <v>700</v>
      </c>
    </row>
    <row r="412" spans="1:5">
      <c r="A412" s="33" t="s">
        <v>328</v>
      </c>
      <c r="B412" s="36">
        <v>3</v>
      </c>
      <c r="C412" s="37">
        <f t="shared" si="18"/>
        <v>225</v>
      </c>
      <c r="D412" s="132">
        <f t="shared" si="19"/>
        <v>525</v>
      </c>
      <c r="E412" s="132">
        <f t="shared" si="20"/>
        <v>525</v>
      </c>
    </row>
    <row r="413" spans="1:5">
      <c r="A413" s="33" t="s">
        <v>328</v>
      </c>
      <c r="B413" s="36">
        <v>4</v>
      </c>
      <c r="C413" s="37">
        <f t="shared" si="18"/>
        <v>300</v>
      </c>
      <c r="D413" s="132">
        <f t="shared" si="19"/>
        <v>700</v>
      </c>
      <c r="E413" s="132">
        <f t="shared" si="20"/>
        <v>700</v>
      </c>
    </row>
    <row r="414" spans="1:5">
      <c r="A414" s="33" t="s">
        <v>328</v>
      </c>
      <c r="B414" s="36">
        <v>8</v>
      </c>
      <c r="C414" s="37">
        <f t="shared" si="18"/>
        <v>600</v>
      </c>
      <c r="D414" s="132">
        <f t="shared" si="19"/>
        <v>1400</v>
      </c>
      <c r="E414" s="132">
        <f t="shared" si="20"/>
        <v>1400</v>
      </c>
    </row>
    <row r="415" spans="1:5">
      <c r="A415" s="33" t="s">
        <v>328</v>
      </c>
      <c r="B415" s="36">
        <v>6</v>
      </c>
      <c r="C415" s="37">
        <f t="shared" si="18"/>
        <v>450</v>
      </c>
      <c r="D415" s="132">
        <f t="shared" si="19"/>
        <v>1050</v>
      </c>
      <c r="E415" s="132">
        <f t="shared" si="20"/>
        <v>1050</v>
      </c>
    </row>
    <row r="416" spans="1:5">
      <c r="A416" s="33" t="s">
        <v>328</v>
      </c>
      <c r="B416" s="36">
        <v>3</v>
      </c>
      <c r="C416" s="37">
        <f t="shared" si="18"/>
        <v>225</v>
      </c>
      <c r="D416" s="132">
        <f t="shared" si="19"/>
        <v>525</v>
      </c>
      <c r="E416" s="132">
        <f t="shared" si="20"/>
        <v>525</v>
      </c>
    </row>
    <row r="417" spans="1:5">
      <c r="A417" s="33" t="s">
        <v>328</v>
      </c>
      <c r="B417" s="36">
        <v>4</v>
      </c>
      <c r="C417" s="37">
        <f t="shared" si="18"/>
        <v>300</v>
      </c>
      <c r="D417" s="132">
        <f t="shared" si="19"/>
        <v>700</v>
      </c>
      <c r="E417" s="132">
        <f t="shared" si="20"/>
        <v>700</v>
      </c>
    </row>
    <row r="418" spans="1:5">
      <c r="A418" s="33" t="s">
        <v>328</v>
      </c>
      <c r="B418" s="36">
        <v>2</v>
      </c>
      <c r="C418" s="37">
        <f t="shared" si="18"/>
        <v>150</v>
      </c>
      <c r="D418" s="132">
        <f t="shared" si="19"/>
        <v>350</v>
      </c>
      <c r="E418" s="132">
        <f t="shared" si="20"/>
        <v>350</v>
      </c>
    </row>
    <row r="419" spans="1:5">
      <c r="A419" s="33" t="s">
        <v>328</v>
      </c>
      <c r="B419" s="36">
        <v>3</v>
      </c>
      <c r="C419" s="37">
        <f t="shared" si="18"/>
        <v>225</v>
      </c>
      <c r="D419" s="132">
        <f t="shared" si="19"/>
        <v>525</v>
      </c>
      <c r="E419" s="132">
        <f t="shared" si="20"/>
        <v>525</v>
      </c>
    </row>
    <row r="420" spans="1:5">
      <c r="A420" s="33" t="s">
        <v>328</v>
      </c>
      <c r="B420" s="36">
        <v>2</v>
      </c>
      <c r="C420" s="37">
        <f t="shared" si="18"/>
        <v>150</v>
      </c>
      <c r="D420" s="132">
        <f t="shared" si="19"/>
        <v>350</v>
      </c>
      <c r="E420" s="132">
        <f t="shared" si="20"/>
        <v>350</v>
      </c>
    </row>
    <row r="421" spans="1:5">
      <c r="A421" s="33" t="s">
        <v>328</v>
      </c>
      <c r="B421" s="36">
        <v>4</v>
      </c>
      <c r="C421" s="37">
        <f t="shared" si="18"/>
        <v>300</v>
      </c>
      <c r="D421" s="132">
        <f t="shared" si="19"/>
        <v>700</v>
      </c>
      <c r="E421" s="132">
        <f t="shared" si="20"/>
        <v>700</v>
      </c>
    </row>
    <row r="422" spans="1:5">
      <c r="A422" s="33" t="s">
        <v>328</v>
      </c>
      <c r="B422" s="36">
        <v>4</v>
      </c>
      <c r="C422" s="37">
        <f t="shared" si="18"/>
        <v>300</v>
      </c>
      <c r="D422" s="132">
        <f t="shared" si="19"/>
        <v>700</v>
      </c>
      <c r="E422" s="132">
        <f t="shared" si="20"/>
        <v>700</v>
      </c>
    </row>
    <row r="423" spans="1:5">
      <c r="A423" s="33" t="s">
        <v>328</v>
      </c>
      <c r="B423" s="36">
        <v>6</v>
      </c>
      <c r="C423" s="37">
        <f t="shared" si="18"/>
        <v>450</v>
      </c>
      <c r="D423" s="132">
        <f t="shared" si="19"/>
        <v>1050</v>
      </c>
      <c r="E423" s="132">
        <f t="shared" si="20"/>
        <v>1050</v>
      </c>
    </row>
    <row r="424" spans="1:5">
      <c r="A424" s="33" t="s">
        <v>328</v>
      </c>
      <c r="B424" s="36">
        <v>5</v>
      </c>
      <c r="C424" s="37">
        <f t="shared" si="18"/>
        <v>375</v>
      </c>
      <c r="D424" s="132">
        <f t="shared" si="19"/>
        <v>875</v>
      </c>
      <c r="E424" s="132">
        <f t="shared" si="20"/>
        <v>875</v>
      </c>
    </row>
    <row r="425" spans="1:5">
      <c r="A425" s="33" t="s">
        <v>328</v>
      </c>
      <c r="B425" s="36">
        <v>1</v>
      </c>
      <c r="C425" s="37">
        <f t="shared" si="18"/>
        <v>75</v>
      </c>
      <c r="D425" s="132">
        <f t="shared" si="19"/>
        <v>175</v>
      </c>
      <c r="E425" s="132">
        <f t="shared" si="20"/>
        <v>175</v>
      </c>
    </row>
    <row r="426" spans="1:5">
      <c r="A426" s="33" t="s">
        <v>328</v>
      </c>
      <c r="B426" s="36">
        <v>4</v>
      </c>
      <c r="C426" s="37">
        <f t="shared" si="18"/>
        <v>300</v>
      </c>
      <c r="D426" s="132">
        <f t="shared" si="19"/>
        <v>700</v>
      </c>
      <c r="E426" s="132">
        <f t="shared" si="20"/>
        <v>700</v>
      </c>
    </row>
    <row r="427" spans="1:5">
      <c r="A427" s="33" t="s">
        <v>328</v>
      </c>
      <c r="B427" s="36">
        <v>6</v>
      </c>
      <c r="C427" s="37">
        <f t="shared" si="18"/>
        <v>450</v>
      </c>
      <c r="D427" s="132">
        <f t="shared" si="19"/>
        <v>1050</v>
      </c>
      <c r="E427" s="132">
        <f t="shared" si="20"/>
        <v>1050</v>
      </c>
    </row>
    <row r="428" spans="1:5">
      <c r="A428" s="33" t="s">
        <v>328</v>
      </c>
      <c r="B428" s="36">
        <v>1</v>
      </c>
      <c r="C428" s="37">
        <f t="shared" si="18"/>
        <v>75</v>
      </c>
      <c r="D428" s="132">
        <f t="shared" si="19"/>
        <v>175</v>
      </c>
      <c r="E428" s="132">
        <f t="shared" si="20"/>
        <v>175</v>
      </c>
    </row>
    <row r="429" spans="1:5">
      <c r="A429" s="33" t="s">
        <v>328</v>
      </c>
      <c r="B429" s="36">
        <v>2</v>
      </c>
      <c r="C429" s="37">
        <f t="shared" si="18"/>
        <v>150</v>
      </c>
      <c r="D429" s="132">
        <f t="shared" si="19"/>
        <v>350</v>
      </c>
      <c r="E429" s="132">
        <f t="shared" si="20"/>
        <v>350</v>
      </c>
    </row>
    <row r="430" spans="1:5">
      <c r="A430" s="33" t="s">
        <v>328</v>
      </c>
      <c r="B430" s="36">
        <v>2</v>
      </c>
      <c r="C430" s="37">
        <f t="shared" si="18"/>
        <v>150</v>
      </c>
      <c r="D430" s="132">
        <f t="shared" si="19"/>
        <v>350</v>
      </c>
      <c r="E430" s="132">
        <f t="shared" si="20"/>
        <v>350</v>
      </c>
    </row>
    <row r="431" spans="1:5">
      <c r="A431" s="33" t="s">
        <v>328</v>
      </c>
      <c r="B431" s="36">
        <v>2</v>
      </c>
      <c r="C431" s="37">
        <f t="shared" si="18"/>
        <v>150</v>
      </c>
      <c r="D431" s="132">
        <f t="shared" si="19"/>
        <v>350</v>
      </c>
      <c r="E431" s="132">
        <f t="shared" si="20"/>
        <v>350</v>
      </c>
    </row>
    <row r="432" spans="1:5">
      <c r="A432" s="33" t="s">
        <v>328</v>
      </c>
      <c r="B432" s="36">
        <v>2</v>
      </c>
      <c r="C432" s="37">
        <f t="shared" si="18"/>
        <v>150</v>
      </c>
      <c r="D432" s="132">
        <f t="shared" si="19"/>
        <v>350</v>
      </c>
      <c r="E432" s="132">
        <f t="shared" si="20"/>
        <v>350</v>
      </c>
    </row>
    <row r="433" spans="1:5">
      <c r="A433" s="33" t="s">
        <v>328</v>
      </c>
      <c r="B433" s="36">
        <v>3</v>
      </c>
      <c r="C433" s="37">
        <f t="shared" si="18"/>
        <v>225</v>
      </c>
      <c r="D433" s="132">
        <f t="shared" si="19"/>
        <v>525</v>
      </c>
      <c r="E433" s="132">
        <f t="shared" si="20"/>
        <v>525</v>
      </c>
    </row>
    <row r="434" spans="1:5">
      <c r="A434" s="33" t="s">
        <v>328</v>
      </c>
      <c r="B434" s="36">
        <v>11</v>
      </c>
      <c r="C434" s="37">
        <f t="shared" si="18"/>
        <v>825</v>
      </c>
      <c r="D434" s="132">
        <f t="shared" si="19"/>
        <v>1925</v>
      </c>
      <c r="E434" s="132">
        <f t="shared" si="20"/>
        <v>1925</v>
      </c>
    </row>
    <row r="435" spans="1:5">
      <c r="A435" s="33" t="s">
        <v>328</v>
      </c>
      <c r="B435" s="36">
        <v>5</v>
      </c>
      <c r="C435" s="37">
        <f t="shared" si="18"/>
        <v>375</v>
      </c>
      <c r="D435" s="132">
        <f t="shared" si="19"/>
        <v>875</v>
      </c>
      <c r="E435" s="132">
        <f t="shared" si="20"/>
        <v>875</v>
      </c>
    </row>
    <row r="436" spans="1:5">
      <c r="A436" s="33" t="s">
        <v>328</v>
      </c>
      <c r="B436" s="36">
        <v>2</v>
      </c>
      <c r="C436" s="37">
        <f t="shared" si="18"/>
        <v>150</v>
      </c>
      <c r="D436" s="132">
        <f t="shared" si="19"/>
        <v>350</v>
      </c>
      <c r="E436" s="132">
        <f t="shared" si="20"/>
        <v>350</v>
      </c>
    </row>
    <row r="437" spans="1:5">
      <c r="A437" s="33" t="s">
        <v>328</v>
      </c>
      <c r="B437" s="36">
        <v>1</v>
      </c>
      <c r="C437" s="37">
        <f t="shared" si="18"/>
        <v>75</v>
      </c>
      <c r="D437" s="132">
        <f t="shared" si="19"/>
        <v>175</v>
      </c>
      <c r="E437" s="132">
        <f t="shared" si="20"/>
        <v>175</v>
      </c>
    </row>
    <row r="438" spans="1:5">
      <c r="A438" s="33" t="s">
        <v>328</v>
      </c>
      <c r="B438" s="36">
        <v>11</v>
      </c>
      <c r="C438" s="37">
        <f t="shared" si="18"/>
        <v>825</v>
      </c>
      <c r="D438" s="132">
        <f t="shared" si="19"/>
        <v>1925</v>
      </c>
      <c r="E438" s="132">
        <f t="shared" si="20"/>
        <v>1925</v>
      </c>
    </row>
    <row r="439" spans="1:5">
      <c r="A439" s="33" t="s">
        <v>328</v>
      </c>
      <c r="B439" s="36">
        <v>3</v>
      </c>
      <c r="C439" s="37">
        <f t="shared" si="18"/>
        <v>225</v>
      </c>
      <c r="D439" s="132">
        <f t="shared" si="19"/>
        <v>525</v>
      </c>
      <c r="E439" s="132">
        <f t="shared" si="20"/>
        <v>525</v>
      </c>
    </row>
    <row r="440" spans="1:5">
      <c r="A440" s="33" t="s">
        <v>328</v>
      </c>
      <c r="B440" s="36">
        <v>3</v>
      </c>
      <c r="C440" s="37">
        <f t="shared" si="18"/>
        <v>225</v>
      </c>
      <c r="D440" s="132">
        <f t="shared" si="19"/>
        <v>525</v>
      </c>
      <c r="E440" s="132">
        <f t="shared" si="20"/>
        <v>525</v>
      </c>
    </row>
    <row r="441" spans="1:5">
      <c r="A441" s="33" t="s">
        <v>328</v>
      </c>
      <c r="B441" s="36">
        <v>2</v>
      </c>
      <c r="C441" s="37">
        <f t="shared" si="18"/>
        <v>150</v>
      </c>
      <c r="D441" s="132">
        <f t="shared" si="19"/>
        <v>350</v>
      </c>
      <c r="E441" s="132">
        <f t="shared" si="20"/>
        <v>350</v>
      </c>
    </row>
    <row r="442" spans="1:5">
      <c r="A442" s="33" t="s">
        <v>328</v>
      </c>
      <c r="B442" s="36">
        <v>2</v>
      </c>
      <c r="C442" s="37">
        <f t="shared" si="18"/>
        <v>150</v>
      </c>
      <c r="D442" s="132">
        <f t="shared" si="19"/>
        <v>350</v>
      </c>
      <c r="E442" s="132">
        <f t="shared" si="20"/>
        <v>350</v>
      </c>
    </row>
    <row r="443" spans="1:5">
      <c r="A443" s="33" t="s">
        <v>328</v>
      </c>
      <c r="B443" s="36">
        <v>8</v>
      </c>
      <c r="C443" s="37">
        <f t="shared" si="18"/>
        <v>600</v>
      </c>
      <c r="D443" s="132">
        <f t="shared" si="19"/>
        <v>1400</v>
      </c>
      <c r="E443" s="132">
        <f t="shared" si="20"/>
        <v>1400</v>
      </c>
    </row>
    <row r="444" spans="1:5">
      <c r="A444" s="33" t="s">
        <v>328</v>
      </c>
      <c r="B444" s="36">
        <v>3</v>
      </c>
      <c r="C444" s="37">
        <f t="shared" si="18"/>
        <v>225</v>
      </c>
      <c r="D444" s="132">
        <f t="shared" si="19"/>
        <v>525</v>
      </c>
      <c r="E444" s="132">
        <f t="shared" si="20"/>
        <v>525</v>
      </c>
    </row>
    <row r="445" spans="1:5">
      <c r="A445" s="33" t="s">
        <v>328</v>
      </c>
      <c r="B445" s="36">
        <v>3</v>
      </c>
      <c r="C445" s="37">
        <f t="shared" si="18"/>
        <v>225</v>
      </c>
      <c r="D445" s="132">
        <f t="shared" si="19"/>
        <v>525</v>
      </c>
      <c r="E445" s="132">
        <f t="shared" si="20"/>
        <v>525</v>
      </c>
    </row>
    <row r="446" spans="1:5">
      <c r="A446" s="33" t="s">
        <v>328</v>
      </c>
      <c r="B446" s="36">
        <v>2</v>
      </c>
      <c r="C446" s="37">
        <f t="shared" si="18"/>
        <v>150</v>
      </c>
      <c r="D446" s="132">
        <f t="shared" si="19"/>
        <v>350</v>
      </c>
      <c r="E446" s="132">
        <f t="shared" si="20"/>
        <v>350</v>
      </c>
    </row>
    <row r="447" spans="1:5">
      <c r="A447" s="33" t="s">
        <v>328</v>
      </c>
      <c r="B447" s="36">
        <v>4</v>
      </c>
      <c r="C447" s="37">
        <f t="shared" si="18"/>
        <v>300</v>
      </c>
      <c r="D447" s="132">
        <f t="shared" si="19"/>
        <v>700</v>
      </c>
      <c r="E447" s="132">
        <f t="shared" si="20"/>
        <v>700</v>
      </c>
    </row>
    <row r="448" spans="1:5">
      <c r="A448" s="33" t="s">
        <v>328</v>
      </c>
      <c r="B448" s="36">
        <v>4</v>
      </c>
      <c r="C448" s="37">
        <f t="shared" si="18"/>
        <v>300</v>
      </c>
      <c r="D448" s="132">
        <f t="shared" si="19"/>
        <v>700</v>
      </c>
      <c r="E448" s="132">
        <f t="shared" si="20"/>
        <v>700</v>
      </c>
    </row>
    <row r="449" spans="1:5">
      <c r="A449" s="33" t="s">
        <v>328</v>
      </c>
      <c r="B449" s="36">
        <v>5</v>
      </c>
      <c r="C449" s="37">
        <f t="shared" si="18"/>
        <v>375</v>
      </c>
      <c r="D449" s="132">
        <f t="shared" si="19"/>
        <v>875</v>
      </c>
      <c r="E449" s="132">
        <f t="shared" si="20"/>
        <v>875</v>
      </c>
    </row>
    <row r="450" spans="1:5">
      <c r="A450" s="33" t="s">
        <v>328</v>
      </c>
      <c r="B450" s="36">
        <v>1</v>
      </c>
      <c r="C450" s="37">
        <f t="shared" si="18"/>
        <v>75</v>
      </c>
      <c r="D450" s="132">
        <f t="shared" si="19"/>
        <v>175</v>
      </c>
      <c r="E450" s="132">
        <f t="shared" si="20"/>
        <v>175</v>
      </c>
    </row>
    <row r="451" spans="1:5">
      <c r="A451" s="33" t="s">
        <v>328</v>
      </c>
      <c r="B451" s="36">
        <v>4</v>
      </c>
      <c r="C451" s="37">
        <f t="shared" si="18"/>
        <v>300</v>
      </c>
      <c r="D451" s="132">
        <f t="shared" si="19"/>
        <v>700</v>
      </c>
      <c r="E451" s="132">
        <f t="shared" si="20"/>
        <v>700</v>
      </c>
    </row>
    <row r="452" spans="1:5">
      <c r="A452" s="33" t="s">
        <v>328</v>
      </c>
      <c r="B452" s="36">
        <v>1</v>
      </c>
      <c r="C452" s="37">
        <f t="shared" si="18"/>
        <v>75</v>
      </c>
      <c r="D452" s="132">
        <f t="shared" si="19"/>
        <v>175</v>
      </c>
      <c r="E452" s="132">
        <f t="shared" si="20"/>
        <v>175</v>
      </c>
    </row>
    <row r="453" spans="1:5">
      <c r="A453" s="33" t="s">
        <v>328</v>
      </c>
      <c r="B453" s="36">
        <v>2</v>
      </c>
      <c r="C453" s="37">
        <f t="shared" si="18"/>
        <v>150</v>
      </c>
      <c r="D453" s="132">
        <f t="shared" si="19"/>
        <v>350</v>
      </c>
      <c r="E453" s="132">
        <f t="shared" si="20"/>
        <v>350</v>
      </c>
    </row>
    <row r="454" spans="1:5">
      <c r="A454" s="33" t="s">
        <v>328</v>
      </c>
      <c r="B454" s="36">
        <v>3</v>
      </c>
      <c r="C454" s="37">
        <f t="shared" si="18"/>
        <v>225</v>
      </c>
      <c r="D454" s="132">
        <f t="shared" si="19"/>
        <v>525</v>
      </c>
      <c r="E454" s="132">
        <f t="shared" si="20"/>
        <v>525</v>
      </c>
    </row>
    <row r="455" spans="1:5">
      <c r="A455" s="33" t="s">
        <v>328</v>
      </c>
      <c r="B455" s="36">
        <v>1</v>
      </c>
      <c r="C455" s="37">
        <f t="shared" ref="C455:C518" si="21">B455*75</f>
        <v>75</v>
      </c>
      <c r="D455" s="132">
        <f t="shared" ref="D455:D518" si="22">B455*250-C455</f>
        <v>175</v>
      </c>
      <c r="E455" s="132">
        <f t="shared" ref="E455:E518" si="23">B455*250-C455</f>
        <v>175</v>
      </c>
    </row>
    <row r="456" spans="1:5">
      <c r="A456" s="33" t="s">
        <v>328</v>
      </c>
      <c r="B456" s="36">
        <v>4</v>
      </c>
      <c r="C456" s="37">
        <f t="shared" si="21"/>
        <v>300</v>
      </c>
      <c r="D456" s="132">
        <f t="shared" si="22"/>
        <v>700</v>
      </c>
      <c r="E456" s="132">
        <f t="shared" si="23"/>
        <v>700</v>
      </c>
    </row>
    <row r="457" spans="1:5">
      <c r="A457" s="33" t="s">
        <v>328</v>
      </c>
      <c r="B457" s="36">
        <v>2</v>
      </c>
      <c r="C457" s="37">
        <f t="shared" si="21"/>
        <v>150</v>
      </c>
      <c r="D457" s="132">
        <f t="shared" si="22"/>
        <v>350</v>
      </c>
      <c r="E457" s="132">
        <f t="shared" si="23"/>
        <v>350</v>
      </c>
    </row>
    <row r="458" spans="1:5">
      <c r="A458" s="33" t="s">
        <v>328</v>
      </c>
      <c r="B458" s="36">
        <v>1</v>
      </c>
      <c r="C458" s="37">
        <f t="shared" si="21"/>
        <v>75</v>
      </c>
      <c r="D458" s="132">
        <f t="shared" si="22"/>
        <v>175</v>
      </c>
      <c r="E458" s="132">
        <f t="shared" si="23"/>
        <v>175</v>
      </c>
    </row>
    <row r="459" spans="1:5">
      <c r="A459" s="33" t="s">
        <v>328</v>
      </c>
      <c r="B459" s="36">
        <v>6</v>
      </c>
      <c r="C459" s="37">
        <f t="shared" si="21"/>
        <v>450</v>
      </c>
      <c r="D459" s="132">
        <f t="shared" si="22"/>
        <v>1050</v>
      </c>
      <c r="E459" s="132">
        <f t="shared" si="23"/>
        <v>1050</v>
      </c>
    </row>
    <row r="460" spans="1:5">
      <c r="A460" s="33" t="s">
        <v>328</v>
      </c>
      <c r="B460" s="36">
        <v>6</v>
      </c>
      <c r="C460" s="37">
        <f t="shared" si="21"/>
        <v>450</v>
      </c>
      <c r="D460" s="132">
        <f t="shared" si="22"/>
        <v>1050</v>
      </c>
      <c r="E460" s="132">
        <f t="shared" si="23"/>
        <v>1050</v>
      </c>
    </row>
    <row r="461" spans="1:5">
      <c r="A461" s="33" t="s">
        <v>328</v>
      </c>
      <c r="B461" s="36">
        <v>2</v>
      </c>
      <c r="C461" s="37">
        <f t="shared" si="21"/>
        <v>150</v>
      </c>
      <c r="D461" s="132">
        <f t="shared" si="22"/>
        <v>350</v>
      </c>
      <c r="E461" s="132">
        <f t="shared" si="23"/>
        <v>350</v>
      </c>
    </row>
    <row r="462" spans="1:5">
      <c r="A462" s="33" t="s">
        <v>328</v>
      </c>
      <c r="B462" s="36">
        <v>4</v>
      </c>
      <c r="C462" s="37">
        <f t="shared" si="21"/>
        <v>300</v>
      </c>
      <c r="D462" s="132">
        <f t="shared" si="22"/>
        <v>700</v>
      </c>
      <c r="E462" s="132">
        <f t="shared" si="23"/>
        <v>700</v>
      </c>
    </row>
    <row r="463" spans="1:5">
      <c r="A463" s="33" t="s">
        <v>328</v>
      </c>
      <c r="B463" s="36">
        <v>5</v>
      </c>
      <c r="C463" s="37">
        <f t="shared" si="21"/>
        <v>375</v>
      </c>
      <c r="D463" s="132">
        <f t="shared" si="22"/>
        <v>875</v>
      </c>
      <c r="E463" s="132">
        <f t="shared" si="23"/>
        <v>875</v>
      </c>
    </row>
    <row r="464" spans="1:5">
      <c r="A464" s="33" t="s">
        <v>328</v>
      </c>
      <c r="B464" s="36">
        <v>4</v>
      </c>
      <c r="C464" s="37">
        <f t="shared" si="21"/>
        <v>300</v>
      </c>
      <c r="D464" s="132">
        <f t="shared" si="22"/>
        <v>700</v>
      </c>
      <c r="E464" s="132">
        <f t="shared" si="23"/>
        <v>700</v>
      </c>
    </row>
    <row r="465" spans="1:5">
      <c r="A465" s="33" t="s">
        <v>328</v>
      </c>
      <c r="B465" s="36">
        <v>3</v>
      </c>
      <c r="C465" s="37">
        <f t="shared" si="21"/>
        <v>225</v>
      </c>
      <c r="D465" s="132">
        <f t="shared" si="22"/>
        <v>525</v>
      </c>
      <c r="E465" s="132">
        <f t="shared" si="23"/>
        <v>525</v>
      </c>
    </row>
    <row r="466" spans="1:5">
      <c r="A466" s="33" t="s">
        <v>328</v>
      </c>
      <c r="B466" s="36">
        <v>8</v>
      </c>
      <c r="C466" s="37">
        <f t="shared" si="21"/>
        <v>600</v>
      </c>
      <c r="D466" s="132">
        <f t="shared" si="22"/>
        <v>1400</v>
      </c>
      <c r="E466" s="132">
        <f t="shared" si="23"/>
        <v>1400</v>
      </c>
    </row>
    <row r="467" spans="1:5">
      <c r="A467" s="33" t="s">
        <v>328</v>
      </c>
      <c r="B467" s="36">
        <v>3</v>
      </c>
      <c r="C467" s="37">
        <f t="shared" si="21"/>
        <v>225</v>
      </c>
      <c r="D467" s="132">
        <f t="shared" si="22"/>
        <v>525</v>
      </c>
      <c r="E467" s="132">
        <f t="shared" si="23"/>
        <v>525</v>
      </c>
    </row>
    <row r="468" spans="1:5">
      <c r="A468" s="33" t="s">
        <v>328</v>
      </c>
      <c r="B468" s="36">
        <v>3</v>
      </c>
      <c r="C468" s="37">
        <f t="shared" si="21"/>
        <v>225</v>
      </c>
      <c r="D468" s="132">
        <f t="shared" si="22"/>
        <v>525</v>
      </c>
      <c r="E468" s="132">
        <f t="shared" si="23"/>
        <v>525</v>
      </c>
    </row>
    <row r="469" spans="1:5">
      <c r="A469" s="33" t="s">
        <v>328</v>
      </c>
      <c r="B469" s="36">
        <v>1</v>
      </c>
      <c r="C469" s="37">
        <f t="shared" si="21"/>
        <v>75</v>
      </c>
      <c r="D469" s="132">
        <f t="shared" si="22"/>
        <v>175</v>
      </c>
      <c r="E469" s="132">
        <f t="shared" si="23"/>
        <v>175</v>
      </c>
    </row>
    <row r="470" spans="1:5">
      <c r="A470" s="33" t="s">
        <v>328</v>
      </c>
      <c r="B470" s="36">
        <v>4</v>
      </c>
      <c r="C470" s="37">
        <f t="shared" si="21"/>
        <v>300</v>
      </c>
      <c r="D470" s="132">
        <f t="shared" si="22"/>
        <v>700</v>
      </c>
      <c r="E470" s="132">
        <f t="shared" si="23"/>
        <v>700</v>
      </c>
    </row>
    <row r="471" spans="1:5">
      <c r="A471" s="33" t="s">
        <v>328</v>
      </c>
      <c r="B471" s="36">
        <v>2</v>
      </c>
      <c r="C471" s="37">
        <f t="shared" si="21"/>
        <v>150</v>
      </c>
      <c r="D471" s="132">
        <f t="shared" si="22"/>
        <v>350</v>
      </c>
      <c r="E471" s="132">
        <f t="shared" si="23"/>
        <v>350</v>
      </c>
    </row>
    <row r="472" spans="1:5">
      <c r="A472" s="33" t="s">
        <v>328</v>
      </c>
      <c r="B472" s="36">
        <v>8</v>
      </c>
      <c r="C472" s="37">
        <f t="shared" si="21"/>
        <v>600</v>
      </c>
      <c r="D472" s="132">
        <f t="shared" si="22"/>
        <v>1400</v>
      </c>
      <c r="E472" s="132">
        <f t="shared" si="23"/>
        <v>1400</v>
      </c>
    </row>
    <row r="473" spans="1:5">
      <c r="A473" s="33" t="s">
        <v>328</v>
      </c>
      <c r="B473" s="36">
        <v>5</v>
      </c>
      <c r="C473" s="37">
        <f t="shared" si="21"/>
        <v>375</v>
      </c>
      <c r="D473" s="132">
        <f t="shared" si="22"/>
        <v>875</v>
      </c>
      <c r="E473" s="132">
        <f t="shared" si="23"/>
        <v>875</v>
      </c>
    </row>
    <row r="474" spans="1:5">
      <c r="A474" s="33" t="s">
        <v>328</v>
      </c>
      <c r="B474" s="36">
        <v>2</v>
      </c>
      <c r="C474" s="37">
        <f t="shared" si="21"/>
        <v>150</v>
      </c>
      <c r="D474" s="132">
        <f t="shared" si="22"/>
        <v>350</v>
      </c>
      <c r="E474" s="132">
        <f t="shared" si="23"/>
        <v>350</v>
      </c>
    </row>
    <row r="475" spans="1:5">
      <c r="A475" s="33" t="s">
        <v>328</v>
      </c>
      <c r="B475" s="36">
        <v>11</v>
      </c>
      <c r="C475" s="37">
        <f t="shared" si="21"/>
        <v>825</v>
      </c>
      <c r="D475" s="132">
        <f t="shared" si="22"/>
        <v>1925</v>
      </c>
      <c r="E475" s="132">
        <f t="shared" si="23"/>
        <v>1925</v>
      </c>
    </row>
    <row r="476" spans="1:5">
      <c r="A476" s="33" t="s">
        <v>328</v>
      </c>
      <c r="B476" s="36">
        <v>1</v>
      </c>
      <c r="C476" s="37">
        <f t="shared" si="21"/>
        <v>75</v>
      </c>
      <c r="D476" s="132">
        <f t="shared" si="22"/>
        <v>175</v>
      </c>
      <c r="E476" s="132">
        <f t="shared" si="23"/>
        <v>175</v>
      </c>
    </row>
    <row r="477" spans="1:5">
      <c r="A477" s="33" t="s">
        <v>328</v>
      </c>
      <c r="B477" s="36">
        <v>3</v>
      </c>
      <c r="C477" s="37">
        <f t="shared" si="21"/>
        <v>225</v>
      </c>
      <c r="D477" s="132">
        <f t="shared" si="22"/>
        <v>525</v>
      </c>
      <c r="E477" s="132">
        <f t="shared" si="23"/>
        <v>525</v>
      </c>
    </row>
    <row r="478" spans="1:5">
      <c r="A478" s="33" t="s">
        <v>328</v>
      </c>
      <c r="B478" s="36">
        <v>3</v>
      </c>
      <c r="C478" s="37">
        <f t="shared" si="21"/>
        <v>225</v>
      </c>
      <c r="D478" s="132">
        <f t="shared" si="22"/>
        <v>525</v>
      </c>
      <c r="E478" s="132">
        <f t="shared" si="23"/>
        <v>525</v>
      </c>
    </row>
    <row r="479" spans="1:5">
      <c r="A479" s="33" t="s">
        <v>328</v>
      </c>
      <c r="B479" s="36">
        <v>1</v>
      </c>
      <c r="C479" s="37">
        <f t="shared" si="21"/>
        <v>75</v>
      </c>
      <c r="D479" s="132">
        <f t="shared" si="22"/>
        <v>175</v>
      </c>
      <c r="E479" s="132">
        <f t="shared" si="23"/>
        <v>175</v>
      </c>
    </row>
    <row r="480" spans="1:5">
      <c r="A480" s="33" t="s">
        <v>328</v>
      </c>
      <c r="B480" s="36">
        <v>2</v>
      </c>
      <c r="C480" s="37">
        <f t="shared" si="21"/>
        <v>150</v>
      </c>
      <c r="D480" s="132">
        <f t="shared" si="22"/>
        <v>350</v>
      </c>
      <c r="E480" s="132">
        <f t="shared" si="23"/>
        <v>350</v>
      </c>
    </row>
    <row r="481" spans="1:5">
      <c r="A481" s="33" t="s">
        <v>328</v>
      </c>
      <c r="B481" s="36">
        <v>6</v>
      </c>
      <c r="C481" s="37">
        <f t="shared" si="21"/>
        <v>450</v>
      </c>
      <c r="D481" s="132">
        <f t="shared" si="22"/>
        <v>1050</v>
      </c>
      <c r="E481" s="132">
        <f t="shared" si="23"/>
        <v>1050</v>
      </c>
    </row>
    <row r="482" spans="1:5">
      <c r="A482" s="33" t="s">
        <v>328</v>
      </c>
      <c r="B482" s="36">
        <v>1</v>
      </c>
      <c r="C482" s="37">
        <f t="shared" si="21"/>
        <v>75</v>
      </c>
      <c r="D482" s="132">
        <f t="shared" si="22"/>
        <v>175</v>
      </c>
      <c r="E482" s="132">
        <f t="shared" si="23"/>
        <v>175</v>
      </c>
    </row>
    <row r="483" spans="1:5">
      <c r="A483" s="33" t="s">
        <v>328</v>
      </c>
      <c r="B483" s="36">
        <v>1</v>
      </c>
      <c r="C483" s="37">
        <f t="shared" si="21"/>
        <v>75</v>
      </c>
      <c r="D483" s="132">
        <f t="shared" si="22"/>
        <v>175</v>
      </c>
      <c r="E483" s="132">
        <f t="shared" si="23"/>
        <v>175</v>
      </c>
    </row>
    <row r="484" spans="1:5">
      <c r="A484" s="33" t="s">
        <v>328</v>
      </c>
      <c r="B484" s="36">
        <v>3</v>
      </c>
      <c r="C484" s="37">
        <f t="shared" si="21"/>
        <v>225</v>
      </c>
      <c r="D484" s="132">
        <f t="shared" si="22"/>
        <v>525</v>
      </c>
      <c r="E484" s="132">
        <f t="shared" si="23"/>
        <v>525</v>
      </c>
    </row>
    <row r="485" spans="1:5">
      <c r="A485" s="33" t="s">
        <v>328</v>
      </c>
      <c r="B485" s="36">
        <v>3</v>
      </c>
      <c r="C485" s="37">
        <f t="shared" si="21"/>
        <v>225</v>
      </c>
      <c r="D485" s="132">
        <f t="shared" si="22"/>
        <v>525</v>
      </c>
      <c r="E485" s="132">
        <f t="shared" si="23"/>
        <v>525</v>
      </c>
    </row>
    <row r="486" spans="1:5">
      <c r="A486" s="33" t="s">
        <v>328</v>
      </c>
      <c r="B486" s="36">
        <v>1</v>
      </c>
      <c r="C486" s="37">
        <f t="shared" si="21"/>
        <v>75</v>
      </c>
      <c r="D486" s="132">
        <f t="shared" si="22"/>
        <v>175</v>
      </c>
      <c r="E486" s="132">
        <f t="shared" si="23"/>
        <v>175</v>
      </c>
    </row>
    <row r="487" spans="1:5">
      <c r="A487" s="33" t="s">
        <v>328</v>
      </c>
      <c r="B487" s="36">
        <v>5</v>
      </c>
      <c r="C487" s="37">
        <f t="shared" si="21"/>
        <v>375</v>
      </c>
      <c r="D487" s="132">
        <f t="shared" si="22"/>
        <v>875</v>
      </c>
      <c r="E487" s="132">
        <f t="shared" si="23"/>
        <v>875</v>
      </c>
    </row>
    <row r="488" spans="1:5">
      <c r="A488" s="33" t="s">
        <v>328</v>
      </c>
      <c r="B488" s="36">
        <v>5</v>
      </c>
      <c r="C488" s="37">
        <f t="shared" si="21"/>
        <v>375</v>
      </c>
      <c r="D488" s="132">
        <f t="shared" si="22"/>
        <v>875</v>
      </c>
      <c r="E488" s="132">
        <f t="shared" si="23"/>
        <v>875</v>
      </c>
    </row>
    <row r="489" spans="1:5">
      <c r="A489" s="33" t="s">
        <v>328</v>
      </c>
      <c r="B489" s="36">
        <v>4</v>
      </c>
      <c r="C489" s="37">
        <f t="shared" si="21"/>
        <v>300</v>
      </c>
      <c r="D489" s="132">
        <f t="shared" si="22"/>
        <v>700</v>
      </c>
      <c r="E489" s="132">
        <f t="shared" si="23"/>
        <v>700</v>
      </c>
    </row>
    <row r="490" spans="1:5">
      <c r="A490" s="33" t="s">
        <v>328</v>
      </c>
      <c r="B490" s="36">
        <v>6</v>
      </c>
      <c r="C490" s="37">
        <f t="shared" si="21"/>
        <v>450</v>
      </c>
      <c r="D490" s="132">
        <f t="shared" si="22"/>
        <v>1050</v>
      </c>
      <c r="E490" s="132">
        <f t="shared" si="23"/>
        <v>1050</v>
      </c>
    </row>
    <row r="491" spans="1:5">
      <c r="A491" s="33" t="s">
        <v>328</v>
      </c>
      <c r="B491" s="36">
        <v>1</v>
      </c>
      <c r="C491" s="37">
        <f t="shared" si="21"/>
        <v>75</v>
      </c>
      <c r="D491" s="132">
        <f t="shared" si="22"/>
        <v>175</v>
      </c>
      <c r="E491" s="132">
        <f t="shared" si="23"/>
        <v>175</v>
      </c>
    </row>
    <row r="492" spans="1:5">
      <c r="A492" s="33" t="s">
        <v>328</v>
      </c>
      <c r="B492" s="36">
        <v>5</v>
      </c>
      <c r="C492" s="37">
        <f t="shared" si="21"/>
        <v>375</v>
      </c>
      <c r="D492" s="132">
        <f t="shared" si="22"/>
        <v>875</v>
      </c>
      <c r="E492" s="132">
        <f t="shared" si="23"/>
        <v>875</v>
      </c>
    </row>
    <row r="493" spans="1:5">
      <c r="A493" s="33" t="s">
        <v>328</v>
      </c>
      <c r="B493" s="36">
        <v>1</v>
      </c>
      <c r="C493" s="37">
        <f t="shared" si="21"/>
        <v>75</v>
      </c>
      <c r="D493" s="132">
        <f t="shared" si="22"/>
        <v>175</v>
      </c>
      <c r="E493" s="132">
        <f t="shared" si="23"/>
        <v>175</v>
      </c>
    </row>
    <row r="494" spans="1:5">
      <c r="A494" s="33" t="s">
        <v>328</v>
      </c>
      <c r="B494" s="36">
        <v>1</v>
      </c>
      <c r="C494" s="37">
        <f t="shared" si="21"/>
        <v>75</v>
      </c>
      <c r="D494" s="132">
        <f t="shared" si="22"/>
        <v>175</v>
      </c>
      <c r="E494" s="132">
        <f t="shared" si="23"/>
        <v>175</v>
      </c>
    </row>
    <row r="495" spans="1:5">
      <c r="A495" s="33" t="s">
        <v>328</v>
      </c>
      <c r="B495" s="36">
        <v>4</v>
      </c>
      <c r="C495" s="37">
        <f t="shared" si="21"/>
        <v>300</v>
      </c>
      <c r="D495" s="132">
        <f t="shared" si="22"/>
        <v>700</v>
      </c>
      <c r="E495" s="132">
        <f t="shared" si="23"/>
        <v>700</v>
      </c>
    </row>
    <row r="496" spans="1:5">
      <c r="A496" s="33" t="s">
        <v>328</v>
      </c>
      <c r="B496" s="36">
        <v>2</v>
      </c>
      <c r="C496" s="37">
        <f t="shared" si="21"/>
        <v>150</v>
      </c>
      <c r="D496" s="132">
        <f t="shared" si="22"/>
        <v>350</v>
      </c>
      <c r="E496" s="132">
        <f t="shared" si="23"/>
        <v>350</v>
      </c>
    </row>
    <row r="497" spans="1:5">
      <c r="A497" s="33" t="s">
        <v>328</v>
      </c>
      <c r="B497" s="36">
        <v>3</v>
      </c>
      <c r="C497" s="37">
        <f t="shared" si="21"/>
        <v>225</v>
      </c>
      <c r="D497" s="132">
        <f t="shared" si="22"/>
        <v>525</v>
      </c>
      <c r="E497" s="132">
        <f t="shared" si="23"/>
        <v>525</v>
      </c>
    </row>
    <row r="498" spans="1:5">
      <c r="A498" s="33" t="s">
        <v>328</v>
      </c>
      <c r="B498" s="36">
        <v>1</v>
      </c>
      <c r="C498" s="37">
        <f t="shared" si="21"/>
        <v>75</v>
      </c>
      <c r="D498" s="132">
        <f t="shared" si="22"/>
        <v>175</v>
      </c>
      <c r="E498" s="132">
        <f t="shared" si="23"/>
        <v>175</v>
      </c>
    </row>
    <row r="499" spans="1:5">
      <c r="A499" s="33" t="s">
        <v>328</v>
      </c>
      <c r="B499" s="36">
        <v>3</v>
      </c>
      <c r="C499" s="37">
        <f t="shared" si="21"/>
        <v>225</v>
      </c>
      <c r="D499" s="132">
        <f t="shared" si="22"/>
        <v>525</v>
      </c>
      <c r="E499" s="132">
        <f t="shared" si="23"/>
        <v>525</v>
      </c>
    </row>
    <row r="500" spans="1:5">
      <c r="A500" s="33" t="s">
        <v>328</v>
      </c>
      <c r="B500" s="36">
        <v>1</v>
      </c>
      <c r="C500" s="37">
        <f t="shared" si="21"/>
        <v>75</v>
      </c>
      <c r="D500" s="132">
        <f t="shared" si="22"/>
        <v>175</v>
      </c>
      <c r="E500" s="132">
        <f t="shared" si="23"/>
        <v>175</v>
      </c>
    </row>
    <row r="501" spans="1:5">
      <c r="A501" s="33" t="s">
        <v>328</v>
      </c>
      <c r="B501" s="36">
        <v>6</v>
      </c>
      <c r="C501" s="37">
        <f t="shared" si="21"/>
        <v>450</v>
      </c>
      <c r="D501" s="132">
        <f t="shared" si="22"/>
        <v>1050</v>
      </c>
      <c r="E501" s="132">
        <f t="shared" si="23"/>
        <v>1050</v>
      </c>
    </row>
    <row r="502" spans="1:5">
      <c r="A502" s="33" t="s">
        <v>328</v>
      </c>
      <c r="B502" s="36">
        <v>4</v>
      </c>
      <c r="C502" s="37">
        <f t="shared" si="21"/>
        <v>300</v>
      </c>
      <c r="D502" s="132">
        <f t="shared" si="22"/>
        <v>700</v>
      </c>
      <c r="E502" s="132">
        <f t="shared" si="23"/>
        <v>700</v>
      </c>
    </row>
    <row r="503" spans="1:5">
      <c r="A503" s="33" t="s">
        <v>328</v>
      </c>
      <c r="B503" s="36">
        <v>1</v>
      </c>
      <c r="C503" s="37">
        <f t="shared" si="21"/>
        <v>75</v>
      </c>
      <c r="D503" s="132">
        <f t="shared" si="22"/>
        <v>175</v>
      </c>
      <c r="E503" s="132">
        <f t="shared" si="23"/>
        <v>175</v>
      </c>
    </row>
    <row r="504" spans="1:5">
      <c r="A504" s="33" t="s">
        <v>328</v>
      </c>
      <c r="B504" s="36">
        <v>2</v>
      </c>
      <c r="C504" s="37">
        <f t="shared" si="21"/>
        <v>150</v>
      </c>
      <c r="D504" s="132">
        <f t="shared" si="22"/>
        <v>350</v>
      </c>
      <c r="E504" s="132">
        <f t="shared" si="23"/>
        <v>350</v>
      </c>
    </row>
    <row r="505" spans="1:5">
      <c r="A505" s="33" t="s">
        <v>328</v>
      </c>
      <c r="B505" s="36">
        <v>4</v>
      </c>
      <c r="C505" s="37">
        <f t="shared" si="21"/>
        <v>300</v>
      </c>
      <c r="D505" s="132">
        <f t="shared" si="22"/>
        <v>700</v>
      </c>
      <c r="E505" s="132">
        <f t="shared" si="23"/>
        <v>700</v>
      </c>
    </row>
    <row r="506" spans="1:5">
      <c r="A506" s="33" t="s">
        <v>328</v>
      </c>
      <c r="B506" s="36">
        <v>4</v>
      </c>
      <c r="C506" s="37">
        <f t="shared" si="21"/>
        <v>300</v>
      </c>
      <c r="D506" s="132">
        <f t="shared" si="22"/>
        <v>700</v>
      </c>
      <c r="E506" s="132">
        <f t="shared" si="23"/>
        <v>700</v>
      </c>
    </row>
    <row r="507" spans="1:5">
      <c r="A507" s="33" t="s">
        <v>328</v>
      </c>
      <c r="B507" s="36">
        <v>14</v>
      </c>
      <c r="C507" s="37">
        <f t="shared" si="21"/>
        <v>1050</v>
      </c>
      <c r="D507" s="132">
        <f t="shared" si="22"/>
        <v>2450</v>
      </c>
      <c r="E507" s="132">
        <f t="shared" si="23"/>
        <v>2450</v>
      </c>
    </row>
    <row r="508" spans="1:5">
      <c r="A508" s="33" t="s">
        <v>328</v>
      </c>
      <c r="B508" s="36">
        <v>4</v>
      </c>
      <c r="C508" s="37">
        <f t="shared" si="21"/>
        <v>300</v>
      </c>
      <c r="D508" s="132">
        <f t="shared" si="22"/>
        <v>700</v>
      </c>
      <c r="E508" s="132">
        <f t="shared" si="23"/>
        <v>700</v>
      </c>
    </row>
    <row r="509" spans="1:5">
      <c r="A509" s="33" t="s">
        <v>328</v>
      </c>
      <c r="B509" s="36">
        <v>9</v>
      </c>
      <c r="C509" s="37">
        <f t="shared" si="21"/>
        <v>675</v>
      </c>
      <c r="D509" s="132">
        <f t="shared" si="22"/>
        <v>1575</v>
      </c>
      <c r="E509" s="132">
        <f t="shared" si="23"/>
        <v>1575</v>
      </c>
    </row>
    <row r="510" spans="1:5">
      <c r="A510" s="33" t="s">
        <v>328</v>
      </c>
      <c r="B510" s="36">
        <v>1</v>
      </c>
      <c r="C510" s="37">
        <f t="shared" si="21"/>
        <v>75</v>
      </c>
      <c r="D510" s="132">
        <f t="shared" si="22"/>
        <v>175</v>
      </c>
      <c r="E510" s="132">
        <f t="shared" si="23"/>
        <v>175</v>
      </c>
    </row>
    <row r="511" spans="1:5">
      <c r="A511" s="33" t="s">
        <v>328</v>
      </c>
      <c r="B511" s="36">
        <v>2</v>
      </c>
      <c r="C511" s="37">
        <f t="shared" si="21"/>
        <v>150</v>
      </c>
      <c r="D511" s="132">
        <f t="shared" si="22"/>
        <v>350</v>
      </c>
      <c r="E511" s="132">
        <f t="shared" si="23"/>
        <v>350</v>
      </c>
    </row>
    <row r="512" spans="1:5">
      <c r="A512" s="33" t="s">
        <v>328</v>
      </c>
      <c r="B512" s="36">
        <v>3</v>
      </c>
      <c r="C512" s="37">
        <f t="shared" si="21"/>
        <v>225</v>
      </c>
      <c r="D512" s="132">
        <f t="shared" si="22"/>
        <v>525</v>
      </c>
      <c r="E512" s="132">
        <f t="shared" si="23"/>
        <v>525</v>
      </c>
    </row>
    <row r="513" spans="1:5">
      <c r="A513" s="33" t="s">
        <v>328</v>
      </c>
      <c r="B513" s="36">
        <v>1</v>
      </c>
      <c r="C513" s="37">
        <f t="shared" si="21"/>
        <v>75</v>
      </c>
      <c r="D513" s="132">
        <f t="shared" si="22"/>
        <v>175</v>
      </c>
      <c r="E513" s="132">
        <f t="shared" si="23"/>
        <v>175</v>
      </c>
    </row>
    <row r="514" spans="1:5">
      <c r="A514" s="33" t="s">
        <v>328</v>
      </c>
      <c r="B514" s="36">
        <v>2</v>
      </c>
      <c r="C514" s="37">
        <f t="shared" si="21"/>
        <v>150</v>
      </c>
      <c r="D514" s="132">
        <f t="shared" si="22"/>
        <v>350</v>
      </c>
      <c r="E514" s="132">
        <f t="shared" si="23"/>
        <v>350</v>
      </c>
    </row>
    <row r="515" spans="1:5">
      <c r="A515" s="33" t="s">
        <v>328</v>
      </c>
      <c r="B515" s="36">
        <v>5</v>
      </c>
      <c r="C515" s="37">
        <f t="shared" si="21"/>
        <v>375</v>
      </c>
      <c r="D515" s="132">
        <f t="shared" si="22"/>
        <v>875</v>
      </c>
      <c r="E515" s="132">
        <f t="shared" si="23"/>
        <v>875</v>
      </c>
    </row>
    <row r="516" spans="1:5">
      <c r="A516" s="33" t="s">
        <v>328</v>
      </c>
      <c r="B516" s="36">
        <v>8</v>
      </c>
      <c r="C516" s="37">
        <f t="shared" si="21"/>
        <v>600</v>
      </c>
      <c r="D516" s="132">
        <f t="shared" si="22"/>
        <v>1400</v>
      </c>
      <c r="E516" s="132">
        <f t="shared" si="23"/>
        <v>1400</v>
      </c>
    </row>
    <row r="517" spans="1:5">
      <c r="A517" s="33" t="s">
        <v>328</v>
      </c>
      <c r="B517" s="36">
        <v>2</v>
      </c>
      <c r="C517" s="37">
        <f t="shared" si="21"/>
        <v>150</v>
      </c>
      <c r="D517" s="132">
        <f t="shared" si="22"/>
        <v>350</v>
      </c>
      <c r="E517" s="132">
        <f t="shared" si="23"/>
        <v>350</v>
      </c>
    </row>
    <row r="518" spans="1:5">
      <c r="A518" s="33" t="s">
        <v>328</v>
      </c>
      <c r="B518" s="36">
        <v>5</v>
      </c>
      <c r="C518" s="37">
        <f t="shared" si="21"/>
        <v>375</v>
      </c>
      <c r="D518" s="132">
        <f t="shared" si="22"/>
        <v>875</v>
      </c>
      <c r="E518" s="132">
        <f t="shared" si="23"/>
        <v>875</v>
      </c>
    </row>
    <row r="519" spans="1:5">
      <c r="A519" s="33" t="s">
        <v>328</v>
      </c>
      <c r="B519" s="36">
        <v>2</v>
      </c>
      <c r="C519" s="37">
        <f t="shared" ref="C519:C582" si="24">B519*75</f>
        <v>150</v>
      </c>
      <c r="D519" s="132">
        <f t="shared" ref="D519:D582" si="25">B519*250-C519</f>
        <v>350</v>
      </c>
      <c r="E519" s="132">
        <f t="shared" ref="E519:E582" si="26">B519*250-C519</f>
        <v>350</v>
      </c>
    </row>
    <row r="520" spans="1:5">
      <c r="A520" s="33" t="s">
        <v>328</v>
      </c>
      <c r="B520" s="36">
        <v>1</v>
      </c>
      <c r="C520" s="37">
        <f t="shared" si="24"/>
        <v>75</v>
      </c>
      <c r="D520" s="132">
        <f t="shared" si="25"/>
        <v>175</v>
      </c>
      <c r="E520" s="132">
        <f t="shared" si="26"/>
        <v>175</v>
      </c>
    </row>
    <row r="521" spans="1:5">
      <c r="A521" s="33" t="s">
        <v>328</v>
      </c>
      <c r="B521" s="36">
        <v>1</v>
      </c>
      <c r="C521" s="37">
        <f t="shared" si="24"/>
        <v>75</v>
      </c>
      <c r="D521" s="132">
        <f t="shared" si="25"/>
        <v>175</v>
      </c>
      <c r="E521" s="132">
        <f t="shared" si="26"/>
        <v>175</v>
      </c>
    </row>
    <row r="522" spans="1:5">
      <c r="A522" s="33" t="s">
        <v>328</v>
      </c>
      <c r="B522" s="36">
        <v>6</v>
      </c>
      <c r="C522" s="37">
        <f t="shared" si="24"/>
        <v>450</v>
      </c>
      <c r="D522" s="132">
        <f t="shared" si="25"/>
        <v>1050</v>
      </c>
      <c r="E522" s="132">
        <f t="shared" si="26"/>
        <v>1050</v>
      </c>
    </row>
    <row r="523" spans="1:5">
      <c r="A523" s="33" t="s">
        <v>328</v>
      </c>
      <c r="B523" s="36">
        <v>1</v>
      </c>
      <c r="C523" s="37">
        <f t="shared" si="24"/>
        <v>75</v>
      </c>
      <c r="D523" s="132">
        <f t="shared" si="25"/>
        <v>175</v>
      </c>
      <c r="E523" s="132">
        <f t="shared" si="26"/>
        <v>175</v>
      </c>
    </row>
    <row r="524" spans="1:5">
      <c r="A524" s="33" t="s">
        <v>328</v>
      </c>
      <c r="B524" s="36">
        <v>9</v>
      </c>
      <c r="C524" s="37">
        <f t="shared" si="24"/>
        <v>675</v>
      </c>
      <c r="D524" s="132">
        <f t="shared" si="25"/>
        <v>1575</v>
      </c>
      <c r="E524" s="132">
        <f t="shared" si="26"/>
        <v>1575</v>
      </c>
    </row>
    <row r="525" spans="1:5">
      <c r="A525" s="33" t="s">
        <v>328</v>
      </c>
      <c r="B525" s="36">
        <v>3</v>
      </c>
      <c r="C525" s="37">
        <f t="shared" si="24"/>
        <v>225</v>
      </c>
      <c r="D525" s="132">
        <f t="shared" si="25"/>
        <v>525</v>
      </c>
      <c r="E525" s="132">
        <f t="shared" si="26"/>
        <v>525</v>
      </c>
    </row>
    <row r="526" spans="1:5">
      <c r="A526" s="33" t="s">
        <v>328</v>
      </c>
      <c r="B526" s="36">
        <v>2</v>
      </c>
      <c r="C526" s="37">
        <f t="shared" si="24"/>
        <v>150</v>
      </c>
      <c r="D526" s="132">
        <f t="shared" si="25"/>
        <v>350</v>
      </c>
      <c r="E526" s="132">
        <f t="shared" si="26"/>
        <v>350</v>
      </c>
    </row>
    <row r="527" spans="1:5">
      <c r="A527" s="33" t="s">
        <v>328</v>
      </c>
      <c r="B527" s="36">
        <v>1</v>
      </c>
      <c r="C527" s="37">
        <f t="shared" si="24"/>
        <v>75</v>
      </c>
      <c r="D527" s="132">
        <f t="shared" si="25"/>
        <v>175</v>
      </c>
      <c r="E527" s="132">
        <f t="shared" si="26"/>
        <v>175</v>
      </c>
    </row>
    <row r="528" spans="1:5">
      <c r="A528" s="33" t="s">
        <v>328</v>
      </c>
      <c r="B528" s="36">
        <v>6</v>
      </c>
      <c r="C528" s="37">
        <f t="shared" si="24"/>
        <v>450</v>
      </c>
      <c r="D528" s="132">
        <f t="shared" si="25"/>
        <v>1050</v>
      </c>
      <c r="E528" s="132">
        <f t="shared" si="26"/>
        <v>1050</v>
      </c>
    </row>
    <row r="529" spans="1:5">
      <c r="A529" s="33" t="s">
        <v>328</v>
      </c>
      <c r="B529" s="36">
        <v>6</v>
      </c>
      <c r="C529" s="37">
        <f t="shared" si="24"/>
        <v>450</v>
      </c>
      <c r="D529" s="132">
        <f t="shared" si="25"/>
        <v>1050</v>
      </c>
      <c r="E529" s="132">
        <f t="shared" si="26"/>
        <v>1050</v>
      </c>
    </row>
    <row r="530" spans="1:5">
      <c r="A530" s="33" t="s">
        <v>328</v>
      </c>
      <c r="B530" s="36">
        <v>3</v>
      </c>
      <c r="C530" s="37">
        <f t="shared" si="24"/>
        <v>225</v>
      </c>
      <c r="D530" s="132">
        <f t="shared" si="25"/>
        <v>525</v>
      </c>
      <c r="E530" s="132">
        <f t="shared" si="26"/>
        <v>525</v>
      </c>
    </row>
    <row r="531" spans="1:5">
      <c r="A531" s="33" t="s">
        <v>328</v>
      </c>
      <c r="B531" s="36">
        <v>6</v>
      </c>
      <c r="C531" s="37">
        <f t="shared" si="24"/>
        <v>450</v>
      </c>
      <c r="D531" s="132">
        <f t="shared" si="25"/>
        <v>1050</v>
      </c>
      <c r="E531" s="132">
        <f t="shared" si="26"/>
        <v>1050</v>
      </c>
    </row>
    <row r="532" spans="1:5">
      <c r="A532" s="33" t="s">
        <v>328</v>
      </c>
      <c r="B532" s="36">
        <v>1</v>
      </c>
      <c r="C532" s="37">
        <f t="shared" si="24"/>
        <v>75</v>
      </c>
      <c r="D532" s="132">
        <f t="shared" si="25"/>
        <v>175</v>
      </c>
      <c r="E532" s="132">
        <f t="shared" si="26"/>
        <v>175</v>
      </c>
    </row>
    <row r="533" spans="1:5">
      <c r="A533" s="33" t="s">
        <v>328</v>
      </c>
      <c r="B533" s="36">
        <v>2</v>
      </c>
      <c r="C533" s="37">
        <f t="shared" si="24"/>
        <v>150</v>
      </c>
      <c r="D533" s="132">
        <f t="shared" si="25"/>
        <v>350</v>
      </c>
      <c r="E533" s="132">
        <f t="shared" si="26"/>
        <v>350</v>
      </c>
    </row>
    <row r="534" spans="1:5">
      <c r="A534" s="33" t="s">
        <v>328</v>
      </c>
      <c r="B534" s="36">
        <v>3</v>
      </c>
      <c r="C534" s="37">
        <f t="shared" si="24"/>
        <v>225</v>
      </c>
      <c r="D534" s="132">
        <f t="shared" si="25"/>
        <v>525</v>
      </c>
      <c r="E534" s="132">
        <f t="shared" si="26"/>
        <v>525</v>
      </c>
    </row>
    <row r="535" spans="1:5">
      <c r="A535" s="33" t="s">
        <v>328</v>
      </c>
      <c r="B535" s="36">
        <v>4</v>
      </c>
      <c r="C535" s="37">
        <f t="shared" si="24"/>
        <v>300</v>
      </c>
      <c r="D535" s="132">
        <f t="shared" si="25"/>
        <v>700</v>
      </c>
      <c r="E535" s="132">
        <f t="shared" si="26"/>
        <v>700</v>
      </c>
    </row>
    <row r="536" spans="1:5">
      <c r="A536" s="33" t="s">
        <v>328</v>
      </c>
      <c r="B536" s="36">
        <v>6</v>
      </c>
      <c r="C536" s="37">
        <f t="shared" si="24"/>
        <v>450</v>
      </c>
      <c r="D536" s="132">
        <f t="shared" si="25"/>
        <v>1050</v>
      </c>
      <c r="E536" s="132">
        <f t="shared" si="26"/>
        <v>1050</v>
      </c>
    </row>
    <row r="537" spans="1:5">
      <c r="A537" s="33" t="s">
        <v>328</v>
      </c>
      <c r="B537" s="36">
        <v>4</v>
      </c>
      <c r="C537" s="37">
        <f t="shared" si="24"/>
        <v>300</v>
      </c>
      <c r="D537" s="132">
        <f t="shared" si="25"/>
        <v>700</v>
      </c>
      <c r="E537" s="132">
        <f t="shared" si="26"/>
        <v>700</v>
      </c>
    </row>
    <row r="538" spans="1:5">
      <c r="A538" s="33" t="s">
        <v>328</v>
      </c>
      <c r="B538" s="36">
        <v>3</v>
      </c>
      <c r="C538" s="37">
        <f t="shared" si="24"/>
        <v>225</v>
      </c>
      <c r="D538" s="132">
        <f t="shared" si="25"/>
        <v>525</v>
      </c>
      <c r="E538" s="132">
        <f t="shared" si="26"/>
        <v>525</v>
      </c>
    </row>
    <row r="539" spans="1:5">
      <c r="A539" s="33" t="s">
        <v>328</v>
      </c>
      <c r="B539" s="36">
        <v>1</v>
      </c>
      <c r="C539" s="37">
        <f t="shared" si="24"/>
        <v>75</v>
      </c>
      <c r="D539" s="132">
        <f t="shared" si="25"/>
        <v>175</v>
      </c>
      <c r="E539" s="132">
        <f t="shared" si="26"/>
        <v>175</v>
      </c>
    </row>
    <row r="540" spans="1:5">
      <c r="A540" s="33" t="s">
        <v>328</v>
      </c>
      <c r="B540" s="36">
        <v>1</v>
      </c>
      <c r="C540" s="37">
        <f t="shared" si="24"/>
        <v>75</v>
      </c>
      <c r="D540" s="132">
        <f t="shared" si="25"/>
        <v>175</v>
      </c>
      <c r="E540" s="132">
        <f t="shared" si="26"/>
        <v>175</v>
      </c>
    </row>
    <row r="541" spans="1:5">
      <c r="A541" s="33" t="s">
        <v>328</v>
      </c>
      <c r="B541" s="36">
        <v>3</v>
      </c>
      <c r="C541" s="37">
        <f t="shared" si="24"/>
        <v>225</v>
      </c>
      <c r="D541" s="132">
        <f t="shared" si="25"/>
        <v>525</v>
      </c>
      <c r="E541" s="132">
        <f t="shared" si="26"/>
        <v>525</v>
      </c>
    </row>
    <row r="542" spans="1:5">
      <c r="A542" s="33" t="s">
        <v>328</v>
      </c>
      <c r="B542" s="36">
        <v>5</v>
      </c>
      <c r="C542" s="37">
        <f t="shared" si="24"/>
        <v>375</v>
      </c>
      <c r="D542" s="132">
        <f t="shared" si="25"/>
        <v>875</v>
      </c>
      <c r="E542" s="132">
        <f t="shared" si="26"/>
        <v>875</v>
      </c>
    </row>
    <row r="543" spans="1:5">
      <c r="A543" s="33" t="s">
        <v>328</v>
      </c>
      <c r="B543" s="36">
        <v>5</v>
      </c>
      <c r="C543" s="37">
        <f t="shared" si="24"/>
        <v>375</v>
      </c>
      <c r="D543" s="132">
        <f t="shared" si="25"/>
        <v>875</v>
      </c>
      <c r="E543" s="132">
        <f t="shared" si="26"/>
        <v>875</v>
      </c>
    </row>
    <row r="544" spans="1:5">
      <c r="A544" s="33" t="s">
        <v>328</v>
      </c>
      <c r="B544" s="36">
        <v>7</v>
      </c>
      <c r="C544" s="37">
        <f t="shared" si="24"/>
        <v>525</v>
      </c>
      <c r="D544" s="132">
        <f t="shared" si="25"/>
        <v>1225</v>
      </c>
      <c r="E544" s="132">
        <f t="shared" si="26"/>
        <v>1225</v>
      </c>
    </row>
    <row r="545" spans="1:5">
      <c r="A545" s="33" t="s">
        <v>328</v>
      </c>
      <c r="B545" s="36">
        <v>1</v>
      </c>
      <c r="C545" s="37">
        <f t="shared" si="24"/>
        <v>75</v>
      </c>
      <c r="D545" s="132">
        <f t="shared" si="25"/>
        <v>175</v>
      </c>
      <c r="E545" s="132">
        <f t="shared" si="26"/>
        <v>175</v>
      </c>
    </row>
    <row r="546" spans="1:5">
      <c r="A546" s="33" t="s">
        <v>328</v>
      </c>
      <c r="B546" s="36">
        <v>5</v>
      </c>
      <c r="C546" s="37">
        <f t="shared" si="24"/>
        <v>375</v>
      </c>
      <c r="D546" s="132">
        <f t="shared" si="25"/>
        <v>875</v>
      </c>
      <c r="E546" s="132">
        <f t="shared" si="26"/>
        <v>875</v>
      </c>
    </row>
    <row r="547" spans="1:5">
      <c r="A547" s="33" t="s">
        <v>328</v>
      </c>
      <c r="B547" s="36">
        <v>3</v>
      </c>
      <c r="C547" s="37">
        <f t="shared" si="24"/>
        <v>225</v>
      </c>
      <c r="D547" s="132">
        <f t="shared" si="25"/>
        <v>525</v>
      </c>
      <c r="E547" s="132">
        <f t="shared" si="26"/>
        <v>525</v>
      </c>
    </row>
    <row r="548" spans="1:5">
      <c r="A548" s="33" t="s">
        <v>328</v>
      </c>
      <c r="B548" s="36">
        <v>4</v>
      </c>
      <c r="C548" s="37">
        <f t="shared" si="24"/>
        <v>300</v>
      </c>
      <c r="D548" s="132">
        <f t="shared" si="25"/>
        <v>700</v>
      </c>
      <c r="E548" s="132">
        <f t="shared" si="26"/>
        <v>700</v>
      </c>
    </row>
    <row r="549" spans="1:5">
      <c r="A549" s="33" t="s">
        <v>328</v>
      </c>
      <c r="B549" s="36">
        <v>2</v>
      </c>
      <c r="C549" s="37">
        <f t="shared" si="24"/>
        <v>150</v>
      </c>
      <c r="D549" s="132">
        <f t="shared" si="25"/>
        <v>350</v>
      </c>
      <c r="E549" s="132">
        <f t="shared" si="26"/>
        <v>350</v>
      </c>
    </row>
    <row r="550" spans="1:5">
      <c r="A550" s="33" t="s">
        <v>328</v>
      </c>
      <c r="B550" s="36">
        <v>6</v>
      </c>
      <c r="C550" s="37">
        <f t="shared" si="24"/>
        <v>450</v>
      </c>
      <c r="D550" s="132">
        <f t="shared" si="25"/>
        <v>1050</v>
      </c>
      <c r="E550" s="132">
        <f t="shared" si="26"/>
        <v>1050</v>
      </c>
    </row>
    <row r="551" spans="1:5">
      <c r="A551" s="33" t="s">
        <v>328</v>
      </c>
      <c r="B551" s="36">
        <v>3</v>
      </c>
      <c r="C551" s="37">
        <f t="shared" si="24"/>
        <v>225</v>
      </c>
      <c r="D551" s="132">
        <f t="shared" si="25"/>
        <v>525</v>
      </c>
      <c r="E551" s="132">
        <f t="shared" si="26"/>
        <v>525</v>
      </c>
    </row>
    <row r="552" spans="1:5">
      <c r="A552" s="33" t="s">
        <v>328</v>
      </c>
      <c r="B552" s="36">
        <v>1</v>
      </c>
      <c r="C552" s="37">
        <f t="shared" si="24"/>
        <v>75</v>
      </c>
      <c r="D552" s="132">
        <f t="shared" si="25"/>
        <v>175</v>
      </c>
      <c r="E552" s="132">
        <f t="shared" si="26"/>
        <v>175</v>
      </c>
    </row>
    <row r="553" spans="1:5">
      <c r="A553" s="33" t="s">
        <v>328</v>
      </c>
      <c r="B553" s="36">
        <v>2</v>
      </c>
      <c r="C553" s="37">
        <f t="shared" si="24"/>
        <v>150</v>
      </c>
      <c r="D553" s="132">
        <f t="shared" si="25"/>
        <v>350</v>
      </c>
      <c r="E553" s="132">
        <f t="shared" si="26"/>
        <v>350</v>
      </c>
    </row>
    <row r="554" spans="1:5">
      <c r="A554" s="33" t="s">
        <v>328</v>
      </c>
      <c r="B554" s="36">
        <v>2</v>
      </c>
      <c r="C554" s="37">
        <f t="shared" si="24"/>
        <v>150</v>
      </c>
      <c r="D554" s="132">
        <f t="shared" si="25"/>
        <v>350</v>
      </c>
      <c r="E554" s="132">
        <f t="shared" si="26"/>
        <v>350</v>
      </c>
    </row>
    <row r="555" spans="1:5">
      <c r="A555" s="33" t="s">
        <v>328</v>
      </c>
      <c r="B555" s="36">
        <v>1</v>
      </c>
      <c r="C555" s="37">
        <f t="shared" si="24"/>
        <v>75</v>
      </c>
      <c r="D555" s="132">
        <f t="shared" si="25"/>
        <v>175</v>
      </c>
      <c r="E555" s="132">
        <f t="shared" si="26"/>
        <v>175</v>
      </c>
    </row>
    <row r="556" spans="1:5">
      <c r="A556" s="33" t="s">
        <v>328</v>
      </c>
      <c r="B556" s="36">
        <v>1</v>
      </c>
      <c r="C556" s="37">
        <f t="shared" si="24"/>
        <v>75</v>
      </c>
      <c r="D556" s="132">
        <f t="shared" si="25"/>
        <v>175</v>
      </c>
      <c r="E556" s="132">
        <f t="shared" si="26"/>
        <v>175</v>
      </c>
    </row>
    <row r="557" spans="1:5">
      <c r="A557" s="33" t="s">
        <v>328</v>
      </c>
      <c r="B557" s="36">
        <v>3</v>
      </c>
      <c r="C557" s="37">
        <f t="shared" si="24"/>
        <v>225</v>
      </c>
      <c r="D557" s="132">
        <f t="shared" si="25"/>
        <v>525</v>
      </c>
      <c r="E557" s="132">
        <f t="shared" si="26"/>
        <v>525</v>
      </c>
    </row>
    <row r="558" spans="1:5">
      <c r="A558" s="33" t="s">
        <v>328</v>
      </c>
      <c r="B558" s="36">
        <v>1</v>
      </c>
      <c r="C558" s="37">
        <f t="shared" si="24"/>
        <v>75</v>
      </c>
      <c r="D558" s="132">
        <f t="shared" si="25"/>
        <v>175</v>
      </c>
      <c r="E558" s="132">
        <f t="shared" si="26"/>
        <v>175</v>
      </c>
    </row>
    <row r="559" spans="1:5">
      <c r="A559" s="33" t="s">
        <v>328</v>
      </c>
      <c r="B559" s="36">
        <v>1</v>
      </c>
      <c r="C559" s="37">
        <f t="shared" si="24"/>
        <v>75</v>
      </c>
      <c r="D559" s="132">
        <f t="shared" si="25"/>
        <v>175</v>
      </c>
      <c r="E559" s="132">
        <f t="shared" si="26"/>
        <v>175</v>
      </c>
    </row>
    <row r="560" spans="1:5">
      <c r="A560" s="33" t="s">
        <v>328</v>
      </c>
      <c r="B560" s="36">
        <v>2</v>
      </c>
      <c r="C560" s="37">
        <f t="shared" si="24"/>
        <v>150</v>
      </c>
      <c r="D560" s="132">
        <f t="shared" si="25"/>
        <v>350</v>
      </c>
      <c r="E560" s="132">
        <f t="shared" si="26"/>
        <v>350</v>
      </c>
    </row>
    <row r="561" spans="1:5">
      <c r="A561" s="33" t="s">
        <v>328</v>
      </c>
      <c r="B561" s="36">
        <v>6</v>
      </c>
      <c r="C561" s="37">
        <f t="shared" si="24"/>
        <v>450</v>
      </c>
      <c r="D561" s="132">
        <f t="shared" si="25"/>
        <v>1050</v>
      </c>
      <c r="E561" s="132">
        <f t="shared" si="26"/>
        <v>1050</v>
      </c>
    </row>
    <row r="562" spans="1:5">
      <c r="A562" s="33" t="s">
        <v>328</v>
      </c>
      <c r="B562" s="36">
        <v>1</v>
      </c>
      <c r="C562" s="37">
        <f t="shared" si="24"/>
        <v>75</v>
      </c>
      <c r="D562" s="132">
        <f t="shared" si="25"/>
        <v>175</v>
      </c>
      <c r="E562" s="132">
        <f t="shared" si="26"/>
        <v>175</v>
      </c>
    </row>
    <row r="563" spans="1:5">
      <c r="A563" s="33" t="s">
        <v>328</v>
      </c>
      <c r="B563" s="36">
        <v>4</v>
      </c>
      <c r="C563" s="37">
        <f t="shared" si="24"/>
        <v>300</v>
      </c>
      <c r="D563" s="132">
        <f t="shared" si="25"/>
        <v>700</v>
      </c>
      <c r="E563" s="132">
        <f t="shared" si="26"/>
        <v>700</v>
      </c>
    </row>
    <row r="564" spans="1:5">
      <c r="A564" s="33" t="s">
        <v>328</v>
      </c>
      <c r="B564" s="36">
        <v>9</v>
      </c>
      <c r="C564" s="37">
        <f t="shared" si="24"/>
        <v>675</v>
      </c>
      <c r="D564" s="132">
        <f t="shared" si="25"/>
        <v>1575</v>
      </c>
      <c r="E564" s="132">
        <f t="shared" si="26"/>
        <v>1575</v>
      </c>
    </row>
    <row r="565" spans="1:5">
      <c r="A565" s="33" t="s">
        <v>328</v>
      </c>
      <c r="B565" s="36">
        <v>1</v>
      </c>
      <c r="C565" s="37">
        <f t="shared" si="24"/>
        <v>75</v>
      </c>
      <c r="D565" s="132">
        <f t="shared" si="25"/>
        <v>175</v>
      </c>
      <c r="E565" s="132">
        <f t="shared" si="26"/>
        <v>175</v>
      </c>
    </row>
    <row r="566" spans="1:5">
      <c r="A566" s="33" t="s">
        <v>328</v>
      </c>
      <c r="B566" s="36">
        <v>3</v>
      </c>
      <c r="C566" s="37">
        <f t="shared" si="24"/>
        <v>225</v>
      </c>
      <c r="D566" s="132">
        <f t="shared" si="25"/>
        <v>525</v>
      </c>
      <c r="E566" s="132">
        <f t="shared" si="26"/>
        <v>525</v>
      </c>
    </row>
    <row r="567" spans="1:5">
      <c r="A567" s="33" t="s">
        <v>328</v>
      </c>
      <c r="B567" s="36">
        <v>1</v>
      </c>
      <c r="C567" s="37">
        <f t="shared" si="24"/>
        <v>75</v>
      </c>
      <c r="D567" s="132">
        <f t="shared" si="25"/>
        <v>175</v>
      </c>
      <c r="E567" s="132">
        <f t="shared" si="26"/>
        <v>175</v>
      </c>
    </row>
    <row r="568" spans="1:5">
      <c r="A568" s="33" t="s">
        <v>328</v>
      </c>
      <c r="B568" s="36">
        <v>2</v>
      </c>
      <c r="C568" s="37">
        <f t="shared" si="24"/>
        <v>150</v>
      </c>
      <c r="D568" s="132">
        <f t="shared" si="25"/>
        <v>350</v>
      </c>
      <c r="E568" s="132">
        <f t="shared" si="26"/>
        <v>350</v>
      </c>
    </row>
    <row r="569" spans="1:5">
      <c r="A569" s="33" t="s">
        <v>328</v>
      </c>
      <c r="B569" s="36">
        <v>1</v>
      </c>
      <c r="C569" s="37">
        <f t="shared" si="24"/>
        <v>75</v>
      </c>
      <c r="D569" s="132">
        <f t="shared" si="25"/>
        <v>175</v>
      </c>
      <c r="E569" s="132">
        <f t="shared" si="26"/>
        <v>175</v>
      </c>
    </row>
    <row r="570" spans="1:5">
      <c r="A570" s="33" t="s">
        <v>328</v>
      </c>
      <c r="B570" s="36">
        <v>1</v>
      </c>
      <c r="C570" s="37">
        <f t="shared" si="24"/>
        <v>75</v>
      </c>
      <c r="D570" s="132">
        <f t="shared" si="25"/>
        <v>175</v>
      </c>
      <c r="E570" s="132">
        <f t="shared" si="26"/>
        <v>175</v>
      </c>
    </row>
    <row r="571" spans="1:5">
      <c r="A571" s="33" t="s">
        <v>328</v>
      </c>
      <c r="B571" s="36">
        <v>1</v>
      </c>
      <c r="C571" s="37">
        <f t="shared" si="24"/>
        <v>75</v>
      </c>
      <c r="D571" s="132">
        <f t="shared" si="25"/>
        <v>175</v>
      </c>
      <c r="E571" s="132">
        <f t="shared" si="26"/>
        <v>175</v>
      </c>
    </row>
    <row r="572" spans="1:5">
      <c r="A572" s="33" t="s">
        <v>328</v>
      </c>
      <c r="B572" s="36">
        <v>3</v>
      </c>
      <c r="C572" s="37">
        <f t="shared" si="24"/>
        <v>225</v>
      </c>
      <c r="D572" s="132">
        <f t="shared" si="25"/>
        <v>525</v>
      </c>
      <c r="E572" s="132">
        <f t="shared" si="26"/>
        <v>525</v>
      </c>
    </row>
    <row r="573" spans="1:5">
      <c r="A573" s="33" t="s">
        <v>328</v>
      </c>
      <c r="B573" s="36">
        <v>3</v>
      </c>
      <c r="C573" s="37">
        <f t="shared" si="24"/>
        <v>225</v>
      </c>
      <c r="D573" s="132">
        <f t="shared" si="25"/>
        <v>525</v>
      </c>
      <c r="E573" s="132">
        <f t="shared" si="26"/>
        <v>525</v>
      </c>
    </row>
    <row r="574" spans="1:5">
      <c r="A574" s="33" t="s">
        <v>328</v>
      </c>
      <c r="B574" s="36">
        <v>6</v>
      </c>
      <c r="C574" s="37">
        <f t="shared" si="24"/>
        <v>450</v>
      </c>
      <c r="D574" s="132">
        <f t="shared" si="25"/>
        <v>1050</v>
      </c>
      <c r="E574" s="132">
        <f t="shared" si="26"/>
        <v>1050</v>
      </c>
    </row>
    <row r="575" spans="1:5">
      <c r="A575" s="33" t="s">
        <v>328</v>
      </c>
      <c r="B575" s="36">
        <v>6</v>
      </c>
      <c r="C575" s="37">
        <f t="shared" si="24"/>
        <v>450</v>
      </c>
      <c r="D575" s="132">
        <f t="shared" si="25"/>
        <v>1050</v>
      </c>
      <c r="E575" s="132">
        <f t="shared" si="26"/>
        <v>1050</v>
      </c>
    </row>
    <row r="576" spans="1:5">
      <c r="A576" s="33" t="s">
        <v>328</v>
      </c>
      <c r="B576" s="36">
        <v>2</v>
      </c>
      <c r="C576" s="37">
        <f t="shared" si="24"/>
        <v>150</v>
      </c>
      <c r="D576" s="132">
        <f t="shared" si="25"/>
        <v>350</v>
      </c>
      <c r="E576" s="132">
        <f t="shared" si="26"/>
        <v>350</v>
      </c>
    </row>
    <row r="577" spans="1:5">
      <c r="A577" s="33" t="s">
        <v>328</v>
      </c>
      <c r="B577" s="36">
        <v>4</v>
      </c>
      <c r="C577" s="37">
        <f t="shared" si="24"/>
        <v>300</v>
      </c>
      <c r="D577" s="132">
        <f t="shared" si="25"/>
        <v>700</v>
      </c>
      <c r="E577" s="132">
        <f t="shared" si="26"/>
        <v>700</v>
      </c>
    </row>
    <row r="578" spans="1:5">
      <c r="A578" s="33" t="s">
        <v>328</v>
      </c>
      <c r="B578" s="36">
        <v>2</v>
      </c>
      <c r="C578" s="37">
        <f t="shared" si="24"/>
        <v>150</v>
      </c>
      <c r="D578" s="132">
        <f t="shared" si="25"/>
        <v>350</v>
      </c>
      <c r="E578" s="132">
        <f t="shared" si="26"/>
        <v>350</v>
      </c>
    </row>
    <row r="579" spans="1:5">
      <c r="A579" s="33" t="s">
        <v>328</v>
      </c>
      <c r="B579" s="36">
        <v>7</v>
      </c>
      <c r="C579" s="37">
        <f t="shared" si="24"/>
        <v>525</v>
      </c>
      <c r="D579" s="132">
        <f t="shared" si="25"/>
        <v>1225</v>
      </c>
      <c r="E579" s="132">
        <f t="shared" si="26"/>
        <v>1225</v>
      </c>
    </row>
    <row r="580" spans="1:5">
      <c r="A580" s="33" t="s">
        <v>328</v>
      </c>
      <c r="B580" s="36">
        <v>5</v>
      </c>
      <c r="C580" s="37">
        <f t="shared" si="24"/>
        <v>375</v>
      </c>
      <c r="D580" s="132">
        <f t="shared" si="25"/>
        <v>875</v>
      </c>
      <c r="E580" s="132">
        <f t="shared" si="26"/>
        <v>875</v>
      </c>
    </row>
    <row r="581" spans="1:5">
      <c r="A581" s="33" t="s">
        <v>328</v>
      </c>
      <c r="B581" s="36">
        <v>3</v>
      </c>
      <c r="C581" s="37">
        <f t="shared" si="24"/>
        <v>225</v>
      </c>
      <c r="D581" s="132">
        <f t="shared" si="25"/>
        <v>525</v>
      </c>
      <c r="E581" s="132">
        <f t="shared" si="26"/>
        <v>525</v>
      </c>
    </row>
    <row r="582" spans="1:5">
      <c r="A582" s="33" t="s">
        <v>328</v>
      </c>
      <c r="B582" s="36">
        <v>3</v>
      </c>
      <c r="C582" s="37">
        <f t="shared" si="24"/>
        <v>225</v>
      </c>
      <c r="D582" s="132">
        <f t="shared" si="25"/>
        <v>525</v>
      </c>
      <c r="E582" s="132">
        <f t="shared" si="26"/>
        <v>525</v>
      </c>
    </row>
    <row r="583" spans="1:5">
      <c r="A583" s="33" t="s">
        <v>328</v>
      </c>
      <c r="B583" s="36">
        <v>3</v>
      </c>
      <c r="C583" s="37">
        <f t="shared" ref="C583:C646" si="27">B583*75</f>
        <v>225</v>
      </c>
      <c r="D583" s="132">
        <f t="shared" ref="D583:D646" si="28">B583*250-C583</f>
        <v>525</v>
      </c>
      <c r="E583" s="132">
        <f t="shared" ref="E583:E646" si="29">B583*250-C583</f>
        <v>525</v>
      </c>
    </row>
    <row r="584" spans="1:5">
      <c r="A584" s="33" t="s">
        <v>328</v>
      </c>
      <c r="B584" s="36">
        <v>1</v>
      </c>
      <c r="C584" s="37">
        <f t="shared" si="27"/>
        <v>75</v>
      </c>
      <c r="D584" s="132">
        <f t="shared" si="28"/>
        <v>175</v>
      </c>
      <c r="E584" s="132">
        <f t="shared" si="29"/>
        <v>175</v>
      </c>
    </row>
    <row r="585" spans="1:5">
      <c r="A585" s="33" t="s">
        <v>328</v>
      </c>
      <c r="B585" s="36">
        <v>10</v>
      </c>
      <c r="C585" s="37">
        <f t="shared" si="27"/>
        <v>750</v>
      </c>
      <c r="D585" s="132">
        <f t="shared" si="28"/>
        <v>1750</v>
      </c>
      <c r="E585" s="132">
        <f t="shared" si="29"/>
        <v>1750</v>
      </c>
    </row>
    <row r="586" spans="1:5">
      <c r="A586" s="33" t="s">
        <v>328</v>
      </c>
      <c r="B586" s="36">
        <v>4</v>
      </c>
      <c r="C586" s="37">
        <f t="shared" si="27"/>
        <v>300</v>
      </c>
      <c r="D586" s="132">
        <f t="shared" si="28"/>
        <v>700</v>
      </c>
      <c r="E586" s="132">
        <f t="shared" si="29"/>
        <v>700</v>
      </c>
    </row>
    <row r="587" spans="1:5">
      <c r="A587" s="33" t="s">
        <v>328</v>
      </c>
      <c r="B587" s="36">
        <v>2</v>
      </c>
      <c r="C587" s="37">
        <f t="shared" si="27"/>
        <v>150</v>
      </c>
      <c r="D587" s="132">
        <f t="shared" si="28"/>
        <v>350</v>
      </c>
      <c r="E587" s="132">
        <f t="shared" si="29"/>
        <v>350</v>
      </c>
    </row>
    <row r="588" spans="1:5">
      <c r="A588" s="33" t="s">
        <v>328</v>
      </c>
      <c r="B588" s="36">
        <v>4</v>
      </c>
      <c r="C588" s="37">
        <f t="shared" si="27"/>
        <v>300</v>
      </c>
      <c r="D588" s="132">
        <f t="shared" si="28"/>
        <v>700</v>
      </c>
      <c r="E588" s="132">
        <f t="shared" si="29"/>
        <v>700</v>
      </c>
    </row>
    <row r="589" spans="1:5">
      <c r="A589" s="33" t="s">
        <v>328</v>
      </c>
      <c r="B589" s="36">
        <v>5</v>
      </c>
      <c r="C589" s="37">
        <f t="shared" si="27"/>
        <v>375</v>
      </c>
      <c r="D589" s="132">
        <f t="shared" si="28"/>
        <v>875</v>
      </c>
      <c r="E589" s="132">
        <f t="shared" si="29"/>
        <v>875</v>
      </c>
    </row>
    <row r="590" spans="1:5">
      <c r="A590" s="33" t="s">
        <v>328</v>
      </c>
      <c r="B590" s="36">
        <v>4</v>
      </c>
      <c r="C590" s="37">
        <f t="shared" si="27"/>
        <v>300</v>
      </c>
      <c r="D590" s="132">
        <f t="shared" si="28"/>
        <v>700</v>
      </c>
      <c r="E590" s="132">
        <f t="shared" si="29"/>
        <v>700</v>
      </c>
    </row>
    <row r="591" spans="1:5">
      <c r="A591" s="33" t="s">
        <v>328</v>
      </c>
      <c r="B591" s="36">
        <v>3</v>
      </c>
      <c r="C591" s="37">
        <f t="shared" si="27"/>
        <v>225</v>
      </c>
      <c r="D591" s="132">
        <f t="shared" si="28"/>
        <v>525</v>
      </c>
      <c r="E591" s="132">
        <f t="shared" si="29"/>
        <v>525</v>
      </c>
    </row>
    <row r="592" spans="1:5">
      <c r="A592" s="33" t="s">
        <v>328</v>
      </c>
      <c r="B592" s="36">
        <v>1</v>
      </c>
      <c r="C592" s="37">
        <f t="shared" si="27"/>
        <v>75</v>
      </c>
      <c r="D592" s="132">
        <f t="shared" si="28"/>
        <v>175</v>
      </c>
      <c r="E592" s="132">
        <f t="shared" si="29"/>
        <v>175</v>
      </c>
    </row>
    <row r="593" spans="1:5">
      <c r="A593" s="33" t="s">
        <v>328</v>
      </c>
      <c r="B593" s="36">
        <v>1</v>
      </c>
      <c r="C593" s="37">
        <f t="shared" si="27"/>
        <v>75</v>
      </c>
      <c r="D593" s="132">
        <f t="shared" si="28"/>
        <v>175</v>
      </c>
      <c r="E593" s="132">
        <f t="shared" si="29"/>
        <v>175</v>
      </c>
    </row>
    <row r="594" spans="1:5">
      <c r="A594" s="33" t="s">
        <v>328</v>
      </c>
      <c r="B594" s="36">
        <v>1</v>
      </c>
      <c r="C594" s="37">
        <f t="shared" si="27"/>
        <v>75</v>
      </c>
      <c r="D594" s="132">
        <f t="shared" si="28"/>
        <v>175</v>
      </c>
      <c r="E594" s="132">
        <f t="shared" si="29"/>
        <v>175</v>
      </c>
    </row>
    <row r="595" spans="1:5">
      <c r="A595" s="33" t="s">
        <v>328</v>
      </c>
      <c r="B595" s="36">
        <v>5</v>
      </c>
      <c r="C595" s="37">
        <f t="shared" si="27"/>
        <v>375</v>
      </c>
      <c r="D595" s="132">
        <f t="shared" si="28"/>
        <v>875</v>
      </c>
      <c r="E595" s="132">
        <f t="shared" si="29"/>
        <v>875</v>
      </c>
    </row>
    <row r="596" spans="1:5">
      <c r="A596" s="33" t="s">
        <v>328</v>
      </c>
      <c r="B596" s="36">
        <v>1</v>
      </c>
      <c r="C596" s="37">
        <f t="shared" si="27"/>
        <v>75</v>
      </c>
      <c r="D596" s="132">
        <f t="shared" si="28"/>
        <v>175</v>
      </c>
      <c r="E596" s="132">
        <f t="shared" si="29"/>
        <v>175</v>
      </c>
    </row>
    <row r="597" spans="1:5">
      <c r="A597" s="33" t="s">
        <v>328</v>
      </c>
      <c r="B597" s="36">
        <v>6</v>
      </c>
      <c r="C597" s="37">
        <f t="shared" si="27"/>
        <v>450</v>
      </c>
      <c r="D597" s="132">
        <f t="shared" si="28"/>
        <v>1050</v>
      </c>
      <c r="E597" s="132">
        <f t="shared" si="29"/>
        <v>1050</v>
      </c>
    </row>
    <row r="598" spans="1:5">
      <c r="A598" s="33" t="s">
        <v>328</v>
      </c>
      <c r="B598" s="36">
        <v>2</v>
      </c>
      <c r="C598" s="37">
        <f t="shared" si="27"/>
        <v>150</v>
      </c>
      <c r="D598" s="132">
        <f t="shared" si="28"/>
        <v>350</v>
      </c>
      <c r="E598" s="132">
        <f t="shared" si="29"/>
        <v>350</v>
      </c>
    </row>
    <row r="599" spans="1:5">
      <c r="A599" s="33" t="s">
        <v>328</v>
      </c>
      <c r="B599" s="36">
        <v>3</v>
      </c>
      <c r="C599" s="37">
        <f t="shared" si="27"/>
        <v>225</v>
      </c>
      <c r="D599" s="132">
        <f t="shared" si="28"/>
        <v>525</v>
      </c>
      <c r="E599" s="132">
        <f t="shared" si="29"/>
        <v>525</v>
      </c>
    </row>
    <row r="600" spans="1:5">
      <c r="A600" s="33" t="s">
        <v>328</v>
      </c>
      <c r="B600" s="36">
        <v>6</v>
      </c>
      <c r="C600" s="37">
        <f t="shared" si="27"/>
        <v>450</v>
      </c>
      <c r="D600" s="132">
        <f t="shared" si="28"/>
        <v>1050</v>
      </c>
      <c r="E600" s="132">
        <f t="shared" si="29"/>
        <v>1050</v>
      </c>
    </row>
    <row r="601" spans="1:5">
      <c r="A601" s="33" t="s">
        <v>328</v>
      </c>
      <c r="B601" s="36">
        <v>3</v>
      </c>
      <c r="C601" s="37">
        <f t="shared" si="27"/>
        <v>225</v>
      </c>
      <c r="D601" s="132">
        <f t="shared" si="28"/>
        <v>525</v>
      </c>
      <c r="E601" s="132">
        <f t="shared" si="29"/>
        <v>525</v>
      </c>
    </row>
    <row r="602" spans="1:5">
      <c r="A602" s="33" t="s">
        <v>328</v>
      </c>
      <c r="B602" s="36">
        <v>6</v>
      </c>
      <c r="C602" s="37">
        <f t="shared" si="27"/>
        <v>450</v>
      </c>
      <c r="D602" s="132">
        <f t="shared" si="28"/>
        <v>1050</v>
      </c>
      <c r="E602" s="132">
        <f t="shared" si="29"/>
        <v>1050</v>
      </c>
    </row>
    <row r="603" spans="1:5">
      <c r="A603" s="33" t="s">
        <v>328</v>
      </c>
      <c r="B603" s="36">
        <v>5</v>
      </c>
      <c r="C603" s="37">
        <f t="shared" si="27"/>
        <v>375</v>
      </c>
      <c r="D603" s="132">
        <f t="shared" si="28"/>
        <v>875</v>
      </c>
      <c r="E603" s="132">
        <f t="shared" si="29"/>
        <v>875</v>
      </c>
    </row>
    <row r="604" spans="1:5">
      <c r="A604" s="33" t="s">
        <v>328</v>
      </c>
      <c r="B604" s="36">
        <v>3</v>
      </c>
      <c r="C604" s="37">
        <f t="shared" si="27"/>
        <v>225</v>
      </c>
      <c r="D604" s="132">
        <f t="shared" si="28"/>
        <v>525</v>
      </c>
      <c r="E604" s="132">
        <f t="shared" si="29"/>
        <v>525</v>
      </c>
    </row>
    <row r="605" spans="1:5">
      <c r="A605" s="33" t="s">
        <v>328</v>
      </c>
      <c r="B605" s="36">
        <v>6</v>
      </c>
      <c r="C605" s="37">
        <f t="shared" si="27"/>
        <v>450</v>
      </c>
      <c r="D605" s="132">
        <f t="shared" si="28"/>
        <v>1050</v>
      </c>
      <c r="E605" s="132">
        <f t="shared" si="29"/>
        <v>1050</v>
      </c>
    </row>
    <row r="606" spans="1:5">
      <c r="A606" s="33" t="s">
        <v>328</v>
      </c>
      <c r="B606" s="36">
        <v>1</v>
      </c>
      <c r="C606" s="37">
        <f t="shared" si="27"/>
        <v>75</v>
      </c>
      <c r="D606" s="132">
        <f t="shared" si="28"/>
        <v>175</v>
      </c>
      <c r="E606" s="132">
        <f t="shared" si="29"/>
        <v>175</v>
      </c>
    </row>
    <row r="607" spans="1:5">
      <c r="A607" s="33" t="s">
        <v>328</v>
      </c>
      <c r="B607" s="36">
        <v>5</v>
      </c>
      <c r="C607" s="37">
        <f t="shared" si="27"/>
        <v>375</v>
      </c>
      <c r="D607" s="132">
        <f t="shared" si="28"/>
        <v>875</v>
      </c>
      <c r="E607" s="132">
        <f t="shared" si="29"/>
        <v>875</v>
      </c>
    </row>
    <row r="608" spans="1:5">
      <c r="A608" s="33" t="s">
        <v>328</v>
      </c>
      <c r="B608" s="36">
        <v>1</v>
      </c>
      <c r="C608" s="37">
        <f t="shared" si="27"/>
        <v>75</v>
      </c>
      <c r="D608" s="132">
        <f t="shared" si="28"/>
        <v>175</v>
      </c>
      <c r="E608" s="132">
        <f t="shared" si="29"/>
        <v>175</v>
      </c>
    </row>
    <row r="609" spans="1:5">
      <c r="A609" s="33" t="s">
        <v>328</v>
      </c>
      <c r="B609" s="36">
        <v>7</v>
      </c>
      <c r="C609" s="37">
        <f t="shared" si="27"/>
        <v>525</v>
      </c>
      <c r="D609" s="132">
        <f t="shared" si="28"/>
        <v>1225</v>
      </c>
      <c r="E609" s="132">
        <f t="shared" si="29"/>
        <v>1225</v>
      </c>
    </row>
    <row r="610" spans="1:5">
      <c r="A610" s="33" t="s">
        <v>328</v>
      </c>
      <c r="B610" s="36">
        <v>2</v>
      </c>
      <c r="C610" s="37">
        <f t="shared" si="27"/>
        <v>150</v>
      </c>
      <c r="D610" s="132">
        <f t="shared" si="28"/>
        <v>350</v>
      </c>
      <c r="E610" s="132">
        <f t="shared" si="29"/>
        <v>350</v>
      </c>
    </row>
    <row r="611" spans="1:5">
      <c r="A611" s="33" t="s">
        <v>328</v>
      </c>
      <c r="B611" s="36">
        <v>2</v>
      </c>
      <c r="C611" s="37">
        <f t="shared" si="27"/>
        <v>150</v>
      </c>
      <c r="D611" s="132">
        <f t="shared" si="28"/>
        <v>350</v>
      </c>
      <c r="E611" s="132">
        <f t="shared" si="29"/>
        <v>350</v>
      </c>
    </row>
    <row r="612" spans="1:5">
      <c r="A612" s="33" t="s">
        <v>328</v>
      </c>
      <c r="B612" s="36">
        <v>4</v>
      </c>
      <c r="C612" s="37">
        <f t="shared" si="27"/>
        <v>300</v>
      </c>
      <c r="D612" s="132">
        <f t="shared" si="28"/>
        <v>700</v>
      </c>
      <c r="E612" s="132">
        <f t="shared" si="29"/>
        <v>700</v>
      </c>
    </row>
    <row r="613" spans="1:5">
      <c r="A613" s="33" t="s">
        <v>328</v>
      </c>
      <c r="B613" s="36">
        <v>6</v>
      </c>
      <c r="C613" s="37">
        <f t="shared" si="27"/>
        <v>450</v>
      </c>
      <c r="D613" s="132">
        <f t="shared" si="28"/>
        <v>1050</v>
      </c>
      <c r="E613" s="132">
        <f t="shared" si="29"/>
        <v>1050</v>
      </c>
    </row>
    <row r="614" spans="1:5">
      <c r="A614" s="33" t="s">
        <v>328</v>
      </c>
      <c r="B614" s="36">
        <v>1</v>
      </c>
      <c r="C614" s="37">
        <f t="shared" si="27"/>
        <v>75</v>
      </c>
      <c r="D614" s="132">
        <f t="shared" si="28"/>
        <v>175</v>
      </c>
      <c r="E614" s="132">
        <f t="shared" si="29"/>
        <v>175</v>
      </c>
    </row>
    <row r="615" spans="1:5">
      <c r="A615" s="33" t="s">
        <v>328</v>
      </c>
      <c r="B615" s="36">
        <v>2</v>
      </c>
      <c r="C615" s="37">
        <f t="shared" si="27"/>
        <v>150</v>
      </c>
      <c r="D615" s="132">
        <f t="shared" si="28"/>
        <v>350</v>
      </c>
      <c r="E615" s="132">
        <f t="shared" si="29"/>
        <v>350</v>
      </c>
    </row>
    <row r="616" spans="1:5">
      <c r="A616" s="33" t="s">
        <v>328</v>
      </c>
      <c r="B616" s="36">
        <v>2</v>
      </c>
      <c r="C616" s="37">
        <f t="shared" si="27"/>
        <v>150</v>
      </c>
      <c r="D616" s="132">
        <f t="shared" si="28"/>
        <v>350</v>
      </c>
      <c r="E616" s="132">
        <f t="shared" si="29"/>
        <v>350</v>
      </c>
    </row>
    <row r="617" spans="1:5">
      <c r="A617" s="33" t="s">
        <v>328</v>
      </c>
      <c r="B617" s="36">
        <v>3</v>
      </c>
      <c r="C617" s="37">
        <f t="shared" si="27"/>
        <v>225</v>
      </c>
      <c r="D617" s="132">
        <f t="shared" si="28"/>
        <v>525</v>
      </c>
      <c r="E617" s="132">
        <f t="shared" si="29"/>
        <v>525</v>
      </c>
    </row>
    <row r="618" spans="1:5">
      <c r="A618" s="33" t="s">
        <v>328</v>
      </c>
      <c r="B618" s="36">
        <v>6</v>
      </c>
      <c r="C618" s="37">
        <f t="shared" si="27"/>
        <v>450</v>
      </c>
      <c r="D618" s="132">
        <f t="shared" si="28"/>
        <v>1050</v>
      </c>
      <c r="E618" s="132">
        <f t="shared" si="29"/>
        <v>1050</v>
      </c>
    </row>
    <row r="619" spans="1:5">
      <c r="A619" s="33" t="s">
        <v>328</v>
      </c>
      <c r="B619" s="36">
        <v>6</v>
      </c>
      <c r="C619" s="37">
        <f t="shared" si="27"/>
        <v>450</v>
      </c>
      <c r="D619" s="132">
        <f t="shared" si="28"/>
        <v>1050</v>
      </c>
      <c r="E619" s="132">
        <f t="shared" si="29"/>
        <v>1050</v>
      </c>
    </row>
    <row r="620" spans="1:5">
      <c r="A620" s="33" t="s">
        <v>328</v>
      </c>
      <c r="B620" s="36">
        <v>5</v>
      </c>
      <c r="C620" s="37">
        <f t="shared" si="27"/>
        <v>375</v>
      </c>
      <c r="D620" s="132">
        <f t="shared" si="28"/>
        <v>875</v>
      </c>
      <c r="E620" s="132">
        <f t="shared" si="29"/>
        <v>875</v>
      </c>
    </row>
    <row r="621" spans="1:5">
      <c r="A621" s="33" t="s">
        <v>328</v>
      </c>
      <c r="B621" s="36">
        <v>7</v>
      </c>
      <c r="C621" s="37">
        <f t="shared" si="27"/>
        <v>525</v>
      </c>
      <c r="D621" s="132">
        <f t="shared" si="28"/>
        <v>1225</v>
      </c>
      <c r="E621" s="132">
        <f t="shared" si="29"/>
        <v>1225</v>
      </c>
    </row>
    <row r="622" spans="1:5">
      <c r="A622" s="33" t="s">
        <v>328</v>
      </c>
      <c r="B622" s="36">
        <v>10</v>
      </c>
      <c r="C622" s="37">
        <f t="shared" si="27"/>
        <v>750</v>
      </c>
      <c r="D622" s="132">
        <f t="shared" si="28"/>
        <v>1750</v>
      </c>
      <c r="E622" s="132">
        <f t="shared" si="29"/>
        <v>1750</v>
      </c>
    </row>
    <row r="623" spans="1:5">
      <c r="A623" s="33" t="s">
        <v>328</v>
      </c>
      <c r="B623" s="36">
        <v>3</v>
      </c>
      <c r="C623" s="37">
        <f t="shared" si="27"/>
        <v>225</v>
      </c>
      <c r="D623" s="132">
        <f t="shared" si="28"/>
        <v>525</v>
      </c>
      <c r="E623" s="132">
        <f t="shared" si="29"/>
        <v>525</v>
      </c>
    </row>
    <row r="624" spans="1:5">
      <c r="A624" s="33" t="s">
        <v>328</v>
      </c>
      <c r="B624" s="36">
        <v>1</v>
      </c>
      <c r="C624" s="37">
        <f t="shared" si="27"/>
        <v>75</v>
      </c>
      <c r="D624" s="132">
        <f t="shared" si="28"/>
        <v>175</v>
      </c>
      <c r="E624" s="132">
        <f t="shared" si="29"/>
        <v>175</v>
      </c>
    </row>
    <row r="625" spans="1:5">
      <c r="A625" s="33" t="s">
        <v>328</v>
      </c>
      <c r="B625" s="36">
        <v>1</v>
      </c>
      <c r="C625" s="37">
        <f t="shared" si="27"/>
        <v>75</v>
      </c>
      <c r="D625" s="132">
        <f t="shared" si="28"/>
        <v>175</v>
      </c>
      <c r="E625" s="132">
        <f t="shared" si="29"/>
        <v>175</v>
      </c>
    </row>
    <row r="626" spans="1:5">
      <c r="A626" s="33" t="s">
        <v>328</v>
      </c>
      <c r="B626" s="36">
        <v>7</v>
      </c>
      <c r="C626" s="37">
        <f t="shared" si="27"/>
        <v>525</v>
      </c>
      <c r="D626" s="132">
        <f t="shared" si="28"/>
        <v>1225</v>
      </c>
      <c r="E626" s="132">
        <f t="shared" si="29"/>
        <v>1225</v>
      </c>
    </row>
    <row r="627" spans="1:5">
      <c r="A627" s="33" t="s">
        <v>328</v>
      </c>
      <c r="B627" s="36">
        <v>7</v>
      </c>
      <c r="C627" s="37">
        <f t="shared" si="27"/>
        <v>525</v>
      </c>
      <c r="D627" s="132">
        <f t="shared" si="28"/>
        <v>1225</v>
      </c>
      <c r="E627" s="132">
        <f t="shared" si="29"/>
        <v>1225</v>
      </c>
    </row>
    <row r="628" spans="1:5">
      <c r="A628" s="33" t="s">
        <v>328</v>
      </c>
      <c r="B628" s="36">
        <v>2</v>
      </c>
      <c r="C628" s="37">
        <f t="shared" si="27"/>
        <v>150</v>
      </c>
      <c r="D628" s="132">
        <f t="shared" si="28"/>
        <v>350</v>
      </c>
      <c r="E628" s="132">
        <f t="shared" si="29"/>
        <v>350</v>
      </c>
    </row>
    <row r="629" spans="1:5">
      <c r="A629" s="33" t="s">
        <v>328</v>
      </c>
      <c r="B629" s="36">
        <v>1</v>
      </c>
      <c r="C629" s="37">
        <f t="shared" si="27"/>
        <v>75</v>
      </c>
      <c r="D629" s="132">
        <f t="shared" si="28"/>
        <v>175</v>
      </c>
      <c r="E629" s="132">
        <f t="shared" si="29"/>
        <v>175</v>
      </c>
    </row>
    <row r="630" spans="1:5">
      <c r="A630" s="33" t="s">
        <v>328</v>
      </c>
      <c r="B630" s="36">
        <v>3</v>
      </c>
      <c r="C630" s="37">
        <f t="shared" si="27"/>
        <v>225</v>
      </c>
      <c r="D630" s="132">
        <f t="shared" si="28"/>
        <v>525</v>
      </c>
      <c r="E630" s="132">
        <f t="shared" si="29"/>
        <v>525</v>
      </c>
    </row>
    <row r="631" spans="1:5">
      <c r="A631" s="33" t="s">
        <v>328</v>
      </c>
      <c r="B631" s="36">
        <v>6</v>
      </c>
      <c r="C631" s="37">
        <f t="shared" si="27"/>
        <v>450</v>
      </c>
      <c r="D631" s="132">
        <f t="shared" si="28"/>
        <v>1050</v>
      </c>
      <c r="E631" s="132">
        <f t="shared" si="29"/>
        <v>1050</v>
      </c>
    </row>
    <row r="632" spans="1:5">
      <c r="A632" s="33" t="s">
        <v>328</v>
      </c>
      <c r="B632" s="36">
        <v>6</v>
      </c>
      <c r="C632" s="37">
        <f t="shared" si="27"/>
        <v>450</v>
      </c>
      <c r="D632" s="132">
        <f t="shared" si="28"/>
        <v>1050</v>
      </c>
      <c r="E632" s="132">
        <f t="shared" si="29"/>
        <v>1050</v>
      </c>
    </row>
    <row r="633" spans="1:5">
      <c r="A633" s="33" t="s">
        <v>328</v>
      </c>
      <c r="B633" s="36">
        <v>3</v>
      </c>
      <c r="C633" s="37">
        <f t="shared" si="27"/>
        <v>225</v>
      </c>
      <c r="D633" s="132">
        <f t="shared" si="28"/>
        <v>525</v>
      </c>
      <c r="E633" s="132">
        <f t="shared" si="29"/>
        <v>525</v>
      </c>
    </row>
    <row r="634" spans="1:5">
      <c r="A634" s="33" t="s">
        <v>328</v>
      </c>
      <c r="B634" s="36">
        <v>4</v>
      </c>
      <c r="C634" s="37">
        <f t="shared" si="27"/>
        <v>300</v>
      </c>
      <c r="D634" s="132">
        <f t="shared" si="28"/>
        <v>700</v>
      </c>
      <c r="E634" s="132">
        <f t="shared" si="29"/>
        <v>700</v>
      </c>
    </row>
    <row r="635" spans="1:5">
      <c r="A635" s="33" t="s">
        <v>328</v>
      </c>
      <c r="B635" s="36">
        <v>5</v>
      </c>
      <c r="C635" s="37">
        <f t="shared" si="27"/>
        <v>375</v>
      </c>
      <c r="D635" s="132">
        <f t="shared" si="28"/>
        <v>875</v>
      </c>
      <c r="E635" s="132">
        <f t="shared" si="29"/>
        <v>875</v>
      </c>
    </row>
    <row r="636" spans="1:5">
      <c r="A636" s="33" t="s">
        <v>328</v>
      </c>
      <c r="B636" s="36">
        <v>2</v>
      </c>
      <c r="C636" s="37">
        <f t="shared" si="27"/>
        <v>150</v>
      </c>
      <c r="D636" s="132">
        <f t="shared" si="28"/>
        <v>350</v>
      </c>
      <c r="E636" s="132">
        <f t="shared" si="29"/>
        <v>350</v>
      </c>
    </row>
    <row r="637" spans="1:5">
      <c r="A637" s="33" t="s">
        <v>328</v>
      </c>
      <c r="B637" s="36">
        <v>6</v>
      </c>
      <c r="C637" s="37">
        <f t="shared" si="27"/>
        <v>450</v>
      </c>
      <c r="D637" s="132">
        <f t="shared" si="28"/>
        <v>1050</v>
      </c>
      <c r="E637" s="132">
        <f t="shared" si="29"/>
        <v>1050</v>
      </c>
    </row>
    <row r="638" spans="1:5">
      <c r="A638" s="33" t="s">
        <v>328</v>
      </c>
      <c r="B638" s="36">
        <v>3</v>
      </c>
      <c r="C638" s="37">
        <f t="shared" si="27"/>
        <v>225</v>
      </c>
      <c r="D638" s="132">
        <f t="shared" si="28"/>
        <v>525</v>
      </c>
      <c r="E638" s="132">
        <f t="shared" si="29"/>
        <v>525</v>
      </c>
    </row>
    <row r="639" spans="1:5">
      <c r="A639" s="33" t="s">
        <v>328</v>
      </c>
      <c r="B639" s="36">
        <v>6</v>
      </c>
      <c r="C639" s="37">
        <f t="shared" si="27"/>
        <v>450</v>
      </c>
      <c r="D639" s="132">
        <f t="shared" si="28"/>
        <v>1050</v>
      </c>
      <c r="E639" s="132">
        <f t="shared" si="29"/>
        <v>1050</v>
      </c>
    </row>
    <row r="640" spans="1:5">
      <c r="A640" s="33" t="s">
        <v>328</v>
      </c>
      <c r="B640" s="36">
        <v>4</v>
      </c>
      <c r="C640" s="37">
        <f t="shared" si="27"/>
        <v>300</v>
      </c>
      <c r="D640" s="132">
        <f t="shared" si="28"/>
        <v>700</v>
      </c>
      <c r="E640" s="132">
        <f t="shared" si="29"/>
        <v>700</v>
      </c>
    </row>
    <row r="641" spans="1:5">
      <c r="A641" s="33" t="s">
        <v>328</v>
      </c>
      <c r="B641" s="36">
        <v>2</v>
      </c>
      <c r="C641" s="37">
        <f t="shared" si="27"/>
        <v>150</v>
      </c>
      <c r="D641" s="132">
        <f t="shared" si="28"/>
        <v>350</v>
      </c>
      <c r="E641" s="132">
        <f t="shared" si="29"/>
        <v>350</v>
      </c>
    </row>
    <row r="642" spans="1:5">
      <c r="A642" s="33" t="s">
        <v>328</v>
      </c>
      <c r="B642" s="36">
        <v>4</v>
      </c>
      <c r="C642" s="37">
        <f t="shared" si="27"/>
        <v>300</v>
      </c>
      <c r="D642" s="132">
        <f t="shared" si="28"/>
        <v>700</v>
      </c>
      <c r="E642" s="132">
        <f t="shared" si="29"/>
        <v>700</v>
      </c>
    </row>
    <row r="643" spans="1:5">
      <c r="A643" s="33" t="s">
        <v>328</v>
      </c>
      <c r="B643" s="36">
        <v>2</v>
      </c>
      <c r="C643" s="37">
        <f t="shared" si="27"/>
        <v>150</v>
      </c>
      <c r="D643" s="132">
        <f t="shared" si="28"/>
        <v>350</v>
      </c>
      <c r="E643" s="132">
        <f t="shared" si="29"/>
        <v>350</v>
      </c>
    </row>
    <row r="644" spans="1:5">
      <c r="A644" s="33" t="s">
        <v>328</v>
      </c>
      <c r="B644" s="36">
        <v>5</v>
      </c>
      <c r="C644" s="37">
        <f t="shared" si="27"/>
        <v>375</v>
      </c>
      <c r="D644" s="132">
        <f t="shared" si="28"/>
        <v>875</v>
      </c>
      <c r="E644" s="132">
        <f t="shared" si="29"/>
        <v>875</v>
      </c>
    </row>
    <row r="645" spans="1:5">
      <c r="A645" s="33" t="s">
        <v>328</v>
      </c>
      <c r="B645" s="36">
        <v>2</v>
      </c>
      <c r="C645" s="37">
        <f t="shared" si="27"/>
        <v>150</v>
      </c>
      <c r="D645" s="132">
        <f t="shared" si="28"/>
        <v>350</v>
      </c>
      <c r="E645" s="132">
        <f t="shared" si="29"/>
        <v>350</v>
      </c>
    </row>
    <row r="646" spans="1:5">
      <c r="A646" s="33" t="s">
        <v>328</v>
      </c>
      <c r="B646" s="36">
        <v>5</v>
      </c>
      <c r="C646" s="37">
        <f t="shared" si="27"/>
        <v>375</v>
      </c>
      <c r="D646" s="132">
        <f t="shared" si="28"/>
        <v>875</v>
      </c>
      <c r="E646" s="132">
        <f t="shared" si="29"/>
        <v>875</v>
      </c>
    </row>
    <row r="647" spans="1:5">
      <c r="A647" s="33" t="s">
        <v>328</v>
      </c>
      <c r="B647" s="36">
        <v>4</v>
      </c>
      <c r="C647" s="37">
        <f t="shared" ref="C647:C710" si="30">B647*75</f>
        <v>300</v>
      </c>
      <c r="D647" s="132">
        <f t="shared" ref="D647:D710" si="31">B647*250-C647</f>
        <v>700</v>
      </c>
      <c r="E647" s="132">
        <f t="shared" ref="E647:E710" si="32">B647*250-C647</f>
        <v>700</v>
      </c>
    </row>
    <row r="648" spans="1:5">
      <c r="A648" s="33" t="s">
        <v>328</v>
      </c>
      <c r="B648" s="36">
        <v>9</v>
      </c>
      <c r="C648" s="37">
        <f t="shared" si="30"/>
        <v>675</v>
      </c>
      <c r="D648" s="132">
        <f t="shared" si="31"/>
        <v>1575</v>
      </c>
      <c r="E648" s="132">
        <f t="shared" si="32"/>
        <v>1575</v>
      </c>
    </row>
    <row r="649" spans="1:5">
      <c r="A649" s="33" t="s">
        <v>328</v>
      </c>
      <c r="B649" s="36">
        <v>7</v>
      </c>
      <c r="C649" s="37">
        <f t="shared" si="30"/>
        <v>525</v>
      </c>
      <c r="D649" s="132">
        <f t="shared" si="31"/>
        <v>1225</v>
      </c>
      <c r="E649" s="132">
        <f t="shared" si="32"/>
        <v>1225</v>
      </c>
    </row>
    <row r="650" spans="1:5">
      <c r="A650" s="33" t="s">
        <v>328</v>
      </c>
      <c r="B650" s="36">
        <v>2</v>
      </c>
      <c r="C650" s="37">
        <f t="shared" si="30"/>
        <v>150</v>
      </c>
      <c r="D650" s="132">
        <f t="shared" si="31"/>
        <v>350</v>
      </c>
      <c r="E650" s="132">
        <f t="shared" si="32"/>
        <v>350</v>
      </c>
    </row>
    <row r="651" spans="1:5">
      <c r="A651" s="33" t="s">
        <v>328</v>
      </c>
      <c r="B651" s="36">
        <v>1</v>
      </c>
      <c r="C651" s="37">
        <f t="shared" si="30"/>
        <v>75</v>
      </c>
      <c r="D651" s="132">
        <f t="shared" si="31"/>
        <v>175</v>
      </c>
      <c r="E651" s="132">
        <f t="shared" si="32"/>
        <v>175</v>
      </c>
    </row>
    <row r="652" spans="1:5">
      <c r="A652" s="33" t="s">
        <v>328</v>
      </c>
      <c r="B652" s="36">
        <v>11</v>
      </c>
      <c r="C652" s="37">
        <f t="shared" si="30"/>
        <v>825</v>
      </c>
      <c r="D652" s="132">
        <f t="shared" si="31"/>
        <v>1925</v>
      </c>
      <c r="E652" s="132">
        <f t="shared" si="32"/>
        <v>1925</v>
      </c>
    </row>
    <row r="653" spans="1:5">
      <c r="A653" s="33" t="s">
        <v>328</v>
      </c>
      <c r="B653" s="36">
        <v>4</v>
      </c>
      <c r="C653" s="37">
        <f t="shared" si="30"/>
        <v>300</v>
      </c>
      <c r="D653" s="132">
        <f t="shared" si="31"/>
        <v>700</v>
      </c>
      <c r="E653" s="132">
        <f t="shared" si="32"/>
        <v>700</v>
      </c>
    </row>
    <row r="654" spans="1:5">
      <c r="A654" s="33" t="s">
        <v>328</v>
      </c>
      <c r="B654" s="36">
        <v>3</v>
      </c>
      <c r="C654" s="37">
        <f t="shared" si="30"/>
        <v>225</v>
      </c>
      <c r="D654" s="132">
        <f t="shared" si="31"/>
        <v>525</v>
      </c>
      <c r="E654" s="132">
        <f t="shared" si="32"/>
        <v>525</v>
      </c>
    </row>
    <row r="655" spans="1:5">
      <c r="A655" s="33" t="s">
        <v>328</v>
      </c>
      <c r="B655" s="36">
        <v>5</v>
      </c>
      <c r="C655" s="37">
        <f t="shared" si="30"/>
        <v>375</v>
      </c>
      <c r="D655" s="132">
        <f t="shared" si="31"/>
        <v>875</v>
      </c>
      <c r="E655" s="132">
        <f t="shared" si="32"/>
        <v>875</v>
      </c>
    </row>
    <row r="656" spans="1:5">
      <c r="A656" s="33" t="s">
        <v>328</v>
      </c>
      <c r="B656" s="36">
        <v>4</v>
      </c>
      <c r="C656" s="37">
        <f t="shared" si="30"/>
        <v>300</v>
      </c>
      <c r="D656" s="132">
        <f t="shared" si="31"/>
        <v>700</v>
      </c>
      <c r="E656" s="132">
        <f t="shared" si="32"/>
        <v>700</v>
      </c>
    </row>
    <row r="657" spans="1:5">
      <c r="A657" s="33" t="s">
        <v>328</v>
      </c>
      <c r="B657" s="36">
        <v>2</v>
      </c>
      <c r="C657" s="37">
        <f t="shared" si="30"/>
        <v>150</v>
      </c>
      <c r="D657" s="132">
        <f t="shared" si="31"/>
        <v>350</v>
      </c>
      <c r="E657" s="132">
        <f t="shared" si="32"/>
        <v>350</v>
      </c>
    </row>
    <row r="658" spans="1:5">
      <c r="A658" s="33" t="s">
        <v>328</v>
      </c>
      <c r="B658" s="36">
        <v>1</v>
      </c>
      <c r="C658" s="37">
        <f t="shared" si="30"/>
        <v>75</v>
      </c>
      <c r="D658" s="132">
        <f t="shared" si="31"/>
        <v>175</v>
      </c>
      <c r="E658" s="132">
        <f t="shared" si="32"/>
        <v>175</v>
      </c>
    </row>
    <row r="659" spans="1:5">
      <c r="A659" s="33" t="s">
        <v>328</v>
      </c>
      <c r="B659" s="36">
        <v>9</v>
      </c>
      <c r="C659" s="37">
        <f t="shared" si="30"/>
        <v>675</v>
      </c>
      <c r="D659" s="132">
        <f t="shared" si="31"/>
        <v>1575</v>
      </c>
      <c r="E659" s="132">
        <f t="shared" si="32"/>
        <v>1575</v>
      </c>
    </row>
    <row r="660" spans="1:5">
      <c r="A660" s="33" t="s">
        <v>328</v>
      </c>
      <c r="B660" s="36">
        <v>3</v>
      </c>
      <c r="C660" s="37">
        <f t="shared" si="30"/>
        <v>225</v>
      </c>
      <c r="D660" s="132">
        <f t="shared" si="31"/>
        <v>525</v>
      </c>
      <c r="E660" s="132">
        <f t="shared" si="32"/>
        <v>525</v>
      </c>
    </row>
    <row r="661" spans="1:5">
      <c r="A661" s="33" t="s">
        <v>328</v>
      </c>
      <c r="B661" s="36">
        <v>5</v>
      </c>
      <c r="C661" s="37">
        <f t="shared" si="30"/>
        <v>375</v>
      </c>
      <c r="D661" s="132">
        <f t="shared" si="31"/>
        <v>875</v>
      </c>
      <c r="E661" s="132">
        <f t="shared" si="32"/>
        <v>875</v>
      </c>
    </row>
    <row r="662" spans="1:5">
      <c r="A662" s="33" t="s">
        <v>328</v>
      </c>
      <c r="B662" s="36">
        <v>6</v>
      </c>
      <c r="C662" s="37">
        <f t="shared" si="30"/>
        <v>450</v>
      </c>
      <c r="D662" s="132">
        <f t="shared" si="31"/>
        <v>1050</v>
      </c>
      <c r="E662" s="132">
        <f t="shared" si="32"/>
        <v>1050</v>
      </c>
    </row>
    <row r="663" spans="1:5">
      <c r="A663" s="33" t="s">
        <v>328</v>
      </c>
      <c r="B663" s="36">
        <v>6</v>
      </c>
      <c r="C663" s="37">
        <f t="shared" si="30"/>
        <v>450</v>
      </c>
      <c r="D663" s="132">
        <f t="shared" si="31"/>
        <v>1050</v>
      </c>
      <c r="E663" s="132">
        <f t="shared" si="32"/>
        <v>1050</v>
      </c>
    </row>
    <row r="664" spans="1:5">
      <c r="A664" s="33" t="s">
        <v>328</v>
      </c>
      <c r="B664" s="36">
        <v>5</v>
      </c>
      <c r="C664" s="37">
        <f t="shared" si="30"/>
        <v>375</v>
      </c>
      <c r="D664" s="132">
        <f t="shared" si="31"/>
        <v>875</v>
      </c>
      <c r="E664" s="132">
        <f t="shared" si="32"/>
        <v>875</v>
      </c>
    </row>
    <row r="665" spans="1:5">
      <c r="A665" s="33" t="s">
        <v>328</v>
      </c>
      <c r="B665" s="36">
        <v>6</v>
      </c>
      <c r="C665" s="37">
        <f t="shared" si="30"/>
        <v>450</v>
      </c>
      <c r="D665" s="132">
        <f t="shared" si="31"/>
        <v>1050</v>
      </c>
      <c r="E665" s="132">
        <f t="shared" si="32"/>
        <v>1050</v>
      </c>
    </row>
    <row r="666" spans="1:5">
      <c r="A666" s="33" t="s">
        <v>328</v>
      </c>
      <c r="B666" s="36">
        <v>5</v>
      </c>
      <c r="C666" s="37">
        <f t="shared" si="30"/>
        <v>375</v>
      </c>
      <c r="D666" s="132">
        <f t="shared" si="31"/>
        <v>875</v>
      </c>
      <c r="E666" s="132">
        <f t="shared" si="32"/>
        <v>875</v>
      </c>
    </row>
    <row r="667" spans="1:5">
      <c r="A667" s="33" t="s">
        <v>328</v>
      </c>
      <c r="B667" s="36">
        <v>3</v>
      </c>
      <c r="C667" s="37">
        <f t="shared" si="30"/>
        <v>225</v>
      </c>
      <c r="D667" s="132">
        <f t="shared" si="31"/>
        <v>525</v>
      </c>
      <c r="E667" s="132">
        <f t="shared" si="32"/>
        <v>525</v>
      </c>
    </row>
    <row r="668" spans="1:5">
      <c r="A668" s="33" t="s">
        <v>328</v>
      </c>
      <c r="B668" s="36">
        <v>1</v>
      </c>
      <c r="C668" s="37">
        <f t="shared" si="30"/>
        <v>75</v>
      </c>
      <c r="D668" s="132">
        <f t="shared" si="31"/>
        <v>175</v>
      </c>
      <c r="E668" s="132">
        <f t="shared" si="32"/>
        <v>175</v>
      </c>
    </row>
    <row r="669" spans="1:5">
      <c r="A669" s="33" t="s">
        <v>328</v>
      </c>
      <c r="B669" s="36">
        <v>6</v>
      </c>
      <c r="C669" s="37">
        <f t="shared" si="30"/>
        <v>450</v>
      </c>
      <c r="D669" s="132">
        <f t="shared" si="31"/>
        <v>1050</v>
      </c>
      <c r="E669" s="132">
        <f t="shared" si="32"/>
        <v>1050</v>
      </c>
    </row>
    <row r="670" spans="1:5">
      <c r="A670" s="33" t="s">
        <v>328</v>
      </c>
      <c r="B670" s="36">
        <v>5</v>
      </c>
      <c r="C670" s="37">
        <f t="shared" si="30"/>
        <v>375</v>
      </c>
      <c r="D670" s="132">
        <f t="shared" si="31"/>
        <v>875</v>
      </c>
      <c r="E670" s="132">
        <f t="shared" si="32"/>
        <v>875</v>
      </c>
    </row>
    <row r="671" spans="1:5">
      <c r="A671" s="33" t="s">
        <v>328</v>
      </c>
      <c r="B671" s="36">
        <v>1</v>
      </c>
      <c r="C671" s="37">
        <f t="shared" si="30"/>
        <v>75</v>
      </c>
      <c r="D671" s="132">
        <f t="shared" si="31"/>
        <v>175</v>
      </c>
      <c r="E671" s="132">
        <f t="shared" si="32"/>
        <v>175</v>
      </c>
    </row>
    <row r="672" spans="1:5">
      <c r="A672" s="33" t="s">
        <v>328</v>
      </c>
      <c r="B672" s="36">
        <v>3</v>
      </c>
      <c r="C672" s="37">
        <f t="shared" si="30"/>
        <v>225</v>
      </c>
      <c r="D672" s="132">
        <f t="shared" si="31"/>
        <v>525</v>
      </c>
      <c r="E672" s="132">
        <f t="shared" si="32"/>
        <v>525</v>
      </c>
    </row>
    <row r="673" spans="1:5">
      <c r="A673" s="33" t="s">
        <v>328</v>
      </c>
      <c r="B673" s="36">
        <v>1</v>
      </c>
      <c r="C673" s="37">
        <f t="shared" si="30"/>
        <v>75</v>
      </c>
      <c r="D673" s="132">
        <f t="shared" si="31"/>
        <v>175</v>
      </c>
      <c r="E673" s="132">
        <f t="shared" si="32"/>
        <v>175</v>
      </c>
    </row>
    <row r="674" spans="1:5">
      <c r="A674" s="33" t="s">
        <v>328</v>
      </c>
      <c r="B674" s="36">
        <v>3</v>
      </c>
      <c r="C674" s="37">
        <f t="shared" si="30"/>
        <v>225</v>
      </c>
      <c r="D674" s="132">
        <f t="shared" si="31"/>
        <v>525</v>
      </c>
      <c r="E674" s="132">
        <f t="shared" si="32"/>
        <v>525</v>
      </c>
    </row>
    <row r="675" spans="1:5">
      <c r="A675" s="33" t="s">
        <v>328</v>
      </c>
      <c r="B675" s="36">
        <v>4</v>
      </c>
      <c r="C675" s="37">
        <f t="shared" si="30"/>
        <v>300</v>
      </c>
      <c r="D675" s="132">
        <f t="shared" si="31"/>
        <v>700</v>
      </c>
      <c r="E675" s="132">
        <f t="shared" si="32"/>
        <v>700</v>
      </c>
    </row>
    <row r="676" spans="1:5">
      <c r="A676" s="33" t="s">
        <v>328</v>
      </c>
      <c r="B676" s="36">
        <v>6</v>
      </c>
      <c r="C676" s="37">
        <f t="shared" si="30"/>
        <v>450</v>
      </c>
      <c r="D676" s="132">
        <f t="shared" si="31"/>
        <v>1050</v>
      </c>
      <c r="E676" s="132">
        <f t="shared" si="32"/>
        <v>1050</v>
      </c>
    </row>
    <row r="677" spans="1:5">
      <c r="A677" s="33" t="s">
        <v>328</v>
      </c>
      <c r="B677" s="36">
        <v>2</v>
      </c>
      <c r="C677" s="37">
        <f t="shared" si="30"/>
        <v>150</v>
      </c>
      <c r="D677" s="132">
        <f t="shared" si="31"/>
        <v>350</v>
      </c>
      <c r="E677" s="132">
        <f t="shared" si="32"/>
        <v>350</v>
      </c>
    </row>
    <row r="678" spans="1:5">
      <c r="A678" s="33" t="s">
        <v>328</v>
      </c>
      <c r="B678" s="36">
        <v>5</v>
      </c>
      <c r="C678" s="37">
        <f t="shared" si="30"/>
        <v>375</v>
      </c>
      <c r="D678" s="132">
        <f t="shared" si="31"/>
        <v>875</v>
      </c>
      <c r="E678" s="132">
        <f t="shared" si="32"/>
        <v>875</v>
      </c>
    </row>
    <row r="679" spans="1:5">
      <c r="A679" s="33" t="s">
        <v>328</v>
      </c>
      <c r="B679" s="36">
        <v>3</v>
      </c>
      <c r="C679" s="37">
        <f t="shared" si="30"/>
        <v>225</v>
      </c>
      <c r="D679" s="132">
        <f t="shared" si="31"/>
        <v>525</v>
      </c>
      <c r="E679" s="132">
        <f t="shared" si="32"/>
        <v>525</v>
      </c>
    </row>
    <row r="680" spans="1:5">
      <c r="A680" s="33" t="s">
        <v>328</v>
      </c>
      <c r="B680" s="36">
        <v>3</v>
      </c>
      <c r="C680" s="37">
        <f t="shared" si="30"/>
        <v>225</v>
      </c>
      <c r="D680" s="132">
        <f t="shared" si="31"/>
        <v>525</v>
      </c>
      <c r="E680" s="132">
        <f t="shared" si="32"/>
        <v>525</v>
      </c>
    </row>
    <row r="681" spans="1:5">
      <c r="A681" s="33" t="s">
        <v>328</v>
      </c>
      <c r="B681" s="36">
        <v>1</v>
      </c>
      <c r="C681" s="37">
        <f t="shared" si="30"/>
        <v>75</v>
      </c>
      <c r="D681" s="132">
        <f t="shared" si="31"/>
        <v>175</v>
      </c>
      <c r="E681" s="132">
        <f t="shared" si="32"/>
        <v>175</v>
      </c>
    </row>
    <row r="682" spans="1:5">
      <c r="A682" s="33" t="s">
        <v>328</v>
      </c>
      <c r="B682" s="36">
        <v>2</v>
      </c>
      <c r="C682" s="37">
        <f t="shared" si="30"/>
        <v>150</v>
      </c>
      <c r="D682" s="132">
        <f t="shared" si="31"/>
        <v>350</v>
      </c>
      <c r="E682" s="132">
        <f t="shared" si="32"/>
        <v>350</v>
      </c>
    </row>
    <row r="683" spans="1:5">
      <c r="A683" s="33" t="s">
        <v>328</v>
      </c>
      <c r="B683" s="36">
        <v>1</v>
      </c>
      <c r="C683" s="37">
        <f t="shared" si="30"/>
        <v>75</v>
      </c>
      <c r="D683" s="132">
        <f t="shared" si="31"/>
        <v>175</v>
      </c>
      <c r="E683" s="132">
        <f t="shared" si="32"/>
        <v>175</v>
      </c>
    </row>
    <row r="684" spans="1:5">
      <c r="A684" s="33" t="s">
        <v>328</v>
      </c>
      <c r="B684" s="36">
        <v>4</v>
      </c>
      <c r="C684" s="37">
        <f t="shared" si="30"/>
        <v>300</v>
      </c>
      <c r="D684" s="132">
        <f t="shared" si="31"/>
        <v>700</v>
      </c>
      <c r="E684" s="132">
        <f t="shared" si="32"/>
        <v>700</v>
      </c>
    </row>
    <row r="685" spans="1:5">
      <c r="A685" s="33" t="s">
        <v>328</v>
      </c>
      <c r="B685" s="36">
        <v>1</v>
      </c>
      <c r="C685" s="37">
        <f t="shared" si="30"/>
        <v>75</v>
      </c>
      <c r="D685" s="132">
        <f t="shared" si="31"/>
        <v>175</v>
      </c>
      <c r="E685" s="132">
        <f t="shared" si="32"/>
        <v>175</v>
      </c>
    </row>
    <row r="686" spans="1:5">
      <c r="A686" s="33" t="s">
        <v>328</v>
      </c>
      <c r="B686" s="36">
        <v>7</v>
      </c>
      <c r="C686" s="37">
        <f t="shared" si="30"/>
        <v>525</v>
      </c>
      <c r="D686" s="132">
        <f t="shared" si="31"/>
        <v>1225</v>
      </c>
      <c r="E686" s="132">
        <f t="shared" si="32"/>
        <v>1225</v>
      </c>
    </row>
    <row r="687" spans="1:5">
      <c r="A687" s="33" t="s">
        <v>328</v>
      </c>
      <c r="B687" s="36">
        <v>4</v>
      </c>
      <c r="C687" s="37">
        <f t="shared" si="30"/>
        <v>300</v>
      </c>
      <c r="D687" s="132">
        <f t="shared" si="31"/>
        <v>700</v>
      </c>
      <c r="E687" s="132">
        <f t="shared" si="32"/>
        <v>700</v>
      </c>
    </row>
    <row r="688" spans="1:5">
      <c r="A688" s="33" t="s">
        <v>328</v>
      </c>
      <c r="B688" s="36">
        <v>2</v>
      </c>
      <c r="C688" s="37">
        <f t="shared" si="30"/>
        <v>150</v>
      </c>
      <c r="D688" s="132">
        <f t="shared" si="31"/>
        <v>350</v>
      </c>
      <c r="E688" s="132">
        <f t="shared" si="32"/>
        <v>350</v>
      </c>
    </row>
    <row r="689" spans="1:5">
      <c r="A689" s="33" t="s">
        <v>328</v>
      </c>
      <c r="B689" s="36">
        <v>6</v>
      </c>
      <c r="C689" s="37">
        <f t="shared" si="30"/>
        <v>450</v>
      </c>
      <c r="D689" s="132">
        <f t="shared" si="31"/>
        <v>1050</v>
      </c>
      <c r="E689" s="132">
        <f t="shared" si="32"/>
        <v>1050</v>
      </c>
    </row>
    <row r="690" spans="1:5">
      <c r="A690" s="33" t="s">
        <v>328</v>
      </c>
      <c r="B690" s="36">
        <v>1</v>
      </c>
      <c r="C690" s="37">
        <f t="shared" si="30"/>
        <v>75</v>
      </c>
      <c r="D690" s="132">
        <f t="shared" si="31"/>
        <v>175</v>
      </c>
      <c r="E690" s="132">
        <f t="shared" si="32"/>
        <v>175</v>
      </c>
    </row>
    <row r="691" spans="1:5">
      <c r="A691" s="33" t="s">
        <v>328</v>
      </c>
      <c r="B691" s="36">
        <v>2</v>
      </c>
      <c r="C691" s="37">
        <f t="shared" si="30"/>
        <v>150</v>
      </c>
      <c r="D691" s="132">
        <f t="shared" si="31"/>
        <v>350</v>
      </c>
      <c r="E691" s="132">
        <f t="shared" si="32"/>
        <v>350</v>
      </c>
    </row>
    <row r="692" spans="1:5">
      <c r="A692" s="33" t="s">
        <v>328</v>
      </c>
      <c r="B692" s="36">
        <v>5</v>
      </c>
      <c r="C692" s="37">
        <f t="shared" si="30"/>
        <v>375</v>
      </c>
      <c r="D692" s="132">
        <f t="shared" si="31"/>
        <v>875</v>
      </c>
      <c r="E692" s="132">
        <f t="shared" si="32"/>
        <v>875</v>
      </c>
    </row>
    <row r="693" spans="1:5">
      <c r="A693" s="33" t="s">
        <v>328</v>
      </c>
      <c r="B693" s="36">
        <v>3</v>
      </c>
      <c r="C693" s="37">
        <f t="shared" si="30"/>
        <v>225</v>
      </c>
      <c r="D693" s="132">
        <f t="shared" si="31"/>
        <v>525</v>
      </c>
      <c r="E693" s="132">
        <f t="shared" si="32"/>
        <v>525</v>
      </c>
    </row>
    <row r="694" spans="1:5">
      <c r="A694" s="33" t="s">
        <v>328</v>
      </c>
      <c r="B694" s="36">
        <v>2</v>
      </c>
      <c r="C694" s="37">
        <f t="shared" si="30"/>
        <v>150</v>
      </c>
      <c r="D694" s="132">
        <f t="shared" si="31"/>
        <v>350</v>
      </c>
      <c r="E694" s="132">
        <f t="shared" si="32"/>
        <v>350</v>
      </c>
    </row>
    <row r="695" spans="1:5">
      <c r="A695" s="33" t="s">
        <v>328</v>
      </c>
      <c r="B695" s="36">
        <v>12</v>
      </c>
      <c r="C695" s="37">
        <f t="shared" si="30"/>
        <v>900</v>
      </c>
      <c r="D695" s="132">
        <f t="shared" si="31"/>
        <v>2100</v>
      </c>
      <c r="E695" s="132">
        <f t="shared" si="32"/>
        <v>2100</v>
      </c>
    </row>
    <row r="696" spans="1:5">
      <c r="A696" s="33" t="s">
        <v>328</v>
      </c>
      <c r="B696" s="36">
        <v>4</v>
      </c>
      <c r="C696" s="37">
        <f t="shared" si="30"/>
        <v>300</v>
      </c>
      <c r="D696" s="132">
        <f t="shared" si="31"/>
        <v>700</v>
      </c>
      <c r="E696" s="132">
        <f t="shared" si="32"/>
        <v>700</v>
      </c>
    </row>
    <row r="697" spans="1:5">
      <c r="A697" s="33" t="s">
        <v>328</v>
      </c>
      <c r="B697" s="36">
        <v>4</v>
      </c>
      <c r="C697" s="37">
        <f t="shared" si="30"/>
        <v>300</v>
      </c>
      <c r="D697" s="132">
        <f t="shared" si="31"/>
        <v>700</v>
      </c>
      <c r="E697" s="132">
        <f t="shared" si="32"/>
        <v>700</v>
      </c>
    </row>
    <row r="698" spans="1:5">
      <c r="A698" s="33" t="s">
        <v>328</v>
      </c>
      <c r="B698" s="36">
        <v>1</v>
      </c>
      <c r="C698" s="37">
        <f t="shared" si="30"/>
        <v>75</v>
      </c>
      <c r="D698" s="132">
        <f t="shared" si="31"/>
        <v>175</v>
      </c>
      <c r="E698" s="132">
        <f t="shared" si="32"/>
        <v>175</v>
      </c>
    </row>
    <row r="699" spans="1:5">
      <c r="A699" s="33" t="s">
        <v>328</v>
      </c>
      <c r="B699" s="36">
        <v>1</v>
      </c>
      <c r="C699" s="37">
        <f t="shared" si="30"/>
        <v>75</v>
      </c>
      <c r="D699" s="132">
        <f t="shared" si="31"/>
        <v>175</v>
      </c>
      <c r="E699" s="132">
        <f t="shared" si="32"/>
        <v>175</v>
      </c>
    </row>
    <row r="700" spans="1:5">
      <c r="A700" s="33" t="s">
        <v>328</v>
      </c>
      <c r="B700" s="36">
        <v>4</v>
      </c>
      <c r="C700" s="37">
        <f t="shared" si="30"/>
        <v>300</v>
      </c>
      <c r="D700" s="132">
        <f t="shared" si="31"/>
        <v>700</v>
      </c>
      <c r="E700" s="132">
        <f t="shared" si="32"/>
        <v>700</v>
      </c>
    </row>
    <row r="701" spans="1:5">
      <c r="A701" s="33" t="s">
        <v>328</v>
      </c>
      <c r="B701" s="36">
        <v>5</v>
      </c>
      <c r="C701" s="37">
        <f t="shared" si="30"/>
        <v>375</v>
      </c>
      <c r="D701" s="132">
        <f t="shared" si="31"/>
        <v>875</v>
      </c>
      <c r="E701" s="132">
        <f t="shared" si="32"/>
        <v>875</v>
      </c>
    </row>
    <row r="702" spans="1:5">
      <c r="A702" s="33" t="s">
        <v>328</v>
      </c>
      <c r="B702" s="36">
        <v>3</v>
      </c>
      <c r="C702" s="37">
        <f t="shared" si="30"/>
        <v>225</v>
      </c>
      <c r="D702" s="132">
        <f t="shared" si="31"/>
        <v>525</v>
      </c>
      <c r="E702" s="132">
        <f t="shared" si="32"/>
        <v>525</v>
      </c>
    </row>
    <row r="703" spans="1:5">
      <c r="A703" s="33" t="s">
        <v>328</v>
      </c>
      <c r="B703" s="36">
        <v>6</v>
      </c>
      <c r="C703" s="37">
        <f t="shared" si="30"/>
        <v>450</v>
      </c>
      <c r="D703" s="132">
        <f t="shared" si="31"/>
        <v>1050</v>
      </c>
      <c r="E703" s="132">
        <f t="shared" si="32"/>
        <v>1050</v>
      </c>
    </row>
    <row r="704" spans="1:5">
      <c r="A704" s="33" t="s">
        <v>328</v>
      </c>
      <c r="B704" s="36">
        <v>7</v>
      </c>
      <c r="C704" s="37">
        <f t="shared" si="30"/>
        <v>525</v>
      </c>
      <c r="D704" s="132">
        <f t="shared" si="31"/>
        <v>1225</v>
      </c>
      <c r="E704" s="132">
        <f t="shared" si="32"/>
        <v>1225</v>
      </c>
    </row>
    <row r="705" spans="1:5">
      <c r="A705" s="33" t="s">
        <v>328</v>
      </c>
      <c r="B705" s="36">
        <v>6</v>
      </c>
      <c r="C705" s="37">
        <f t="shared" si="30"/>
        <v>450</v>
      </c>
      <c r="D705" s="132">
        <f t="shared" si="31"/>
        <v>1050</v>
      </c>
      <c r="E705" s="132">
        <f t="shared" si="32"/>
        <v>1050</v>
      </c>
    </row>
    <row r="706" spans="1:5">
      <c r="A706" s="33" t="s">
        <v>328</v>
      </c>
      <c r="B706" s="36">
        <v>3</v>
      </c>
      <c r="C706" s="37">
        <f t="shared" si="30"/>
        <v>225</v>
      </c>
      <c r="D706" s="132">
        <f t="shared" si="31"/>
        <v>525</v>
      </c>
      <c r="E706" s="132">
        <f t="shared" si="32"/>
        <v>525</v>
      </c>
    </row>
    <row r="707" spans="1:5">
      <c r="A707" s="33" t="s">
        <v>328</v>
      </c>
      <c r="B707" s="36">
        <v>7</v>
      </c>
      <c r="C707" s="37">
        <f t="shared" si="30"/>
        <v>525</v>
      </c>
      <c r="D707" s="132">
        <f t="shared" si="31"/>
        <v>1225</v>
      </c>
      <c r="E707" s="132">
        <f t="shared" si="32"/>
        <v>1225</v>
      </c>
    </row>
    <row r="708" spans="1:5">
      <c r="A708" s="33" t="s">
        <v>328</v>
      </c>
      <c r="B708" s="36">
        <v>1</v>
      </c>
      <c r="C708" s="37">
        <f t="shared" si="30"/>
        <v>75</v>
      </c>
      <c r="D708" s="132">
        <f t="shared" si="31"/>
        <v>175</v>
      </c>
      <c r="E708" s="132">
        <f t="shared" si="32"/>
        <v>175</v>
      </c>
    </row>
    <row r="709" spans="1:5">
      <c r="A709" s="33" t="s">
        <v>328</v>
      </c>
      <c r="B709" s="36">
        <v>4</v>
      </c>
      <c r="C709" s="37">
        <f t="shared" si="30"/>
        <v>300</v>
      </c>
      <c r="D709" s="132">
        <f t="shared" si="31"/>
        <v>700</v>
      </c>
      <c r="E709" s="132">
        <f t="shared" si="32"/>
        <v>700</v>
      </c>
    </row>
    <row r="710" spans="1:5">
      <c r="A710" s="33" t="s">
        <v>328</v>
      </c>
      <c r="B710" s="36">
        <v>1</v>
      </c>
      <c r="C710" s="37">
        <f t="shared" si="30"/>
        <v>75</v>
      </c>
      <c r="D710" s="132">
        <f t="shared" si="31"/>
        <v>175</v>
      </c>
      <c r="E710" s="132">
        <f t="shared" si="32"/>
        <v>175</v>
      </c>
    </row>
    <row r="711" spans="1:5">
      <c r="A711" s="33" t="s">
        <v>328</v>
      </c>
      <c r="B711" s="36">
        <v>4</v>
      </c>
      <c r="C711" s="37">
        <f t="shared" ref="C711:C774" si="33">B711*75</f>
        <v>300</v>
      </c>
      <c r="D711" s="132">
        <f t="shared" ref="D711:D774" si="34">B711*250-C711</f>
        <v>700</v>
      </c>
      <c r="E711" s="132">
        <f t="shared" ref="E711:E774" si="35">B711*250-C711</f>
        <v>700</v>
      </c>
    </row>
    <row r="712" spans="1:5">
      <c r="A712" s="33" t="s">
        <v>328</v>
      </c>
      <c r="B712" s="36">
        <v>3</v>
      </c>
      <c r="C712" s="37">
        <f t="shared" si="33"/>
        <v>225</v>
      </c>
      <c r="D712" s="132">
        <f t="shared" si="34"/>
        <v>525</v>
      </c>
      <c r="E712" s="132">
        <f t="shared" si="35"/>
        <v>525</v>
      </c>
    </row>
    <row r="713" spans="1:5">
      <c r="A713" s="33" t="s">
        <v>328</v>
      </c>
      <c r="B713" s="36">
        <v>5</v>
      </c>
      <c r="C713" s="37">
        <f t="shared" si="33"/>
        <v>375</v>
      </c>
      <c r="D713" s="132">
        <f t="shared" si="34"/>
        <v>875</v>
      </c>
      <c r="E713" s="132">
        <f t="shared" si="35"/>
        <v>875</v>
      </c>
    </row>
    <row r="714" spans="1:5">
      <c r="A714" s="33" t="s">
        <v>328</v>
      </c>
      <c r="B714" s="36">
        <v>3</v>
      </c>
      <c r="C714" s="37">
        <f t="shared" si="33"/>
        <v>225</v>
      </c>
      <c r="D714" s="132">
        <f t="shared" si="34"/>
        <v>525</v>
      </c>
      <c r="E714" s="132">
        <f t="shared" si="35"/>
        <v>525</v>
      </c>
    </row>
    <row r="715" spans="1:5">
      <c r="A715" s="33" t="s">
        <v>328</v>
      </c>
      <c r="B715" s="36">
        <v>5</v>
      </c>
      <c r="C715" s="37">
        <f t="shared" si="33"/>
        <v>375</v>
      </c>
      <c r="D715" s="132">
        <f t="shared" si="34"/>
        <v>875</v>
      </c>
      <c r="E715" s="132">
        <f t="shared" si="35"/>
        <v>875</v>
      </c>
    </row>
    <row r="716" spans="1:5">
      <c r="A716" s="33" t="s">
        <v>328</v>
      </c>
      <c r="B716" s="36">
        <v>3</v>
      </c>
      <c r="C716" s="37">
        <f t="shared" si="33"/>
        <v>225</v>
      </c>
      <c r="D716" s="132">
        <f t="shared" si="34"/>
        <v>525</v>
      </c>
      <c r="E716" s="132">
        <f t="shared" si="35"/>
        <v>525</v>
      </c>
    </row>
    <row r="717" spans="1:5">
      <c r="A717" s="33" t="s">
        <v>328</v>
      </c>
      <c r="B717" s="36">
        <v>3</v>
      </c>
      <c r="C717" s="37">
        <f t="shared" si="33"/>
        <v>225</v>
      </c>
      <c r="D717" s="132">
        <f t="shared" si="34"/>
        <v>525</v>
      </c>
      <c r="E717" s="132">
        <f t="shared" si="35"/>
        <v>525</v>
      </c>
    </row>
    <row r="718" spans="1:5">
      <c r="A718" s="33" t="s">
        <v>328</v>
      </c>
      <c r="B718" s="36">
        <v>3</v>
      </c>
      <c r="C718" s="37">
        <f t="shared" si="33"/>
        <v>225</v>
      </c>
      <c r="D718" s="132">
        <f t="shared" si="34"/>
        <v>525</v>
      </c>
      <c r="E718" s="132">
        <f t="shared" si="35"/>
        <v>525</v>
      </c>
    </row>
    <row r="719" spans="1:5">
      <c r="A719" s="33" t="s">
        <v>328</v>
      </c>
      <c r="B719" s="36">
        <v>3</v>
      </c>
      <c r="C719" s="37">
        <f t="shared" si="33"/>
        <v>225</v>
      </c>
      <c r="D719" s="132">
        <f t="shared" si="34"/>
        <v>525</v>
      </c>
      <c r="E719" s="132">
        <f t="shared" si="35"/>
        <v>525</v>
      </c>
    </row>
    <row r="720" spans="1:5">
      <c r="A720" s="33" t="s">
        <v>328</v>
      </c>
      <c r="B720" s="36">
        <v>5</v>
      </c>
      <c r="C720" s="37">
        <f t="shared" si="33"/>
        <v>375</v>
      </c>
      <c r="D720" s="132">
        <f t="shared" si="34"/>
        <v>875</v>
      </c>
      <c r="E720" s="132">
        <f t="shared" si="35"/>
        <v>875</v>
      </c>
    </row>
    <row r="721" spans="1:5">
      <c r="A721" s="33" t="s">
        <v>328</v>
      </c>
      <c r="B721" s="36">
        <v>2</v>
      </c>
      <c r="C721" s="37">
        <f t="shared" si="33"/>
        <v>150</v>
      </c>
      <c r="D721" s="132">
        <f t="shared" si="34"/>
        <v>350</v>
      </c>
      <c r="E721" s="132">
        <f t="shared" si="35"/>
        <v>350</v>
      </c>
    </row>
    <row r="722" spans="1:5">
      <c r="A722" s="33" t="s">
        <v>328</v>
      </c>
      <c r="B722" s="36">
        <v>2</v>
      </c>
      <c r="C722" s="37">
        <f t="shared" si="33"/>
        <v>150</v>
      </c>
      <c r="D722" s="132">
        <f t="shared" si="34"/>
        <v>350</v>
      </c>
      <c r="E722" s="132">
        <f t="shared" si="35"/>
        <v>350</v>
      </c>
    </row>
    <row r="723" spans="1:5">
      <c r="A723" s="33" t="s">
        <v>328</v>
      </c>
      <c r="B723" s="36">
        <v>2</v>
      </c>
      <c r="C723" s="37">
        <f t="shared" si="33"/>
        <v>150</v>
      </c>
      <c r="D723" s="132">
        <f t="shared" si="34"/>
        <v>350</v>
      </c>
      <c r="E723" s="132">
        <f t="shared" si="35"/>
        <v>350</v>
      </c>
    </row>
    <row r="724" spans="1:5">
      <c r="A724" s="33" t="s">
        <v>328</v>
      </c>
      <c r="B724" s="36">
        <v>2</v>
      </c>
      <c r="C724" s="37">
        <f t="shared" si="33"/>
        <v>150</v>
      </c>
      <c r="D724" s="132">
        <f t="shared" si="34"/>
        <v>350</v>
      </c>
      <c r="E724" s="132">
        <f t="shared" si="35"/>
        <v>350</v>
      </c>
    </row>
    <row r="725" spans="1:5">
      <c r="A725" s="33" t="s">
        <v>328</v>
      </c>
      <c r="B725" s="36">
        <v>5</v>
      </c>
      <c r="C725" s="37">
        <f t="shared" si="33"/>
        <v>375</v>
      </c>
      <c r="D725" s="132">
        <f t="shared" si="34"/>
        <v>875</v>
      </c>
      <c r="E725" s="132">
        <f t="shared" si="35"/>
        <v>875</v>
      </c>
    </row>
    <row r="726" spans="1:5">
      <c r="A726" s="33" t="s">
        <v>328</v>
      </c>
      <c r="B726" s="36">
        <v>4</v>
      </c>
      <c r="C726" s="37">
        <f t="shared" si="33"/>
        <v>300</v>
      </c>
      <c r="D726" s="132">
        <f t="shared" si="34"/>
        <v>700</v>
      </c>
      <c r="E726" s="132">
        <f t="shared" si="35"/>
        <v>700</v>
      </c>
    </row>
    <row r="727" spans="1:5">
      <c r="A727" s="33" t="s">
        <v>328</v>
      </c>
      <c r="B727" s="36">
        <v>2</v>
      </c>
      <c r="C727" s="37">
        <f t="shared" si="33"/>
        <v>150</v>
      </c>
      <c r="D727" s="132">
        <f t="shared" si="34"/>
        <v>350</v>
      </c>
      <c r="E727" s="132">
        <f t="shared" si="35"/>
        <v>350</v>
      </c>
    </row>
    <row r="728" spans="1:5">
      <c r="A728" s="33" t="s">
        <v>328</v>
      </c>
      <c r="B728" s="36">
        <v>4</v>
      </c>
      <c r="C728" s="37">
        <f t="shared" si="33"/>
        <v>300</v>
      </c>
      <c r="D728" s="132">
        <f t="shared" si="34"/>
        <v>700</v>
      </c>
      <c r="E728" s="132">
        <f t="shared" si="35"/>
        <v>700</v>
      </c>
    </row>
    <row r="729" spans="1:5">
      <c r="A729" s="33" t="s">
        <v>328</v>
      </c>
      <c r="B729" s="36">
        <v>2</v>
      </c>
      <c r="C729" s="37">
        <f t="shared" si="33"/>
        <v>150</v>
      </c>
      <c r="D729" s="132">
        <f t="shared" si="34"/>
        <v>350</v>
      </c>
      <c r="E729" s="132">
        <f t="shared" si="35"/>
        <v>350</v>
      </c>
    </row>
    <row r="730" spans="1:5">
      <c r="A730" s="33" t="s">
        <v>328</v>
      </c>
      <c r="B730" s="36">
        <v>1</v>
      </c>
      <c r="C730" s="37">
        <f t="shared" si="33"/>
        <v>75</v>
      </c>
      <c r="D730" s="132">
        <f t="shared" si="34"/>
        <v>175</v>
      </c>
      <c r="E730" s="132">
        <f t="shared" si="35"/>
        <v>175</v>
      </c>
    </row>
    <row r="731" spans="1:5">
      <c r="A731" s="33" t="s">
        <v>328</v>
      </c>
      <c r="B731" s="36">
        <v>1</v>
      </c>
      <c r="C731" s="37">
        <f t="shared" si="33"/>
        <v>75</v>
      </c>
      <c r="D731" s="132">
        <f t="shared" si="34"/>
        <v>175</v>
      </c>
      <c r="E731" s="132">
        <f t="shared" si="35"/>
        <v>175</v>
      </c>
    </row>
    <row r="732" spans="1:5">
      <c r="A732" s="33" t="s">
        <v>328</v>
      </c>
      <c r="B732" s="36">
        <v>1</v>
      </c>
      <c r="C732" s="37">
        <f t="shared" si="33"/>
        <v>75</v>
      </c>
      <c r="D732" s="132">
        <f t="shared" si="34"/>
        <v>175</v>
      </c>
      <c r="E732" s="132">
        <f t="shared" si="35"/>
        <v>175</v>
      </c>
    </row>
    <row r="733" spans="1:5">
      <c r="A733" s="33" t="s">
        <v>328</v>
      </c>
      <c r="B733" s="36">
        <v>2</v>
      </c>
      <c r="C733" s="37">
        <f t="shared" si="33"/>
        <v>150</v>
      </c>
      <c r="D733" s="132">
        <f t="shared" si="34"/>
        <v>350</v>
      </c>
      <c r="E733" s="132">
        <f t="shared" si="35"/>
        <v>350</v>
      </c>
    </row>
    <row r="734" spans="1:5">
      <c r="A734" s="33" t="s">
        <v>328</v>
      </c>
      <c r="B734" s="36">
        <v>2</v>
      </c>
      <c r="C734" s="37">
        <f t="shared" si="33"/>
        <v>150</v>
      </c>
      <c r="D734" s="132">
        <f t="shared" si="34"/>
        <v>350</v>
      </c>
      <c r="E734" s="132">
        <f t="shared" si="35"/>
        <v>350</v>
      </c>
    </row>
    <row r="735" spans="1:5">
      <c r="A735" s="33" t="s">
        <v>328</v>
      </c>
      <c r="B735" s="36">
        <v>6</v>
      </c>
      <c r="C735" s="37">
        <f t="shared" si="33"/>
        <v>450</v>
      </c>
      <c r="D735" s="132">
        <f t="shared" si="34"/>
        <v>1050</v>
      </c>
      <c r="E735" s="132">
        <f t="shared" si="35"/>
        <v>1050</v>
      </c>
    </row>
    <row r="736" spans="1:5">
      <c r="A736" s="33" t="s">
        <v>328</v>
      </c>
      <c r="B736" s="36">
        <v>2</v>
      </c>
      <c r="C736" s="37">
        <f t="shared" si="33"/>
        <v>150</v>
      </c>
      <c r="D736" s="132">
        <f t="shared" si="34"/>
        <v>350</v>
      </c>
      <c r="E736" s="132">
        <f t="shared" si="35"/>
        <v>350</v>
      </c>
    </row>
    <row r="737" spans="1:5">
      <c r="A737" s="33" t="s">
        <v>328</v>
      </c>
      <c r="B737" s="36">
        <v>3</v>
      </c>
      <c r="C737" s="37">
        <f t="shared" si="33"/>
        <v>225</v>
      </c>
      <c r="D737" s="132">
        <f t="shared" si="34"/>
        <v>525</v>
      </c>
      <c r="E737" s="132">
        <f t="shared" si="35"/>
        <v>525</v>
      </c>
    </row>
    <row r="738" spans="1:5">
      <c r="A738" s="33" t="s">
        <v>328</v>
      </c>
      <c r="B738" s="36">
        <v>4</v>
      </c>
      <c r="C738" s="37">
        <f t="shared" si="33"/>
        <v>300</v>
      </c>
      <c r="D738" s="132">
        <f t="shared" si="34"/>
        <v>700</v>
      </c>
      <c r="E738" s="132">
        <f t="shared" si="35"/>
        <v>700</v>
      </c>
    </row>
    <row r="739" spans="1:5">
      <c r="A739" s="33" t="s">
        <v>328</v>
      </c>
      <c r="B739" s="36">
        <v>5</v>
      </c>
      <c r="C739" s="37">
        <f t="shared" si="33"/>
        <v>375</v>
      </c>
      <c r="D739" s="132">
        <f t="shared" si="34"/>
        <v>875</v>
      </c>
      <c r="E739" s="132">
        <f t="shared" si="35"/>
        <v>875</v>
      </c>
    </row>
    <row r="740" spans="1:5">
      <c r="A740" s="33" t="s">
        <v>328</v>
      </c>
      <c r="B740" s="36">
        <v>6</v>
      </c>
      <c r="C740" s="37">
        <f t="shared" si="33"/>
        <v>450</v>
      </c>
      <c r="D740" s="132">
        <f t="shared" si="34"/>
        <v>1050</v>
      </c>
      <c r="E740" s="132">
        <f t="shared" si="35"/>
        <v>1050</v>
      </c>
    </row>
    <row r="741" spans="1:5">
      <c r="A741" s="33" t="s">
        <v>328</v>
      </c>
      <c r="B741" s="36">
        <v>1</v>
      </c>
      <c r="C741" s="37">
        <f t="shared" si="33"/>
        <v>75</v>
      </c>
      <c r="D741" s="132">
        <f t="shared" si="34"/>
        <v>175</v>
      </c>
      <c r="E741" s="132">
        <f t="shared" si="35"/>
        <v>175</v>
      </c>
    </row>
    <row r="742" spans="1:5">
      <c r="A742" s="33" t="s">
        <v>328</v>
      </c>
      <c r="B742" s="36">
        <v>2</v>
      </c>
      <c r="C742" s="37">
        <f t="shared" si="33"/>
        <v>150</v>
      </c>
      <c r="D742" s="132">
        <f t="shared" si="34"/>
        <v>350</v>
      </c>
      <c r="E742" s="132">
        <f t="shared" si="35"/>
        <v>350</v>
      </c>
    </row>
    <row r="743" spans="1:5">
      <c r="A743" s="33" t="s">
        <v>328</v>
      </c>
      <c r="B743" s="36">
        <v>2</v>
      </c>
      <c r="C743" s="37">
        <f t="shared" si="33"/>
        <v>150</v>
      </c>
      <c r="D743" s="132">
        <f t="shared" si="34"/>
        <v>350</v>
      </c>
      <c r="E743" s="132">
        <f t="shared" si="35"/>
        <v>350</v>
      </c>
    </row>
    <row r="744" spans="1:5">
      <c r="A744" s="33" t="s">
        <v>328</v>
      </c>
      <c r="B744" s="36">
        <v>5</v>
      </c>
      <c r="C744" s="37">
        <f t="shared" si="33"/>
        <v>375</v>
      </c>
      <c r="D744" s="132">
        <f t="shared" si="34"/>
        <v>875</v>
      </c>
      <c r="E744" s="132">
        <f t="shared" si="35"/>
        <v>875</v>
      </c>
    </row>
    <row r="745" spans="1:5">
      <c r="A745" s="33" t="s">
        <v>328</v>
      </c>
      <c r="B745" s="36">
        <v>3</v>
      </c>
      <c r="C745" s="37">
        <f t="shared" si="33"/>
        <v>225</v>
      </c>
      <c r="D745" s="132">
        <f t="shared" si="34"/>
        <v>525</v>
      </c>
      <c r="E745" s="132">
        <f t="shared" si="35"/>
        <v>525</v>
      </c>
    </row>
    <row r="746" spans="1:5">
      <c r="A746" s="33" t="s">
        <v>328</v>
      </c>
      <c r="B746" s="36">
        <v>6</v>
      </c>
      <c r="C746" s="37">
        <f t="shared" si="33"/>
        <v>450</v>
      </c>
      <c r="D746" s="132">
        <f t="shared" si="34"/>
        <v>1050</v>
      </c>
      <c r="E746" s="132">
        <f t="shared" si="35"/>
        <v>1050</v>
      </c>
    </row>
    <row r="747" spans="1:5">
      <c r="A747" s="33" t="s">
        <v>328</v>
      </c>
      <c r="B747" s="36">
        <v>8</v>
      </c>
      <c r="C747" s="37">
        <f t="shared" si="33"/>
        <v>600</v>
      </c>
      <c r="D747" s="132">
        <f t="shared" si="34"/>
        <v>1400</v>
      </c>
      <c r="E747" s="132">
        <f t="shared" si="35"/>
        <v>1400</v>
      </c>
    </row>
    <row r="748" spans="1:5">
      <c r="A748" s="33" t="s">
        <v>328</v>
      </c>
      <c r="B748" s="36">
        <v>1</v>
      </c>
      <c r="C748" s="37">
        <f t="shared" si="33"/>
        <v>75</v>
      </c>
      <c r="D748" s="132">
        <f t="shared" si="34"/>
        <v>175</v>
      </c>
      <c r="E748" s="132">
        <f t="shared" si="35"/>
        <v>175</v>
      </c>
    </row>
    <row r="749" spans="1:5">
      <c r="A749" s="33" t="s">
        <v>328</v>
      </c>
      <c r="B749" s="36">
        <v>5</v>
      </c>
      <c r="C749" s="37">
        <f t="shared" si="33"/>
        <v>375</v>
      </c>
      <c r="D749" s="132">
        <f t="shared" si="34"/>
        <v>875</v>
      </c>
      <c r="E749" s="132">
        <f t="shared" si="35"/>
        <v>875</v>
      </c>
    </row>
    <row r="750" spans="1:5">
      <c r="A750" s="33" t="s">
        <v>328</v>
      </c>
      <c r="B750" s="36">
        <v>5</v>
      </c>
      <c r="C750" s="37">
        <f t="shared" si="33"/>
        <v>375</v>
      </c>
      <c r="D750" s="132">
        <f t="shared" si="34"/>
        <v>875</v>
      </c>
      <c r="E750" s="132">
        <f t="shared" si="35"/>
        <v>875</v>
      </c>
    </row>
    <row r="751" spans="1:5">
      <c r="A751" s="33" t="s">
        <v>328</v>
      </c>
      <c r="B751" s="36">
        <v>10</v>
      </c>
      <c r="C751" s="37">
        <f t="shared" si="33"/>
        <v>750</v>
      </c>
      <c r="D751" s="132">
        <f t="shared" si="34"/>
        <v>1750</v>
      </c>
      <c r="E751" s="132">
        <f t="shared" si="35"/>
        <v>1750</v>
      </c>
    </row>
    <row r="752" spans="1:5">
      <c r="A752" s="33" t="s">
        <v>328</v>
      </c>
      <c r="B752" s="36">
        <v>1</v>
      </c>
      <c r="C752" s="37">
        <f t="shared" si="33"/>
        <v>75</v>
      </c>
      <c r="D752" s="132">
        <f t="shared" si="34"/>
        <v>175</v>
      </c>
      <c r="E752" s="132">
        <f t="shared" si="35"/>
        <v>175</v>
      </c>
    </row>
    <row r="753" spans="1:5">
      <c r="A753" s="33" t="s">
        <v>328</v>
      </c>
      <c r="B753" s="36">
        <v>1</v>
      </c>
      <c r="C753" s="37">
        <f t="shared" si="33"/>
        <v>75</v>
      </c>
      <c r="D753" s="132">
        <f t="shared" si="34"/>
        <v>175</v>
      </c>
      <c r="E753" s="132">
        <f t="shared" si="35"/>
        <v>175</v>
      </c>
    </row>
    <row r="754" spans="1:5">
      <c r="A754" s="33" t="s">
        <v>328</v>
      </c>
      <c r="B754" s="36">
        <v>4</v>
      </c>
      <c r="C754" s="37">
        <f t="shared" si="33"/>
        <v>300</v>
      </c>
      <c r="D754" s="132">
        <f t="shared" si="34"/>
        <v>700</v>
      </c>
      <c r="E754" s="132">
        <f t="shared" si="35"/>
        <v>700</v>
      </c>
    </row>
    <row r="755" spans="1:5">
      <c r="A755" s="33" t="s">
        <v>328</v>
      </c>
      <c r="B755" s="36">
        <v>2</v>
      </c>
      <c r="C755" s="37">
        <f t="shared" si="33"/>
        <v>150</v>
      </c>
      <c r="D755" s="132">
        <f t="shared" si="34"/>
        <v>350</v>
      </c>
      <c r="E755" s="132">
        <f t="shared" si="35"/>
        <v>350</v>
      </c>
    </row>
    <row r="756" spans="1:5">
      <c r="A756" s="33" t="s">
        <v>328</v>
      </c>
      <c r="B756" s="36">
        <v>5</v>
      </c>
      <c r="C756" s="37">
        <f t="shared" si="33"/>
        <v>375</v>
      </c>
      <c r="D756" s="132">
        <f t="shared" si="34"/>
        <v>875</v>
      </c>
      <c r="E756" s="132">
        <f t="shared" si="35"/>
        <v>875</v>
      </c>
    </row>
    <row r="757" spans="1:5">
      <c r="A757" s="33" t="s">
        <v>328</v>
      </c>
      <c r="B757" s="36">
        <v>2</v>
      </c>
      <c r="C757" s="37">
        <f t="shared" si="33"/>
        <v>150</v>
      </c>
      <c r="D757" s="132">
        <f t="shared" si="34"/>
        <v>350</v>
      </c>
      <c r="E757" s="132">
        <f t="shared" si="35"/>
        <v>350</v>
      </c>
    </row>
    <row r="758" spans="1:5">
      <c r="A758" s="33" t="s">
        <v>328</v>
      </c>
      <c r="B758" s="36">
        <v>1</v>
      </c>
      <c r="C758" s="37">
        <f t="shared" si="33"/>
        <v>75</v>
      </c>
      <c r="D758" s="132">
        <f t="shared" si="34"/>
        <v>175</v>
      </c>
      <c r="E758" s="132">
        <f t="shared" si="35"/>
        <v>175</v>
      </c>
    </row>
    <row r="759" spans="1:5">
      <c r="A759" s="33" t="s">
        <v>328</v>
      </c>
      <c r="B759" s="36">
        <v>1</v>
      </c>
      <c r="C759" s="37">
        <f t="shared" si="33"/>
        <v>75</v>
      </c>
      <c r="D759" s="132">
        <f t="shared" si="34"/>
        <v>175</v>
      </c>
      <c r="E759" s="132">
        <f t="shared" si="35"/>
        <v>175</v>
      </c>
    </row>
    <row r="760" spans="1:5">
      <c r="A760" s="33" t="s">
        <v>328</v>
      </c>
      <c r="B760" s="36">
        <v>3</v>
      </c>
      <c r="C760" s="37">
        <f t="shared" si="33"/>
        <v>225</v>
      </c>
      <c r="D760" s="132">
        <f t="shared" si="34"/>
        <v>525</v>
      </c>
      <c r="E760" s="132">
        <f t="shared" si="35"/>
        <v>525</v>
      </c>
    </row>
    <row r="761" spans="1:5">
      <c r="A761" s="33" t="s">
        <v>328</v>
      </c>
      <c r="B761" s="36">
        <v>1</v>
      </c>
      <c r="C761" s="37">
        <f t="shared" si="33"/>
        <v>75</v>
      </c>
      <c r="D761" s="132">
        <f t="shared" si="34"/>
        <v>175</v>
      </c>
      <c r="E761" s="132">
        <f t="shared" si="35"/>
        <v>175</v>
      </c>
    </row>
    <row r="762" spans="1:5">
      <c r="A762" s="33" t="s">
        <v>328</v>
      </c>
      <c r="B762" s="36">
        <v>3</v>
      </c>
      <c r="C762" s="37">
        <f t="shared" si="33"/>
        <v>225</v>
      </c>
      <c r="D762" s="132">
        <f t="shared" si="34"/>
        <v>525</v>
      </c>
      <c r="E762" s="132">
        <f t="shared" si="35"/>
        <v>525</v>
      </c>
    </row>
    <row r="763" spans="1:5">
      <c r="A763" s="33" t="s">
        <v>328</v>
      </c>
      <c r="B763" s="36">
        <v>7</v>
      </c>
      <c r="C763" s="37">
        <f t="shared" si="33"/>
        <v>525</v>
      </c>
      <c r="D763" s="132">
        <f t="shared" si="34"/>
        <v>1225</v>
      </c>
      <c r="E763" s="132">
        <f t="shared" si="35"/>
        <v>1225</v>
      </c>
    </row>
    <row r="764" spans="1:5">
      <c r="A764" s="33" t="s">
        <v>328</v>
      </c>
      <c r="B764" s="36">
        <v>4</v>
      </c>
      <c r="C764" s="37">
        <f t="shared" si="33"/>
        <v>300</v>
      </c>
      <c r="D764" s="132">
        <f t="shared" si="34"/>
        <v>700</v>
      </c>
      <c r="E764" s="132">
        <f t="shared" si="35"/>
        <v>700</v>
      </c>
    </row>
    <row r="765" spans="1:5">
      <c r="A765" s="33" t="s">
        <v>328</v>
      </c>
      <c r="B765" s="36">
        <v>1</v>
      </c>
      <c r="C765" s="37">
        <f t="shared" si="33"/>
        <v>75</v>
      </c>
      <c r="D765" s="132">
        <f t="shared" si="34"/>
        <v>175</v>
      </c>
      <c r="E765" s="132">
        <f t="shared" si="35"/>
        <v>175</v>
      </c>
    </row>
    <row r="766" spans="1:5">
      <c r="A766" s="33" t="s">
        <v>328</v>
      </c>
      <c r="B766" s="36">
        <v>1</v>
      </c>
      <c r="C766" s="37">
        <f t="shared" si="33"/>
        <v>75</v>
      </c>
      <c r="D766" s="132">
        <f t="shared" si="34"/>
        <v>175</v>
      </c>
      <c r="E766" s="132">
        <f t="shared" si="35"/>
        <v>175</v>
      </c>
    </row>
    <row r="767" spans="1:5">
      <c r="A767" s="33" t="s">
        <v>328</v>
      </c>
      <c r="B767" s="36">
        <v>7</v>
      </c>
      <c r="C767" s="37">
        <f t="shared" si="33"/>
        <v>525</v>
      </c>
      <c r="D767" s="132">
        <f t="shared" si="34"/>
        <v>1225</v>
      </c>
      <c r="E767" s="132">
        <f t="shared" si="35"/>
        <v>1225</v>
      </c>
    </row>
    <row r="768" spans="1:5">
      <c r="A768" s="33" t="s">
        <v>328</v>
      </c>
      <c r="B768" s="36">
        <v>4</v>
      </c>
      <c r="C768" s="37">
        <f t="shared" si="33"/>
        <v>300</v>
      </c>
      <c r="D768" s="132">
        <f t="shared" si="34"/>
        <v>700</v>
      </c>
      <c r="E768" s="132">
        <f t="shared" si="35"/>
        <v>700</v>
      </c>
    </row>
    <row r="769" spans="1:5">
      <c r="A769" s="33" t="s">
        <v>328</v>
      </c>
      <c r="B769" s="36">
        <v>6</v>
      </c>
      <c r="C769" s="37">
        <f t="shared" si="33"/>
        <v>450</v>
      </c>
      <c r="D769" s="132">
        <f t="shared" si="34"/>
        <v>1050</v>
      </c>
      <c r="E769" s="132">
        <f t="shared" si="35"/>
        <v>1050</v>
      </c>
    </row>
    <row r="770" spans="1:5">
      <c r="A770" s="33" t="s">
        <v>328</v>
      </c>
      <c r="B770" s="36">
        <v>7</v>
      </c>
      <c r="C770" s="37">
        <f t="shared" si="33"/>
        <v>525</v>
      </c>
      <c r="D770" s="132">
        <f t="shared" si="34"/>
        <v>1225</v>
      </c>
      <c r="E770" s="132">
        <f t="shared" si="35"/>
        <v>1225</v>
      </c>
    </row>
    <row r="771" spans="1:5">
      <c r="A771" s="33" t="s">
        <v>328</v>
      </c>
      <c r="B771" s="36">
        <v>6</v>
      </c>
      <c r="C771" s="37">
        <f t="shared" si="33"/>
        <v>450</v>
      </c>
      <c r="D771" s="132">
        <f t="shared" si="34"/>
        <v>1050</v>
      </c>
      <c r="E771" s="132">
        <f t="shared" si="35"/>
        <v>1050</v>
      </c>
    </row>
    <row r="772" spans="1:5">
      <c r="A772" s="33" t="s">
        <v>328</v>
      </c>
      <c r="B772" s="36">
        <v>3</v>
      </c>
      <c r="C772" s="37">
        <f t="shared" si="33"/>
        <v>225</v>
      </c>
      <c r="D772" s="132">
        <f t="shared" si="34"/>
        <v>525</v>
      </c>
      <c r="E772" s="132">
        <f t="shared" si="35"/>
        <v>525</v>
      </c>
    </row>
    <row r="773" spans="1:5">
      <c r="A773" s="33" t="s">
        <v>328</v>
      </c>
      <c r="B773" s="36">
        <v>2</v>
      </c>
      <c r="C773" s="37">
        <f t="shared" si="33"/>
        <v>150</v>
      </c>
      <c r="D773" s="132">
        <f t="shared" si="34"/>
        <v>350</v>
      </c>
      <c r="E773" s="132">
        <f t="shared" si="35"/>
        <v>350</v>
      </c>
    </row>
    <row r="774" spans="1:5">
      <c r="A774" s="33" t="s">
        <v>328</v>
      </c>
      <c r="B774" s="36">
        <v>2</v>
      </c>
      <c r="C774" s="37">
        <f t="shared" si="33"/>
        <v>150</v>
      </c>
      <c r="D774" s="132">
        <f t="shared" si="34"/>
        <v>350</v>
      </c>
      <c r="E774" s="132">
        <f t="shared" si="35"/>
        <v>350</v>
      </c>
    </row>
    <row r="775" spans="1:5">
      <c r="A775" s="33" t="s">
        <v>328</v>
      </c>
      <c r="B775" s="36">
        <v>1</v>
      </c>
      <c r="C775" s="37">
        <f t="shared" ref="C775:C838" si="36">B775*75</f>
        <v>75</v>
      </c>
      <c r="D775" s="132">
        <f t="shared" ref="D775:D838" si="37">B775*250-C775</f>
        <v>175</v>
      </c>
      <c r="E775" s="132">
        <f t="shared" ref="E775:E838" si="38">B775*250-C775</f>
        <v>175</v>
      </c>
    </row>
    <row r="776" spans="1:5">
      <c r="A776" s="33" t="s">
        <v>328</v>
      </c>
      <c r="B776" s="36">
        <v>1</v>
      </c>
      <c r="C776" s="37">
        <f t="shared" si="36"/>
        <v>75</v>
      </c>
      <c r="D776" s="132">
        <f t="shared" si="37"/>
        <v>175</v>
      </c>
      <c r="E776" s="132">
        <f t="shared" si="38"/>
        <v>175</v>
      </c>
    </row>
    <row r="777" spans="1:5">
      <c r="A777" s="33" t="s">
        <v>328</v>
      </c>
      <c r="B777" s="36">
        <v>3</v>
      </c>
      <c r="C777" s="37">
        <f t="shared" si="36"/>
        <v>225</v>
      </c>
      <c r="D777" s="132">
        <f t="shared" si="37"/>
        <v>525</v>
      </c>
      <c r="E777" s="132">
        <f t="shared" si="38"/>
        <v>525</v>
      </c>
    </row>
    <row r="778" spans="1:5" ht="15" customHeight="1">
      <c r="A778" s="33" t="s">
        <v>329</v>
      </c>
      <c r="B778" s="36">
        <v>1</v>
      </c>
      <c r="C778" s="37">
        <f t="shared" si="36"/>
        <v>75</v>
      </c>
      <c r="D778" s="132">
        <f t="shared" si="37"/>
        <v>175</v>
      </c>
      <c r="E778" s="132">
        <f t="shared" si="38"/>
        <v>175</v>
      </c>
    </row>
    <row r="779" spans="1:5" ht="15" customHeight="1">
      <c r="A779" s="33" t="s">
        <v>329</v>
      </c>
      <c r="B779" s="36">
        <v>6</v>
      </c>
      <c r="C779" s="37">
        <f t="shared" si="36"/>
        <v>450</v>
      </c>
      <c r="D779" s="132">
        <f t="shared" si="37"/>
        <v>1050</v>
      </c>
      <c r="E779" s="132">
        <f t="shared" si="38"/>
        <v>1050</v>
      </c>
    </row>
    <row r="780" spans="1:5" ht="15" customHeight="1">
      <c r="A780" s="33" t="s">
        <v>329</v>
      </c>
      <c r="B780" s="36">
        <v>3</v>
      </c>
      <c r="C780" s="37">
        <f t="shared" si="36"/>
        <v>225</v>
      </c>
      <c r="D780" s="132">
        <f t="shared" si="37"/>
        <v>525</v>
      </c>
      <c r="E780" s="132">
        <f t="shared" si="38"/>
        <v>525</v>
      </c>
    </row>
    <row r="781" spans="1:5">
      <c r="A781" s="33" t="s">
        <v>329</v>
      </c>
      <c r="B781" s="36">
        <v>6</v>
      </c>
      <c r="C781" s="37">
        <f t="shared" si="36"/>
        <v>450</v>
      </c>
      <c r="D781" s="132">
        <f t="shared" si="37"/>
        <v>1050</v>
      </c>
      <c r="E781" s="132">
        <f t="shared" si="38"/>
        <v>1050</v>
      </c>
    </row>
    <row r="782" spans="1:5">
      <c r="A782" s="33" t="s">
        <v>329</v>
      </c>
      <c r="B782" s="36">
        <v>10</v>
      </c>
      <c r="C782" s="37">
        <f t="shared" si="36"/>
        <v>750</v>
      </c>
      <c r="D782" s="132">
        <f t="shared" si="37"/>
        <v>1750</v>
      </c>
      <c r="E782" s="132">
        <f t="shared" si="38"/>
        <v>1750</v>
      </c>
    </row>
    <row r="783" spans="1:5">
      <c r="A783" s="33" t="s">
        <v>329</v>
      </c>
      <c r="B783" s="36">
        <v>3</v>
      </c>
      <c r="C783" s="37">
        <f t="shared" si="36"/>
        <v>225</v>
      </c>
      <c r="D783" s="132">
        <f t="shared" si="37"/>
        <v>525</v>
      </c>
      <c r="E783" s="132">
        <f t="shared" si="38"/>
        <v>525</v>
      </c>
    </row>
    <row r="784" spans="1:5">
      <c r="A784" s="33" t="s">
        <v>329</v>
      </c>
      <c r="B784" s="36">
        <v>2</v>
      </c>
      <c r="C784" s="37">
        <f t="shared" si="36"/>
        <v>150</v>
      </c>
      <c r="D784" s="132">
        <f t="shared" si="37"/>
        <v>350</v>
      </c>
      <c r="E784" s="132">
        <f t="shared" si="38"/>
        <v>350</v>
      </c>
    </row>
    <row r="785" spans="1:5">
      <c r="A785" s="33" t="s">
        <v>329</v>
      </c>
      <c r="B785" s="36">
        <v>2</v>
      </c>
      <c r="C785" s="37">
        <f t="shared" si="36"/>
        <v>150</v>
      </c>
      <c r="D785" s="132">
        <f t="shared" si="37"/>
        <v>350</v>
      </c>
      <c r="E785" s="132">
        <f t="shared" si="38"/>
        <v>350</v>
      </c>
    </row>
    <row r="786" spans="1:5">
      <c r="A786" s="33" t="s">
        <v>329</v>
      </c>
      <c r="B786" s="36">
        <v>1</v>
      </c>
      <c r="C786" s="37">
        <f t="shared" si="36"/>
        <v>75</v>
      </c>
      <c r="D786" s="132">
        <f t="shared" si="37"/>
        <v>175</v>
      </c>
      <c r="E786" s="132">
        <f t="shared" si="38"/>
        <v>175</v>
      </c>
    </row>
    <row r="787" spans="1:5">
      <c r="A787" s="33" t="s">
        <v>329</v>
      </c>
      <c r="B787" s="36">
        <v>7</v>
      </c>
      <c r="C787" s="37">
        <f t="shared" si="36"/>
        <v>525</v>
      </c>
      <c r="D787" s="132">
        <f t="shared" si="37"/>
        <v>1225</v>
      </c>
      <c r="E787" s="132">
        <f t="shared" si="38"/>
        <v>1225</v>
      </c>
    </row>
    <row r="788" spans="1:5">
      <c r="A788" s="33" t="s">
        <v>329</v>
      </c>
      <c r="B788" s="36">
        <v>1</v>
      </c>
      <c r="C788" s="37">
        <f t="shared" si="36"/>
        <v>75</v>
      </c>
      <c r="D788" s="132">
        <f t="shared" si="37"/>
        <v>175</v>
      </c>
      <c r="E788" s="132">
        <f t="shared" si="38"/>
        <v>175</v>
      </c>
    </row>
    <row r="789" spans="1:5">
      <c r="A789" s="33" t="s">
        <v>329</v>
      </c>
      <c r="B789" s="36">
        <v>2</v>
      </c>
      <c r="C789" s="37">
        <f t="shared" si="36"/>
        <v>150</v>
      </c>
      <c r="D789" s="132">
        <f t="shared" si="37"/>
        <v>350</v>
      </c>
      <c r="E789" s="132">
        <f t="shared" si="38"/>
        <v>350</v>
      </c>
    </row>
    <row r="790" spans="1:5">
      <c r="A790" s="33" t="s">
        <v>329</v>
      </c>
      <c r="B790" s="36">
        <v>2</v>
      </c>
      <c r="C790" s="37">
        <f t="shared" si="36"/>
        <v>150</v>
      </c>
      <c r="D790" s="132">
        <f t="shared" si="37"/>
        <v>350</v>
      </c>
      <c r="E790" s="132">
        <f t="shared" si="38"/>
        <v>350</v>
      </c>
    </row>
    <row r="791" spans="1:5">
      <c r="A791" s="33" t="s">
        <v>329</v>
      </c>
      <c r="B791" s="36">
        <v>3</v>
      </c>
      <c r="C791" s="37">
        <f t="shared" si="36"/>
        <v>225</v>
      </c>
      <c r="D791" s="132">
        <f t="shared" si="37"/>
        <v>525</v>
      </c>
      <c r="E791" s="132">
        <f t="shared" si="38"/>
        <v>525</v>
      </c>
    </row>
    <row r="792" spans="1:5">
      <c r="A792" s="33" t="s">
        <v>329</v>
      </c>
      <c r="B792" s="36">
        <v>1</v>
      </c>
      <c r="C792" s="37">
        <f t="shared" si="36"/>
        <v>75</v>
      </c>
      <c r="D792" s="132">
        <f t="shared" si="37"/>
        <v>175</v>
      </c>
      <c r="E792" s="132">
        <f t="shared" si="38"/>
        <v>175</v>
      </c>
    </row>
    <row r="793" spans="1:5">
      <c r="A793" s="33" t="s">
        <v>329</v>
      </c>
      <c r="B793" s="36">
        <v>11</v>
      </c>
      <c r="C793" s="37">
        <f t="shared" si="36"/>
        <v>825</v>
      </c>
      <c r="D793" s="132">
        <f t="shared" si="37"/>
        <v>1925</v>
      </c>
      <c r="E793" s="132">
        <f t="shared" si="38"/>
        <v>1925</v>
      </c>
    </row>
    <row r="794" spans="1:5">
      <c r="A794" s="33" t="s">
        <v>329</v>
      </c>
      <c r="B794" s="36">
        <v>2</v>
      </c>
      <c r="C794" s="37">
        <f t="shared" si="36"/>
        <v>150</v>
      </c>
      <c r="D794" s="132">
        <f t="shared" si="37"/>
        <v>350</v>
      </c>
      <c r="E794" s="132">
        <f t="shared" si="38"/>
        <v>350</v>
      </c>
    </row>
    <row r="795" spans="1:5">
      <c r="A795" s="33" t="s">
        <v>329</v>
      </c>
      <c r="B795" s="36">
        <v>3</v>
      </c>
      <c r="C795" s="37">
        <f t="shared" si="36"/>
        <v>225</v>
      </c>
      <c r="D795" s="132">
        <f t="shared" si="37"/>
        <v>525</v>
      </c>
      <c r="E795" s="132">
        <f t="shared" si="38"/>
        <v>525</v>
      </c>
    </row>
    <row r="796" spans="1:5">
      <c r="A796" s="33" t="s">
        <v>329</v>
      </c>
      <c r="B796" s="36">
        <v>3</v>
      </c>
      <c r="C796" s="37">
        <f t="shared" si="36"/>
        <v>225</v>
      </c>
      <c r="D796" s="132">
        <f t="shared" si="37"/>
        <v>525</v>
      </c>
      <c r="E796" s="132">
        <f t="shared" si="38"/>
        <v>525</v>
      </c>
    </row>
    <row r="797" spans="1:5">
      <c r="A797" s="33" t="s">
        <v>329</v>
      </c>
      <c r="B797" s="36">
        <v>2</v>
      </c>
      <c r="C797" s="37">
        <f t="shared" si="36"/>
        <v>150</v>
      </c>
      <c r="D797" s="132">
        <f t="shared" si="37"/>
        <v>350</v>
      </c>
      <c r="E797" s="132">
        <f t="shared" si="38"/>
        <v>350</v>
      </c>
    </row>
    <row r="798" spans="1:5">
      <c r="A798" s="33" t="s">
        <v>329</v>
      </c>
      <c r="B798" s="36">
        <v>4</v>
      </c>
      <c r="C798" s="37">
        <f t="shared" si="36"/>
        <v>300</v>
      </c>
      <c r="D798" s="132">
        <f t="shared" si="37"/>
        <v>700</v>
      </c>
      <c r="E798" s="132">
        <f t="shared" si="38"/>
        <v>700</v>
      </c>
    </row>
    <row r="799" spans="1:5">
      <c r="A799" s="33" t="s">
        <v>329</v>
      </c>
      <c r="B799" s="36">
        <v>3</v>
      </c>
      <c r="C799" s="37">
        <f t="shared" si="36"/>
        <v>225</v>
      </c>
      <c r="D799" s="132">
        <f t="shared" si="37"/>
        <v>525</v>
      </c>
      <c r="E799" s="132">
        <f t="shared" si="38"/>
        <v>525</v>
      </c>
    </row>
    <row r="800" spans="1:5">
      <c r="A800" s="33" t="s">
        <v>329</v>
      </c>
      <c r="B800" s="36">
        <v>3</v>
      </c>
      <c r="C800" s="37">
        <f t="shared" si="36"/>
        <v>225</v>
      </c>
      <c r="D800" s="132">
        <f t="shared" si="37"/>
        <v>525</v>
      </c>
      <c r="E800" s="132">
        <f t="shared" si="38"/>
        <v>525</v>
      </c>
    </row>
    <row r="801" spans="1:5">
      <c r="A801" s="33" t="s">
        <v>329</v>
      </c>
      <c r="B801" s="36">
        <v>3</v>
      </c>
      <c r="C801" s="37">
        <f t="shared" si="36"/>
        <v>225</v>
      </c>
      <c r="D801" s="132">
        <f t="shared" si="37"/>
        <v>525</v>
      </c>
      <c r="E801" s="132">
        <f t="shared" si="38"/>
        <v>525</v>
      </c>
    </row>
    <row r="802" spans="1:5">
      <c r="A802" s="33" t="s">
        <v>329</v>
      </c>
      <c r="B802" s="36">
        <v>1</v>
      </c>
      <c r="C802" s="37">
        <f t="shared" si="36"/>
        <v>75</v>
      </c>
      <c r="D802" s="132">
        <f t="shared" si="37"/>
        <v>175</v>
      </c>
      <c r="E802" s="132">
        <f t="shared" si="38"/>
        <v>175</v>
      </c>
    </row>
    <row r="803" spans="1:5">
      <c r="A803" s="33" t="s">
        <v>329</v>
      </c>
      <c r="B803" s="36">
        <v>2</v>
      </c>
      <c r="C803" s="37">
        <f t="shared" si="36"/>
        <v>150</v>
      </c>
      <c r="D803" s="132">
        <f t="shared" si="37"/>
        <v>350</v>
      </c>
      <c r="E803" s="132">
        <f t="shared" si="38"/>
        <v>350</v>
      </c>
    </row>
    <row r="804" spans="1:5">
      <c r="A804" s="33" t="s">
        <v>329</v>
      </c>
      <c r="B804" s="36">
        <v>1</v>
      </c>
      <c r="C804" s="37">
        <f t="shared" si="36"/>
        <v>75</v>
      </c>
      <c r="D804" s="132">
        <f t="shared" si="37"/>
        <v>175</v>
      </c>
      <c r="E804" s="132">
        <f t="shared" si="38"/>
        <v>175</v>
      </c>
    </row>
    <row r="805" spans="1:5">
      <c r="A805" s="33" t="s">
        <v>329</v>
      </c>
      <c r="B805" s="36">
        <v>1</v>
      </c>
      <c r="C805" s="37">
        <f t="shared" si="36"/>
        <v>75</v>
      </c>
      <c r="D805" s="132">
        <f t="shared" si="37"/>
        <v>175</v>
      </c>
      <c r="E805" s="132">
        <f t="shared" si="38"/>
        <v>175</v>
      </c>
    </row>
    <row r="806" spans="1:5">
      <c r="A806" s="33" t="s">
        <v>329</v>
      </c>
      <c r="B806" s="36">
        <v>3</v>
      </c>
      <c r="C806" s="37">
        <f t="shared" si="36"/>
        <v>225</v>
      </c>
      <c r="D806" s="132">
        <f t="shared" si="37"/>
        <v>525</v>
      </c>
      <c r="E806" s="132">
        <f t="shared" si="38"/>
        <v>525</v>
      </c>
    </row>
    <row r="807" spans="1:5">
      <c r="A807" s="33" t="s">
        <v>329</v>
      </c>
      <c r="B807" s="36">
        <v>1</v>
      </c>
      <c r="C807" s="37">
        <f t="shared" si="36"/>
        <v>75</v>
      </c>
      <c r="D807" s="132">
        <f t="shared" si="37"/>
        <v>175</v>
      </c>
      <c r="E807" s="132">
        <f t="shared" si="38"/>
        <v>175</v>
      </c>
    </row>
    <row r="808" spans="1:5">
      <c r="A808" s="33" t="s">
        <v>329</v>
      </c>
      <c r="B808" s="36">
        <v>1</v>
      </c>
      <c r="C808" s="37">
        <f t="shared" si="36"/>
        <v>75</v>
      </c>
      <c r="D808" s="132">
        <f t="shared" si="37"/>
        <v>175</v>
      </c>
      <c r="E808" s="132">
        <f t="shared" si="38"/>
        <v>175</v>
      </c>
    </row>
    <row r="809" spans="1:5">
      <c r="A809" s="33" t="s">
        <v>329</v>
      </c>
      <c r="B809" s="36">
        <v>1</v>
      </c>
      <c r="C809" s="37">
        <f t="shared" si="36"/>
        <v>75</v>
      </c>
      <c r="D809" s="132">
        <f t="shared" si="37"/>
        <v>175</v>
      </c>
      <c r="E809" s="132">
        <f t="shared" si="38"/>
        <v>175</v>
      </c>
    </row>
    <row r="810" spans="1:5">
      <c r="A810" s="33" t="s">
        <v>329</v>
      </c>
      <c r="B810" s="36">
        <v>2</v>
      </c>
      <c r="C810" s="37">
        <f t="shared" si="36"/>
        <v>150</v>
      </c>
      <c r="D810" s="132">
        <f t="shared" si="37"/>
        <v>350</v>
      </c>
      <c r="E810" s="132">
        <f t="shared" si="38"/>
        <v>350</v>
      </c>
    </row>
    <row r="811" spans="1:5">
      <c r="A811" s="33" t="s">
        <v>329</v>
      </c>
      <c r="B811" s="36">
        <v>2</v>
      </c>
      <c r="C811" s="37">
        <f t="shared" si="36"/>
        <v>150</v>
      </c>
      <c r="D811" s="132">
        <f t="shared" si="37"/>
        <v>350</v>
      </c>
      <c r="E811" s="132">
        <f t="shared" si="38"/>
        <v>350</v>
      </c>
    </row>
    <row r="812" spans="1:5">
      <c r="A812" s="33" t="s">
        <v>329</v>
      </c>
      <c r="B812" s="36">
        <v>1</v>
      </c>
      <c r="C812" s="37">
        <f t="shared" si="36"/>
        <v>75</v>
      </c>
      <c r="D812" s="132">
        <f t="shared" si="37"/>
        <v>175</v>
      </c>
      <c r="E812" s="132">
        <f t="shared" si="38"/>
        <v>175</v>
      </c>
    </row>
    <row r="813" spans="1:5">
      <c r="A813" s="33" t="s">
        <v>329</v>
      </c>
      <c r="B813" s="36">
        <v>4</v>
      </c>
      <c r="C813" s="37">
        <f t="shared" si="36"/>
        <v>300</v>
      </c>
      <c r="D813" s="132">
        <f t="shared" si="37"/>
        <v>700</v>
      </c>
      <c r="E813" s="132">
        <f t="shared" si="38"/>
        <v>700</v>
      </c>
    </row>
    <row r="814" spans="1:5">
      <c r="A814" s="33" t="s">
        <v>329</v>
      </c>
      <c r="B814" s="36">
        <v>1</v>
      </c>
      <c r="C814" s="37">
        <f t="shared" si="36"/>
        <v>75</v>
      </c>
      <c r="D814" s="132">
        <f t="shared" si="37"/>
        <v>175</v>
      </c>
      <c r="E814" s="132">
        <f t="shared" si="38"/>
        <v>175</v>
      </c>
    </row>
    <row r="815" spans="1:5">
      <c r="A815" s="33" t="s">
        <v>329</v>
      </c>
      <c r="B815" s="36">
        <v>1</v>
      </c>
      <c r="C815" s="37">
        <f t="shared" si="36"/>
        <v>75</v>
      </c>
      <c r="D815" s="132">
        <f t="shared" si="37"/>
        <v>175</v>
      </c>
      <c r="E815" s="132">
        <f t="shared" si="38"/>
        <v>175</v>
      </c>
    </row>
    <row r="816" spans="1:5">
      <c r="A816" s="33" t="s">
        <v>329</v>
      </c>
      <c r="B816" s="36">
        <v>4</v>
      </c>
      <c r="C816" s="37">
        <f t="shared" si="36"/>
        <v>300</v>
      </c>
      <c r="D816" s="132">
        <f t="shared" si="37"/>
        <v>700</v>
      </c>
      <c r="E816" s="132">
        <f t="shared" si="38"/>
        <v>700</v>
      </c>
    </row>
    <row r="817" spans="1:5">
      <c r="A817" s="33" t="s">
        <v>329</v>
      </c>
      <c r="B817" s="36">
        <v>6</v>
      </c>
      <c r="C817" s="37">
        <f t="shared" si="36"/>
        <v>450</v>
      </c>
      <c r="D817" s="132">
        <f t="shared" si="37"/>
        <v>1050</v>
      </c>
      <c r="E817" s="132">
        <f t="shared" si="38"/>
        <v>1050</v>
      </c>
    </row>
    <row r="818" spans="1:5">
      <c r="A818" s="33" t="s">
        <v>329</v>
      </c>
      <c r="B818" s="36">
        <v>1</v>
      </c>
      <c r="C818" s="37">
        <f t="shared" si="36"/>
        <v>75</v>
      </c>
      <c r="D818" s="132">
        <f t="shared" si="37"/>
        <v>175</v>
      </c>
      <c r="E818" s="132">
        <f t="shared" si="38"/>
        <v>175</v>
      </c>
    </row>
    <row r="819" spans="1:5">
      <c r="A819" s="33" t="s">
        <v>329</v>
      </c>
      <c r="B819" s="36">
        <v>2</v>
      </c>
      <c r="C819" s="37">
        <f t="shared" si="36"/>
        <v>150</v>
      </c>
      <c r="D819" s="132">
        <f t="shared" si="37"/>
        <v>350</v>
      </c>
      <c r="E819" s="132">
        <f t="shared" si="38"/>
        <v>350</v>
      </c>
    </row>
    <row r="820" spans="1:5">
      <c r="A820" s="33" t="s">
        <v>329</v>
      </c>
      <c r="B820" s="36">
        <v>2</v>
      </c>
      <c r="C820" s="37">
        <f t="shared" si="36"/>
        <v>150</v>
      </c>
      <c r="D820" s="132">
        <f t="shared" si="37"/>
        <v>350</v>
      </c>
      <c r="E820" s="132">
        <f t="shared" si="38"/>
        <v>350</v>
      </c>
    </row>
    <row r="821" spans="1:5">
      <c r="A821" s="33" t="s">
        <v>329</v>
      </c>
      <c r="B821" s="36">
        <v>3</v>
      </c>
      <c r="C821" s="37">
        <f t="shared" si="36"/>
        <v>225</v>
      </c>
      <c r="D821" s="132">
        <f t="shared" si="37"/>
        <v>525</v>
      </c>
      <c r="E821" s="132">
        <f t="shared" si="38"/>
        <v>525</v>
      </c>
    </row>
    <row r="822" spans="1:5">
      <c r="A822" s="33" t="s">
        <v>329</v>
      </c>
      <c r="B822" s="36">
        <v>5</v>
      </c>
      <c r="C822" s="37">
        <f t="shared" si="36"/>
        <v>375</v>
      </c>
      <c r="D822" s="132">
        <f t="shared" si="37"/>
        <v>875</v>
      </c>
      <c r="E822" s="132">
        <f t="shared" si="38"/>
        <v>875</v>
      </c>
    </row>
    <row r="823" spans="1:5">
      <c r="A823" s="33" t="s">
        <v>329</v>
      </c>
      <c r="B823" s="36">
        <v>2</v>
      </c>
      <c r="C823" s="37">
        <f t="shared" si="36"/>
        <v>150</v>
      </c>
      <c r="D823" s="132">
        <f t="shared" si="37"/>
        <v>350</v>
      </c>
      <c r="E823" s="132">
        <f t="shared" si="38"/>
        <v>350</v>
      </c>
    </row>
    <row r="824" spans="1:5">
      <c r="A824" s="33" t="s">
        <v>329</v>
      </c>
      <c r="B824" s="36">
        <v>3</v>
      </c>
      <c r="C824" s="37">
        <f t="shared" si="36"/>
        <v>225</v>
      </c>
      <c r="D824" s="132">
        <f t="shared" si="37"/>
        <v>525</v>
      </c>
      <c r="E824" s="132">
        <f t="shared" si="38"/>
        <v>525</v>
      </c>
    </row>
    <row r="825" spans="1:5">
      <c r="A825" s="33" t="s">
        <v>329</v>
      </c>
      <c r="B825" s="36">
        <v>2</v>
      </c>
      <c r="C825" s="37">
        <f t="shared" si="36"/>
        <v>150</v>
      </c>
      <c r="D825" s="132">
        <f t="shared" si="37"/>
        <v>350</v>
      </c>
      <c r="E825" s="132">
        <f t="shared" si="38"/>
        <v>350</v>
      </c>
    </row>
    <row r="826" spans="1:5">
      <c r="A826" s="33" t="s">
        <v>329</v>
      </c>
      <c r="B826" s="36">
        <v>3</v>
      </c>
      <c r="C826" s="37">
        <f t="shared" si="36"/>
        <v>225</v>
      </c>
      <c r="D826" s="132">
        <f t="shared" si="37"/>
        <v>525</v>
      </c>
      <c r="E826" s="132">
        <f t="shared" si="38"/>
        <v>525</v>
      </c>
    </row>
    <row r="827" spans="1:5">
      <c r="A827" s="33" t="s">
        <v>329</v>
      </c>
      <c r="B827" s="36">
        <v>2</v>
      </c>
      <c r="C827" s="37">
        <f t="shared" si="36"/>
        <v>150</v>
      </c>
      <c r="D827" s="132">
        <f t="shared" si="37"/>
        <v>350</v>
      </c>
      <c r="E827" s="132">
        <f t="shared" si="38"/>
        <v>350</v>
      </c>
    </row>
    <row r="828" spans="1:5">
      <c r="A828" s="33" t="s">
        <v>329</v>
      </c>
      <c r="B828" s="36">
        <v>2</v>
      </c>
      <c r="C828" s="37">
        <f t="shared" si="36"/>
        <v>150</v>
      </c>
      <c r="D828" s="132">
        <f t="shared" si="37"/>
        <v>350</v>
      </c>
      <c r="E828" s="132">
        <f t="shared" si="38"/>
        <v>350</v>
      </c>
    </row>
    <row r="829" spans="1:5">
      <c r="A829" s="33" t="s">
        <v>329</v>
      </c>
      <c r="B829" s="36">
        <v>2</v>
      </c>
      <c r="C829" s="37">
        <f t="shared" si="36"/>
        <v>150</v>
      </c>
      <c r="D829" s="132">
        <f t="shared" si="37"/>
        <v>350</v>
      </c>
      <c r="E829" s="132">
        <f t="shared" si="38"/>
        <v>350</v>
      </c>
    </row>
    <row r="830" spans="1:5">
      <c r="A830" s="33" t="s">
        <v>329</v>
      </c>
      <c r="B830" s="36">
        <v>1</v>
      </c>
      <c r="C830" s="37">
        <f t="shared" si="36"/>
        <v>75</v>
      </c>
      <c r="D830" s="132">
        <f t="shared" si="37"/>
        <v>175</v>
      </c>
      <c r="E830" s="132">
        <f t="shared" si="38"/>
        <v>175</v>
      </c>
    </row>
    <row r="831" spans="1:5">
      <c r="A831" s="33" t="s">
        <v>329</v>
      </c>
      <c r="B831" s="36">
        <v>3</v>
      </c>
      <c r="C831" s="37">
        <f t="shared" si="36"/>
        <v>225</v>
      </c>
      <c r="D831" s="132">
        <f t="shared" si="37"/>
        <v>525</v>
      </c>
      <c r="E831" s="132">
        <f t="shared" si="38"/>
        <v>525</v>
      </c>
    </row>
    <row r="832" spans="1:5">
      <c r="A832" s="33" t="s">
        <v>329</v>
      </c>
      <c r="B832" s="36">
        <v>1</v>
      </c>
      <c r="C832" s="37">
        <f t="shared" si="36"/>
        <v>75</v>
      </c>
      <c r="D832" s="132">
        <f t="shared" si="37"/>
        <v>175</v>
      </c>
      <c r="E832" s="132">
        <f t="shared" si="38"/>
        <v>175</v>
      </c>
    </row>
    <row r="833" spans="1:5">
      <c r="A833" s="33" t="s">
        <v>329</v>
      </c>
      <c r="B833" s="36">
        <v>4</v>
      </c>
      <c r="C833" s="37">
        <f t="shared" si="36"/>
        <v>300</v>
      </c>
      <c r="D833" s="132">
        <f t="shared" si="37"/>
        <v>700</v>
      </c>
      <c r="E833" s="132">
        <f t="shared" si="38"/>
        <v>700</v>
      </c>
    </row>
    <row r="834" spans="1:5">
      <c r="A834" s="33" t="s">
        <v>329</v>
      </c>
      <c r="B834" s="36">
        <v>1</v>
      </c>
      <c r="C834" s="37">
        <f t="shared" si="36"/>
        <v>75</v>
      </c>
      <c r="D834" s="132">
        <f t="shared" si="37"/>
        <v>175</v>
      </c>
      <c r="E834" s="132">
        <f t="shared" si="38"/>
        <v>175</v>
      </c>
    </row>
    <row r="835" spans="1:5">
      <c r="A835" s="33" t="s">
        <v>329</v>
      </c>
      <c r="B835" s="36">
        <v>2</v>
      </c>
      <c r="C835" s="37">
        <f t="shared" si="36"/>
        <v>150</v>
      </c>
      <c r="D835" s="132">
        <f t="shared" si="37"/>
        <v>350</v>
      </c>
      <c r="E835" s="132">
        <f t="shared" si="38"/>
        <v>350</v>
      </c>
    </row>
    <row r="836" spans="1:5">
      <c r="A836" s="33" t="s">
        <v>329</v>
      </c>
      <c r="B836" s="36">
        <v>2</v>
      </c>
      <c r="C836" s="37">
        <f t="shared" si="36"/>
        <v>150</v>
      </c>
      <c r="D836" s="132">
        <f t="shared" si="37"/>
        <v>350</v>
      </c>
      <c r="E836" s="132">
        <f t="shared" si="38"/>
        <v>350</v>
      </c>
    </row>
    <row r="837" spans="1:5">
      <c r="A837" s="33" t="s">
        <v>329</v>
      </c>
      <c r="B837" s="36">
        <v>6</v>
      </c>
      <c r="C837" s="37">
        <f t="shared" si="36"/>
        <v>450</v>
      </c>
      <c r="D837" s="132">
        <f t="shared" si="37"/>
        <v>1050</v>
      </c>
      <c r="E837" s="132">
        <f t="shared" si="38"/>
        <v>1050</v>
      </c>
    </row>
    <row r="838" spans="1:5">
      <c r="A838" s="33" t="s">
        <v>329</v>
      </c>
      <c r="B838" s="36">
        <v>1</v>
      </c>
      <c r="C838" s="37">
        <f t="shared" si="36"/>
        <v>75</v>
      </c>
      <c r="D838" s="132">
        <f t="shared" si="37"/>
        <v>175</v>
      </c>
      <c r="E838" s="132">
        <f t="shared" si="38"/>
        <v>175</v>
      </c>
    </row>
    <row r="839" spans="1:5">
      <c r="A839" s="33" t="s">
        <v>329</v>
      </c>
      <c r="B839" s="36">
        <v>1</v>
      </c>
      <c r="C839" s="37">
        <f t="shared" ref="C839:C902" si="39">B839*75</f>
        <v>75</v>
      </c>
      <c r="D839" s="132">
        <f t="shared" ref="D839:D902" si="40">B839*250-C839</f>
        <v>175</v>
      </c>
      <c r="E839" s="132">
        <f t="shared" ref="E839:E902" si="41">B839*250-C839</f>
        <v>175</v>
      </c>
    </row>
    <row r="840" spans="1:5">
      <c r="A840" s="33" t="s">
        <v>329</v>
      </c>
      <c r="B840" s="36">
        <v>1</v>
      </c>
      <c r="C840" s="37">
        <f t="shared" si="39"/>
        <v>75</v>
      </c>
      <c r="D840" s="132">
        <f t="shared" si="40"/>
        <v>175</v>
      </c>
      <c r="E840" s="132">
        <f t="shared" si="41"/>
        <v>175</v>
      </c>
    </row>
    <row r="841" spans="1:5">
      <c r="A841" s="33" t="s">
        <v>329</v>
      </c>
      <c r="B841" s="36">
        <v>2</v>
      </c>
      <c r="C841" s="37">
        <f t="shared" si="39"/>
        <v>150</v>
      </c>
      <c r="D841" s="132">
        <f t="shared" si="40"/>
        <v>350</v>
      </c>
      <c r="E841" s="132">
        <f t="shared" si="41"/>
        <v>350</v>
      </c>
    </row>
    <row r="842" spans="1:5">
      <c r="A842" s="33" t="s">
        <v>329</v>
      </c>
      <c r="B842" s="36">
        <v>1</v>
      </c>
      <c r="C842" s="37">
        <f t="shared" si="39"/>
        <v>75</v>
      </c>
      <c r="D842" s="132">
        <f t="shared" si="40"/>
        <v>175</v>
      </c>
      <c r="E842" s="132">
        <f t="shared" si="41"/>
        <v>175</v>
      </c>
    </row>
    <row r="843" spans="1:5">
      <c r="A843" s="33" t="s">
        <v>329</v>
      </c>
      <c r="B843" s="36">
        <v>3</v>
      </c>
      <c r="C843" s="37">
        <f t="shared" si="39"/>
        <v>225</v>
      </c>
      <c r="D843" s="132">
        <f t="shared" si="40"/>
        <v>525</v>
      </c>
      <c r="E843" s="132">
        <f t="shared" si="41"/>
        <v>525</v>
      </c>
    </row>
    <row r="844" spans="1:5">
      <c r="A844" s="33" t="s">
        <v>329</v>
      </c>
      <c r="B844" s="36">
        <v>5</v>
      </c>
      <c r="C844" s="37">
        <f t="shared" si="39"/>
        <v>375</v>
      </c>
      <c r="D844" s="132">
        <f t="shared" si="40"/>
        <v>875</v>
      </c>
      <c r="E844" s="132">
        <f t="shared" si="41"/>
        <v>875</v>
      </c>
    </row>
    <row r="845" spans="1:5">
      <c r="A845" s="33" t="s">
        <v>329</v>
      </c>
      <c r="B845" s="36">
        <v>4</v>
      </c>
      <c r="C845" s="37">
        <f t="shared" si="39"/>
        <v>300</v>
      </c>
      <c r="D845" s="132">
        <f t="shared" si="40"/>
        <v>700</v>
      </c>
      <c r="E845" s="132">
        <f t="shared" si="41"/>
        <v>700</v>
      </c>
    </row>
    <row r="846" spans="1:5">
      <c r="A846" s="33" t="s">
        <v>329</v>
      </c>
      <c r="B846" s="36">
        <v>3</v>
      </c>
      <c r="C846" s="37">
        <f t="shared" si="39"/>
        <v>225</v>
      </c>
      <c r="D846" s="132">
        <f t="shared" si="40"/>
        <v>525</v>
      </c>
      <c r="E846" s="132">
        <f t="shared" si="41"/>
        <v>525</v>
      </c>
    </row>
    <row r="847" spans="1:5">
      <c r="A847" s="33" t="s">
        <v>329</v>
      </c>
      <c r="B847" s="36">
        <v>4</v>
      </c>
      <c r="C847" s="37">
        <f t="shared" si="39"/>
        <v>300</v>
      </c>
      <c r="D847" s="132">
        <f t="shared" si="40"/>
        <v>700</v>
      </c>
      <c r="E847" s="132">
        <f t="shared" si="41"/>
        <v>700</v>
      </c>
    </row>
    <row r="848" spans="1:5">
      <c r="A848" s="33" t="s">
        <v>329</v>
      </c>
      <c r="B848" s="36">
        <v>2</v>
      </c>
      <c r="C848" s="37">
        <f t="shared" si="39"/>
        <v>150</v>
      </c>
      <c r="D848" s="132">
        <f t="shared" si="40"/>
        <v>350</v>
      </c>
      <c r="E848" s="132">
        <f t="shared" si="41"/>
        <v>350</v>
      </c>
    </row>
    <row r="849" spans="1:5">
      <c r="A849" s="33" t="s">
        <v>329</v>
      </c>
      <c r="B849" s="36">
        <v>1</v>
      </c>
      <c r="C849" s="37">
        <f t="shared" si="39"/>
        <v>75</v>
      </c>
      <c r="D849" s="132">
        <f t="shared" si="40"/>
        <v>175</v>
      </c>
      <c r="E849" s="132">
        <f t="shared" si="41"/>
        <v>175</v>
      </c>
    </row>
    <row r="850" spans="1:5">
      <c r="A850" s="33" t="s">
        <v>329</v>
      </c>
      <c r="B850" s="36">
        <v>1</v>
      </c>
      <c r="C850" s="37">
        <f t="shared" si="39"/>
        <v>75</v>
      </c>
      <c r="D850" s="132">
        <f t="shared" si="40"/>
        <v>175</v>
      </c>
      <c r="E850" s="132">
        <f t="shared" si="41"/>
        <v>175</v>
      </c>
    </row>
    <row r="851" spans="1:5">
      <c r="A851" s="33" t="s">
        <v>329</v>
      </c>
      <c r="B851" s="36">
        <v>1</v>
      </c>
      <c r="C851" s="37">
        <f t="shared" si="39"/>
        <v>75</v>
      </c>
      <c r="D851" s="132">
        <f t="shared" si="40"/>
        <v>175</v>
      </c>
      <c r="E851" s="132">
        <f t="shared" si="41"/>
        <v>175</v>
      </c>
    </row>
    <row r="852" spans="1:5">
      <c r="A852" s="33" t="s">
        <v>329</v>
      </c>
      <c r="B852" s="36">
        <v>3</v>
      </c>
      <c r="C852" s="37">
        <f t="shared" si="39"/>
        <v>225</v>
      </c>
      <c r="D852" s="132">
        <f t="shared" si="40"/>
        <v>525</v>
      </c>
      <c r="E852" s="132">
        <f t="shared" si="41"/>
        <v>525</v>
      </c>
    </row>
    <row r="853" spans="1:5">
      <c r="A853" s="33" t="s">
        <v>329</v>
      </c>
      <c r="B853" s="36">
        <v>3</v>
      </c>
      <c r="C853" s="37">
        <f t="shared" si="39"/>
        <v>225</v>
      </c>
      <c r="D853" s="132">
        <f t="shared" si="40"/>
        <v>525</v>
      </c>
      <c r="E853" s="132">
        <f t="shared" si="41"/>
        <v>525</v>
      </c>
    </row>
    <row r="854" spans="1:5">
      <c r="A854" s="33" t="s">
        <v>329</v>
      </c>
      <c r="B854" s="36">
        <v>4</v>
      </c>
      <c r="C854" s="37">
        <f t="shared" si="39"/>
        <v>300</v>
      </c>
      <c r="D854" s="132">
        <f t="shared" si="40"/>
        <v>700</v>
      </c>
      <c r="E854" s="132">
        <f t="shared" si="41"/>
        <v>700</v>
      </c>
    </row>
    <row r="855" spans="1:5">
      <c r="A855" s="33" t="s">
        <v>329</v>
      </c>
      <c r="B855" s="36">
        <v>3</v>
      </c>
      <c r="C855" s="37">
        <f t="shared" si="39"/>
        <v>225</v>
      </c>
      <c r="D855" s="132">
        <f t="shared" si="40"/>
        <v>525</v>
      </c>
      <c r="E855" s="132">
        <f t="shared" si="41"/>
        <v>525</v>
      </c>
    </row>
    <row r="856" spans="1:5">
      <c r="A856" s="33" t="s">
        <v>329</v>
      </c>
      <c r="B856" s="36">
        <v>4</v>
      </c>
      <c r="C856" s="37">
        <f t="shared" si="39"/>
        <v>300</v>
      </c>
      <c r="D856" s="132">
        <f t="shared" si="40"/>
        <v>700</v>
      </c>
      <c r="E856" s="132">
        <f t="shared" si="41"/>
        <v>700</v>
      </c>
    </row>
    <row r="857" spans="1:5">
      <c r="A857" s="33" t="s">
        <v>329</v>
      </c>
      <c r="B857" s="36">
        <v>2</v>
      </c>
      <c r="C857" s="37">
        <f t="shared" si="39"/>
        <v>150</v>
      </c>
      <c r="D857" s="132">
        <f t="shared" si="40"/>
        <v>350</v>
      </c>
      <c r="E857" s="132">
        <f t="shared" si="41"/>
        <v>350</v>
      </c>
    </row>
    <row r="858" spans="1:5">
      <c r="A858" s="33" t="s">
        <v>329</v>
      </c>
      <c r="B858" s="36">
        <v>4</v>
      </c>
      <c r="C858" s="37">
        <f t="shared" si="39"/>
        <v>300</v>
      </c>
      <c r="D858" s="132">
        <f t="shared" si="40"/>
        <v>700</v>
      </c>
      <c r="E858" s="132">
        <f t="shared" si="41"/>
        <v>700</v>
      </c>
    </row>
    <row r="859" spans="1:5">
      <c r="A859" s="33" t="s">
        <v>329</v>
      </c>
      <c r="B859" s="36">
        <v>3</v>
      </c>
      <c r="C859" s="37">
        <f t="shared" si="39"/>
        <v>225</v>
      </c>
      <c r="D859" s="132">
        <f t="shared" si="40"/>
        <v>525</v>
      </c>
      <c r="E859" s="132">
        <f t="shared" si="41"/>
        <v>525</v>
      </c>
    </row>
    <row r="860" spans="1:5">
      <c r="A860" s="33" t="s">
        <v>329</v>
      </c>
      <c r="B860" s="36">
        <v>2</v>
      </c>
      <c r="C860" s="37">
        <f t="shared" si="39"/>
        <v>150</v>
      </c>
      <c r="D860" s="132">
        <f t="shared" si="40"/>
        <v>350</v>
      </c>
      <c r="E860" s="132">
        <f t="shared" si="41"/>
        <v>350</v>
      </c>
    </row>
    <row r="861" spans="1:5">
      <c r="A861" s="33" t="s">
        <v>329</v>
      </c>
      <c r="B861" s="36">
        <v>5</v>
      </c>
      <c r="C861" s="37">
        <f t="shared" si="39"/>
        <v>375</v>
      </c>
      <c r="D861" s="132">
        <f t="shared" si="40"/>
        <v>875</v>
      </c>
      <c r="E861" s="132">
        <f t="shared" si="41"/>
        <v>875</v>
      </c>
    </row>
    <row r="862" spans="1:5">
      <c r="A862" s="33" t="s">
        <v>329</v>
      </c>
      <c r="B862" s="36">
        <v>5</v>
      </c>
      <c r="C862" s="37">
        <f t="shared" si="39"/>
        <v>375</v>
      </c>
      <c r="D862" s="132">
        <f t="shared" si="40"/>
        <v>875</v>
      </c>
      <c r="E862" s="132">
        <f t="shared" si="41"/>
        <v>875</v>
      </c>
    </row>
    <row r="863" spans="1:5">
      <c r="A863" s="33" t="s">
        <v>329</v>
      </c>
      <c r="B863" s="36">
        <v>2</v>
      </c>
      <c r="C863" s="37">
        <f t="shared" si="39"/>
        <v>150</v>
      </c>
      <c r="D863" s="132">
        <f t="shared" si="40"/>
        <v>350</v>
      </c>
      <c r="E863" s="132">
        <f t="shared" si="41"/>
        <v>350</v>
      </c>
    </row>
    <row r="864" spans="1:5">
      <c r="A864" s="33" t="s">
        <v>329</v>
      </c>
      <c r="B864" s="36">
        <v>3</v>
      </c>
      <c r="C864" s="37">
        <f t="shared" si="39"/>
        <v>225</v>
      </c>
      <c r="D864" s="132">
        <f t="shared" si="40"/>
        <v>525</v>
      </c>
      <c r="E864" s="132">
        <f t="shared" si="41"/>
        <v>525</v>
      </c>
    </row>
    <row r="865" spans="1:5">
      <c r="A865" s="33" t="s">
        <v>329</v>
      </c>
      <c r="B865" s="36">
        <v>1</v>
      </c>
      <c r="C865" s="37">
        <f t="shared" si="39"/>
        <v>75</v>
      </c>
      <c r="D865" s="132">
        <f t="shared" si="40"/>
        <v>175</v>
      </c>
      <c r="E865" s="132">
        <f t="shared" si="41"/>
        <v>175</v>
      </c>
    </row>
    <row r="866" spans="1:5">
      <c r="A866" s="33" t="s">
        <v>329</v>
      </c>
      <c r="B866" s="36">
        <v>2</v>
      </c>
      <c r="C866" s="37">
        <f t="shared" si="39"/>
        <v>150</v>
      </c>
      <c r="D866" s="132">
        <f t="shared" si="40"/>
        <v>350</v>
      </c>
      <c r="E866" s="132">
        <f t="shared" si="41"/>
        <v>350</v>
      </c>
    </row>
    <row r="867" spans="1:5">
      <c r="A867" s="33" t="s">
        <v>329</v>
      </c>
      <c r="B867" s="36">
        <v>1</v>
      </c>
      <c r="C867" s="37">
        <f t="shared" si="39"/>
        <v>75</v>
      </c>
      <c r="D867" s="132">
        <f t="shared" si="40"/>
        <v>175</v>
      </c>
      <c r="E867" s="132">
        <f t="shared" si="41"/>
        <v>175</v>
      </c>
    </row>
    <row r="868" spans="1:5">
      <c r="A868" s="33" t="s">
        <v>329</v>
      </c>
      <c r="B868" s="36">
        <v>1</v>
      </c>
      <c r="C868" s="37">
        <f t="shared" si="39"/>
        <v>75</v>
      </c>
      <c r="D868" s="132">
        <f t="shared" si="40"/>
        <v>175</v>
      </c>
      <c r="E868" s="132">
        <f t="shared" si="41"/>
        <v>175</v>
      </c>
    </row>
    <row r="869" spans="1:5">
      <c r="A869" s="33" t="s">
        <v>329</v>
      </c>
      <c r="B869" s="36">
        <v>4</v>
      </c>
      <c r="C869" s="37">
        <f t="shared" si="39"/>
        <v>300</v>
      </c>
      <c r="D869" s="132">
        <f t="shared" si="40"/>
        <v>700</v>
      </c>
      <c r="E869" s="132">
        <f t="shared" si="41"/>
        <v>700</v>
      </c>
    </row>
    <row r="870" spans="1:5">
      <c r="A870" s="33" t="s">
        <v>329</v>
      </c>
      <c r="B870" s="36">
        <v>3</v>
      </c>
      <c r="C870" s="37">
        <f t="shared" si="39"/>
        <v>225</v>
      </c>
      <c r="D870" s="132">
        <f t="shared" si="40"/>
        <v>525</v>
      </c>
      <c r="E870" s="132">
        <f t="shared" si="41"/>
        <v>525</v>
      </c>
    </row>
    <row r="871" spans="1:5">
      <c r="A871" s="33" t="s">
        <v>329</v>
      </c>
      <c r="B871" s="36">
        <v>1</v>
      </c>
      <c r="C871" s="37">
        <f t="shared" si="39"/>
        <v>75</v>
      </c>
      <c r="D871" s="132">
        <f t="shared" si="40"/>
        <v>175</v>
      </c>
      <c r="E871" s="132">
        <f t="shared" si="41"/>
        <v>175</v>
      </c>
    </row>
    <row r="872" spans="1:5">
      <c r="A872" s="33" t="s">
        <v>329</v>
      </c>
      <c r="B872" s="36">
        <v>6</v>
      </c>
      <c r="C872" s="37">
        <f t="shared" si="39"/>
        <v>450</v>
      </c>
      <c r="D872" s="132">
        <f t="shared" si="40"/>
        <v>1050</v>
      </c>
      <c r="E872" s="132">
        <f t="shared" si="41"/>
        <v>1050</v>
      </c>
    </row>
    <row r="873" spans="1:5">
      <c r="A873" s="33" t="s">
        <v>329</v>
      </c>
      <c r="B873" s="36">
        <v>1</v>
      </c>
      <c r="C873" s="37">
        <f t="shared" si="39"/>
        <v>75</v>
      </c>
      <c r="D873" s="132">
        <f t="shared" si="40"/>
        <v>175</v>
      </c>
      <c r="E873" s="132">
        <f t="shared" si="41"/>
        <v>175</v>
      </c>
    </row>
    <row r="874" spans="1:5">
      <c r="A874" s="33" t="s">
        <v>329</v>
      </c>
      <c r="B874" s="36">
        <v>1</v>
      </c>
      <c r="C874" s="37">
        <f t="shared" si="39"/>
        <v>75</v>
      </c>
      <c r="D874" s="132">
        <f t="shared" si="40"/>
        <v>175</v>
      </c>
      <c r="E874" s="132">
        <f t="shared" si="41"/>
        <v>175</v>
      </c>
    </row>
    <row r="875" spans="1:5">
      <c r="A875" s="33" t="s">
        <v>329</v>
      </c>
      <c r="B875" s="36">
        <v>2</v>
      </c>
      <c r="C875" s="37">
        <f t="shared" si="39"/>
        <v>150</v>
      </c>
      <c r="D875" s="132">
        <f t="shared" si="40"/>
        <v>350</v>
      </c>
      <c r="E875" s="132">
        <f t="shared" si="41"/>
        <v>350</v>
      </c>
    </row>
    <row r="876" spans="1:5">
      <c r="A876" s="33" t="s">
        <v>329</v>
      </c>
      <c r="B876" s="36">
        <v>4</v>
      </c>
      <c r="C876" s="37">
        <f t="shared" si="39"/>
        <v>300</v>
      </c>
      <c r="D876" s="132">
        <f t="shared" si="40"/>
        <v>700</v>
      </c>
      <c r="E876" s="132">
        <f t="shared" si="41"/>
        <v>700</v>
      </c>
    </row>
    <row r="877" spans="1:5">
      <c r="A877" s="33" t="s">
        <v>329</v>
      </c>
      <c r="B877" s="36">
        <v>2</v>
      </c>
      <c r="C877" s="37">
        <f t="shared" si="39"/>
        <v>150</v>
      </c>
      <c r="D877" s="132">
        <f t="shared" si="40"/>
        <v>350</v>
      </c>
      <c r="E877" s="132">
        <f t="shared" si="41"/>
        <v>350</v>
      </c>
    </row>
    <row r="878" spans="1:5">
      <c r="A878" s="33" t="s">
        <v>329</v>
      </c>
      <c r="B878" s="36">
        <v>1</v>
      </c>
      <c r="C878" s="37">
        <f t="shared" si="39"/>
        <v>75</v>
      </c>
      <c r="D878" s="132">
        <f t="shared" si="40"/>
        <v>175</v>
      </c>
      <c r="E878" s="132">
        <f t="shared" si="41"/>
        <v>175</v>
      </c>
    </row>
    <row r="879" spans="1:5">
      <c r="A879" s="33" t="s">
        <v>329</v>
      </c>
      <c r="B879" s="36">
        <v>4</v>
      </c>
      <c r="C879" s="37">
        <f t="shared" si="39"/>
        <v>300</v>
      </c>
      <c r="D879" s="132">
        <f t="shared" si="40"/>
        <v>700</v>
      </c>
      <c r="E879" s="132">
        <f t="shared" si="41"/>
        <v>700</v>
      </c>
    </row>
    <row r="880" spans="1:5">
      <c r="A880" s="33" t="s">
        <v>329</v>
      </c>
      <c r="B880" s="36">
        <v>1</v>
      </c>
      <c r="C880" s="37">
        <f t="shared" si="39"/>
        <v>75</v>
      </c>
      <c r="D880" s="132">
        <f t="shared" si="40"/>
        <v>175</v>
      </c>
      <c r="E880" s="132">
        <f t="shared" si="41"/>
        <v>175</v>
      </c>
    </row>
    <row r="881" spans="1:5">
      <c r="A881" s="33" t="s">
        <v>329</v>
      </c>
      <c r="B881" s="36">
        <v>1</v>
      </c>
      <c r="C881" s="37">
        <f t="shared" si="39"/>
        <v>75</v>
      </c>
      <c r="D881" s="132">
        <f t="shared" si="40"/>
        <v>175</v>
      </c>
      <c r="E881" s="132">
        <f t="shared" si="41"/>
        <v>175</v>
      </c>
    </row>
    <row r="882" spans="1:5">
      <c r="A882" s="33" t="s">
        <v>329</v>
      </c>
      <c r="B882" s="36">
        <v>3</v>
      </c>
      <c r="C882" s="37">
        <f t="shared" si="39"/>
        <v>225</v>
      </c>
      <c r="D882" s="132">
        <f t="shared" si="40"/>
        <v>525</v>
      </c>
      <c r="E882" s="132">
        <f t="shared" si="41"/>
        <v>525</v>
      </c>
    </row>
    <row r="883" spans="1:5">
      <c r="A883" s="33" t="s">
        <v>329</v>
      </c>
      <c r="B883" s="36">
        <v>1</v>
      </c>
      <c r="C883" s="37">
        <f t="shared" si="39"/>
        <v>75</v>
      </c>
      <c r="D883" s="132">
        <f t="shared" si="40"/>
        <v>175</v>
      </c>
      <c r="E883" s="132">
        <f t="shared" si="41"/>
        <v>175</v>
      </c>
    </row>
    <row r="884" spans="1:5">
      <c r="A884" s="33" t="s">
        <v>329</v>
      </c>
      <c r="B884" s="36">
        <v>2</v>
      </c>
      <c r="C884" s="37">
        <f t="shared" si="39"/>
        <v>150</v>
      </c>
      <c r="D884" s="132">
        <f t="shared" si="40"/>
        <v>350</v>
      </c>
      <c r="E884" s="132">
        <f t="shared" si="41"/>
        <v>350</v>
      </c>
    </row>
    <row r="885" spans="1:5">
      <c r="A885" s="33" t="s">
        <v>329</v>
      </c>
      <c r="B885" s="36">
        <v>2</v>
      </c>
      <c r="C885" s="37">
        <f t="shared" si="39"/>
        <v>150</v>
      </c>
      <c r="D885" s="132">
        <f t="shared" si="40"/>
        <v>350</v>
      </c>
      <c r="E885" s="132">
        <f t="shared" si="41"/>
        <v>350</v>
      </c>
    </row>
    <row r="886" spans="1:5">
      <c r="A886" s="33" t="s">
        <v>329</v>
      </c>
      <c r="B886" s="36">
        <v>2</v>
      </c>
      <c r="C886" s="37">
        <f t="shared" si="39"/>
        <v>150</v>
      </c>
      <c r="D886" s="132">
        <f t="shared" si="40"/>
        <v>350</v>
      </c>
      <c r="E886" s="132">
        <f t="shared" si="41"/>
        <v>350</v>
      </c>
    </row>
    <row r="887" spans="1:5">
      <c r="A887" s="33" t="s">
        <v>329</v>
      </c>
      <c r="B887" s="36">
        <v>3</v>
      </c>
      <c r="C887" s="37">
        <f t="shared" si="39"/>
        <v>225</v>
      </c>
      <c r="D887" s="132">
        <f t="shared" si="40"/>
        <v>525</v>
      </c>
      <c r="E887" s="132">
        <f t="shared" si="41"/>
        <v>525</v>
      </c>
    </row>
    <row r="888" spans="1:5">
      <c r="A888" s="33" t="s">
        <v>329</v>
      </c>
      <c r="B888" s="36">
        <v>2</v>
      </c>
      <c r="C888" s="37">
        <f t="shared" si="39"/>
        <v>150</v>
      </c>
      <c r="D888" s="132">
        <f t="shared" si="40"/>
        <v>350</v>
      </c>
      <c r="E888" s="132">
        <f t="shared" si="41"/>
        <v>350</v>
      </c>
    </row>
    <row r="889" spans="1:5">
      <c r="A889" s="33" t="s">
        <v>329</v>
      </c>
      <c r="B889" s="36">
        <v>1</v>
      </c>
      <c r="C889" s="37">
        <f t="shared" si="39"/>
        <v>75</v>
      </c>
      <c r="D889" s="132">
        <f t="shared" si="40"/>
        <v>175</v>
      </c>
      <c r="E889" s="132">
        <f t="shared" si="41"/>
        <v>175</v>
      </c>
    </row>
    <row r="890" spans="1:5">
      <c r="A890" s="33" t="s">
        <v>329</v>
      </c>
      <c r="B890" s="36">
        <v>1</v>
      </c>
      <c r="C890" s="37">
        <f t="shared" si="39"/>
        <v>75</v>
      </c>
      <c r="D890" s="132">
        <f t="shared" si="40"/>
        <v>175</v>
      </c>
      <c r="E890" s="132">
        <f t="shared" si="41"/>
        <v>175</v>
      </c>
    </row>
    <row r="891" spans="1:5">
      <c r="A891" s="33" t="s">
        <v>329</v>
      </c>
      <c r="B891" s="36">
        <v>3</v>
      </c>
      <c r="C891" s="37">
        <f t="shared" si="39"/>
        <v>225</v>
      </c>
      <c r="D891" s="132">
        <f t="shared" si="40"/>
        <v>525</v>
      </c>
      <c r="E891" s="132">
        <f t="shared" si="41"/>
        <v>525</v>
      </c>
    </row>
    <row r="892" spans="1:5">
      <c r="A892" s="33" t="s">
        <v>329</v>
      </c>
      <c r="B892" s="36">
        <v>2</v>
      </c>
      <c r="C892" s="37">
        <f t="shared" si="39"/>
        <v>150</v>
      </c>
      <c r="D892" s="132">
        <f t="shared" si="40"/>
        <v>350</v>
      </c>
      <c r="E892" s="132">
        <f t="shared" si="41"/>
        <v>350</v>
      </c>
    </row>
    <row r="893" spans="1:5">
      <c r="A893" s="33" t="s">
        <v>329</v>
      </c>
      <c r="B893" s="36">
        <v>2</v>
      </c>
      <c r="C893" s="37">
        <f t="shared" si="39"/>
        <v>150</v>
      </c>
      <c r="D893" s="132">
        <f t="shared" si="40"/>
        <v>350</v>
      </c>
      <c r="E893" s="132">
        <f t="shared" si="41"/>
        <v>350</v>
      </c>
    </row>
    <row r="894" spans="1:5">
      <c r="A894" s="33" t="s">
        <v>329</v>
      </c>
      <c r="B894" s="36">
        <v>2</v>
      </c>
      <c r="C894" s="37">
        <f t="shared" si="39"/>
        <v>150</v>
      </c>
      <c r="D894" s="132">
        <f t="shared" si="40"/>
        <v>350</v>
      </c>
      <c r="E894" s="132">
        <f t="shared" si="41"/>
        <v>350</v>
      </c>
    </row>
    <row r="895" spans="1:5">
      <c r="A895" s="33" t="s">
        <v>329</v>
      </c>
      <c r="B895" s="36">
        <v>5</v>
      </c>
      <c r="C895" s="37">
        <f t="shared" si="39"/>
        <v>375</v>
      </c>
      <c r="D895" s="132">
        <f t="shared" si="40"/>
        <v>875</v>
      </c>
      <c r="E895" s="132">
        <f t="shared" si="41"/>
        <v>875</v>
      </c>
    </row>
    <row r="896" spans="1:5">
      <c r="A896" s="33" t="s">
        <v>329</v>
      </c>
      <c r="B896" s="36">
        <v>2</v>
      </c>
      <c r="C896" s="37">
        <f t="shared" si="39"/>
        <v>150</v>
      </c>
      <c r="D896" s="132">
        <f t="shared" si="40"/>
        <v>350</v>
      </c>
      <c r="E896" s="132">
        <f t="shared" si="41"/>
        <v>350</v>
      </c>
    </row>
    <row r="897" spans="1:5">
      <c r="A897" s="33" t="s">
        <v>329</v>
      </c>
      <c r="B897" s="36">
        <v>10</v>
      </c>
      <c r="C897" s="37">
        <f t="shared" si="39"/>
        <v>750</v>
      </c>
      <c r="D897" s="132">
        <f t="shared" si="40"/>
        <v>1750</v>
      </c>
      <c r="E897" s="132">
        <f t="shared" si="41"/>
        <v>1750</v>
      </c>
    </row>
    <row r="898" spans="1:5">
      <c r="A898" s="33" t="s">
        <v>330</v>
      </c>
      <c r="B898" s="36">
        <v>1</v>
      </c>
      <c r="C898" s="37">
        <f t="shared" si="39"/>
        <v>75</v>
      </c>
      <c r="D898" s="132">
        <f t="shared" si="40"/>
        <v>175</v>
      </c>
      <c r="E898" s="132">
        <f t="shared" si="41"/>
        <v>175</v>
      </c>
    </row>
    <row r="899" spans="1:5">
      <c r="A899" s="33" t="s">
        <v>330</v>
      </c>
      <c r="B899" s="36">
        <v>3</v>
      </c>
      <c r="C899" s="37">
        <f t="shared" si="39"/>
        <v>225</v>
      </c>
      <c r="D899" s="132">
        <f t="shared" si="40"/>
        <v>525</v>
      </c>
      <c r="E899" s="132">
        <f t="shared" si="41"/>
        <v>525</v>
      </c>
    </row>
    <row r="900" spans="1:5">
      <c r="A900" s="33" t="s">
        <v>330</v>
      </c>
      <c r="B900" s="36">
        <v>3</v>
      </c>
      <c r="C900" s="37">
        <f t="shared" si="39"/>
        <v>225</v>
      </c>
      <c r="D900" s="132">
        <f t="shared" si="40"/>
        <v>525</v>
      </c>
      <c r="E900" s="132">
        <f t="shared" si="41"/>
        <v>525</v>
      </c>
    </row>
    <row r="901" spans="1:5">
      <c r="A901" s="33" t="s">
        <v>330</v>
      </c>
      <c r="B901" s="36">
        <v>3</v>
      </c>
      <c r="C901" s="37">
        <f t="shared" si="39"/>
        <v>225</v>
      </c>
      <c r="D901" s="132">
        <f t="shared" si="40"/>
        <v>525</v>
      </c>
      <c r="E901" s="132">
        <f t="shared" si="41"/>
        <v>525</v>
      </c>
    </row>
    <row r="902" spans="1:5">
      <c r="A902" s="33" t="s">
        <v>330</v>
      </c>
      <c r="B902" s="36">
        <v>1</v>
      </c>
      <c r="C902" s="37">
        <f t="shared" si="39"/>
        <v>75</v>
      </c>
      <c r="D902" s="132">
        <f t="shared" si="40"/>
        <v>175</v>
      </c>
      <c r="E902" s="132">
        <f t="shared" si="41"/>
        <v>175</v>
      </c>
    </row>
    <row r="903" spans="1:5">
      <c r="A903" s="33" t="s">
        <v>330</v>
      </c>
      <c r="B903" s="36">
        <v>3</v>
      </c>
      <c r="C903" s="37">
        <f t="shared" ref="C903:C966" si="42">B903*75</f>
        <v>225</v>
      </c>
      <c r="D903" s="132">
        <f t="shared" ref="D903:D966" si="43">B903*250-C903</f>
        <v>525</v>
      </c>
      <c r="E903" s="132">
        <f t="shared" ref="E903:E966" si="44">B903*250-C903</f>
        <v>525</v>
      </c>
    </row>
    <row r="904" spans="1:5">
      <c r="A904" s="33" t="s">
        <v>330</v>
      </c>
      <c r="B904" s="36">
        <v>5</v>
      </c>
      <c r="C904" s="37">
        <f t="shared" si="42"/>
        <v>375</v>
      </c>
      <c r="D904" s="132">
        <f t="shared" si="43"/>
        <v>875</v>
      </c>
      <c r="E904" s="132">
        <f t="shared" si="44"/>
        <v>875</v>
      </c>
    </row>
    <row r="905" spans="1:5">
      <c r="A905" s="33" t="s">
        <v>330</v>
      </c>
      <c r="B905" s="36">
        <v>2</v>
      </c>
      <c r="C905" s="37">
        <f t="shared" si="42"/>
        <v>150</v>
      </c>
      <c r="D905" s="132">
        <f t="shared" si="43"/>
        <v>350</v>
      </c>
      <c r="E905" s="132">
        <f t="shared" si="44"/>
        <v>350</v>
      </c>
    </row>
    <row r="906" spans="1:5">
      <c r="A906" s="33" t="s">
        <v>330</v>
      </c>
      <c r="B906" s="36">
        <v>6</v>
      </c>
      <c r="C906" s="37">
        <f t="shared" si="42"/>
        <v>450</v>
      </c>
      <c r="D906" s="132">
        <f t="shared" si="43"/>
        <v>1050</v>
      </c>
      <c r="E906" s="132">
        <f t="shared" si="44"/>
        <v>1050</v>
      </c>
    </row>
    <row r="907" spans="1:5">
      <c r="A907" s="33" t="s">
        <v>330</v>
      </c>
      <c r="B907" s="36">
        <v>2</v>
      </c>
      <c r="C907" s="37">
        <f t="shared" si="42"/>
        <v>150</v>
      </c>
      <c r="D907" s="132">
        <f t="shared" si="43"/>
        <v>350</v>
      </c>
      <c r="E907" s="132">
        <f t="shared" si="44"/>
        <v>350</v>
      </c>
    </row>
    <row r="908" spans="1:5">
      <c r="A908" s="33" t="s">
        <v>330</v>
      </c>
      <c r="B908" s="36">
        <v>2</v>
      </c>
      <c r="C908" s="37">
        <f t="shared" si="42"/>
        <v>150</v>
      </c>
      <c r="D908" s="132">
        <f t="shared" si="43"/>
        <v>350</v>
      </c>
      <c r="E908" s="132">
        <f t="shared" si="44"/>
        <v>350</v>
      </c>
    </row>
    <row r="909" spans="1:5">
      <c r="A909" s="33" t="s">
        <v>330</v>
      </c>
      <c r="B909" s="36">
        <v>1</v>
      </c>
      <c r="C909" s="37">
        <f t="shared" si="42"/>
        <v>75</v>
      </c>
      <c r="D909" s="132">
        <f t="shared" si="43"/>
        <v>175</v>
      </c>
      <c r="E909" s="132">
        <f t="shared" si="44"/>
        <v>175</v>
      </c>
    </row>
    <row r="910" spans="1:5">
      <c r="A910" s="33" t="s">
        <v>330</v>
      </c>
      <c r="B910" s="36">
        <v>2</v>
      </c>
      <c r="C910" s="37">
        <f t="shared" si="42"/>
        <v>150</v>
      </c>
      <c r="D910" s="132">
        <f t="shared" si="43"/>
        <v>350</v>
      </c>
      <c r="E910" s="132">
        <f t="shared" si="44"/>
        <v>350</v>
      </c>
    </row>
    <row r="911" spans="1:5">
      <c r="A911" s="33" t="s">
        <v>330</v>
      </c>
      <c r="B911" s="36">
        <v>2</v>
      </c>
      <c r="C911" s="37">
        <f t="shared" si="42"/>
        <v>150</v>
      </c>
      <c r="D911" s="132">
        <f t="shared" si="43"/>
        <v>350</v>
      </c>
      <c r="E911" s="132">
        <f t="shared" si="44"/>
        <v>350</v>
      </c>
    </row>
    <row r="912" spans="1:5">
      <c r="A912" s="33" t="s">
        <v>330</v>
      </c>
      <c r="B912" s="36">
        <v>6</v>
      </c>
      <c r="C912" s="37">
        <f t="shared" si="42"/>
        <v>450</v>
      </c>
      <c r="D912" s="132">
        <f t="shared" si="43"/>
        <v>1050</v>
      </c>
      <c r="E912" s="132">
        <f t="shared" si="44"/>
        <v>1050</v>
      </c>
    </row>
    <row r="913" spans="1:5">
      <c r="A913" s="33" t="s">
        <v>330</v>
      </c>
      <c r="B913" s="36">
        <v>8</v>
      </c>
      <c r="C913" s="37">
        <f t="shared" si="42"/>
        <v>600</v>
      </c>
      <c r="D913" s="132">
        <f t="shared" si="43"/>
        <v>1400</v>
      </c>
      <c r="E913" s="132">
        <f t="shared" si="44"/>
        <v>1400</v>
      </c>
    </row>
    <row r="914" spans="1:5">
      <c r="A914" s="33" t="s">
        <v>330</v>
      </c>
      <c r="B914" s="36">
        <v>2</v>
      </c>
      <c r="C914" s="37">
        <f t="shared" si="42"/>
        <v>150</v>
      </c>
      <c r="D914" s="132">
        <f t="shared" si="43"/>
        <v>350</v>
      </c>
      <c r="E914" s="132">
        <f t="shared" si="44"/>
        <v>350</v>
      </c>
    </row>
    <row r="915" spans="1:5">
      <c r="A915" s="33" t="s">
        <v>330</v>
      </c>
      <c r="B915" s="36">
        <v>2</v>
      </c>
      <c r="C915" s="37">
        <f t="shared" si="42"/>
        <v>150</v>
      </c>
      <c r="D915" s="132">
        <f t="shared" si="43"/>
        <v>350</v>
      </c>
      <c r="E915" s="132">
        <f t="shared" si="44"/>
        <v>350</v>
      </c>
    </row>
    <row r="916" spans="1:5">
      <c r="A916" s="33" t="s">
        <v>330</v>
      </c>
      <c r="B916" s="36">
        <v>6</v>
      </c>
      <c r="C916" s="37">
        <f t="shared" si="42"/>
        <v>450</v>
      </c>
      <c r="D916" s="132">
        <f t="shared" si="43"/>
        <v>1050</v>
      </c>
      <c r="E916" s="132">
        <f t="shared" si="44"/>
        <v>1050</v>
      </c>
    </row>
    <row r="917" spans="1:5">
      <c r="A917" s="33" t="s">
        <v>330</v>
      </c>
      <c r="B917" s="36">
        <v>9</v>
      </c>
      <c r="C917" s="37">
        <f t="shared" si="42"/>
        <v>675</v>
      </c>
      <c r="D917" s="132">
        <f t="shared" si="43"/>
        <v>1575</v>
      </c>
      <c r="E917" s="132">
        <f t="shared" si="44"/>
        <v>1575</v>
      </c>
    </row>
    <row r="918" spans="1:5">
      <c r="A918" s="33" t="s">
        <v>330</v>
      </c>
      <c r="B918" s="36">
        <v>5</v>
      </c>
      <c r="C918" s="37">
        <f t="shared" si="42"/>
        <v>375</v>
      </c>
      <c r="D918" s="132">
        <f t="shared" si="43"/>
        <v>875</v>
      </c>
      <c r="E918" s="132">
        <f t="shared" si="44"/>
        <v>875</v>
      </c>
    </row>
    <row r="919" spans="1:5">
      <c r="A919" s="33" t="s">
        <v>330</v>
      </c>
      <c r="B919" s="36">
        <v>1</v>
      </c>
      <c r="C919" s="37">
        <f t="shared" si="42"/>
        <v>75</v>
      </c>
      <c r="D919" s="132">
        <f t="shared" si="43"/>
        <v>175</v>
      </c>
      <c r="E919" s="132">
        <f t="shared" si="44"/>
        <v>175</v>
      </c>
    </row>
    <row r="920" spans="1:5">
      <c r="A920" s="33" t="s">
        <v>330</v>
      </c>
      <c r="B920" s="36">
        <v>1</v>
      </c>
      <c r="C920" s="37">
        <f t="shared" si="42"/>
        <v>75</v>
      </c>
      <c r="D920" s="132">
        <f t="shared" si="43"/>
        <v>175</v>
      </c>
      <c r="E920" s="132">
        <f t="shared" si="44"/>
        <v>175</v>
      </c>
    </row>
    <row r="921" spans="1:5">
      <c r="A921" s="33" t="s">
        <v>330</v>
      </c>
      <c r="B921" s="36">
        <v>2</v>
      </c>
      <c r="C921" s="37">
        <f t="shared" si="42"/>
        <v>150</v>
      </c>
      <c r="D921" s="132">
        <f t="shared" si="43"/>
        <v>350</v>
      </c>
      <c r="E921" s="132">
        <f t="shared" si="44"/>
        <v>350</v>
      </c>
    </row>
    <row r="922" spans="1:5">
      <c r="A922" s="33" t="s">
        <v>330</v>
      </c>
      <c r="B922" s="36">
        <v>9</v>
      </c>
      <c r="C922" s="37">
        <f t="shared" si="42"/>
        <v>675</v>
      </c>
      <c r="D922" s="132">
        <f t="shared" si="43"/>
        <v>1575</v>
      </c>
      <c r="E922" s="132">
        <f t="shared" si="44"/>
        <v>1575</v>
      </c>
    </row>
    <row r="923" spans="1:5">
      <c r="A923" s="33" t="s">
        <v>330</v>
      </c>
      <c r="B923" s="36">
        <v>1</v>
      </c>
      <c r="C923" s="37">
        <f t="shared" si="42"/>
        <v>75</v>
      </c>
      <c r="D923" s="132">
        <f t="shared" si="43"/>
        <v>175</v>
      </c>
      <c r="E923" s="132">
        <f t="shared" si="44"/>
        <v>175</v>
      </c>
    </row>
    <row r="924" spans="1:5">
      <c r="A924" s="33" t="s">
        <v>330</v>
      </c>
      <c r="B924" s="36">
        <v>4</v>
      </c>
      <c r="C924" s="37">
        <f t="shared" si="42"/>
        <v>300</v>
      </c>
      <c r="D924" s="132">
        <f t="shared" si="43"/>
        <v>700</v>
      </c>
      <c r="E924" s="132">
        <f t="shared" si="44"/>
        <v>700</v>
      </c>
    </row>
    <row r="925" spans="1:5">
      <c r="A925" s="33" t="s">
        <v>330</v>
      </c>
      <c r="B925" s="36">
        <v>1</v>
      </c>
      <c r="C925" s="37">
        <f t="shared" si="42"/>
        <v>75</v>
      </c>
      <c r="D925" s="132">
        <f t="shared" si="43"/>
        <v>175</v>
      </c>
      <c r="E925" s="132">
        <f t="shared" si="44"/>
        <v>175</v>
      </c>
    </row>
    <row r="926" spans="1:5">
      <c r="A926" s="33" t="s">
        <v>330</v>
      </c>
      <c r="B926" s="36">
        <v>6</v>
      </c>
      <c r="C926" s="37">
        <f t="shared" si="42"/>
        <v>450</v>
      </c>
      <c r="D926" s="132">
        <f t="shared" si="43"/>
        <v>1050</v>
      </c>
      <c r="E926" s="132">
        <f t="shared" si="44"/>
        <v>1050</v>
      </c>
    </row>
    <row r="927" spans="1:5">
      <c r="A927" s="33" t="s">
        <v>330</v>
      </c>
      <c r="B927" s="36">
        <v>1</v>
      </c>
      <c r="C927" s="37">
        <f t="shared" si="42"/>
        <v>75</v>
      </c>
      <c r="D927" s="132">
        <f t="shared" si="43"/>
        <v>175</v>
      </c>
      <c r="E927" s="132">
        <f t="shared" si="44"/>
        <v>175</v>
      </c>
    </row>
    <row r="928" spans="1:5">
      <c r="A928" s="33" t="s">
        <v>330</v>
      </c>
      <c r="B928" s="36">
        <v>4</v>
      </c>
      <c r="C928" s="37">
        <f t="shared" si="42"/>
        <v>300</v>
      </c>
      <c r="D928" s="132">
        <f t="shared" si="43"/>
        <v>700</v>
      </c>
      <c r="E928" s="132">
        <f t="shared" si="44"/>
        <v>700</v>
      </c>
    </row>
    <row r="929" spans="1:5">
      <c r="A929" s="33" t="s">
        <v>330</v>
      </c>
      <c r="B929" s="36">
        <v>6</v>
      </c>
      <c r="C929" s="37">
        <f t="shared" si="42"/>
        <v>450</v>
      </c>
      <c r="D929" s="132">
        <f t="shared" si="43"/>
        <v>1050</v>
      </c>
      <c r="E929" s="132">
        <f t="shared" si="44"/>
        <v>1050</v>
      </c>
    </row>
    <row r="930" spans="1:5">
      <c r="A930" s="33" t="s">
        <v>330</v>
      </c>
      <c r="B930" s="36">
        <v>5</v>
      </c>
      <c r="C930" s="37">
        <f t="shared" si="42"/>
        <v>375</v>
      </c>
      <c r="D930" s="132">
        <f t="shared" si="43"/>
        <v>875</v>
      </c>
      <c r="E930" s="132">
        <f t="shared" si="44"/>
        <v>875</v>
      </c>
    </row>
    <row r="931" spans="1:5">
      <c r="A931" s="33" t="s">
        <v>330</v>
      </c>
      <c r="B931" s="36">
        <v>2</v>
      </c>
      <c r="C931" s="37">
        <f t="shared" si="42"/>
        <v>150</v>
      </c>
      <c r="D931" s="132">
        <f t="shared" si="43"/>
        <v>350</v>
      </c>
      <c r="E931" s="132">
        <f t="shared" si="44"/>
        <v>350</v>
      </c>
    </row>
    <row r="932" spans="1:5">
      <c r="A932" s="33" t="s">
        <v>330</v>
      </c>
      <c r="B932" s="36">
        <v>3</v>
      </c>
      <c r="C932" s="37">
        <f t="shared" si="42"/>
        <v>225</v>
      </c>
      <c r="D932" s="132">
        <f t="shared" si="43"/>
        <v>525</v>
      </c>
      <c r="E932" s="132">
        <f t="shared" si="44"/>
        <v>525</v>
      </c>
    </row>
    <row r="933" spans="1:5">
      <c r="A933" s="33" t="s">
        <v>330</v>
      </c>
      <c r="B933" s="36">
        <v>1</v>
      </c>
      <c r="C933" s="37">
        <f t="shared" si="42"/>
        <v>75</v>
      </c>
      <c r="D933" s="132">
        <f t="shared" si="43"/>
        <v>175</v>
      </c>
      <c r="E933" s="132">
        <f t="shared" si="44"/>
        <v>175</v>
      </c>
    </row>
    <row r="934" spans="1:5">
      <c r="A934" s="33" t="s">
        <v>330</v>
      </c>
      <c r="B934" s="36">
        <v>1</v>
      </c>
      <c r="C934" s="37">
        <f t="shared" si="42"/>
        <v>75</v>
      </c>
      <c r="D934" s="132">
        <f t="shared" si="43"/>
        <v>175</v>
      </c>
      <c r="E934" s="132">
        <f t="shared" si="44"/>
        <v>175</v>
      </c>
    </row>
    <row r="935" spans="1:5">
      <c r="A935" s="33" t="s">
        <v>330</v>
      </c>
      <c r="B935" s="36">
        <v>4</v>
      </c>
      <c r="C935" s="37">
        <f t="shared" si="42"/>
        <v>300</v>
      </c>
      <c r="D935" s="132">
        <f t="shared" si="43"/>
        <v>700</v>
      </c>
      <c r="E935" s="132">
        <f t="shared" si="44"/>
        <v>700</v>
      </c>
    </row>
    <row r="936" spans="1:5">
      <c r="A936" s="33" t="s">
        <v>330</v>
      </c>
      <c r="B936" s="36">
        <v>4</v>
      </c>
      <c r="C936" s="37">
        <f t="shared" si="42"/>
        <v>300</v>
      </c>
      <c r="D936" s="132">
        <f t="shared" si="43"/>
        <v>700</v>
      </c>
      <c r="E936" s="132">
        <f t="shared" si="44"/>
        <v>700</v>
      </c>
    </row>
    <row r="937" spans="1:5">
      <c r="A937" s="33" t="s">
        <v>330</v>
      </c>
      <c r="B937" s="36">
        <v>2</v>
      </c>
      <c r="C937" s="37">
        <f t="shared" si="42"/>
        <v>150</v>
      </c>
      <c r="D937" s="132">
        <f t="shared" si="43"/>
        <v>350</v>
      </c>
      <c r="E937" s="132">
        <f t="shared" si="44"/>
        <v>350</v>
      </c>
    </row>
    <row r="938" spans="1:5">
      <c r="A938" s="33" t="s">
        <v>330</v>
      </c>
      <c r="B938" s="36">
        <v>6</v>
      </c>
      <c r="C938" s="37">
        <f t="shared" si="42"/>
        <v>450</v>
      </c>
      <c r="D938" s="132">
        <f t="shared" si="43"/>
        <v>1050</v>
      </c>
      <c r="E938" s="132">
        <f t="shared" si="44"/>
        <v>1050</v>
      </c>
    </row>
    <row r="939" spans="1:5">
      <c r="A939" s="33" t="s">
        <v>330</v>
      </c>
      <c r="B939" s="36">
        <v>1</v>
      </c>
      <c r="C939" s="37">
        <f t="shared" si="42"/>
        <v>75</v>
      </c>
      <c r="D939" s="132">
        <f t="shared" si="43"/>
        <v>175</v>
      </c>
      <c r="E939" s="132">
        <f t="shared" si="44"/>
        <v>175</v>
      </c>
    </row>
    <row r="940" spans="1:5">
      <c r="A940" s="33" t="s">
        <v>330</v>
      </c>
      <c r="B940" s="36">
        <v>2</v>
      </c>
      <c r="C940" s="37">
        <f t="shared" si="42"/>
        <v>150</v>
      </c>
      <c r="D940" s="132">
        <f t="shared" si="43"/>
        <v>350</v>
      </c>
      <c r="E940" s="132">
        <f t="shared" si="44"/>
        <v>350</v>
      </c>
    </row>
    <row r="941" spans="1:5">
      <c r="A941" s="33" t="s">
        <v>330</v>
      </c>
      <c r="B941" s="36">
        <v>3</v>
      </c>
      <c r="C941" s="37">
        <f t="shared" si="42"/>
        <v>225</v>
      </c>
      <c r="D941" s="132">
        <f t="shared" si="43"/>
        <v>525</v>
      </c>
      <c r="E941" s="132">
        <f t="shared" si="44"/>
        <v>525</v>
      </c>
    </row>
    <row r="942" spans="1:5">
      <c r="A942" s="33" t="s">
        <v>330</v>
      </c>
      <c r="B942" s="36">
        <v>5</v>
      </c>
      <c r="C942" s="37">
        <f t="shared" si="42"/>
        <v>375</v>
      </c>
      <c r="D942" s="132">
        <f t="shared" si="43"/>
        <v>875</v>
      </c>
      <c r="E942" s="132">
        <f t="shared" si="44"/>
        <v>875</v>
      </c>
    </row>
    <row r="943" spans="1:5">
      <c r="A943" s="33" t="s">
        <v>330</v>
      </c>
      <c r="B943" s="36">
        <v>2</v>
      </c>
      <c r="C943" s="37">
        <f t="shared" si="42"/>
        <v>150</v>
      </c>
      <c r="D943" s="132">
        <f t="shared" si="43"/>
        <v>350</v>
      </c>
      <c r="E943" s="132">
        <f t="shared" si="44"/>
        <v>350</v>
      </c>
    </row>
    <row r="944" spans="1:5">
      <c r="A944" s="33" t="s">
        <v>330</v>
      </c>
      <c r="B944" s="36">
        <v>1</v>
      </c>
      <c r="C944" s="37">
        <f t="shared" si="42"/>
        <v>75</v>
      </c>
      <c r="D944" s="132">
        <f t="shared" si="43"/>
        <v>175</v>
      </c>
      <c r="E944" s="132">
        <f t="shared" si="44"/>
        <v>175</v>
      </c>
    </row>
    <row r="945" spans="1:5">
      <c r="A945" s="33" t="s">
        <v>330</v>
      </c>
      <c r="B945" s="36">
        <v>4</v>
      </c>
      <c r="C945" s="37">
        <f t="shared" si="42"/>
        <v>300</v>
      </c>
      <c r="D945" s="132">
        <f t="shared" si="43"/>
        <v>700</v>
      </c>
      <c r="E945" s="132">
        <f t="shared" si="44"/>
        <v>700</v>
      </c>
    </row>
    <row r="946" spans="1:5">
      <c r="A946" s="33" t="s">
        <v>330</v>
      </c>
      <c r="B946" s="36">
        <v>5</v>
      </c>
      <c r="C946" s="37">
        <f t="shared" si="42"/>
        <v>375</v>
      </c>
      <c r="D946" s="132">
        <f t="shared" si="43"/>
        <v>875</v>
      </c>
      <c r="E946" s="132">
        <f t="shared" si="44"/>
        <v>875</v>
      </c>
    </row>
    <row r="947" spans="1:5">
      <c r="A947" s="33" t="s">
        <v>330</v>
      </c>
      <c r="B947" s="36">
        <v>3</v>
      </c>
      <c r="C947" s="37">
        <f t="shared" si="42"/>
        <v>225</v>
      </c>
      <c r="D947" s="132">
        <f t="shared" si="43"/>
        <v>525</v>
      </c>
      <c r="E947" s="132">
        <f t="shared" si="44"/>
        <v>525</v>
      </c>
    </row>
    <row r="948" spans="1:5">
      <c r="A948" s="33" t="s">
        <v>330</v>
      </c>
      <c r="B948" s="36">
        <v>4</v>
      </c>
      <c r="C948" s="37">
        <f t="shared" si="42"/>
        <v>300</v>
      </c>
      <c r="D948" s="132">
        <f t="shared" si="43"/>
        <v>700</v>
      </c>
      <c r="E948" s="132">
        <f t="shared" si="44"/>
        <v>700</v>
      </c>
    </row>
    <row r="949" spans="1:5">
      <c r="A949" s="33" t="s">
        <v>330</v>
      </c>
      <c r="B949" s="36">
        <v>1</v>
      </c>
      <c r="C949" s="37">
        <f t="shared" si="42"/>
        <v>75</v>
      </c>
      <c r="D949" s="132">
        <f t="shared" si="43"/>
        <v>175</v>
      </c>
      <c r="E949" s="132">
        <f t="shared" si="44"/>
        <v>175</v>
      </c>
    </row>
    <row r="950" spans="1:5">
      <c r="A950" s="33" t="s">
        <v>330</v>
      </c>
      <c r="B950" s="36">
        <v>2</v>
      </c>
      <c r="C950" s="37">
        <f t="shared" si="42"/>
        <v>150</v>
      </c>
      <c r="D950" s="132">
        <f t="shared" si="43"/>
        <v>350</v>
      </c>
      <c r="E950" s="132">
        <f t="shared" si="44"/>
        <v>350</v>
      </c>
    </row>
    <row r="951" spans="1:5">
      <c r="A951" s="33" t="s">
        <v>330</v>
      </c>
      <c r="B951" s="36">
        <v>4</v>
      </c>
      <c r="C951" s="37">
        <f t="shared" si="42"/>
        <v>300</v>
      </c>
      <c r="D951" s="132">
        <f t="shared" si="43"/>
        <v>700</v>
      </c>
      <c r="E951" s="132">
        <f t="shared" si="44"/>
        <v>700</v>
      </c>
    </row>
    <row r="952" spans="1:5">
      <c r="A952" s="33" t="s">
        <v>330</v>
      </c>
      <c r="B952" s="36">
        <v>2</v>
      </c>
      <c r="C952" s="37">
        <f t="shared" si="42"/>
        <v>150</v>
      </c>
      <c r="D952" s="132">
        <f t="shared" si="43"/>
        <v>350</v>
      </c>
      <c r="E952" s="132">
        <f t="shared" si="44"/>
        <v>350</v>
      </c>
    </row>
    <row r="953" spans="1:5">
      <c r="A953" s="33" t="s">
        <v>330</v>
      </c>
      <c r="B953" s="36">
        <v>3</v>
      </c>
      <c r="C953" s="37">
        <f t="shared" si="42"/>
        <v>225</v>
      </c>
      <c r="D953" s="132">
        <f t="shared" si="43"/>
        <v>525</v>
      </c>
      <c r="E953" s="132">
        <f t="shared" si="44"/>
        <v>525</v>
      </c>
    </row>
    <row r="954" spans="1:5">
      <c r="A954" s="33" t="s">
        <v>330</v>
      </c>
      <c r="B954" s="36">
        <v>4</v>
      </c>
      <c r="C954" s="37">
        <f t="shared" si="42"/>
        <v>300</v>
      </c>
      <c r="D954" s="132">
        <f t="shared" si="43"/>
        <v>700</v>
      </c>
      <c r="E954" s="132">
        <f t="shared" si="44"/>
        <v>700</v>
      </c>
    </row>
    <row r="955" spans="1:5">
      <c r="A955" s="33" t="s">
        <v>330</v>
      </c>
      <c r="B955" s="36">
        <v>5</v>
      </c>
      <c r="C955" s="37">
        <f t="shared" si="42"/>
        <v>375</v>
      </c>
      <c r="D955" s="132">
        <f t="shared" si="43"/>
        <v>875</v>
      </c>
      <c r="E955" s="132">
        <f t="shared" si="44"/>
        <v>875</v>
      </c>
    </row>
    <row r="956" spans="1:5">
      <c r="A956" s="33" t="s">
        <v>330</v>
      </c>
      <c r="B956" s="36">
        <v>1</v>
      </c>
      <c r="C956" s="37">
        <f t="shared" si="42"/>
        <v>75</v>
      </c>
      <c r="D956" s="132">
        <f t="shared" si="43"/>
        <v>175</v>
      </c>
      <c r="E956" s="132">
        <f t="shared" si="44"/>
        <v>175</v>
      </c>
    </row>
    <row r="957" spans="1:5">
      <c r="A957" s="33" t="s">
        <v>330</v>
      </c>
      <c r="B957" s="36">
        <v>2</v>
      </c>
      <c r="C957" s="37">
        <f t="shared" si="42"/>
        <v>150</v>
      </c>
      <c r="D957" s="132">
        <f t="shared" si="43"/>
        <v>350</v>
      </c>
      <c r="E957" s="132">
        <f t="shared" si="44"/>
        <v>350</v>
      </c>
    </row>
    <row r="958" spans="1:5">
      <c r="A958" s="33" t="s">
        <v>330</v>
      </c>
      <c r="B958" s="36">
        <v>2</v>
      </c>
      <c r="C958" s="37">
        <f t="shared" si="42"/>
        <v>150</v>
      </c>
      <c r="D958" s="132">
        <f t="shared" si="43"/>
        <v>350</v>
      </c>
      <c r="E958" s="132">
        <f t="shared" si="44"/>
        <v>350</v>
      </c>
    </row>
    <row r="959" spans="1:5">
      <c r="A959" s="33" t="s">
        <v>330</v>
      </c>
      <c r="B959" s="36">
        <v>2</v>
      </c>
      <c r="C959" s="37">
        <f t="shared" si="42"/>
        <v>150</v>
      </c>
      <c r="D959" s="132">
        <f t="shared" si="43"/>
        <v>350</v>
      </c>
      <c r="E959" s="132">
        <f t="shared" si="44"/>
        <v>350</v>
      </c>
    </row>
    <row r="960" spans="1:5">
      <c r="A960" s="33" t="s">
        <v>330</v>
      </c>
      <c r="B960" s="36">
        <v>1</v>
      </c>
      <c r="C960" s="37">
        <f t="shared" si="42"/>
        <v>75</v>
      </c>
      <c r="D960" s="132">
        <f t="shared" si="43"/>
        <v>175</v>
      </c>
      <c r="E960" s="132">
        <f t="shared" si="44"/>
        <v>175</v>
      </c>
    </row>
    <row r="961" spans="1:5">
      <c r="A961" s="33" t="s">
        <v>330</v>
      </c>
      <c r="B961" s="36">
        <v>6</v>
      </c>
      <c r="C961" s="37">
        <f t="shared" si="42"/>
        <v>450</v>
      </c>
      <c r="D961" s="132">
        <f t="shared" si="43"/>
        <v>1050</v>
      </c>
      <c r="E961" s="132">
        <f t="shared" si="44"/>
        <v>1050</v>
      </c>
    </row>
    <row r="962" spans="1:5">
      <c r="A962" s="33" t="s">
        <v>330</v>
      </c>
      <c r="B962" s="36">
        <v>4</v>
      </c>
      <c r="C962" s="37">
        <f t="shared" si="42"/>
        <v>300</v>
      </c>
      <c r="D962" s="132">
        <f t="shared" si="43"/>
        <v>700</v>
      </c>
      <c r="E962" s="132">
        <f t="shared" si="44"/>
        <v>700</v>
      </c>
    </row>
    <row r="963" spans="1:5">
      <c r="A963" s="33" t="s">
        <v>330</v>
      </c>
      <c r="B963" s="36">
        <v>1</v>
      </c>
      <c r="C963" s="37">
        <f t="shared" si="42"/>
        <v>75</v>
      </c>
      <c r="D963" s="132">
        <f t="shared" si="43"/>
        <v>175</v>
      </c>
      <c r="E963" s="132">
        <f t="shared" si="44"/>
        <v>175</v>
      </c>
    </row>
    <row r="964" spans="1:5">
      <c r="A964" s="33" t="s">
        <v>330</v>
      </c>
      <c r="B964" s="36">
        <v>3</v>
      </c>
      <c r="C964" s="37">
        <f t="shared" si="42"/>
        <v>225</v>
      </c>
      <c r="D964" s="132">
        <f t="shared" si="43"/>
        <v>525</v>
      </c>
      <c r="E964" s="132">
        <f t="shared" si="44"/>
        <v>525</v>
      </c>
    </row>
    <row r="965" spans="1:5">
      <c r="A965" s="33" t="s">
        <v>330</v>
      </c>
      <c r="B965" s="36">
        <v>3</v>
      </c>
      <c r="C965" s="37">
        <f t="shared" si="42"/>
        <v>225</v>
      </c>
      <c r="D965" s="132">
        <f t="shared" si="43"/>
        <v>525</v>
      </c>
      <c r="E965" s="132">
        <f t="shared" si="44"/>
        <v>525</v>
      </c>
    </row>
    <row r="966" spans="1:5">
      <c r="A966" s="33" t="s">
        <v>330</v>
      </c>
      <c r="B966" s="36">
        <v>3</v>
      </c>
      <c r="C966" s="37">
        <f t="shared" si="42"/>
        <v>225</v>
      </c>
      <c r="D966" s="132">
        <f t="shared" si="43"/>
        <v>525</v>
      </c>
      <c r="E966" s="132">
        <f t="shared" si="44"/>
        <v>525</v>
      </c>
    </row>
    <row r="967" spans="1:5">
      <c r="A967" s="33" t="s">
        <v>330</v>
      </c>
      <c r="B967" s="36">
        <v>9</v>
      </c>
      <c r="C967" s="37">
        <f t="shared" ref="C967:C1030" si="45">B967*75</f>
        <v>675</v>
      </c>
      <c r="D967" s="132">
        <f t="shared" ref="D967:D1030" si="46">B967*250-C967</f>
        <v>1575</v>
      </c>
      <c r="E967" s="132">
        <f t="shared" ref="E967:E1030" si="47">B967*250-C967</f>
        <v>1575</v>
      </c>
    </row>
    <row r="968" spans="1:5">
      <c r="A968" s="33" t="s">
        <v>330</v>
      </c>
      <c r="B968" s="36">
        <v>5</v>
      </c>
      <c r="C968" s="37">
        <f t="shared" si="45"/>
        <v>375</v>
      </c>
      <c r="D968" s="132">
        <f t="shared" si="46"/>
        <v>875</v>
      </c>
      <c r="E968" s="132">
        <f t="shared" si="47"/>
        <v>875</v>
      </c>
    </row>
    <row r="969" spans="1:5">
      <c r="A969" s="33" t="s">
        <v>330</v>
      </c>
      <c r="B969" s="36">
        <v>2</v>
      </c>
      <c r="C969" s="37">
        <f t="shared" si="45"/>
        <v>150</v>
      </c>
      <c r="D969" s="132">
        <f t="shared" si="46"/>
        <v>350</v>
      </c>
      <c r="E969" s="132">
        <f t="shared" si="47"/>
        <v>350</v>
      </c>
    </row>
    <row r="970" spans="1:5">
      <c r="A970" s="33" t="s">
        <v>330</v>
      </c>
      <c r="B970" s="36">
        <v>4</v>
      </c>
      <c r="C970" s="37">
        <f t="shared" si="45"/>
        <v>300</v>
      </c>
      <c r="D970" s="132">
        <f t="shared" si="46"/>
        <v>700</v>
      </c>
      <c r="E970" s="132">
        <f t="shared" si="47"/>
        <v>700</v>
      </c>
    </row>
    <row r="971" spans="1:5">
      <c r="A971" s="33" t="s">
        <v>330</v>
      </c>
      <c r="B971" s="36">
        <v>2</v>
      </c>
      <c r="C971" s="37">
        <f t="shared" si="45"/>
        <v>150</v>
      </c>
      <c r="D971" s="132">
        <f t="shared" si="46"/>
        <v>350</v>
      </c>
      <c r="E971" s="132">
        <f t="shared" si="47"/>
        <v>350</v>
      </c>
    </row>
    <row r="972" spans="1:5">
      <c r="A972" s="33" t="s">
        <v>330</v>
      </c>
      <c r="B972" s="36">
        <v>1</v>
      </c>
      <c r="C972" s="37">
        <f t="shared" si="45"/>
        <v>75</v>
      </c>
      <c r="D972" s="132">
        <f t="shared" si="46"/>
        <v>175</v>
      </c>
      <c r="E972" s="132">
        <f t="shared" si="47"/>
        <v>175</v>
      </c>
    </row>
    <row r="973" spans="1:5">
      <c r="A973" s="33" t="s">
        <v>330</v>
      </c>
      <c r="B973" s="36">
        <v>5</v>
      </c>
      <c r="C973" s="37">
        <f t="shared" si="45"/>
        <v>375</v>
      </c>
      <c r="D973" s="132">
        <f t="shared" si="46"/>
        <v>875</v>
      </c>
      <c r="E973" s="132">
        <f t="shared" si="47"/>
        <v>875</v>
      </c>
    </row>
    <row r="974" spans="1:5">
      <c r="A974" s="33" t="s">
        <v>330</v>
      </c>
      <c r="B974" s="36">
        <v>4</v>
      </c>
      <c r="C974" s="37">
        <f t="shared" si="45"/>
        <v>300</v>
      </c>
      <c r="D974" s="132">
        <f t="shared" si="46"/>
        <v>700</v>
      </c>
      <c r="E974" s="132">
        <f t="shared" si="47"/>
        <v>700</v>
      </c>
    </row>
    <row r="975" spans="1:5">
      <c r="A975" s="33" t="s">
        <v>330</v>
      </c>
      <c r="B975" s="36">
        <v>4</v>
      </c>
      <c r="C975" s="37">
        <f t="shared" si="45"/>
        <v>300</v>
      </c>
      <c r="D975" s="132">
        <f t="shared" si="46"/>
        <v>700</v>
      </c>
      <c r="E975" s="132">
        <f t="shared" si="47"/>
        <v>700</v>
      </c>
    </row>
    <row r="976" spans="1:5">
      <c r="A976" s="33" t="s">
        <v>330</v>
      </c>
      <c r="B976" s="36">
        <v>1</v>
      </c>
      <c r="C976" s="37">
        <f t="shared" si="45"/>
        <v>75</v>
      </c>
      <c r="D976" s="132">
        <f t="shared" si="46"/>
        <v>175</v>
      </c>
      <c r="E976" s="132">
        <f t="shared" si="47"/>
        <v>175</v>
      </c>
    </row>
    <row r="977" spans="1:5">
      <c r="A977" s="33" t="s">
        <v>330</v>
      </c>
      <c r="B977" s="36">
        <v>4</v>
      </c>
      <c r="C977" s="37">
        <f t="shared" si="45"/>
        <v>300</v>
      </c>
      <c r="D977" s="132">
        <f t="shared" si="46"/>
        <v>700</v>
      </c>
      <c r="E977" s="132">
        <f t="shared" si="47"/>
        <v>700</v>
      </c>
    </row>
    <row r="978" spans="1:5">
      <c r="A978" s="33" t="s">
        <v>330</v>
      </c>
      <c r="B978" s="36">
        <v>3</v>
      </c>
      <c r="C978" s="37">
        <f t="shared" si="45"/>
        <v>225</v>
      </c>
      <c r="D978" s="132">
        <f t="shared" si="46"/>
        <v>525</v>
      </c>
      <c r="E978" s="132">
        <f t="shared" si="47"/>
        <v>525</v>
      </c>
    </row>
    <row r="979" spans="1:5">
      <c r="A979" s="33" t="s">
        <v>330</v>
      </c>
      <c r="B979" s="36">
        <v>4</v>
      </c>
      <c r="C979" s="37">
        <f t="shared" si="45"/>
        <v>300</v>
      </c>
      <c r="D979" s="132">
        <f t="shared" si="46"/>
        <v>700</v>
      </c>
      <c r="E979" s="132">
        <f t="shared" si="47"/>
        <v>700</v>
      </c>
    </row>
    <row r="980" spans="1:5">
      <c r="A980" s="33" t="s">
        <v>330</v>
      </c>
      <c r="B980" s="36">
        <v>1</v>
      </c>
      <c r="C980" s="37">
        <f t="shared" si="45"/>
        <v>75</v>
      </c>
      <c r="D980" s="132">
        <f t="shared" si="46"/>
        <v>175</v>
      </c>
      <c r="E980" s="132">
        <f t="shared" si="47"/>
        <v>175</v>
      </c>
    </row>
    <row r="981" spans="1:5">
      <c r="A981" s="33" t="s">
        <v>330</v>
      </c>
      <c r="B981" s="36">
        <v>1</v>
      </c>
      <c r="C981" s="37">
        <f t="shared" si="45"/>
        <v>75</v>
      </c>
      <c r="D981" s="132">
        <f t="shared" si="46"/>
        <v>175</v>
      </c>
      <c r="E981" s="132">
        <f t="shared" si="47"/>
        <v>175</v>
      </c>
    </row>
    <row r="982" spans="1:5">
      <c r="A982" s="33" t="s">
        <v>330</v>
      </c>
      <c r="B982" s="36">
        <v>5</v>
      </c>
      <c r="C982" s="37">
        <f t="shared" si="45"/>
        <v>375</v>
      </c>
      <c r="D982" s="132">
        <f t="shared" si="46"/>
        <v>875</v>
      </c>
      <c r="E982" s="132">
        <f t="shared" si="47"/>
        <v>875</v>
      </c>
    </row>
    <row r="983" spans="1:5">
      <c r="A983" s="33" t="s">
        <v>330</v>
      </c>
      <c r="B983" s="36">
        <v>3</v>
      </c>
      <c r="C983" s="37">
        <f t="shared" si="45"/>
        <v>225</v>
      </c>
      <c r="D983" s="132">
        <f t="shared" si="46"/>
        <v>525</v>
      </c>
      <c r="E983" s="132">
        <f t="shared" si="47"/>
        <v>525</v>
      </c>
    </row>
    <row r="984" spans="1:5">
      <c r="A984" s="33" t="s">
        <v>330</v>
      </c>
      <c r="B984" s="36">
        <v>4</v>
      </c>
      <c r="C984" s="37">
        <f t="shared" si="45"/>
        <v>300</v>
      </c>
      <c r="D984" s="132">
        <f t="shared" si="46"/>
        <v>700</v>
      </c>
      <c r="E984" s="132">
        <f t="shared" si="47"/>
        <v>700</v>
      </c>
    </row>
    <row r="985" spans="1:5">
      <c r="A985" s="33" t="s">
        <v>330</v>
      </c>
      <c r="B985" s="36">
        <v>1</v>
      </c>
      <c r="C985" s="37">
        <f t="shared" si="45"/>
        <v>75</v>
      </c>
      <c r="D985" s="132">
        <f t="shared" si="46"/>
        <v>175</v>
      </c>
      <c r="E985" s="132">
        <f t="shared" si="47"/>
        <v>175</v>
      </c>
    </row>
    <row r="986" spans="1:5">
      <c r="A986" s="33" t="s">
        <v>330</v>
      </c>
      <c r="B986" s="36">
        <v>1</v>
      </c>
      <c r="C986" s="37">
        <f t="shared" si="45"/>
        <v>75</v>
      </c>
      <c r="D986" s="132">
        <f t="shared" si="46"/>
        <v>175</v>
      </c>
      <c r="E986" s="132">
        <f t="shared" si="47"/>
        <v>175</v>
      </c>
    </row>
    <row r="987" spans="1:5">
      <c r="A987" s="33" t="s">
        <v>330</v>
      </c>
      <c r="B987" s="36">
        <v>12</v>
      </c>
      <c r="C987" s="37">
        <f t="shared" si="45"/>
        <v>900</v>
      </c>
      <c r="D987" s="132">
        <f t="shared" si="46"/>
        <v>2100</v>
      </c>
      <c r="E987" s="132">
        <f t="shared" si="47"/>
        <v>2100</v>
      </c>
    </row>
    <row r="988" spans="1:5">
      <c r="A988" s="33" t="s">
        <v>330</v>
      </c>
      <c r="B988" s="36">
        <v>3</v>
      </c>
      <c r="C988" s="37">
        <f t="shared" si="45"/>
        <v>225</v>
      </c>
      <c r="D988" s="132">
        <f t="shared" si="46"/>
        <v>525</v>
      </c>
      <c r="E988" s="132">
        <f t="shared" si="47"/>
        <v>525</v>
      </c>
    </row>
    <row r="989" spans="1:5">
      <c r="A989" s="33" t="s">
        <v>330</v>
      </c>
      <c r="B989" s="36">
        <v>5</v>
      </c>
      <c r="C989" s="37">
        <f t="shared" si="45"/>
        <v>375</v>
      </c>
      <c r="D989" s="132">
        <f t="shared" si="46"/>
        <v>875</v>
      </c>
      <c r="E989" s="132">
        <f t="shared" si="47"/>
        <v>875</v>
      </c>
    </row>
    <row r="990" spans="1:5">
      <c r="A990" s="33" t="s">
        <v>330</v>
      </c>
      <c r="B990" s="36">
        <v>3</v>
      </c>
      <c r="C990" s="37">
        <f t="shared" si="45"/>
        <v>225</v>
      </c>
      <c r="D990" s="132">
        <f t="shared" si="46"/>
        <v>525</v>
      </c>
      <c r="E990" s="132">
        <f t="shared" si="47"/>
        <v>525</v>
      </c>
    </row>
    <row r="991" spans="1:5">
      <c r="A991" s="33" t="s">
        <v>330</v>
      </c>
      <c r="B991" s="36">
        <v>4</v>
      </c>
      <c r="C991" s="37">
        <f t="shared" si="45"/>
        <v>300</v>
      </c>
      <c r="D991" s="132">
        <f t="shared" si="46"/>
        <v>700</v>
      </c>
      <c r="E991" s="132">
        <f t="shared" si="47"/>
        <v>700</v>
      </c>
    </row>
    <row r="992" spans="1:5">
      <c r="A992" s="33" t="s">
        <v>330</v>
      </c>
      <c r="B992" s="36">
        <v>2</v>
      </c>
      <c r="C992" s="37">
        <f t="shared" si="45"/>
        <v>150</v>
      </c>
      <c r="D992" s="132">
        <f t="shared" si="46"/>
        <v>350</v>
      </c>
      <c r="E992" s="132">
        <f t="shared" si="47"/>
        <v>350</v>
      </c>
    </row>
    <row r="993" spans="1:5">
      <c r="A993" s="33" t="s">
        <v>330</v>
      </c>
      <c r="B993" s="36">
        <v>2</v>
      </c>
      <c r="C993" s="37">
        <f t="shared" si="45"/>
        <v>150</v>
      </c>
      <c r="D993" s="132">
        <f t="shared" si="46"/>
        <v>350</v>
      </c>
      <c r="E993" s="132">
        <f t="shared" si="47"/>
        <v>350</v>
      </c>
    </row>
    <row r="994" spans="1:5">
      <c r="A994" s="33" t="s">
        <v>330</v>
      </c>
      <c r="B994" s="36">
        <v>6</v>
      </c>
      <c r="C994" s="37">
        <f t="shared" si="45"/>
        <v>450</v>
      </c>
      <c r="D994" s="132">
        <f t="shared" si="46"/>
        <v>1050</v>
      </c>
      <c r="E994" s="132">
        <f t="shared" si="47"/>
        <v>1050</v>
      </c>
    </row>
    <row r="995" spans="1:5">
      <c r="A995" s="33" t="s">
        <v>330</v>
      </c>
      <c r="B995" s="36">
        <v>3</v>
      </c>
      <c r="C995" s="37">
        <f t="shared" si="45"/>
        <v>225</v>
      </c>
      <c r="D995" s="132">
        <f t="shared" si="46"/>
        <v>525</v>
      </c>
      <c r="E995" s="132">
        <f t="shared" si="47"/>
        <v>525</v>
      </c>
    </row>
    <row r="996" spans="1:5">
      <c r="A996" s="33" t="s">
        <v>330</v>
      </c>
      <c r="B996" s="36">
        <v>5</v>
      </c>
      <c r="C996" s="37">
        <f t="shared" si="45"/>
        <v>375</v>
      </c>
      <c r="D996" s="132">
        <f t="shared" si="46"/>
        <v>875</v>
      </c>
      <c r="E996" s="132">
        <f t="shared" si="47"/>
        <v>875</v>
      </c>
    </row>
    <row r="997" spans="1:5">
      <c r="A997" s="33" t="s">
        <v>330</v>
      </c>
      <c r="B997" s="36">
        <v>3</v>
      </c>
      <c r="C997" s="37">
        <f t="shared" si="45"/>
        <v>225</v>
      </c>
      <c r="D997" s="132">
        <f t="shared" si="46"/>
        <v>525</v>
      </c>
      <c r="E997" s="132">
        <f t="shared" si="47"/>
        <v>525</v>
      </c>
    </row>
    <row r="998" spans="1:5">
      <c r="A998" s="33" t="s">
        <v>330</v>
      </c>
      <c r="B998" s="36">
        <v>2</v>
      </c>
      <c r="C998" s="37">
        <f t="shared" si="45"/>
        <v>150</v>
      </c>
      <c r="D998" s="132">
        <f t="shared" si="46"/>
        <v>350</v>
      </c>
      <c r="E998" s="132">
        <f t="shared" si="47"/>
        <v>350</v>
      </c>
    </row>
    <row r="999" spans="1:5">
      <c r="A999" s="33" t="s">
        <v>330</v>
      </c>
      <c r="B999" s="36">
        <v>1</v>
      </c>
      <c r="C999" s="37">
        <f t="shared" si="45"/>
        <v>75</v>
      </c>
      <c r="D999" s="132">
        <f t="shared" si="46"/>
        <v>175</v>
      </c>
      <c r="E999" s="132">
        <f t="shared" si="47"/>
        <v>175</v>
      </c>
    </row>
    <row r="1000" spans="1:5">
      <c r="A1000" s="33" t="s">
        <v>330</v>
      </c>
      <c r="B1000" s="36">
        <v>2</v>
      </c>
      <c r="C1000" s="37">
        <f t="shared" si="45"/>
        <v>150</v>
      </c>
      <c r="D1000" s="132">
        <f t="shared" si="46"/>
        <v>350</v>
      </c>
      <c r="E1000" s="132">
        <f t="shared" si="47"/>
        <v>350</v>
      </c>
    </row>
    <row r="1001" spans="1:5">
      <c r="A1001" s="33" t="s">
        <v>330</v>
      </c>
      <c r="B1001" s="36">
        <v>2</v>
      </c>
      <c r="C1001" s="37">
        <f t="shared" si="45"/>
        <v>150</v>
      </c>
      <c r="D1001" s="132">
        <f t="shared" si="46"/>
        <v>350</v>
      </c>
      <c r="E1001" s="132">
        <f t="shared" si="47"/>
        <v>350</v>
      </c>
    </row>
    <row r="1002" spans="1:5">
      <c r="A1002" s="33" t="s">
        <v>330</v>
      </c>
      <c r="B1002" s="36">
        <v>2</v>
      </c>
      <c r="C1002" s="37">
        <f t="shared" si="45"/>
        <v>150</v>
      </c>
      <c r="D1002" s="132">
        <f t="shared" si="46"/>
        <v>350</v>
      </c>
      <c r="E1002" s="132">
        <f t="shared" si="47"/>
        <v>350</v>
      </c>
    </row>
    <row r="1003" spans="1:5">
      <c r="A1003" s="33" t="s">
        <v>330</v>
      </c>
      <c r="B1003" s="36">
        <v>3</v>
      </c>
      <c r="C1003" s="37">
        <f t="shared" si="45"/>
        <v>225</v>
      </c>
      <c r="D1003" s="132">
        <f t="shared" si="46"/>
        <v>525</v>
      </c>
      <c r="E1003" s="132">
        <f t="shared" si="47"/>
        <v>525</v>
      </c>
    </row>
    <row r="1004" spans="1:5">
      <c r="A1004" s="33" t="s">
        <v>330</v>
      </c>
      <c r="B1004" s="36">
        <v>1</v>
      </c>
      <c r="C1004" s="37">
        <f t="shared" si="45"/>
        <v>75</v>
      </c>
      <c r="D1004" s="132">
        <f t="shared" si="46"/>
        <v>175</v>
      </c>
      <c r="E1004" s="132">
        <f t="shared" si="47"/>
        <v>175</v>
      </c>
    </row>
    <row r="1005" spans="1:5">
      <c r="A1005" s="33" t="s">
        <v>330</v>
      </c>
      <c r="B1005" s="36">
        <v>4</v>
      </c>
      <c r="C1005" s="37">
        <f t="shared" si="45"/>
        <v>300</v>
      </c>
      <c r="D1005" s="132">
        <f t="shared" si="46"/>
        <v>700</v>
      </c>
      <c r="E1005" s="132">
        <f t="shared" si="47"/>
        <v>700</v>
      </c>
    </row>
    <row r="1006" spans="1:5">
      <c r="A1006" s="33" t="s">
        <v>330</v>
      </c>
      <c r="B1006" s="36">
        <v>2</v>
      </c>
      <c r="C1006" s="37">
        <f t="shared" si="45"/>
        <v>150</v>
      </c>
      <c r="D1006" s="132">
        <f t="shared" si="46"/>
        <v>350</v>
      </c>
      <c r="E1006" s="132">
        <f t="shared" si="47"/>
        <v>350</v>
      </c>
    </row>
    <row r="1007" spans="1:5">
      <c r="A1007" s="33" t="s">
        <v>330</v>
      </c>
      <c r="B1007" s="36">
        <v>1</v>
      </c>
      <c r="C1007" s="37">
        <f t="shared" si="45"/>
        <v>75</v>
      </c>
      <c r="D1007" s="132">
        <f t="shared" si="46"/>
        <v>175</v>
      </c>
      <c r="E1007" s="132">
        <f t="shared" si="47"/>
        <v>175</v>
      </c>
    </row>
    <row r="1008" spans="1:5">
      <c r="A1008" s="33" t="s">
        <v>330</v>
      </c>
      <c r="B1008" s="36">
        <v>1</v>
      </c>
      <c r="C1008" s="37">
        <f t="shared" si="45"/>
        <v>75</v>
      </c>
      <c r="D1008" s="132">
        <f t="shared" si="46"/>
        <v>175</v>
      </c>
      <c r="E1008" s="132">
        <f t="shared" si="47"/>
        <v>175</v>
      </c>
    </row>
    <row r="1009" spans="1:5">
      <c r="A1009" s="33" t="s">
        <v>330</v>
      </c>
      <c r="B1009" s="36">
        <v>2</v>
      </c>
      <c r="C1009" s="37">
        <f t="shared" si="45"/>
        <v>150</v>
      </c>
      <c r="D1009" s="132">
        <f t="shared" si="46"/>
        <v>350</v>
      </c>
      <c r="E1009" s="132">
        <f t="shared" si="47"/>
        <v>350</v>
      </c>
    </row>
    <row r="1010" spans="1:5">
      <c r="A1010" s="33" t="s">
        <v>330</v>
      </c>
      <c r="B1010" s="36">
        <v>1</v>
      </c>
      <c r="C1010" s="37">
        <f t="shared" si="45"/>
        <v>75</v>
      </c>
      <c r="D1010" s="132">
        <f t="shared" si="46"/>
        <v>175</v>
      </c>
      <c r="E1010" s="132">
        <f t="shared" si="47"/>
        <v>175</v>
      </c>
    </row>
    <row r="1011" spans="1:5">
      <c r="A1011" s="33" t="s">
        <v>330</v>
      </c>
      <c r="B1011" s="36">
        <v>1</v>
      </c>
      <c r="C1011" s="37">
        <f t="shared" si="45"/>
        <v>75</v>
      </c>
      <c r="D1011" s="132">
        <f t="shared" si="46"/>
        <v>175</v>
      </c>
      <c r="E1011" s="132">
        <f t="shared" si="47"/>
        <v>175</v>
      </c>
    </row>
    <row r="1012" spans="1:5">
      <c r="A1012" s="33" t="s">
        <v>330</v>
      </c>
      <c r="B1012" s="36">
        <v>1</v>
      </c>
      <c r="C1012" s="37">
        <f t="shared" si="45"/>
        <v>75</v>
      </c>
      <c r="D1012" s="132">
        <f t="shared" si="46"/>
        <v>175</v>
      </c>
      <c r="E1012" s="132">
        <f t="shared" si="47"/>
        <v>175</v>
      </c>
    </row>
    <row r="1013" spans="1:5">
      <c r="A1013" s="33" t="s">
        <v>330</v>
      </c>
      <c r="B1013" s="36">
        <v>4</v>
      </c>
      <c r="C1013" s="37">
        <f t="shared" si="45"/>
        <v>300</v>
      </c>
      <c r="D1013" s="132">
        <f t="shared" si="46"/>
        <v>700</v>
      </c>
      <c r="E1013" s="132">
        <f t="shared" si="47"/>
        <v>700</v>
      </c>
    </row>
    <row r="1014" spans="1:5">
      <c r="A1014" s="33" t="s">
        <v>330</v>
      </c>
      <c r="B1014" s="36">
        <v>1</v>
      </c>
      <c r="C1014" s="37">
        <f t="shared" si="45"/>
        <v>75</v>
      </c>
      <c r="D1014" s="132">
        <f t="shared" si="46"/>
        <v>175</v>
      </c>
      <c r="E1014" s="132">
        <f t="shared" si="47"/>
        <v>175</v>
      </c>
    </row>
    <row r="1015" spans="1:5">
      <c r="A1015" s="33" t="s">
        <v>330</v>
      </c>
      <c r="B1015" s="36">
        <v>1</v>
      </c>
      <c r="C1015" s="37">
        <f t="shared" si="45"/>
        <v>75</v>
      </c>
      <c r="D1015" s="132">
        <f t="shared" si="46"/>
        <v>175</v>
      </c>
      <c r="E1015" s="132">
        <f t="shared" si="47"/>
        <v>175</v>
      </c>
    </row>
    <row r="1016" spans="1:5">
      <c r="A1016" s="33" t="s">
        <v>330</v>
      </c>
      <c r="B1016" s="36">
        <v>2</v>
      </c>
      <c r="C1016" s="37">
        <f t="shared" si="45"/>
        <v>150</v>
      </c>
      <c r="D1016" s="132">
        <f t="shared" si="46"/>
        <v>350</v>
      </c>
      <c r="E1016" s="132">
        <f t="shared" si="47"/>
        <v>350</v>
      </c>
    </row>
    <row r="1017" spans="1:5">
      <c r="A1017" s="33" t="s">
        <v>330</v>
      </c>
      <c r="B1017" s="36">
        <v>5</v>
      </c>
      <c r="C1017" s="37">
        <f t="shared" si="45"/>
        <v>375</v>
      </c>
      <c r="D1017" s="132">
        <f t="shared" si="46"/>
        <v>875</v>
      </c>
      <c r="E1017" s="132">
        <f t="shared" si="47"/>
        <v>875</v>
      </c>
    </row>
    <row r="1018" spans="1:5">
      <c r="A1018" s="33" t="s">
        <v>330</v>
      </c>
      <c r="B1018" s="36">
        <v>4</v>
      </c>
      <c r="C1018" s="37">
        <f t="shared" si="45"/>
        <v>300</v>
      </c>
      <c r="D1018" s="132">
        <f t="shared" si="46"/>
        <v>700</v>
      </c>
      <c r="E1018" s="132">
        <f t="shared" si="47"/>
        <v>700</v>
      </c>
    </row>
    <row r="1019" spans="1:5">
      <c r="A1019" s="33" t="s">
        <v>330</v>
      </c>
      <c r="B1019" s="36">
        <v>5</v>
      </c>
      <c r="C1019" s="37">
        <f t="shared" si="45"/>
        <v>375</v>
      </c>
      <c r="D1019" s="132">
        <f t="shared" si="46"/>
        <v>875</v>
      </c>
      <c r="E1019" s="132">
        <f t="shared" si="47"/>
        <v>875</v>
      </c>
    </row>
    <row r="1020" spans="1:5">
      <c r="A1020" s="33" t="s">
        <v>330</v>
      </c>
      <c r="B1020" s="36">
        <v>6</v>
      </c>
      <c r="C1020" s="37">
        <f t="shared" si="45"/>
        <v>450</v>
      </c>
      <c r="D1020" s="132">
        <f t="shared" si="46"/>
        <v>1050</v>
      </c>
      <c r="E1020" s="132">
        <f t="shared" si="47"/>
        <v>1050</v>
      </c>
    </row>
    <row r="1021" spans="1:5">
      <c r="A1021" s="33" t="s">
        <v>330</v>
      </c>
      <c r="B1021" s="36">
        <v>3</v>
      </c>
      <c r="C1021" s="37">
        <f t="shared" si="45"/>
        <v>225</v>
      </c>
      <c r="D1021" s="132">
        <f t="shared" si="46"/>
        <v>525</v>
      </c>
      <c r="E1021" s="132">
        <f t="shared" si="47"/>
        <v>525</v>
      </c>
    </row>
    <row r="1022" spans="1:5">
      <c r="A1022" s="33" t="s">
        <v>330</v>
      </c>
      <c r="B1022" s="36">
        <v>1</v>
      </c>
      <c r="C1022" s="37">
        <f t="shared" si="45"/>
        <v>75</v>
      </c>
      <c r="D1022" s="132">
        <f t="shared" si="46"/>
        <v>175</v>
      </c>
      <c r="E1022" s="132">
        <f t="shared" si="47"/>
        <v>175</v>
      </c>
    </row>
    <row r="1023" spans="1:5">
      <c r="A1023" s="33" t="s">
        <v>330</v>
      </c>
      <c r="B1023" s="36">
        <v>1</v>
      </c>
      <c r="C1023" s="37">
        <f t="shared" si="45"/>
        <v>75</v>
      </c>
      <c r="D1023" s="132">
        <f t="shared" si="46"/>
        <v>175</v>
      </c>
      <c r="E1023" s="132">
        <f t="shared" si="47"/>
        <v>175</v>
      </c>
    </row>
    <row r="1024" spans="1:5">
      <c r="A1024" s="33" t="s">
        <v>330</v>
      </c>
      <c r="B1024" s="36">
        <v>3</v>
      </c>
      <c r="C1024" s="37">
        <f t="shared" si="45"/>
        <v>225</v>
      </c>
      <c r="D1024" s="132">
        <f t="shared" si="46"/>
        <v>525</v>
      </c>
      <c r="E1024" s="132">
        <f t="shared" si="47"/>
        <v>525</v>
      </c>
    </row>
    <row r="1025" spans="1:5">
      <c r="A1025" s="33" t="s">
        <v>330</v>
      </c>
      <c r="B1025" s="36">
        <v>1</v>
      </c>
      <c r="C1025" s="37">
        <f t="shared" si="45"/>
        <v>75</v>
      </c>
      <c r="D1025" s="132">
        <f t="shared" si="46"/>
        <v>175</v>
      </c>
      <c r="E1025" s="132">
        <f t="shared" si="47"/>
        <v>175</v>
      </c>
    </row>
    <row r="1026" spans="1:5">
      <c r="A1026" s="33" t="s">
        <v>330</v>
      </c>
      <c r="B1026" s="36">
        <v>5</v>
      </c>
      <c r="C1026" s="37">
        <f t="shared" si="45"/>
        <v>375</v>
      </c>
      <c r="D1026" s="132">
        <f t="shared" si="46"/>
        <v>875</v>
      </c>
      <c r="E1026" s="132">
        <f t="shared" si="47"/>
        <v>875</v>
      </c>
    </row>
    <row r="1027" spans="1:5">
      <c r="A1027" s="33" t="s">
        <v>330</v>
      </c>
      <c r="B1027" s="36">
        <v>5</v>
      </c>
      <c r="C1027" s="37">
        <f t="shared" si="45"/>
        <v>375</v>
      </c>
      <c r="D1027" s="132">
        <f t="shared" si="46"/>
        <v>875</v>
      </c>
      <c r="E1027" s="132">
        <f t="shared" si="47"/>
        <v>875</v>
      </c>
    </row>
    <row r="1028" spans="1:5">
      <c r="A1028" s="33" t="s">
        <v>330</v>
      </c>
      <c r="B1028" s="36">
        <v>1</v>
      </c>
      <c r="C1028" s="37">
        <f t="shared" si="45"/>
        <v>75</v>
      </c>
      <c r="D1028" s="132">
        <f t="shared" si="46"/>
        <v>175</v>
      </c>
      <c r="E1028" s="132">
        <f t="shared" si="47"/>
        <v>175</v>
      </c>
    </row>
    <row r="1029" spans="1:5">
      <c r="A1029" s="33" t="s">
        <v>330</v>
      </c>
      <c r="B1029" s="36">
        <v>1</v>
      </c>
      <c r="C1029" s="37">
        <f t="shared" si="45"/>
        <v>75</v>
      </c>
      <c r="D1029" s="132">
        <f t="shared" si="46"/>
        <v>175</v>
      </c>
      <c r="E1029" s="132">
        <f t="shared" si="47"/>
        <v>175</v>
      </c>
    </row>
    <row r="1030" spans="1:5">
      <c r="A1030" s="33" t="s">
        <v>330</v>
      </c>
      <c r="B1030" s="36">
        <v>1</v>
      </c>
      <c r="C1030" s="37">
        <f t="shared" si="45"/>
        <v>75</v>
      </c>
      <c r="D1030" s="132">
        <f t="shared" si="46"/>
        <v>175</v>
      </c>
      <c r="E1030" s="132">
        <f t="shared" si="47"/>
        <v>175</v>
      </c>
    </row>
    <row r="1031" spans="1:5">
      <c r="A1031" s="33" t="s">
        <v>330</v>
      </c>
      <c r="B1031" s="36">
        <v>1</v>
      </c>
      <c r="C1031" s="37">
        <f t="shared" ref="C1031:C1050" si="48">B1031*75</f>
        <v>75</v>
      </c>
      <c r="D1031" s="132">
        <f t="shared" ref="D1031:D1050" si="49">B1031*250-C1031</f>
        <v>175</v>
      </c>
      <c r="E1031" s="132">
        <f t="shared" ref="E1031:E1050" si="50">B1031*250-C1031</f>
        <v>175</v>
      </c>
    </row>
    <row r="1032" spans="1:5">
      <c r="A1032" s="33" t="s">
        <v>330</v>
      </c>
      <c r="B1032" s="36">
        <v>8</v>
      </c>
      <c r="C1032" s="37">
        <f t="shared" si="48"/>
        <v>600</v>
      </c>
      <c r="D1032" s="132">
        <f t="shared" si="49"/>
        <v>1400</v>
      </c>
      <c r="E1032" s="132">
        <f t="shared" si="50"/>
        <v>1400</v>
      </c>
    </row>
    <row r="1033" spans="1:5">
      <c r="A1033" s="33" t="s">
        <v>330</v>
      </c>
      <c r="B1033" s="36">
        <v>6</v>
      </c>
      <c r="C1033" s="37">
        <f t="shared" si="48"/>
        <v>450</v>
      </c>
      <c r="D1033" s="132">
        <f t="shared" si="49"/>
        <v>1050</v>
      </c>
      <c r="E1033" s="132">
        <f t="shared" si="50"/>
        <v>1050</v>
      </c>
    </row>
    <row r="1034" spans="1:5">
      <c r="A1034" s="33" t="s">
        <v>330</v>
      </c>
      <c r="B1034" s="36">
        <v>7</v>
      </c>
      <c r="C1034" s="37">
        <f t="shared" si="48"/>
        <v>525</v>
      </c>
      <c r="D1034" s="132">
        <f t="shared" si="49"/>
        <v>1225</v>
      </c>
      <c r="E1034" s="132">
        <f t="shared" si="50"/>
        <v>1225</v>
      </c>
    </row>
    <row r="1035" spans="1:5">
      <c r="A1035" s="33" t="s">
        <v>330</v>
      </c>
      <c r="B1035" s="36">
        <v>5</v>
      </c>
      <c r="C1035" s="37">
        <f t="shared" si="48"/>
        <v>375</v>
      </c>
      <c r="D1035" s="132">
        <f t="shared" si="49"/>
        <v>875</v>
      </c>
      <c r="E1035" s="132">
        <f t="shared" si="50"/>
        <v>875</v>
      </c>
    </row>
    <row r="1036" spans="1:5">
      <c r="A1036" s="33" t="s">
        <v>330</v>
      </c>
      <c r="B1036" s="36">
        <v>2</v>
      </c>
      <c r="C1036" s="37">
        <f t="shared" si="48"/>
        <v>150</v>
      </c>
      <c r="D1036" s="132">
        <f t="shared" si="49"/>
        <v>350</v>
      </c>
      <c r="E1036" s="132">
        <f t="shared" si="50"/>
        <v>350</v>
      </c>
    </row>
    <row r="1037" spans="1:5">
      <c r="A1037" s="33" t="s">
        <v>330</v>
      </c>
      <c r="B1037" s="36">
        <v>8</v>
      </c>
      <c r="C1037" s="37">
        <f t="shared" si="48"/>
        <v>600</v>
      </c>
      <c r="D1037" s="132">
        <f t="shared" si="49"/>
        <v>1400</v>
      </c>
      <c r="E1037" s="132">
        <f t="shared" si="50"/>
        <v>1400</v>
      </c>
    </row>
    <row r="1038" spans="1:5">
      <c r="A1038" s="33" t="s">
        <v>330</v>
      </c>
      <c r="B1038" s="36">
        <v>1</v>
      </c>
      <c r="C1038" s="37">
        <f t="shared" si="48"/>
        <v>75</v>
      </c>
      <c r="D1038" s="132">
        <f t="shared" si="49"/>
        <v>175</v>
      </c>
      <c r="E1038" s="132">
        <f t="shared" si="50"/>
        <v>175</v>
      </c>
    </row>
    <row r="1039" spans="1:5">
      <c r="A1039" s="33" t="s">
        <v>330</v>
      </c>
      <c r="B1039" s="36">
        <v>2</v>
      </c>
      <c r="C1039" s="37">
        <f t="shared" si="48"/>
        <v>150</v>
      </c>
      <c r="D1039" s="132">
        <f t="shared" si="49"/>
        <v>350</v>
      </c>
      <c r="E1039" s="132">
        <f t="shared" si="50"/>
        <v>350</v>
      </c>
    </row>
    <row r="1040" spans="1:5">
      <c r="A1040" s="33" t="s">
        <v>330</v>
      </c>
      <c r="B1040" s="36">
        <v>4</v>
      </c>
      <c r="C1040" s="37">
        <f t="shared" si="48"/>
        <v>300</v>
      </c>
      <c r="D1040" s="132">
        <f t="shared" si="49"/>
        <v>700</v>
      </c>
      <c r="E1040" s="132">
        <f t="shared" si="50"/>
        <v>700</v>
      </c>
    </row>
    <row r="1041" spans="1:5">
      <c r="A1041" s="33" t="s">
        <v>330</v>
      </c>
      <c r="B1041" s="36">
        <v>1</v>
      </c>
      <c r="C1041" s="37">
        <f t="shared" si="48"/>
        <v>75</v>
      </c>
      <c r="D1041" s="132">
        <f t="shared" si="49"/>
        <v>175</v>
      </c>
      <c r="E1041" s="132">
        <f t="shared" si="50"/>
        <v>175</v>
      </c>
    </row>
    <row r="1042" spans="1:5">
      <c r="A1042" s="33" t="s">
        <v>330</v>
      </c>
      <c r="B1042" s="36">
        <v>5</v>
      </c>
      <c r="C1042" s="37">
        <f t="shared" si="48"/>
        <v>375</v>
      </c>
      <c r="D1042" s="132">
        <f t="shared" si="49"/>
        <v>875</v>
      </c>
      <c r="E1042" s="132">
        <f t="shared" si="50"/>
        <v>875</v>
      </c>
    </row>
    <row r="1043" spans="1:5">
      <c r="A1043" s="33" t="s">
        <v>330</v>
      </c>
      <c r="B1043" s="36">
        <v>1</v>
      </c>
      <c r="C1043" s="37">
        <f t="shared" si="48"/>
        <v>75</v>
      </c>
      <c r="D1043" s="132">
        <f t="shared" si="49"/>
        <v>175</v>
      </c>
      <c r="E1043" s="132">
        <f t="shared" si="50"/>
        <v>175</v>
      </c>
    </row>
    <row r="1044" spans="1:5">
      <c r="A1044" s="33" t="s">
        <v>330</v>
      </c>
      <c r="B1044" s="36">
        <v>2</v>
      </c>
      <c r="C1044" s="37">
        <f t="shared" si="48"/>
        <v>150</v>
      </c>
      <c r="D1044" s="132">
        <f t="shared" si="49"/>
        <v>350</v>
      </c>
      <c r="E1044" s="132">
        <f t="shared" si="50"/>
        <v>350</v>
      </c>
    </row>
    <row r="1045" spans="1:5">
      <c r="A1045" s="33" t="s">
        <v>330</v>
      </c>
      <c r="B1045" s="36">
        <v>4</v>
      </c>
      <c r="C1045" s="37">
        <f t="shared" si="48"/>
        <v>300</v>
      </c>
      <c r="D1045" s="132">
        <f t="shared" si="49"/>
        <v>700</v>
      </c>
      <c r="E1045" s="132">
        <f t="shared" si="50"/>
        <v>700</v>
      </c>
    </row>
    <row r="1046" spans="1:5">
      <c r="A1046" s="33" t="s">
        <v>330</v>
      </c>
      <c r="B1046" s="36">
        <v>4</v>
      </c>
      <c r="C1046" s="37">
        <f t="shared" si="48"/>
        <v>300</v>
      </c>
      <c r="D1046" s="132">
        <f t="shared" si="49"/>
        <v>700</v>
      </c>
      <c r="E1046" s="132">
        <f t="shared" si="50"/>
        <v>700</v>
      </c>
    </row>
    <row r="1047" spans="1:5">
      <c r="A1047" s="33" t="s">
        <v>330</v>
      </c>
      <c r="B1047" s="36">
        <v>1</v>
      </c>
      <c r="C1047" s="37">
        <f t="shared" si="48"/>
        <v>75</v>
      </c>
      <c r="D1047" s="132">
        <f t="shared" si="49"/>
        <v>175</v>
      </c>
      <c r="E1047" s="132">
        <f t="shared" si="50"/>
        <v>175</v>
      </c>
    </row>
    <row r="1048" spans="1:5">
      <c r="A1048" s="33" t="s">
        <v>330</v>
      </c>
      <c r="B1048" s="36">
        <v>1</v>
      </c>
      <c r="C1048" s="37">
        <f t="shared" si="48"/>
        <v>75</v>
      </c>
      <c r="D1048" s="132">
        <f t="shared" si="49"/>
        <v>175</v>
      </c>
      <c r="E1048" s="132">
        <f t="shared" si="50"/>
        <v>175</v>
      </c>
    </row>
    <row r="1049" spans="1:5">
      <c r="A1049" s="33" t="s">
        <v>330</v>
      </c>
      <c r="B1049" s="36">
        <v>3</v>
      </c>
      <c r="C1049" s="37">
        <f t="shared" si="48"/>
        <v>225</v>
      </c>
      <c r="D1049" s="132">
        <f t="shared" si="49"/>
        <v>525</v>
      </c>
      <c r="E1049" s="132">
        <f t="shared" si="50"/>
        <v>525</v>
      </c>
    </row>
    <row r="1050" spans="1:5">
      <c r="A1050" s="33" t="s">
        <v>330</v>
      </c>
      <c r="B1050" s="36">
        <v>1</v>
      </c>
      <c r="C1050" s="37">
        <f t="shared" si="48"/>
        <v>75</v>
      </c>
      <c r="D1050" s="132">
        <f t="shared" si="49"/>
        <v>175</v>
      </c>
      <c r="E1050" s="132">
        <f t="shared" si="50"/>
        <v>175</v>
      </c>
    </row>
    <row r="1051" spans="1:5" ht="38.25">
      <c r="A1051" s="17" t="s">
        <v>331</v>
      </c>
      <c r="B1051" s="36">
        <v>352</v>
      </c>
      <c r="C1051" s="37"/>
      <c r="D1051" s="37"/>
      <c r="E1051" s="37">
        <f>B1051*250-C1051</f>
        <v>88000</v>
      </c>
    </row>
    <row r="1052" spans="1:5">
      <c r="A1052" s="616" t="s">
        <v>332</v>
      </c>
      <c r="B1052" s="616"/>
      <c r="C1052" s="616"/>
      <c r="D1052" s="616"/>
      <c r="E1052" s="616"/>
    </row>
    <row r="1053" spans="1:5">
      <c r="A1053" s="134" t="s">
        <v>127</v>
      </c>
      <c r="B1053" s="134"/>
      <c r="C1053" s="134"/>
      <c r="D1053" s="134"/>
      <c r="E1053" s="134"/>
    </row>
  </sheetData>
  <mergeCells count="2">
    <mergeCell ref="A2:E2"/>
    <mergeCell ref="A1052:E1052"/>
  </mergeCells>
  <pageMargins left="0.7" right="0.7" top="0.75" bottom="0.75" header="0.3" footer="0.3"/>
  <pageSetup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06DF-489B-4D14-9CFA-DBB4C91257D5}">
  <sheetPr>
    <tabColor theme="4" tint="0.59999389629810485"/>
  </sheetPr>
  <dimension ref="A1:F47"/>
  <sheetViews>
    <sheetView zoomScale="77" zoomScaleNormal="77" workbookViewId="0">
      <selection activeCell="C1" sqref="C1:E1"/>
    </sheetView>
  </sheetViews>
  <sheetFormatPr defaultColWidth="8.7109375" defaultRowHeight="12.75"/>
  <cols>
    <col min="1" max="1" width="4.85546875" style="177" customWidth="1"/>
    <col min="2" max="2" width="57.5703125" style="199" customWidth="1"/>
    <col min="3" max="3" width="15.5703125" style="177" customWidth="1"/>
    <col min="4" max="4" width="28.5703125" style="177" customWidth="1"/>
    <col min="5" max="5" width="18" style="177" customWidth="1"/>
    <col min="6" max="6" width="31.5703125" style="177" customWidth="1"/>
    <col min="7" max="16384" width="8.7109375" style="177"/>
  </cols>
  <sheetData>
    <row r="1" spans="1:5" ht="39" customHeight="1">
      <c r="C1" s="619" t="s">
        <v>81</v>
      </c>
      <c r="D1" s="619"/>
      <c r="E1" s="619"/>
    </row>
    <row r="2" spans="1:5" ht="12.75" customHeight="1">
      <c r="A2" s="622" t="s">
        <v>563</v>
      </c>
      <c r="B2" s="622"/>
      <c r="C2" s="622"/>
      <c r="D2" s="622"/>
      <c r="E2" s="622"/>
    </row>
    <row r="3" spans="1:5" ht="38.25">
      <c r="A3" s="298" t="s">
        <v>74</v>
      </c>
      <c r="B3" s="298" t="s">
        <v>455</v>
      </c>
      <c r="C3" s="298" t="s">
        <v>456</v>
      </c>
      <c r="D3" s="298" t="s">
        <v>457</v>
      </c>
      <c r="E3" s="298" t="s">
        <v>458</v>
      </c>
    </row>
    <row r="4" spans="1:5" s="180" customFormat="1" ht="11.25">
      <c r="A4" s="178">
        <v>1</v>
      </c>
      <c r="B4" s="178">
        <v>2</v>
      </c>
      <c r="C4" s="179">
        <v>3</v>
      </c>
      <c r="D4" s="179">
        <v>5</v>
      </c>
      <c r="E4" s="179">
        <v>4</v>
      </c>
    </row>
    <row r="5" spans="1:5">
      <c r="A5" s="181">
        <v>1</v>
      </c>
      <c r="B5" s="182" t="s">
        <v>459</v>
      </c>
      <c r="C5" s="183">
        <v>0.76</v>
      </c>
      <c r="D5" s="183">
        <v>0.76</v>
      </c>
      <c r="E5" s="183">
        <f>D5*1.109</f>
        <v>0.84284000000000003</v>
      </c>
    </row>
    <row r="6" spans="1:5">
      <c r="A6" s="181">
        <v>2</v>
      </c>
      <c r="B6" s="182" t="s">
        <v>460</v>
      </c>
      <c r="C6" s="184">
        <v>1.84</v>
      </c>
      <c r="D6" s="183">
        <v>1.84</v>
      </c>
      <c r="E6" s="183">
        <f t="shared" ref="E6:E22" si="0">D6*1.109</f>
        <v>2.0405600000000002</v>
      </c>
    </row>
    <row r="7" spans="1:5" s="185" customFormat="1">
      <c r="A7" s="181">
        <v>3</v>
      </c>
      <c r="B7" s="182" t="s">
        <v>461</v>
      </c>
      <c r="C7" s="183">
        <v>1.17</v>
      </c>
      <c r="D7" s="183">
        <v>1.17</v>
      </c>
      <c r="E7" s="183">
        <f t="shared" si="0"/>
        <v>1.2975299999999999</v>
      </c>
    </row>
    <row r="8" spans="1:5">
      <c r="A8" s="181">
        <v>4</v>
      </c>
      <c r="B8" s="182" t="s">
        <v>462</v>
      </c>
      <c r="C8" s="183">
        <v>7.18</v>
      </c>
      <c r="D8" s="183">
        <v>7.18</v>
      </c>
      <c r="E8" s="183">
        <f t="shared" si="0"/>
        <v>7.9626199999999994</v>
      </c>
    </row>
    <row r="9" spans="1:5" s="185" customFormat="1">
      <c r="A9" s="181">
        <v>5</v>
      </c>
      <c r="B9" s="182" t="s">
        <v>463</v>
      </c>
      <c r="C9" s="184">
        <v>1.39</v>
      </c>
      <c r="D9" s="183">
        <v>1.39</v>
      </c>
      <c r="E9" s="183">
        <f t="shared" si="0"/>
        <v>1.5415099999999999</v>
      </c>
    </row>
    <row r="10" spans="1:5" s="185" customFormat="1">
      <c r="A10" s="181">
        <v>6</v>
      </c>
      <c r="B10" s="182" t="s">
        <v>464</v>
      </c>
      <c r="C10" s="183">
        <v>0.91</v>
      </c>
      <c r="D10" s="183">
        <v>0.91</v>
      </c>
      <c r="E10" s="183">
        <f t="shared" si="0"/>
        <v>1.00919</v>
      </c>
    </row>
    <row r="11" spans="1:5" s="185" customFormat="1">
      <c r="A11" s="181">
        <v>7</v>
      </c>
      <c r="B11" s="182" t="s">
        <v>465</v>
      </c>
      <c r="C11" s="183">
        <v>1.31</v>
      </c>
      <c r="D11" s="183">
        <v>1.31</v>
      </c>
      <c r="E11" s="183">
        <f t="shared" si="0"/>
        <v>1.45279</v>
      </c>
    </row>
    <row r="12" spans="1:5">
      <c r="A12" s="181">
        <v>8</v>
      </c>
      <c r="B12" s="182" t="s">
        <v>466</v>
      </c>
      <c r="C12" s="184">
        <v>3.92</v>
      </c>
      <c r="D12" s="183">
        <v>3.92</v>
      </c>
      <c r="E12" s="183">
        <f t="shared" si="0"/>
        <v>4.3472799999999996</v>
      </c>
    </row>
    <row r="13" spans="1:5" s="185" customFormat="1">
      <c r="A13" s="181">
        <v>9</v>
      </c>
      <c r="B13" s="182" t="s">
        <v>467</v>
      </c>
      <c r="C13" s="183">
        <v>0.33</v>
      </c>
      <c r="D13" s="183">
        <v>0.33</v>
      </c>
      <c r="E13" s="183">
        <f t="shared" si="0"/>
        <v>0.36597000000000002</v>
      </c>
    </row>
    <row r="14" spans="1:5" s="185" customFormat="1" ht="25.5">
      <c r="A14" s="181">
        <v>10</v>
      </c>
      <c r="B14" s="182" t="s">
        <v>468</v>
      </c>
      <c r="C14" s="186">
        <v>0.9</v>
      </c>
      <c r="D14" s="186">
        <v>0.9</v>
      </c>
      <c r="E14" s="186">
        <f t="shared" si="0"/>
        <v>0.99809999999999999</v>
      </c>
    </row>
    <row r="15" spans="1:5">
      <c r="A15" s="181">
        <v>11</v>
      </c>
      <c r="B15" s="182" t="s">
        <v>469</v>
      </c>
      <c r="C15" s="187">
        <v>0.16400000000000001</v>
      </c>
      <c r="D15" s="187">
        <v>0.16400000000000001</v>
      </c>
      <c r="E15" s="186">
        <f t="shared" si="0"/>
        <v>0.18187600000000001</v>
      </c>
    </row>
    <row r="16" spans="1:5">
      <c r="A16" s="181">
        <v>12</v>
      </c>
      <c r="B16" s="182" t="s">
        <v>470</v>
      </c>
      <c r="C16" s="187">
        <v>0.25</v>
      </c>
      <c r="D16" s="186">
        <v>0.25</v>
      </c>
      <c r="E16" s="186">
        <f t="shared" si="0"/>
        <v>0.27725</v>
      </c>
    </row>
    <row r="17" spans="1:5" s="185" customFormat="1">
      <c r="A17" s="181">
        <v>13</v>
      </c>
      <c r="B17" s="182" t="s">
        <v>471</v>
      </c>
      <c r="C17" s="186">
        <v>3.17</v>
      </c>
      <c r="D17" s="186">
        <v>3.17</v>
      </c>
      <c r="E17" s="186">
        <f t="shared" si="0"/>
        <v>3.51553</v>
      </c>
    </row>
    <row r="18" spans="1:5" s="185" customFormat="1">
      <c r="A18" s="181">
        <v>14</v>
      </c>
      <c r="B18" s="182" t="s">
        <v>472</v>
      </c>
      <c r="C18" s="187">
        <v>1.71</v>
      </c>
      <c r="D18" s="186">
        <v>1.71</v>
      </c>
      <c r="E18" s="186">
        <f t="shared" si="0"/>
        <v>1.89639</v>
      </c>
    </row>
    <row r="19" spans="1:5" s="185" customFormat="1">
      <c r="A19" s="181">
        <v>15</v>
      </c>
      <c r="B19" s="182" t="s">
        <v>473</v>
      </c>
      <c r="C19" s="187">
        <v>0.2</v>
      </c>
      <c r="D19" s="186">
        <v>0.2</v>
      </c>
      <c r="E19" s="186">
        <f t="shared" si="0"/>
        <v>0.2218</v>
      </c>
    </row>
    <row r="20" spans="1:5">
      <c r="A20" s="181">
        <v>16</v>
      </c>
      <c r="B20" s="182" t="s">
        <v>474</v>
      </c>
      <c r="C20" s="187">
        <v>0.49</v>
      </c>
      <c r="D20" s="186">
        <v>0.49</v>
      </c>
      <c r="E20" s="186">
        <f t="shared" si="0"/>
        <v>0.54340999999999995</v>
      </c>
    </row>
    <row r="21" spans="1:5" s="185" customFormat="1">
      <c r="A21" s="181">
        <v>17</v>
      </c>
      <c r="B21" s="182" t="s">
        <v>475</v>
      </c>
      <c r="C21" s="187">
        <v>0.83399999999999996</v>
      </c>
      <c r="D21" s="187">
        <v>0.83399999999999996</v>
      </c>
      <c r="E21" s="186">
        <f t="shared" si="0"/>
        <v>0.92490599999999989</v>
      </c>
    </row>
    <row r="22" spans="1:5" s="185" customFormat="1">
      <c r="A22" s="181">
        <v>18</v>
      </c>
      <c r="B22" s="182" t="s">
        <v>476</v>
      </c>
      <c r="C22" s="186">
        <v>1.59</v>
      </c>
      <c r="D22" s="186">
        <v>1.59</v>
      </c>
      <c r="E22" s="186">
        <f t="shared" si="0"/>
        <v>1.7633100000000002</v>
      </c>
    </row>
    <row r="23" spans="1:5">
      <c r="A23" s="188"/>
      <c r="B23" s="188" t="s">
        <v>477</v>
      </c>
      <c r="C23" s="189">
        <f>SUM(C5:C22)</f>
        <v>28.117999999999995</v>
      </c>
      <c r="D23" s="189">
        <f>SUM(D5:D22)</f>
        <v>28.117999999999995</v>
      </c>
      <c r="E23" s="189">
        <f>SUM(E5:E22)</f>
        <v>31.182862000000004</v>
      </c>
    </row>
    <row r="24" spans="1:5">
      <c r="A24" s="299"/>
      <c r="B24" s="298" t="s">
        <v>478</v>
      </c>
      <c r="C24" s="300"/>
      <c r="D24" s="300"/>
      <c r="E24" s="300"/>
    </row>
    <row r="25" spans="1:5">
      <c r="A25" s="190">
        <v>19</v>
      </c>
      <c r="B25" s="191" t="s">
        <v>479</v>
      </c>
      <c r="C25" s="192">
        <v>60</v>
      </c>
      <c r="D25" s="186">
        <v>70</v>
      </c>
      <c r="E25" s="186">
        <f>1.109*D25</f>
        <v>77.63</v>
      </c>
    </row>
    <row r="26" spans="1:5" ht="25.5">
      <c r="A26" s="190">
        <v>20</v>
      </c>
      <c r="B26" s="191" t="s">
        <v>480</v>
      </c>
      <c r="C26" s="192">
        <v>10</v>
      </c>
      <c r="D26" s="186">
        <f>C26*2</f>
        <v>20</v>
      </c>
      <c r="E26" s="186">
        <f>1.109*D26</f>
        <v>22.18</v>
      </c>
    </row>
    <row r="27" spans="1:5">
      <c r="A27" s="190">
        <v>21</v>
      </c>
      <c r="B27" s="191" t="s">
        <v>481</v>
      </c>
      <c r="C27" s="192">
        <v>35</v>
      </c>
      <c r="D27" s="192">
        <v>35</v>
      </c>
      <c r="E27" s="186">
        <f t="shared" ref="E27:E32" si="1">1.109*D27</f>
        <v>38.814999999999998</v>
      </c>
    </row>
    <row r="28" spans="1:5">
      <c r="A28" s="190">
        <v>22</v>
      </c>
      <c r="B28" s="191" t="s">
        <v>482</v>
      </c>
      <c r="C28" s="192">
        <v>40</v>
      </c>
      <c r="D28" s="193">
        <f>C28/35*50</f>
        <v>57.142857142857139</v>
      </c>
      <c r="E28" s="186">
        <f t="shared" si="1"/>
        <v>63.371428571428567</v>
      </c>
    </row>
    <row r="29" spans="1:5" ht="25.5">
      <c r="A29" s="190">
        <v>23</v>
      </c>
      <c r="B29" s="191" t="s">
        <v>483</v>
      </c>
      <c r="C29" s="192">
        <v>7.3208333333333329</v>
      </c>
      <c r="D29" s="192">
        <v>7.3208333333333329</v>
      </c>
      <c r="E29" s="186">
        <f t="shared" si="1"/>
        <v>8.1188041666666653</v>
      </c>
    </row>
    <row r="30" spans="1:5">
      <c r="A30" s="190">
        <v>24</v>
      </c>
      <c r="B30" s="191" t="s">
        <v>484</v>
      </c>
      <c r="C30" s="192">
        <v>25</v>
      </c>
      <c r="D30" s="192">
        <v>25</v>
      </c>
      <c r="E30" s="186">
        <f t="shared" si="1"/>
        <v>27.725000000000001</v>
      </c>
    </row>
    <row r="31" spans="1:5">
      <c r="A31" s="190">
        <v>25</v>
      </c>
      <c r="B31" s="191" t="s">
        <v>485</v>
      </c>
      <c r="C31" s="192">
        <v>7.083333333333333</v>
      </c>
      <c r="D31" s="192">
        <v>7.083333333333333</v>
      </c>
      <c r="E31" s="186">
        <f t="shared" si="1"/>
        <v>7.8554166666666658</v>
      </c>
    </row>
    <row r="32" spans="1:5">
      <c r="A32" s="190">
        <v>26</v>
      </c>
      <c r="B32" s="191" t="s">
        <v>486</v>
      </c>
      <c r="C32" s="192">
        <v>15.909999999999998</v>
      </c>
      <c r="D32" s="193">
        <v>30.42</v>
      </c>
      <c r="E32" s="186">
        <f t="shared" si="1"/>
        <v>33.735779999999998</v>
      </c>
    </row>
    <row r="33" spans="1:6">
      <c r="A33" s="194"/>
      <c r="B33" s="188" t="s">
        <v>487</v>
      </c>
      <c r="C33" s="189">
        <f>SUM(C25:C32)</f>
        <v>200.31416666666667</v>
      </c>
      <c r="D33" s="189">
        <f>SUM(D25:D32)</f>
        <v>251.96702380952382</v>
      </c>
      <c r="E33" s="189">
        <f>SUM(E25:E32)</f>
        <v>279.4314294047619</v>
      </c>
    </row>
    <row r="34" spans="1:6">
      <c r="A34" s="298"/>
      <c r="B34" s="298" t="s">
        <v>488</v>
      </c>
      <c r="C34" s="301"/>
      <c r="D34" s="301"/>
      <c r="E34" s="301"/>
    </row>
    <row r="35" spans="1:6">
      <c r="A35" s="190">
        <v>27</v>
      </c>
      <c r="B35" s="195" t="s">
        <v>489</v>
      </c>
      <c r="C35" s="192">
        <v>157.5</v>
      </c>
      <c r="D35" s="196">
        <f>50*5</f>
        <v>250</v>
      </c>
      <c r="E35" s="192">
        <f>1.09*D35</f>
        <v>272.5</v>
      </c>
    </row>
    <row r="36" spans="1:6">
      <c r="A36" s="190">
        <v>28</v>
      </c>
      <c r="B36" s="195" t="s">
        <v>490</v>
      </c>
      <c r="C36" s="192">
        <v>94.8</v>
      </c>
      <c r="D36" s="196">
        <f>ROUND(C36/35*50,2)</f>
        <v>135.43</v>
      </c>
      <c r="E36" s="192">
        <f>1.09*D36</f>
        <v>147.61870000000002</v>
      </c>
    </row>
    <row r="37" spans="1:6">
      <c r="A37" s="188"/>
      <c r="B37" s="188" t="s">
        <v>491</v>
      </c>
      <c r="C37" s="189">
        <f>SUM(C35:C36)</f>
        <v>252.3</v>
      </c>
      <c r="D37" s="189">
        <f>SUM(D35:D36)</f>
        <v>385.43</v>
      </c>
      <c r="E37" s="189">
        <f>SUM(E35:E36)</f>
        <v>420.11869999999999</v>
      </c>
    </row>
    <row r="38" spans="1:6">
      <c r="A38" s="302"/>
      <c r="B38" s="302" t="s">
        <v>492</v>
      </c>
      <c r="C38" s="300">
        <f>C23+C33+C37</f>
        <v>480.73216666666667</v>
      </c>
      <c r="D38" s="300">
        <f>D23+D33+D37</f>
        <v>665.51502380952388</v>
      </c>
      <c r="E38" s="300">
        <f>E23+E33+E37</f>
        <v>730.73299140476183</v>
      </c>
      <c r="F38" s="197"/>
    </row>
    <row r="39" spans="1:6">
      <c r="A39" s="620" t="s">
        <v>493</v>
      </c>
      <c r="B39" s="620"/>
      <c r="C39" s="620"/>
      <c r="D39" s="620"/>
      <c r="E39" s="620"/>
    </row>
    <row r="40" spans="1:6" s="180" customFormat="1" ht="11.25">
      <c r="A40" s="180" t="s">
        <v>494</v>
      </c>
    </row>
    <row r="41" spans="1:6">
      <c r="A41" s="198"/>
      <c r="B41" s="198"/>
      <c r="C41" s="198"/>
      <c r="D41" s="198"/>
      <c r="E41" s="198"/>
    </row>
    <row r="42" spans="1:6">
      <c r="C42" s="200" t="s">
        <v>495</v>
      </c>
      <c r="D42" s="200"/>
      <c r="E42" s="201">
        <f>ROUND(E38,2)</f>
        <v>730.73</v>
      </c>
      <c r="F42" s="197"/>
    </row>
    <row r="43" spans="1:6">
      <c r="C43" s="200" t="s">
        <v>564</v>
      </c>
      <c r="D43" s="200"/>
      <c r="E43" s="201">
        <f>ROUND(E42-C38,2)</f>
        <v>250</v>
      </c>
    </row>
    <row r="44" spans="1:6">
      <c r="C44" s="621" t="s">
        <v>496</v>
      </c>
      <c r="D44" s="621"/>
      <c r="E44" s="202">
        <v>1247</v>
      </c>
    </row>
    <row r="45" spans="1:6">
      <c r="C45" s="617" t="s">
        <v>497</v>
      </c>
      <c r="D45" s="617"/>
      <c r="E45" s="203">
        <f>ROUND(E44*E43,0)</f>
        <v>311750</v>
      </c>
    </row>
    <row r="46" spans="1:6">
      <c r="C46" s="617" t="s">
        <v>498</v>
      </c>
      <c r="D46" s="617"/>
      <c r="E46" s="202">
        <v>9</v>
      </c>
    </row>
    <row r="47" spans="1:6">
      <c r="C47" s="618" t="s">
        <v>565</v>
      </c>
      <c r="D47" s="618"/>
      <c r="E47" s="303">
        <f>E45*E46</f>
        <v>2805750</v>
      </c>
    </row>
  </sheetData>
  <mergeCells count="7">
    <mergeCell ref="C46:D46"/>
    <mergeCell ref="C47:D47"/>
    <mergeCell ref="C1:E1"/>
    <mergeCell ref="A39:E39"/>
    <mergeCell ref="C44:D44"/>
    <mergeCell ref="C45:D45"/>
    <mergeCell ref="A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3E3D4-3067-4FA8-91DF-B813BE71B5C6}">
  <sheetPr>
    <tabColor theme="4" tint="0.59999389629810485"/>
  </sheetPr>
  <dimension ref="A1:R13"/>
  <sheetViews>
    <sheetView zoomScale="71" zoomScaleNormal="71" workbookViewId="0">
      <selection activeCell="R23" sqref="R23"/>
    </sheetView>
  </sheetViews>
  <sheetFormatPr defaultColWidth="9.140625" defaultRowHeight="12.75"/>
  <cols>
    <col min="1" max="1" width="34.42578125" style="204" customWidth="1"/>
    <col min="2" max="2" width="11.140625" style="204" customWidth="1"/>
    <col min="3" max="3" width="8.7109375" style="204" customWidth="1"/>
    <col min="4" max="4" width="6" style="204" customWidth="1"/>
    <col min="5" max="5" width="9.28515625" style="204" customWidth="1"/>
    <col min="6" max="6" width="8.42578125" style="204" customWidth="1"/>
    <col min="7" max="7" width="54.28515625" style="204" customWidth="1"/>
    <col min="8" max="8" width="12" style="204" customWidth="1"/>
    <col min="9" max="9" width="4.140625" style="204" customWidth="1"/>
    <col min="10" max="10" width="15.42578125" style="204" customWidth="1"/>
    <col min="11" max="11" width="12.42578125" style="204" customWidth="1"/>
    <col min="12" max="12" width="18.28515625" style="204" customWidth="1"/>
    <col min="13" max="13" width="9.140625" style="204"/>
    <col min="14" max="14" width="12" style="204" customWidth="1"/>
    <col min="15" max="16" width="12.140625" style="204" customWidth="1"/>
    <col min="17" max="17" width="9.140625" style="204"/>
    <col min="18" max="18" width="97" style="204" customWidth="1"/>
    <col min="19" max="16384" width="9.140625" style="204"/>
  </cols>
  <sheetData>
    <row r="1" spans="1:18" ht="60.75" customHeight="1">
      <c r="R1" s="421" t="s">
        <v>82</v>
      </c>
    </row>
    <row r="2" spans="1:18" ht="37.5" customHeight="1">
      <c r="A2" s="636" t="s">
        <v>591</v>
      </c>
      <c r="B2" s="636"/>
      <c r="C2" s="636"/>
      <c r="D2" s="636"/>
      <c r="E2" s="636"/>
      <c r="F2" s="636"/>
      <c r="G2" s="636"/>
      <c r="H2" s="636"/>
      <c r="N2" s="640" t="s">
        <v>592</v>
      </c>
      <c r="O2" s="640"/>
      <c r="P2" s="640"/>
    </row>
    <row r="3" spans="1:18" ht="63.75">
      <c r="A3" s="205"/>
      <c r="B3" s="206" t="s">
        <v>245</v>
      </c>
      <c r="C3" s="206" t="s">
        <v>246</v>
      </c>
      <c r="D3" s="637" t="s">
        <v>499</v>
      </c>
      <c r="E3" s="638"/>
      <c r="F3" s="638"/>
      <c r="G3" s="639"/>
      <c r="H3" s="206"/>
      <c r="I3" s="207"/>
      <c r="J3" s="208" t="s">
        <v>500</v>
      </c>
      <c r="K3" s="208" t="s">
        <v>510</v>
      </c>
      <c r="L3" s="208" t="s">
        <v>511</v>
      </c>
      <c r="N3" s="208" t="s">
        <v>500</v>
      </c>
      <c r="O3" s="208" t="s">
        <v>510</v>
      </c>
      <c r="P3" s="208" t="s">
        <v>511</v>
      </c>
      <c r="R3" s="425"/>
    </row>
    <row r="4" spans="1:18">
      <c r="A4" s="209" t="s">
        <v>501</v>
      </c>
      <c r="B4" s="210"/>
      <c r="C4" s="210"/>
      <c r="D4" s="641"/>
      <c r="E4" s="642"/>
      <c r="F4" s="642"/>
      <c r="G4" s="643"/>
      <c r="H4" s="210"/>
      <c r="J4" s="210"/>
      <c r="K4" s="210"/>
      <c r="L4" s="210"/>
      <c r="N4" s="210"/>
      <c r="O4" s="210"/>
      <c r="P4" s="210"/>
      <c r="R4" s="427" t="s">
        <v>594</v>
      </c>
    </row>
    <row r="5" spans="1:18">
      <c r="A5" s="209" t="s">
        <v>502</v>
      </c>
      <c r="B5" s="426">
        <f>1303*12</f>
        <v>15636</v>
      </c>
      <c r="C5" s="426">
        <f>B5*0.2359</f>
        <v>3688.5324000000001</v>
      </c>
      <c r="D5" s="644">
        <v>3469</v>
      </c>
      <c r="E5" s="645"/>
      <c r="F5" s="645"/>
      <c r="G5" s="646"/>
      <c r="H5" s="211">
        <f>SUM(B5:G5)</f>
        <v>22793.5324</v>
      </c>
      <c r="I5" s="212"/>
      <c r="J5" s="424">
        <f>H11</f>
        <v>182349</v>
      </c>
      <c r="K5" s="424">
        <f>J5</f>
        <v>182349</v>
      </c>
      <c r="L5" s="424">
        <f>K5</f>
        <v>182349</v>
      </c>
      <c r="N5" s="423">
        <v>167687</v>
      </c>
      <c r="O5" s="423">
        <v>167687</v>
      </c>
      <c r="P5" s="423">
        <v>167687</v>
      </c>
      <c r="R5" s="428">
        <f>J5-N5</f>
        <v>14662</v>
      </c>
    </row>
    <row r="6" spans="1:18" ht="133.5" customHeight="1">
      <c r="A6" s="647" t="s">
        <v>503</v>
      </c>
      <c r="B6" s="647"/>
      <c r="C6" s="647"/>
      <c r="D6" s="647"/>
      <c r="E6" s="647"/>
      <c r="F6" s="647"/>
      <c r="G6" s="647"/>
      <c r="H6" s="213">
        <f>H5*2</f>
        <v>45587.0648</v>
      </c>
      <c r="R6" s="521" t="s">
        <v>658</v>
      </c>
    </row>
    <row r="7" spans="1:18">
      <c r="A7" s="648" t="s">
        <v>504</v>
      </c>
      <c r="B7" s="649"/>
      <c r="C7" s="649"/>
      <c r="D7" s="649"/>
      <c r="E7" s="649"/>
      <c r="F7" s="649"/>
      <c r="G7" s="650"/>
      <c r="H7" s="213">
        <f>H5*2</f>
        <v>45587.0648</v>
      </c>
      <c r="R7" s="511"/>
    </row>
    <row r="8" spans="1:18">
      <c r="A8" s="651" t="s">
        <v>505</v>
      </c>
      <c r="B8" s="652"/>
      <c r="C8" s="652"/>
      <c r="D8" s="652"/>
      <c r="E8" s="652"/>
      <c r="F8" s="652"/>
      <c r="G8" s="653"/>
      <c r="H8" s="213">
        <f>H5*2</f>
        <v>45587.0648</v>
      </c>
    </row>
    <row r="9" spans="1:18">
      <c r="A9" s="633" t="s">
        <v>506</v>
      </c>
      <c r="B9" s="634"/>
      <c r="C9" s="634"/>
      <c r="D9" s="634"/>
      <c r="E9" s="634"/>
      <c r="F9" s="634"/>
      <c r="G9" s="635"/>
      <c r="H9" s="213">
        <f>H5</f>
        <v>22793.5324</v>
      </c>
    </row>
    <row r="10" spans="1:18">
      <c r="A10" s="623" t="s">
        <v>507</v>
      </c>
      <c r="B10" s="624"/>
      <c r="C10" s="624"/>
      <c r="D10" s="624"/>
      <c r="E10" s="624"/>
      <c r="F10" s="624"/>
      <c r="G10" s="625"/>
      <c r="H10" s="213">
        <f>H5</f>
        <v>22793.5324</v>
      </c>
    </row>
    <row r="11" spans="1:18">
      <c r="A11" s="626" t="s">
        <v>119</v>
      </c>
      <c r="B11" s="627"/>
      <c r="C11" s="627"/>
      <c r="D11" s="627"/>
      <c r="E11" s="627"/>
      <c r="F11" s="627"/>
      <c r="G11" s="628"/>
      <c r="H11" s="214">
        <f>ROUNDUP(SUM(H6:H10),0)</f>
        <v>182349</v>
      </c>
      <c r="I11" s="629"/>
      <c r="J11" s="630"/>
      <c r="K11" s="630"/>
      <c r="L11" s="630"/>
      <c r="M11" s="630"/>
      <c r="N11" s="630"/>
      <c r="O11" s="630"/>
      <c r="P11" s="630"/>
      <c r="Q11" s="630"/>
      <c r="R11" s="630"/>
    </row>
    <row r="12" spans="1:18">
      <c r="A12" s="631" t="s">
        <v>508</v>
      </c>
      <c r="B12" s="631"/>
      <c r="C12" s="631"/>
      <c r="D12" s="631"/>
      <c r="E12" s="631"/>
      <c r="F12" s="631"/>
      <c r="G12" s="631"/>
      <c r="H12" s="631"/>
      <c r="I12" s="631"/>
      <c r="J12" s="631"/>
      <c r="K12" s="631"/>
      <c r="L12" s="631"/>
    </row>
    <row r="13" spans="1:18">
      <c r="A13" s="632" t="s">
        <v>509</v>
      </c>
      <c r="B13" s="632"/>
      <c r="C13" s="632"/>
      <c r="D13" s="632"/>
      <c r="E13" s="632"/>
      <c r="F13" s="632"/>
      <c r="G13" s="632"/>
      <c r="H13" s="632"/>
      <c r="I13" s="632"/>
      <c r="J13" s="632"/>
      <c r="K13" s="632"/>
      <c r="L13" s="632"/>
    </row>
  </sheetData>
  <mergeCells count="14">
    <mergeCell ref="A9:G9"/>
    <mergeCell ref="A2:H2"/>
    <mergeCell ref="D3:G3"/>
    <mergeCell ref="N2:P2"/>
    <mergeCell ref="D4:G4"/>
    <mergeCell ref="D5:G5"/>
    <mergeCell ref="A6:G6"/>
    <mergeCell ref="A7:G7"/>
    <mergeCell ref="A8:G8"/>
    <mergeCell ref="A10:G10"/>
    <mergeCell ref="A11:G11"/>
    <mergeCell ref="I11:R11"/>
    <mergeCell ref="A12:L12"/>
    <mergeCell ref="A13:L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29124-2489-4041-B944-15C215DD050E}">
  <sheetPr>
    <tabColor theme="4" tint="0.59999389629810485"/>
  </sheetPr>
  <dimension ref="A1:I34"/>
  <sheetViews>
    <sheetView zoomScale="77" zoomScaleNormal="77" workbookViewId="0">
      <selection activeCell="E35" sqref="E35"/>
    </sheetView>
  </sheetViews>
  <sheetFormatPr defaultColWidth="8.85546875" defaultRowHeight="12.75"/>
  <cols>
    <col min="1" max="1" width="40.140625" style="215" customWidth="1"/>
    <col min="2" max="2" width="13.42578125" style="215" customWidth="1"/>
    <col min="3" max="3" width="22" style="215" customWidth="1"/>
    <col min="4" max="4" width="15.5703125" style="215" customWidth="1"/>
    <col min="5" max="5" width="17.7109375" style="215" customWidth="1"/>
    <col min="6" max="6" width="10.7109375" style="215" customWidth="1"/>
    <col min="7" max="16384" width="8.85546875" style="215"/>
  </cols>
  <sheetData>
    <row r="1" spans="1:9" ht="60.75" customHeight="1">
      <c r="E1" s="655" t="s">
        <v>75</v>
      </c>
      <c r="F1" s="655"/>
      <c r="G1" s="655"/>
      <c r="H1" s="655"/>
    </row>
    <row r="2" spans="1:9" ht="29.25" customHeight="1">
      <c r="A2" s="656" t="s">
        <v>519</v>
      </c>
      <c r="B2" s="656"/>
      <c r="C2" s="656"/>
      <c r="D2" s="656"/>
      <c r="E2" s="656"/>
      <c r="F2" s="656"/>
      <c r="G2" s="656"/>
      <c r="H2" s="656"/>
      <c r="I2" s="656"/>
    </row>
    <row r="3" spans="1:9" ht="40.15" customHeight="1">
      <c r="A3" s="657" t="s">
        <v>548</v>
      </c>
      <c r="B3" s="657"/>
      <c r="C3" s="657"/>
      <c r="D3" s="657"/>
      <c r="E3" s="657"/>
      <c r="F3" s="657"/>
      <c r="G3" s="657"/>
      <c r="H3" s="657"/>
      <c r="I3" s="657"/>
    </row>
    <row r="4" spans="1:9">
      <c r="A4" s="216" t="s">
        <v>512</v>
      </c>
    </row>
    <row r="5" spans="1:9">
      <c r="A5" s="659" t="s">
        <v>4</v>
      </c>
      <c r="B5" s="661" t="s">
        <v>522</v>
      </c>
      <c r="C5" s="661"/>
      <c r="D5" s="661" t="s">
        <v>130</v>
      </c>
      <c r="E5" s="661"/>
    </row>
    <row r="6" spans="1:9">
      <c r="A6" s="660"/>
      <c r="B6" s="226" t="s">
        <v>67</v>
      </c>
      <c r="C6" s="226" t="s">
        <v>521</v>
      </c>
      <c r="D6" s="226" t="s">
        <v>513</v>
      </c>
      <c r="E6" s="226" t="s">
        <v>521</v>
      </c>
    </row>
    <row r="7" spans="1:9">
      <c r="A7" s="138" t="s">
        <v>514</v>
      </c>
      <c r="B7" s="217">
        <v>61</v>
      </c>
      <c r="C7" s="217">
        <v>119133</v>
      </c>
      <c r="D7" s="217">
        <v>15</v>
      </c>
      <c r="E7" s="217">
        <v>29295</v>
      </c>
    </row>
    <row r="8" spans="1:9" ht="25.5">
      <c r="A8" s="218" t="s">
        <v>515</v>
      </c>
      <c r="B8" s="217">
        <v>0</v>
      </c>
      <c r="C8" s="217">
        <v>0</v>
      </c>
      <c r="D8" s="217">
        <v>46</v>
      </c>
      <c r="E8" s="217">
        <v>142492.35999999999</v>
      </c>
    </row>
    <row r="9" spans="1:9">
      <c r="A9" s="219" t="s">
        <v>68</v>
      </c>
      <c r="B9" s="220">
        <f>B7+B8</f>
        <v>61</v>
      </c>
      <c r="C9" s="220">
        <f>C7+C8</f>
        <v>119133</v>
      </c>
      <c r="D9" s="220">
        <f>D7+D8</f>
        <v>61</v>
      </c>
      <c r="E9" s="220">
        <f>E7+E8</f>
        <v>171787.36</v>
      </c>
    </row>
    <row r="10" spans="1:9" ht="25.5">
      <c r="A10" s="218" t="s">
        <v>520</v>
      </c>
      <c r="B10" s="104"/>
      <c r="C10" s="104"/>
      <c r="D10" s="104"/>
      <c r="E10" s="225">
        <f>E9-C9</f>
        <v>52654.359999999986</v>
      </c>
    </row>
    <row r="11" spans="1:9" ht="123.75" customHeight="1">
      <c r="A11" s="658" t="s">
        <v>549</v>
      </c>
      <c r="B11" s="658"/>
      <c r="C11" s="658"/>
      <c r="D11" s="658"/>
      <c r="E11" s="658"/>
      <c r="F11" s="658"/>
      <c r="G11" s="658"/>
      <c r="H11" s="658"/>
      <c r="I11" s="658"/>
    </row>
    <row r="12" spans="1:9">
      <c r="A12" s="222" t="s">
        <v>516</v>
      </c>
    </row>
    <row r="13" spans="1:9">
      <c r="A13" s="659" t="s">
        <v>4</v>
      </c>
      <c r="B13" s="661">
        <v>2022</v>
      </c>
      <c r="C13" s="661"/>
      <c r="D13" s="661">
        <v>2023</v>
      </c>
      <c r="E13" s="661"/>
      <c r="F13" s="654" t="s">
        <v>523</v>
      </c>
    </row>
    <row r="14" spans="1:9">
      <c r="A14" s="660"/>
      <c r="B14" s="226" t="s">
        <v>67</v>
      </c>
      <c r="C14" s="226" t="s">
        <v>521</v>
      </c>
      <c r="D14" s="226" t="s">
        <v>67</v>
      </c>
      <c r="E14" s="226" t="s">
        <v>521</v>
      </c>
      <c r="F14" s="654"/>
    </row>
    <row r="15" spans="1:9">
      <c r="A15" s="218" t="s">
        <v>517</v>
      </c>
      <c r="B15" s="217">
        <v>5166</v>
      </c>
      <c r="C15" s="217">
        <v>13076592.48</v>
      </c>
      <c r="D15" s="217">
        <v>4940</v>
      </c>
      <c r="E15" s="217">
        <v>12504523.200000001</v>
      </c>
      <c r="F15" s="223">
        <f>C15-E15</f>
        <v>572069.27999999933</v>
      </c>
    </row>
    <row r="17" spans="1:4">
      <c r="A17" s="216" t="s">
        <v>518</v>
      </c>
    </row>
    <row r="18" spans="1:4" ht="25.5">
      <c r="A18" s="218" t="s">
        <v>526</v>
      </c>
      <c r="B18" s="217">
        <v>572069.27999999933</v>
      </c>
    </row>
    <row r="19" spans="1:4" ht="38.25">
      <c r="A19" s="218" t="s">
        <v>525</v>
      </c>
      <c r="B19" s="224">
        <f>E10</f>
        <v>52654.359999999986</v>
      </c>
    </row>
    <row r="20" spans="1:4">
      <c r="A20" s="104" t="s">
        <v>523</v>
      </c>
      <c r="B20" s="224">
        <f>B18-B19</f>
        <v>519414.91999999934</v>
      </c>
      <c r="C20" s="221" t="s">
        <v>524</v>
      </c>
    </row>
    <row r="21" spans="1:4" ht="38.25">
      <c r="A21" s="19" t="s">
        <v>625</v>
      </c>
      <c r="B21" s="480">
        <v>519415</v>
      </c>
      <c r="C21" s="556"/>
      <c r="D21" s="13"/>
    </row>
    <row r="22" spans="1:4">
      <c r="A22" s="557" t="s">
        <v>622</v>
      </c>
      <c r="B22" s="555">
        <f>B20-B21</f>
        <v>-8.0000000656582415E-2</v>
      </c>
      <c r="C22" s="13"/>
      <c r="D22" s="13"/>
    </row>
    <row r="23" spans="1:4">
      <c r="A23" s="13"/>
      <c r="B23" s="13"/>
      <c r="C23" s="13"/>
      <c r="D23" s="13"/>
    </row>
    <row r="24" spans="1:4">
      <c r="A24" s="561" t="s">
        <v>635</v>
      </c>
      <c r="B24" s="13"/>
      <c r="C24" s="13"/>
      <c r="D24" s="13"/>
    </row>
    <row r="25" spans="1:4" ht="24">
      <c r="A25" s="562" t="s">
        <v>626</v>
      </c>
      <c r="B25" s="563" t="s">
        <v>634</v>
      </c>
      <c r="C25" s="563" t="s">
        <v>633</v>
      </c>
      <c r="D25" s="562" t="s">
        <v>523</v>
      </c>
    </row>
    <row r="26" spans="1:4">
      <c r="A26" s="564" t="s">
        <v>627</v>
      </c>
      <c r="B26" s="565">
        <v>166991.05406824101</v>
      </c>
      <c r="C26" s="565">
        <v>114018.90000000001</v>
      </c>
      <c r="D26" s="566">
        <f>C26-B26</f>
        <v>-52972.154068240998</v>
      </c>
    </row>
    <row r="27" spans="1:4">
      <c r="A27" s="564" t="s">
        <v>628</v>
      </c>
      <c r="B27" s="565">
        <v>230788.03359580055</v>
      </c>
      <c r="C27" s="565">
        <f>718860.105000029-71705</f>
        <v>647155.10500002897</v>
      </c>
      <c r="D27" s="566">
        <f>C27-B27</f>
        <v>416367.07140422845</v>
      </c>
    </row>
    <row r="28" spans="1:4">
      <c r="A28" s="564" t="s">
        <v>629</v>
      </c>
      <c r="B28" s="565">
        <v>65967.826771653548</v>
      </c>
      <c r="C28" s="565">
        <v>449955.7950000086</v>
      </c>
      <c r="D28" s="566">
        <f t="shared" ref="D28" si="0">C28-B28</f>
        <v>383987.96822835505</v>
      </c>
    </row>
    <row r="29" spans="1:4">
      <c r="A29" s="564" t="s">
        <v>630</v>
      </c>
      <c r="B29" s="565">
        <v>295143.20944881893</v>
      </c>
      <c r="C29" s="565">
        <v>395427.67500000569</v>
      </c>
      <c r="D29" s="566">
        <f>C29-B29</f>
        <v>100284.46555118676</v>
      </c>
    </row>
    <row r="30" spans="1:4">
      <c r="A30" s="564" t="s">
        <v>631</v>
      </c>
      <c r="B30" s="565">
        <v>806816</v>
      </c>
      <c r="C30" s="565">
        <v>301942.88999999489</v>
      </c>
      <c r="D30" s="566">
        <f>C30-B30</f>
        <v>-504873.11000000511</v>
      </c>
    </row>
    <row r="31" spans="1:4">
      <c r="A31" s="564" t="s">
        <v>632</v>
      </c>
      <c r="B31" s="565">
        <v>209075.50971128608</v>
      </c>
      <c r="C31" s="565">
        <f>457401.63-71705</f>
        <v>385696.63</v>
      </c>
      <c r="D31" s="566">
        <f>C31-B31</f>
        <v>176621.12028871392</v>
      </c>
    </row>
    <row r="32" spans="1:4">
      <c r="A32" s="567" t="s">
        <v>119</v>
      </c>
      <c r="B32" s="568">
        <f>SUM(B26:B31)</f>
        <v>1774781.6335958</v>
      </c>
      <c r="C32" s="568">
        <f>SUM(C26:C31)</f>
        <v>2294196.9950000378</v>
      </c>
      <c r="D32" s="569">
        <f>SUM(D26:D31)</f>
        <v>519415.36140423804</v>
      </c>
    </row>
    <row r="34" spans="3:3">
      <c r="C34" s="512"/>
    </row>
  </sheetData>
  <mergeCells count="11">
    <mergeCell ref="F13:F14"/>
    <mergeCell ref="E1:H1"/>
    <mergeCell ref="A2:I2"/>
    <mergeCell ref="A3:I3"/>
    <mergeCell ref="A11:I11"/>
    <mergeCell ref="A5:A6"/>
    <mergeCell ref="B5:C5"/>
    <mergeCell ref="D5:E5"/>
    <mergeCell ref="A13:A14"/>
    <mergeCell ref="B13:C13"/>
    <mergeCell ref="D13:E1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B7A6B-26FB-42C8-8B8B-E578D5B92005}">
  <sheetPr>
    <tabColor theme="4" tint="0.59999389629810485"/>
  </sheetPr>
  <dimension ref="A1:H48"/>
  <sheetViews>
    <sheetView topLeftCell="A10" zoomScale="69" zoomScaleNormal="69" workbookViewId="0">
      <selection activeCell="A37" sqref="A37:F48"/>
    </sheetView>
  </sheetViews>
  <sheetFormatPr defaultRowHeight="12.75"/>
  <cols>
    <col min="1" max="1" width="50.42578125" style="5" customWidth="1"/>
    <col min="2" max="2" width="32.85546875" style="5" customWidth="1"/>
    <col min="3" max="3" width="15.5703125" style="5" customWidth="1"/>
    <col min="4" max="4" width="34.85546875" style="5" customWidth="1"/>
    <col min="5" max="5" width="12.42578125" style="5" customWidth="1"/>
    <col min="6" max="6" width="24.28515625" style="5" customWidth="1"/>
    <col min="7" max="7" width="11.28515625" style="5" bestFit="1" customWidth="1"/>
    <col min="8" max="16384" width="9.140625" style="5"/>
  </cols>
  <sheetData>
    <row r="1" spans="1:8" ht="48" customHeight="1">
      <c r="D1" s="589" t="s">
        <v>529</v>
      </c>
      <c r="E1" s="589"/>
      <c r="F1" s="589"/>
      <c r="G1" s="589"/>
      <c r="H1" s="589"/>
    </row>
    <row r="2" spans="1:8">
      <c r="A2" s="16" t="s">
        <v>530</v>
      </c>
    </row>
    <row r="3" spans="1:8">
      <c r="A3" s="16" t="s">
        <v>531</v>
      </c>
    </row>
    <row r="5" spans="1:8">
      <c r="A5" s="16" t="s">
        <v>532</v>
      </c>
      <c r="C5" s="259">
        <f>1*330308</f>
        <v>330308</v>
      </c>
      <c r="G5" s="252"/>
    </row>
    <row r="7" spans="1:8">
      <c r="A7" s="16" t="s">
        <v>333</v>
      </c>
    </row>
    <row r="8" spans="1:8">
      <c r="A8" s="5" t="s">
        <v>334</v>
      </c>
    </row>
    <row r="9" spans="1:8">
      <c r="A9" s="260" t="s">
        <v>4</v>
      </c>
      <c r="B9" s="261" t="s">
        <v>522</v>
      </c>
      <c r="C9" s="261" t="s">
        <v>130</v>
      </c>
      <c r="D9" s="261" t="s">
        <v>523</v>
      </c>
    </row>
    <row r="10" spans="1:8">
      <c r="A10" s="38" t="s">
        <v>84</v>
      </c>
      <c r="B10" s="254">
        <v>10096285.650364744</v>
      </c>
      <c r="C10" s="254">
        <v>10026458.444856001</v>
      </c>
      <c r="D10" s="255">
        <f>B10-C10</f>
        <v>69827.205508742481</v>
      </c>
    </row>
    <row r="11" spans="1:8">
      <c r="A11" s="22" t="s">
        <v>336</v>
      </c>
      <c r="B11" s="254">
        <v>1470662</v>
      </c>
      <c r="C11" s="254"/>
      <c r="D11" s="255">
        <f>B11-C11</f>
        <v>1470662</v>
      </c>
    </row>
    <row r="12" spans="1:8">
      <c r="A12" s="253" t="s">
        <v>119</v>
      </c>
      <c r="B12" s="256">
        <f>B10+B11</f>
        <v>11566947.650364744</v>
      </c>
      <c r="C12" s="256">
        <f>C10+C11</f>
        <v>10026458.444856001</v>
      </c>
      <c r="D12" s="256">
        <f>D10+D11</f>
        <v>1540489.2055087425</v>
      </c>
    </row>
    <row r="14" spans="1:8">
      <c r="A14" s="16" t="s">
        <v>337</v>
      </c>
    </row>
    <row r="15" spans="1:8">
      <c r="A15" s="33" t="s">
        <v>338</v>
      </c>
      <c r="B15" s="255">
        <f>D12</f>
        <v>1540489.2055087425</v>
      </c>
    </row>
    <row r="16" spans="1:8">
      <c r="A16" s="17" t="s">
        <v>339</v>
      </c>
      <c r="B16" s="254">
        <f>C5</f>
        <v>330308</v>
      </c>
    </row>
    <row r="17" spans="1:6">
      <c r="A17" s="33" t="s">
        <v>335</v>
      </c>
      <c r="B17" s="255">
        <f>B15-B16</f>
        <v>1210181.2055087425</v>
      </c>
      <c r="C17" s="257" t="s">
        <v>340</v>
      </c>
    </row>
    <row r="18" spans="1:6" ht="25.5">
      <c r="A18" s="19" t="s">
        <v>620</v>
      </c>
      <c r="B18" s="480">
        <v>699098.000128538</v>
      </c>
    </row>
    <row r="19" spans="1:6" ht="25.5">
      <c r="A19" s="19" t="s">
        <v>621</v>
      </c>
      <c r="B19" s="480">
        <v>511083</v>
      </c>
    </row>
    <row r="20" spans="1:6">
      <c r="A20" s="35" t="s">
        <v>622</v>
      </c>
      <c r="B20" s="555">
        <f>B17-B18-B19</f>
        <v>0.20538020448293537</v>
      </c>
    </row>
    <row r="22" spans="1:6">
      <c r="A22" s="16" t="s">
        <v>533</v>
      </c>
    </row>
    <row r="24" spans="1:6">
      <c r="A24" s="16" t="s">
        <v>534</v>
      </c>
      <c r="E24" s="259">
        <f>3*327317</f>
        <v>981951</v>
      </c>
      <c r="F24" s="258"/>
    </row>
    <row r="26" spans="1:6">
      <c r="A26" s="16" t="s">
        <v>333</v>
      </c>
    </row>
    <row r="27" spans="1:6">
      <c r="A27" s="5" t="s">
        <v>334</v>
      </c>
    </row>
    <row r="28" spans="1:6">
      <c r="A28" s="260" t="s">
        <v>4</v>
      </c>
      <c r="B28" s="260" t="s">
        <v>522</v>
      </c>
      <c r="C28" s="260" t="s">
        <v>130</v>
      </c>
      <c r="D28" s="260" t="s">
        <v>523</v>
      </c>
    </row>
    <row r="29" spans="1:6">
      <c r="A29" s="38" t="s">
        <v>84</v>
      </c>
      <c r="B29" s="254">
        <v>14793291.040000001</v>
      </c>
      <c r="C29" s="254">
        <v>14117522.356392</v>
      </c>
      <c r="D29" s="255">
        <f>B29-C29</f>
        <v>675768.6836080011</v>
      </c>
    </row>
    <row r="30" spans="1:6">
      <c r="A30" s="22" t="s">
        <v>336</v>
      </c>
      <c r="B30" s="254">
        <v>1819543</v>
      </c>
      <c r="C30" s="254"/>
      <c r="D30" s="255">
        <f>B30-C30</f>
        <v>1819543</v>
      </c>
    </row>
    <row r="31" spans="1:6">
      <c r="A31" s="253" t="s">
        <v>119</v>
      </c>
      <c r="B31" s="256">
        <f>B29+B30</f>
        <v>16612834.040000001</v>
      </c>
      <c r="C31" s="256">
        <f>C29+C30</f>
        <v>14117522.356392</v>
      </c>
      <c r="D31" s="256">
        <f>D29+D30</f>
        <v>2495311.6836080011</v>
      </c>
    </row>
    <row r="33" spans="1:6">
      <c r="A33" s="16" t="s">
        <v>337</v>
      </c>
    </row>
    <row r="34" spans="1:6">
      <c r="A34" s="33" t="s">
        <v>338</v>
      </c>
      <c r="B34" s="255">
        <f>D31</f>
        <v>2495311.6836080011</v>
      </c>
    </row>
    <row r="35" spans="1:6">
      <c r="A35" s="17" t="s">
        <v>339</v>
      </c>
      <c r="B35" s="254">
        <f>E24</f>
        <v>981951</v>
      </c>
    </row>
    <row r="36" spans="1:6">
      <c r="A36" s="33" t="s">
        <v>335</v>
      </c>
      <c r="B36" s="255">
        <f>B34-B35</f>
        <v>1513360.6836080011</v>
      </c>
      <c r="C36" s="257" t="s">
        <v>340</v>
      </c>
    </row>
    <row r="37" spans="1:6">
      <c r="A37" s="35" t="s">
        <v>623</v>
      </c>
      <c r="B37" s="480">
        <v>1010309.845344946</v>
      </c>
      <c r="C37" s="556"/>
      <c r="D37" s="13"/>
      <c r="E37" s="13"/>
      <c r="F37" s="13"/>
    </row>
    <row r="38" spans="1:6" ht="25.5">
      <c r="A38" s="19" t="s">
        <v>621</v>
      </c>
      <c r="B38" s="480">
        <v>503051</v>
      </c>
      <c r="C38" s="13"/>
      <c r="D38" s="13"/>
      <c r="E38" s="13"/>
      <c r="F38" s="13"/>
    </row>
    <row r="39" spans="1:6">
      <c r="A39" s="557" t="s">
        <v>622</v>
      </c>
      <c r="B39" s="555">
        <f>B36-B37-B38</f>
        <v>-0.16173694492317736</v>
      </c>
      <c r="C39" s="13"/>
      <c r="D39" s="13"/>
      <c r="E39" s="13"/>
      <c r="F39" s="13"/>
    </row>
    <row r="40" spans="1:6">
      <c r="A40" s="558"/>
      <c r="B40" s="559"/>
      <c r="C40" s="13"/>
      <c r="D40" s="13"/>
      <c r="E40" s="13"/>
      <c r="F40" s="13"/>
    </row>
    <row r="41" spans="1:6">
      <c r="A41" s="13" t="s">
        <v>636</v>
      </c>
      <c r="B41" s="13"/>
      <c r="C41" s="13"/>
      <c r="D41" s="13"/>
      <c r="E41" s="13"/>
      <c r="F41" s="13"/>
    </row>
    <row r="42" spans="1:6">
      <c r="A42" s="515" t="s">
        <v>626</v>
      </c>
      <c r="B42" s="515" t="s">
        <v>641</v>
      </c>
      <c r="C42" s="13"/>
      <c r="D42" s="13"/>
      <c r="E42" s="13"/>
      <c r="F42" s="13"/>
    </row>
    <row r="43" spans="1:6">
      <c r="A43" s="480" t="s">
        <v>637</v>
      </c>
      <c r="B43" s="480">
        <v>1010309.845344946</v>
      </c>
      <c r="C43" s="13"/>
      <c r="D43" s="13"/>
      <c r="E43" s="13"/>
      <c r="F43" s="13"/>
    </row>
    <row r="44" spans="1:6">
      <c r="A44" s="480" t="s">
        <v>638</v>
      </c>
      <c r="B44" s="480">
        <v>558072</v>
      </c>
      <c r="C44" s="560"/>
      <c r="D44" s="13"/>
      <c r="E44" s="13"/>
      <c r="F44" s="13"/>
    </row>
    <row r="45" spans="1:6">
      <c r="A45" s="480" t="s">
        <v>639</v>
      </c>
      <c r="B45" s="480">
        <v>699098.000128538</v>
      </c>
      <c r="C45" s="13"/>
      <c r="D45" s="13"/>
      <c r="E45" s="13"/>
      <c r="F45" s="13"/>
    </row>
    <row r="46" spans="1:6">
      <c r="A46" s="480" t="s">
        <v>640</v>
      </c>
      <c r="B46" s="480">
        <v>456062.10525707906</v>
      </c>
      <c r="C46" s="13"/>
      <c r="D46" s="13"/>
      <c r="E46" s="13"/>
      <c r="F46" s="13"/>
    </row>
    <row r="47" spans="1:6" ht="70.5" customHeight="1">
      <c r="A47" s="657" t="s">
        <v>619</v>
      </c>
      <c r="B47" s="657"/>
      <c r="C47" s="657"/>
      <c r="D47" s="657"/>
      <c r="E47" s="657"/>
      <c r="F47" s="657"/>
    </row>
    <row r="48" spans="1:6" ht="26.25" customHeight="1">
      <c r="A48" s="657" t="s">
        <v>624</v>
      </c>
      <c r="B48" s="657"/>
      <c r="C48" s="657"/>
      <c r="D48" s="657"/>
      <c r="E48" s="657"/>
      <c r="F48" s="657"/>
    </row>
  </sheetData>
  <mergeCells count="3">
    <mergeCell ref="D1:H1"/>
    <mergeCell ref="A47:F47"/>
    <mergeCell ref="A48:F48"/>
  </mergeCells>
  <pageMargins left="0.7" right="0.7" top="0.75" bottom="0.75" header="0.3" footer="0.3"/>
  <pageSetup orientation="portrait" horizontalDpi="90" verticalDpi="9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9766C-0431-48F1-A371-3070DB503FDD}">
  <sheetPr>
    <tabColor theme="4" tint="0.59999389629810485"/>
  </sheetPr>
  <dimension ref="A1:W23"/>
  <sheetViews>
    <sheetView zoomScale="69" zoomScaleNormal="69" workbookViewId="0">
      <selection activeCell="A15" sqref="A15"/>
    </sheetView>
  </sheetViews>
  <sheetFormatPr defaultColWidth="9.140625" defaultRowHeight="12.75"/>
  <cols>
    <col min="1" max="1" width="53.85546875" style="229" customWidth="1"/>
    <col min="2" max="2" width="13.42578125" style="229" customWidth="1"/>
    <col min="3" max="3" width="15.5703125" style="229" customWidth="1"/>
    <col min="4" max="4" width="16.140625" style="229" customWidth="1"/>
    <col min="5" max="5" width="15.5703125" style="228" customWidth="1"/>
    <col min="6" max="7" width="12.85546875" style="228" customWidth="1"/>
    <col min="8" max="8" width="17.42578125" style="228" customWidth="1"/>
    <col min="9" max="9" width="12.42578125" style="229" customWidth="1"/>
    <col min="10" max="10" width="16.5703125" style="229" customWidth="1"/>
    <col min="11" max="11" width="16.42578125" style="229" customWidth="1"/>
    <col min="12" max="12" width="13.5703125" style="229" customWidth="1"/>
    <col min="13" max="13" width="16" style="229" customWidth="1"/>
    <col min="14" max="14" width="13.42578125" style="229" customWidth="1"/>
    <col min="15" max="15" width="17.42578125" style="229" customWidth="1"/>
    <col min="16" max="16" width="15.140625" style="229" customWidth="1"/>
    <col min="17" max="17" width="15.140625" style="230" customWidth="1"/>
    <col min="18" max="18" width="15.28515625" style="39" customWidth="1"/>
    <col min="19" max="19" width="20.140625" style="39" customWidth="1"/>
    <col min="20" max="20" width="15.28515625" style="39" customWidth="1"/>
    <col min="21" max="21" width="14.140625" style="39" customWidth="1"/>
    <col min="22" max="23" width="9.140625" style="39"/>
    <col min="24" max="16384" width="9.140625" style="229"/>
  </cols>
  <sheetData>
    <row r="1" spans="1:23" ht="57" customHeight="1">
      <c r="O1" s="662" t="s">
        <v>528</v>
      </c>
      <c r="P1" s="662"/>
      <c r="Q1" s="662"/>
    </row>
    <row r="2" spans="1:23">
      <c r="A2" s="137" t="s">
        <v>527</v>
      </c>
      <c r="B2" s="227"/>
      <c r="C2" s="227"/>
      <c r="D2" s="227"/>
      <c r="E2" s="227"/>
      <c r="F2" s="227"/>
      <c r="G2" s="227"/>
      <c r="H2" s="227"/>
      <c r="I2" s="227"/>
      <c r="J2" s="227"/>
      <c r="K2" s="228"/>
      <c r="L2" s="39"/>
      <c r="M2" s="39"/>
      <c r="N2" s="39"/>
      <c r="O2" s="39"/>
    </row>
    <row r="3" spans="1:23" ht="38.25">
      <c r="A3" s="304" t="s">
        <v>341</v>
      </c>
      <c r="B3" s="305" t="s">
        <v>545</v>
      </c>
      <c r="C3" s="305" t="s">
        <v>544</v>
      </c>
      <c r="D3" s="305" t="s">
        <v>536</v>
      </c>
      <c r="E3" s="305" t="s">
        <v>537</v>
      </c>
      <c r="F3" s="663" t="s">
        <v>546</v>
      </c>
      <c r="G3" s="238" t="s">
        <v>342</v>
      </c>
      <c r="H3" s="239"/>
      <c r="I3" s="238"/>
      <c r="J3" s="238"/>
      <c r="K3" s="238"/>
      <c r="L3" s="39"/>
      <c r="M3" s="227"/>
      <c r="N3" s="39"/>
      <c r="O3" s="39"/>
    </row>
    <row r="4" spans="1:23">
      <c r="A4" s="306"/>
      <c r="B4" s="307" t="s">
        <v>343</v>
      </c>
      <c r="C4" s="307" t="s">
        <v>344</v>
      </c>
      <c r="D4" s="307" t="s">
        <v>250</v>
      </c>
      <c r="E4" s="307" t="s">
        <v>251</v>
      </c>
      <c r="F4" s="664"/>
      <c r="G4" s="240">
        <f>H4+I4</f>
        <v>4.5</v>
      </c>
      <c r="H4" s="241">
        <v>3</v>
      </c>
      <c r="I4" s="240">
        <v>1.5</v>
      </c>
      <c r="J4" s="238"/>
      <c r="K4" s="238"/>
      <c r="L4" s="39"/>
      <c r="M4" s="227"/>
      <c r="N4" s="39"/>
      <c r="O4" s="39"/>
    </row>
    <row r="5" spans="1:23">
      <c r="A5" s="136" t="s">
        <v>345</v>
      </c>
      <c r="B5" s="322">
        <v>7854</v>
      </c>
      <c r="C5" s="322">
        <v>7822</v>
      </c>
      <c r="D5" s="322">
        <v>874</v>
      </c>
      <c r="E5" s="322">
        <v>1441</v>
      </c>
      <c r="F5" s="323">
        <f>SUM(B5:E5)</f>
        <v>17991</v>
      </c>
      <c r="G5" s="238"/>
      <c r="H5" s="242"/>
      <c r="I5" s="242"/>
      <c r="J5" s="242"/>
      <c r="K5" s="242"/>
      <c r="L5" s="232"/>
      <c r="M5" s="227"/>
      <c r="N5" s="39"/>
      <c r="O5" s="227"/>
    </row>
    <row r="6" spans="1:23">
      <c r="A6" s="136" t="s">
        <v>346</v>
      </c>
      <c r="B6" s="322">
        <v>1265</v>
      </c>
      <c r="C6" s="322">
        <v>7822</v>
      </c>
      <c r="D6" s="322">
        <v>874</v>
      </c>
      <c r="E6" s="322">
        <v>1441</v>
      </c>
      <c r="F6" s="323">
        <f>SUM(B6:E6)</f>
        <v>11402</v>
      </c>
      <c r="G6" s="243" t="s">
        <v>347</v>
      </c>
      <c r="H6" s="242"/>
      <c r="I6" s="242"/>
      <c r="J6" s="242"/>
      <c r="K6" s="238"/>
      <c r="L6" s="232"/>
      <c r="M6" s="227"/>
      <c r="N6" s="39"/>
      <c r="O6" s="227"/>
    </row>
    <row r="7" spans="1:23" ht="25.5">
      <c r="A7" s="136" t="s">
        <v>348</v>
      </c>
      <c r="B7" s="322">
        <v>380</v>
      </c>
      <c r="C7" s="322">
        <v>7822</v>
      </c>
      <c r="D7" s="322">
        <v>874</v>
      </c>
      <c r="E7" s="322">
        <v>1441</v>
      </c>
      <c r="F7" s="323">
        <f>SUM(B7:E7)</f>
        <v>10517</v>
      </c>
      <c r="G7" s="241" t="s">
        <v>119</v>
      </c>
      <c r="H7" s="244" t="s">
        <v>349</v>
      </c>
      <c r="I7" s="244" t="s">
        <v>350</v>
      </c>
      <c r="J7" s="244" t="s">
        <v>351</v>
      </c>
      <c r="K7" s="238"/>
      <c r="L7" s="232"/>
      <c r="M7" s="227"/>
      <c r="N7" s="39"/>
      <c r="O7" s="227"/>
    </row>
    <row r="8" spans="1:23">
      <c r="A8" s="136" t="s">
        <v>352</v>
      </c>
      <c r="B8" s="322">
        <v>330</v>
      </c>
      <c r="C8" s="322">
        <v>7822</v>
      </c>
      <c r="D8" s="322">
        <v>874</v>
      </c>
      <c r="E8" s="322">
        <v>1441</v>
      </c>
      <c r="F8" s="323">
        <f>SUM(B8:E8)</f>
        <v>10467</v>
      </c>
      <c r="G8" s="241">
        <f>H8+I8</f>
        <v>4.75</v>
      </c>
      <c r="H8" s="241">
        <v>3.17</v>
      </c>
      <c r="I8" s="241">
        <v>1.58</v>
      </c>
      <c r="J8" s="240"/>
      <c r="K8" s="238"/>
      <c r="L8" s="232"/>
      <c r="M8" s="227"/>
      <c r="N8" s="39"/>
      <c r="O8" s="227"/>
    </row>
    <row r="9" spans="1:23">
      <c r="A9" s="136" t="s">
        <v>353</v>
      </c>
      <c r="B9" s="322">
        <v>760</v>
      </c>
      <c r="C9" s="322">
        <v>7822</v>
      </c>
      <c r="D9" s="322">
        <v>874</v>
      </c>
      <c r="E9" s="322">
        <v>1441</v>
      </c>
      <c r="F9" s="323">
        <f>SUM(B9:E9)</f>
        <v>10897</v>
      </c>
      <c r="G9" s="241" t="s">
        <v>354</v>
      </c>
      <c r="H9" s="241"/>
      <c r="I9" s="241">
        <v>0.75</v>
      </c>
      <c r="J9" s="241">
        <v>0.19</v>
      </c>
      <c r="K9" s="238">
        <v>0.2359</v>
      </c>
      <c r="L9" s="232"/>
    </row>
    <row r="10" spans="1:23">
      <c r="D10" s="228"/>
      <c r="F10" s="238"/>
      <c r="G10" s="238"/>
      <c r="H10" s="238"/>
      <c r="I10" s="238"/>
      <c r="J10" s="238"/>
      <c r="K10" s="238"/>
    </row>
    <row r="11" spans="1:23">
      <c r="B11" s="233"/>
      <c r="C11" s="233"/>
      <c r="D11" s="234"/>
      <c r="E11" s="234"/>
      <c r="F11" s="665" t="s">
        <v>355</v>
      </c>
      <c r="G11" s="665"/>
      <c r="H11" s="665"/>
      <c r="I11" s="665"/>
      <c r="J11" s="665"/>
      <c r="K11" s="665"/>
      <c r="L11" s="227"/>
      <c r="M11" s="227"/>
      <c r="N11" s="227"/>
      <c r="O11" s="227"/>
      <c r="P11" s="227"/>
      <c r="Q11" s="231"/>
    </row>
    <row r="12" spans="1:23" s="235" customFormat="1" ht="63.75">
      <c r="A12" s="308" t="s">
        <v>356</v>
      </c>
      <c r="B12" s="309" t="s">
        <v>357</v>
      </c>
      <c r="C12" s="310" t="s">
        <v>358</v>
      </c>
      <c r="D12" s="309" t="s">
        <v>359</v>
      </c>
      <c r="E12" s="309" t="s">
        <v>543</v>
      </c>
      <c r="F12" s="309" t="s">
        <v>360</v>
      </c>
      <c r="G12" s="309" t="s">
        <v>361</v>
      </c>
      <c r="H12" s="309" t="s">
        <v>362</v>
      </c>
      <c r="I12" s="309" t="s">
        <v>363</v>
      </c>
      <c r="J12" s="309" t="s">
        <v>542</v>
      </c>
      <c r="K12" s="310" t="s">
        <v>541</v>
      </c>
      <c r="L12" s="305" t="s">
        <v>540</v>
      </c>
      <c r="M12" s="311" t="s">
        <v>535</v>
      </c>
      <c r="N12" s="305" t="s">
        <v>539</v>
      </c>
      <c r="O12" s="312" t="s">
        <v>536</v>
      </c>
      <c r="P12" s="305" t="s">
        <v>537</v>
      </c>
      <c r="Q12" s="313" t="s">
        <v>538</v>
      </c>
      <c r="R12" s="39"/>
      <c r="S12" s="39"/>
      <c r="T12" s="39"/>
      <c r="U12" s="39"/>
      <c r="V12" s="39"/>
      <c r="W12" s="39"/>
    </row>
    <row r="13" spans="1:23" s="39" customFormat="1">
      <c r="A13" s="246" t="s">
        <v>365</v>
      </c>
      <c r="B13" s="245"/>
      <c r="C13" s="241"/>
      <c r="D13" s="241"/>
      <c r="E13" s="241"/>
      <c r="F13" s="241"/>
      <c r="G13" s="314"/>
      <c r="H13" s="314"/>
      <c r="I13" s="314"/>
      <c r="J13" s="247">
        <f>ROUND(SUM(J14:J16),0)</f>
        <v>248871</v>
      </c>
      <c r="K13" s="247">
        <f>ROUND(SUM(K14:K16),0)</f>
        <v>58709</v>
      </c>
      <c r="L13" s="247">
        <f>ROUND(SUM(L14:L16),0)</f>
        <v>7854</v>
      </c>
      <c r="M13" s="248">
        <v>4737</v>
      </c>
      <c r="N13" s="236">
        <f>ROUND(SUM(N14:N16),0)</f>
        <v>7822</v>
      </c>
      <c r="O13" s="236">
        <f>ROUND(SUM(O14:O16),0)</f>
        <v>874</v>
      </c>
      <c r="P13" s="236">
        <f>ROUND(SUM(P14:P16),0)</f>
        <v>1441</v>
      </c>
      <c r="Q13" s="315">
        <f>SUM(J13:P13)</f>
        <v>330308</v>
      </c>
      <c r="R13" s="237"/>
    </row>
    <row r="14" spans="1:23" s="39" customFormat="1">
      <c r="A14" s="246" t="s">
        <v>366</v>
      </c>
      <c r="B14" s="316">
        <f>4.75*C14</f>
        <v>4.75</v>
      </c>
      <c r="C14" s="316">
        <v>1</v>
      </c>
      <c r="D14" s="241"/>
      <c r="E14" s="316">
        <f>SUM(E16:E16)</f>
        <v>17991</v>
      </c>
      <c r="F14" s="249">
        <v>2083</v>
      </c>
      <c r="G14" s="314">
        <f>C14*F14*3.17*12</f>
        <v>79237.319999999992</v>
      </c>
      <c r="H14" s="314">
        <f>C14*F14*1.58*1.75*12</f>
        <v>69113.94</v>
      </c>
      <c r="I14" s="314">
        <f>C14*F14*0.19*12</f>
        <v>4749.24</v>
      </c>
      <c r="J14" s="314">
        <f>G14+H14+I14</f>
        <v>153100.5</v>
      </c>
      <c r="K14" s="314">
        <f>J14*$K$9</f>
        <v>36116.407950000001</v>
      </c>
      <c r="L14" s="314"/>
      <c r="M14" s="314"/>
      <c r="N14" s="317"/>
      <c r="O14" s="317"/>
      <c r="P14" s="317"/>
      <c r="Q14" s="318"/>
    </row>
    <row r="15" spans="1:23" s="39" customFormat="1">
      <c r="A15" s="246" t="s">
        <v>367</v>
      </c>
      <c r="B15" s="316">
        <f>4.75*C15</f>
        <v>4.75</v>
      </c>
      <c r="C15" s="316">
        <f>C14</f>
        <v>1</v>
      </c>
      <c r="D15" s="241"/>
      <c r="E15" s="241"/>
      <c r="F15" s="249">
        <v>1303</v>
      </c>
      <c r="G15" s="314">
        <f>C15*F15*3.17*12</f>
        <v>49566.12</v>
      </c>
      <c r="H15" s="314">
        <f>C15*F15*1.58*1.75*12</f>
        <v>43233.540000000008</v>
      </c>
      <c r="I15" s="314">
        <f>C15*F15*0.19*12</f>
        <v>2970.84</v>
      </c>
      <c r="J15" s="314">
        <f>G15+H15+I15</f>
        <v>95770.5</v>
      </c>
      <c r="K15" s="314">
        <f>J15*$K$9</f>
        <v>22592.26095</v>
      </c>
      <c r="L15" s="314"/>
      <c r="M15" s="314"/>
      <c r="N15" s="317"/>
      <c r="O15" s="317"/>
      <c r="P15" s="317"/>
      <c r="Q15" s="318"/>
    </row>
    <row r="16" spans="1:23" s="39" customFormat="1">
      <c r="A16" s="250" t="s">
        <v>368</v>
      </c>
      <c r="B16" s="245"/>
      <c r="C16" s="319"/>
      <c r="D16" s="241">
        <v>1</v>
      </c>
      <c r="E16" s="241">
        <f>D16*$F$5</f>
        <v>17991</v>
      </c>
      <c r="F16" s="241"/>
      <c r="G16" s="314"/>
      <c r="H16" s="314"/>
      <c r="I16" s="314"/>
      <c r="J16" s="314"/>
      <c r="K16" s="314"/>
      <c r="L16" s="251">
        <f>$D16*$B$5</f>
        <v>7854</v>
      </c>
      <c r="M16" s="251"/>
      <c r="N16" s="135">
        <f>$D16*$C$5</f>
        <v>7822</v>
      </c>
      <c r="O16" s="135">
        <f>$D16*$D$5</f>
        <v>874</v>
      </c>
      <c r="P16" s="135">
        <f>$D16*$E$5</f>
        <v>1441</v>
      </c>
      <c r="Q16" s="318"/>
    </row>
    <row r="17" spans="1:18" s="39" customFormat="1">
      <c r="A17" s="246" t="s">
        <v>369</v>
      </c>
      <c r="B17" s="319"/>
      <c r="C17" s="319"/>
      <c r="D17" s="241"/>
      <c r="E17" s="241"/>
      <c r="F17" s="241"/>
      <c r="G17" s="314"/>
      <c r="H17" s="314"/>
      <c r="I17" s="314"/>
      <c r="J17" s="247">
        <f>ROUND(SUM(J18:J22),0)</f>
        <v>746613</v>
      </c>
      <c r="K17" s="247">
        <f>ROUND(SUM(K18:K22),0)</f>
        <v>176126</v>
      </c>
      <c r="L17" s="247">
        <f>ROUND(SUM(L18:L22),0)</f>
        <v>23562</v>
      </c>
      <c r="M17" s="248">
        <v>5239</v>
      </c>
      <c r="N17" s="236">
        <f>ROUND(SUM(N18:N22),0)</f>
        <v>23466</v>
      </c>
      <c r="O17" s="236">
        <f>ROUND(SUM(O18:O22),0)</f>
        <v>2622</v>
      </c>
      <c r="P17" s="236">
        <f>ROUND(SUM(P18:P22),0)</f>
        <v>4323</v>
      </c>
      <c r="Q17" s="315">
        <f>SUM(J17:P17)</f>
        <v>981951</v>
      </c>
    </row>
    <row r="18" spans="1:18" s="39" customFormat="1">
      <c r="A18" s="246" t="s">
        <v>366</v>
      </c>
      <c r="B18" s="316">
        <f>4.75*C18</f>
        <v>14.25</v>
      </c>
      <c r="C18" s="316">
        <v>3</v>
      </c>
      <c r="D18" s="241"/>
      <c r="E18" s="316">
        <f>SUM(E20:E22)</f>
        <v>53973</v>
      </c>
      <c r="F18" s="249">
        <v>2083</v>
      </c>
      <c r="G18" s="314">
        <f>C18*F18*3.17*12</f>
        <v>237711.95999999996</v>
      </c>
      <c r="H18" s="314">
        <f>C18*F18*1.58*1.75*12</f>
        <v>207341.82</v>
      </c>
      <c r="I18" s="314">
        <f>C18*F18*0.19*12</f>
        <v>14247.72</v>
      </c>
      <c r="J18" s="314">
        <f>G18+H18+I18</f>
        <v>459301.49999999994</v>
      </c>
      <c r="K18" s="314">
        <f>J18*$K$9</f>
        <v>108349.22384999998</v>
      </c>
      <c r="L18" s="314"/>
      <c r="M18" s="314"/>
      <c r="N18" s="317"/>
      <c r="O18" s="317"/>
      <c r="P18" s="317"/>
      <c r="Q18" s="318"/>
    </row>
    <row r="19" spans="1:18" s="39" customFormat="1">
      <c r="A19" s="246" t="s">
        <v>367</v>
      </c>
      <c r="B19" s="316">
        <f>4.75*C19</f>
        <v>14.25</v>
      </c>
      <c r="C19" s="316">
        <v>3</v>
      </c>
      <c r="D19" s="241"/>
      <c r="E19" s="241"/>
      <c r="F19" s="249">
        <v>1303</v>
      </c>
      <c r="G19" s="314">
        <f>C19*F19*3.17*12</f>
        <v>148698.35999999999</v>
      </c>
      <c r="H19" s="314">
        <f>C19*F19*1.58*1.75*12</f>
        <v>129700.62</v>
      </c>
      <c r="I19" s="314">
        <f>C19*F19*0.19*12</f>
        <v>8912.52</v>
      </c>
      <c r="J19" s="314">
        <f>G19+H19+I19</f>
        <v>287311.5</v>
      </c>
      <c r="K19" s="314">
        <f>J19*$K$9</f>
        <v>67776.782850000003</v>
      </c>
      <c r="L19" s="314"/>
      <c r="M19" s="314"/>
      <c r="N19" s="317"/>
      <c r="O19" s="317"/>
      <c r="P19" s="317"/>
      <c r="Q19" s="320"/>
    </row>
    <row r="20" spans="1:18" s="39" customFormat="1">
      <c r="A20" s="240" t="s">
        <v>370</v>
      </c>
      <c r="B20" s="245"/>
      <c r="C20" s="319"/>
      <c r="D20" s="241">
        <v>1</v>
      </c>
      <c r="E20" s="241">
        <f>D20*$F$5</f>
        <v>17991</v>
      </c>
      <c r="F20" s="241"/>
      <c r="G20" s="314"/>
      <c r="H20" s="314"/>
      <c r="I20" s="314"/>
      <c r="J20" s="314"/>
      <c r="K20" s="314"/>
      <c r="L20" s="251">
        <f>$D20*$B$5</f>
        <v>7854</v>
      </c>
      <c r="M20" s="251"/>
      <c r="N20" s="135">
        <f>$D20*$C$5</f>
        <v>7822</v>
      </c>
      <c r="O20" s="135">
        <f>$D20*$D$5</f>
        <v>874</v>
      </c>
      <c r="P20" s="135">
        <f>$D20*$E$5</f>
        <v>1441</v>
      </c>
      <c r="Q20" s="320"/>
      <c r="R20" s="227"/>
    </row>
    <row r="21" spans="1:18" s="39" customFormat="1">
      <c r="A21" s="250" t="s">
        <v>368</v>
      </c>
      <c r="B21" s="245"/>
      <c r="C21" s="319"/>
      <c r="D21" s="241">
        <v>1</v>
      </c>
      <c r="E21" s="241">
        <f>D21*$F$5</f>
        <v>17991</v>
      </c>
      <c r="F21" s="241"/>
      <c r="G21" s="314"/>
      <c r="H21" s="314"/>
      <c r="I21" s="314"/>
      <c r="J21" s="314"/>
      <c r="K21" s="314"/>
      <c r="L21" s="251">
        <f>$D21*$B$5</f>
        <v>7854</v>
      </c>
      <c r="M21" s="251"/>
      <c r="N21" s="135">
        <f>$D21*$C$5</f>
        <v>7822</v>
      </c>
      <c r="O21" s="135">
        <f>$D21*$D$5</f>
        <v>874</v>
      </c>
      <c r="P21" s="135">
        <f>$D21*$E$5</f>
        <v>1441</v>
      </c>
      <c r="Q21" s="320"/>
    </row>
    <row r="22" spans="1:18" s="39" customFormat="1">
      <c r="A22" s="240" t="s">
        <v>371</v>
      </c>
      <c r="B22" s="321"/>
      <c r="C22" s="241"/>
      <c r="D22" s="241">
        <v>1</v>
      </c>
      <c r="E22" s="241">
        <f>D22*$F$5</f>
        <v>17991</v>
      </c>
      <c r="F22" s="241"/>
      <c r="G22" s="314"/>
      <c r="H22" s="314"/>
      <c r="I22" s="314"/>
      <c r="J22" s="314"/>
      <c r="K22" s="314"/>
      <c r="L22" s="251">
        <f>$D22*$B$5</f>
        <v>7854</v>
      </c>
      <c r="M22" s="251"/>
      <c r="N22" s="135">
        <f>$D22*$C$5</f>
        <v>7822</v>
      </c>
      <c r="O22" s="135">
        <f>$D22*$D$5</f>
        <v>874</v>
      </c>
      <c r="P22" s="135">
        <f>$D22*$E$5</f>
        <v>1441</v>
      </c>
      <c r="Q22" s="320"/>
    </row>
    <row r="23" spans="1:18">
      <c r="A23" s="238"/>
      <c r="B23" s="238"/>
      <c r="C23" s="238"/>
      <c r="D23" s="238"/>
      <c r="E23" s="239"/>
      <c r="F23" s="239"/>
      <c r="G23" s="239"/>
      <c r="H23" s="239"/>
      <c r="I23" s="238"/>
      <c r="J23" s="238"/>
      <c r="K23" s="238"/>
      <c r="L23" s="238"/>
      <c r="M23" s="238"/>
    </row>
  </sheetData>
  <mergeCells count="3">
    <mergeCell ref="O1:Q1"/>
    <mergeCell ref="F3:F4"/>
    <mergeCell ref="F11:K1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2F90B-579E-4915-860A-E26D02CE9A85}">
  <sheetPr>
    <tabColor theme="4" tint="0.59999389629810485"/>
  </sheetPr>
  <dimension ref="A1:AV51"/>
  <sheetViews>
    <sheetView topLeftCell="L1" zoomScale="60" zoomScaleNormal="60" workbookViewId="0">
      <selection activeCell="X59" sqref="X59"/>
    </sheetView>
  </sheetViews>
  <sheetFormatPr defaultColWidth="9.140625" defaultRowHeight="12.75"/>
  <cols>
    <col min="1" max="1" width="11.7109375" style="341" customWidth="1"/>
    <col min="2" max="2" width="38" style="341" customWidth="1"/>
    <col min="3" max="3" width="15.85546875" style="341" customWidth="1"/>
    <col min="4" max="4" width="14.5703125" style="341" customWidth="1"/>
    <col min="5" max="5" width="11.85546875" style="341" customWidth="1"/>
    <col min="6" max="6" width="14.28515625" style="341" customWidth="1"/>
    <col min="7" max="7" width="14.42578125" style="341" customWidth="1"/>
    <col min="8" max="8" width="18.28515625" style="341" customWidth="1"/>
    <col min="9" max="9" width="16.5703125" style="341" customWidth="1"/>
    <col min="10" max="10" width="14.140625" style="341" customWidth="1"/>
    <col min="11" max="11" width="13.5703125" style="341" customWidth="1"/>
    <col min="12" max="12" width="15.42578125" style="341" customWidth="1"/>
    <col min="13" max="13" width="16.85546875" style="341" customWidth="1"/>
    <col min="14" max="14" width="17" style="341" customWidth="1"/>
    <col min="15" max="15" width="11.140625" style="341" customWidth="1"/>
    <col min="16" max="16" width="13.28515625" style="341" customWidth="1"/>
    <col min="17" max="17" width="61.5703125" style="341" customWidth="1"/>
    <col min="18" max="18" width="16.42578125" style="341" customWidth="1"/>
    <col min="19" max="19" width="16" style="341" customWidth="1"/>
    <col min="20" max="20" width="27.28515625" style="341" customWidth="1"/>
    <col min="21" max="21" width="17.140625" style="341" customWidth="1"/>
    <col min="22" max="22" width="16" style="341" customWidth="1"/>
    <col min="23" max="23" width="12.42578125" style="341" customWidth="1"/>
    <col min="24" max="24" width="12.28515625" style="341" customWidth="1"/>
    <col min="25" max="42" width="9.140625" style="341"/>
    <col min="43" max="43" width="12.85546875" style="341" bestFit="1" customWidth="1"/>
    <col min="44" max="16384" width="9.140625" style="341"/>
  </cols>
  <sheetData>
    <row r="1" spans="1:34" ht="62.25" customHeight="1">
      <c r="Q1" s="667" t="s">
        <v>567</v>
      </c>
      <c r="R1" s="667"/>
      <c r="S1" s="667"/>
      <c r="T1" s="667"/>
    </row>
    <row r="2" spans="1:34">
      <c r="A2" s="668" t="s">
        <v>406</v>
      </c>
      <c r="B2" s="668"/>
      <c r="C2" s="668"/>
      <c r="D2" s="668"/>
      <c r="E2" s="668"/>
      <c r="F2" s="668"/>
      <c r="G2" s="668"/>
      <c r="H2" s="668"/>
    </row>
    <row r="3" spans="1:34" ht="57" customHeight="1">
      <c r="F3" s="666" t="s">
        <v>566</v>
      </c>
      <c r="G3" s="666"/>
      <c r="H3" s="666"/>
      <c r="I3" s="666"/>
    </row>
    <row r="4" spans="1:34" ht="38.25">
      <c r="A4" s="342"/>
      <c r="B4" s="327" t="s">
        <v>372</v>
      </c>
      <c r="C4" s="327" t="s">
        <v>373</v>
      </c>
      <c r="D4" s="328" t="s">
        <v>374</v>
      </c>
      <c r="E4" s="343"/>
      <c r="F4" s="326"/>
      <c r="G4" s="327" t="s">
        <v>372</v>
      </c>
      <c r="H4" s="327" t="s">
        <v>373</v>
      </c>
      <c r="I4" s="328" t="s">
        <v>374</v>
      </c>
      <c r="J4" s="343"/>
      <c r="K4" s="326"/>
      <c r="L4" s="327" t="s">
        <v>372</v>
      </c>
      <c r="M4" s="327" t="s">
        <v>373</v>
      </c>
      <c r="N4" s="328" t="s">
        <v>374</v>
      </c>
      <c r="O4" s="343"/>
      <c r="P4" s="343"/>
      <c r="Q4" s="427" t="s">
        <v>594</v>
      </c>
      <c r="R4" s="330"/>
      <c r="S4" s="330"/>
      <c r="T4" s="331"/>
      <c r="U4" s="344"/>
      <c r="V4" s="344"/>
      <c r="W4" s="344"/>
      <c r="X4" s="343"/>
      <c r="Y4" s="343"/>
      <c r="Z4" s="343"/>
      <c r="AA4" s="343"/>
      <c r="AB4" s="343"/>
      <c r="AC4" s="343"/>
      <c r="AD4" s="343"/>
      <c r="AE4" s="343"/>
      <c r="AF4" s="343"/>
      <c r="AG4" s="343"/>
      <c r="AH4" s="343"/>
    </row>
    <row r="5" spans="1:34">
      <c r="A5" s="266" t="s">
        <v>375</v>
      </c>
      <c r="B5" s="345">
        <f>ROUND(U25,0)</f>
        <v>50800</v>
      </c>
      <c r="C5" s="345">
        <f>B5</f>
        <v>50800</v>
      </c>
      <c r="D5" s="345">
        <f>B5</f>
        <v>50800</v>
      </c>
      <c r="E5" s="343"/>
      <c r="F5" s="266" t="s">
        <v>375</v>
      </c>
      <c r="G5" s="264">
        <v>50347</v>
      </c>
      <c r="H5" s="264">
        <v>50347</v>
      </c>
      <c r="I5" s="264">
        <v>50347</v>
      </c>
      <c r="J5" s="343"/>
      <c r="K5" s="266" t="s">
        <v>375</v>
      </c>
      <c r="L5" s="264">
        <f t="shared" ref="L5:N6" si="0">B5-G5</f>
        <v>453</v>
      </c>
      <c r="M5" s="264">
        <f t="shared" si="0"/>
        <v>453</v>
      </c>
      <c r="N5" s="264">
        <f t="shared" si="0"/>
        <v>453</v>
      </c>
      <c r="O5" s="343"/>
      <c r="P5" s="343"/>
      <c r="Q5" s="428">
        <f>B7-G7</f>
        <v>629</v>
      </c>
      <c r="R5" s="332"/>
      <c r="S5" s="332"/>
      <c r="T5" s="332"/>
      <c r="U5" s="344"/>
      <c r="V5" s="346"/>
      <c r="W5" s="347"/>
      <c r="X5" s="343"/>
      <c r="Y5" s="343"/>
      <c r="Z5" s="343"/>
      <c r="AA5" s="343"/>
      <c r="AB5" s="343"/>
      <c r="AC5" s="343"/>
      <c r="AD5" s="343"/>
      <c r="AE5" s="343"/>
      <c r="AF5" s="343"/>
      <c r="AG5" s="343"/>
      <c r="AH5" s="343"/>
    </row>
    <row r="6" spans="1:34" ht="102">
      <c r="A6" s="266" t="s">
        <v>376</v>
      </c>
      <c r="B6" s="348">
        <f>ROUND(V25,0)</f>
        <v>19750</v>
      </c>
      <c r="C6" s="348">
        <f>B6</f>
        <v>19750</v>
      </c>
      <c r="D6" s="348">
        <f>B6</f>
        <v>19750</v>
      </c>
      <c r="E6" s="343"/>
      <c r="F6" s="266" t="s">
        <v>376</v>
      </c>
      <c r="G6" s="265">
        <v>19574</v>
      </c>
      <c r="H6" s="265">
        <v>19574</v>
      </c>
      <c r="I6" s="265">
        <v>19574</v>
      </c>
      <c r="J6" s="343"/>
      <c r="K6" s="266" t="s">
        <v>376</v>
      </c>
      <c r="L6" s="279">
        <f t="shared" si="0"/>
        <v>176</v>
      </c>
      <c r="M6" s="279">
        <f t="shared" si="0"/>
        <v>176</v>
      </c>
      <c r="N6" s="279">
        <f t="shared" si="0"/>
        <v>176</v>
      </c>
      <c r="O6" s="343"/>
      <c r="P6" s="343"/>
      <c r="Q6" s="427" t="s">
        <v>654</v>
      </c>
      <c r="R6" s="333"/>
      <c r="S6" s="333"/>
      <c r="T6" s="333"/>
      <c r="U6" s="344"/>
      <c r="V6" s="349"/>
      <c r="W6" s="349"/>
      <c r="X6" s="343"/>
      <c r="Y6" s="343"/>
      <c r="Z6" s="343"/>
      <c r="AA6" s="343"/>
      <c r="AB6" s="343"/>
      <c r="AC6" s="343"/>
      <c r="AD6" s="343"/>
      <c r="AE6" s="343"/>
      <c r="AF6" s="343"/>
      <c r="AG6" s="343"/>
      <c r="AH6" s="343"/>
    </row>
    <row r="7" spans="1:34">
      <c r="A7" s="350"/>
      <c r="B7" s="351">
        <f>B5+B6</f>
        <v>70550</v>
      </c>
      <c r="C7" s="351">
        <f t="shared" ref="C7:D7" si="1">C5+C6</f>
        <v>70550</v>
      </c>
      <c r="D7" s="351">
        <f t="shared" si="1"/>
        <v>70550</v>
      </c>
      <c r="E7" s="343"/>
      <c r="F7" s="266"/>
      <c r="G7" s="335">
        <v>69921</v>
      </c>
      <c r="H7" s="335">
        <v>69921</v>
      </c>
      <c r="I7" s="335">
        <v>69921</v>
      </c>
      <c r="J7" s="343"/>
      <c r="K7" s="266"/>
      <c r="L7" s="329">
        <f>L5+L6</f>
        <v>629</v>
      </c>
      <c r="M7" s="329">
        <f t="shared" ref="M7:N7" si="2">M5+M6</f>
        <v>629</v>
      </c>
      <c r="N7" s="329">
        <f t="shared" si="2"/>
        <v>629</v>
      </c>
      <c r="O7" s="343"/>
      <c r="P7" s="343"/>
      <c r="Q7" s="324"/>
      <c r="R7" s="325"/>
      <c r="S7" s="325"/>
      <c r="T7" s="325"/>
      <c r="U7" s="344"/>
      <c r="V7" s="346"/>
      <c r="W7" s="346"/>
      <c r="X7" s="343"/>
      <c r="Y7" s="343"/>
      <c r="Z7" s="343"/>
      <c r="AA7" s="343"/>
      <c r="AB7" s="343"/>
      <c r="AC7" s="343"/>
      <c r="AD7" s="343"/>
      <c r="AE7" s="343"/>
      <c r="AF7" s="343"/>
      <c r="AG7" s="343"/>
      <c r="AH7" s="343"/>
    </row>
    <row r="8" spans="1:34">
      <c r="A8" s="352"/>
      <c r="B8" s="353"/>
      <c r="C8" s="353"/>
      <c r="D8" s="353"/>
      <c r="E8" s="343"/>
      <c r="F8" s="324"/>
      <c r="G8" s="325"/>
      <c r="H8" s="325"/>
      <c r="I8" s="325"/>
      <c r="J8" s="343"/>
      <c r="K8" s="343"/>
      <c r="L8" s="343"/>
      <c r="M8" s="343"/>
      <c r="N8" s="343"/>
      <c r="O8" s="343"/>
      <c r="P8" s="343"/>
      <c r="Q8" s="324"/>
      <c r="R8" s="325"/>
      <c r="S8" s="325"/>
      <c r="T8" s="325"/>
      <c r="U8" s="344"/>
      <c r="V8" s="346"/>
      <c r="W8" s="346"/>
      <c r="X8" s="343"/>
      <c r="Y8" s="343"/>
      <c r="Z8" s="343"/>
      <c r="AA8" s="343"/>
      <c r="AB8" s="343"/>
      <c r="AC8" s="343"/>
      <c r="AD8" s="343"/>
      <c r="AE8" s="343"/>
      <c r="AF8" s="343"/>
      <c r="AG8" s="343"/>
      <c r="AH8" s="343"/>
    </row>
    <row r="9" spans="1:34">
      <c r="A9" s="352"/>
      <c r="B9" s="352"/>
      <c r="C9" s="352"/>
      <c r="D9" s="352"/>
      <c r="E9" s="343"/>
      <c r="F9" s="689" t="s">
        <v>551</v>
      </c>
      <c r="G9" s="689"/>
      <c r="H9" s="689"/>
      <c r="I9" s="689"/>
      <c r="J9" s="689"/>
      <c r="K9" s="689"/>
      <c r="L9" s="689"/>
      <c r="M9" s="343"/>
      <c r="N9" s="343"/>
      <c r="O9" s="343"/>
      <c r="P9" s="343"/>
      <c r="Q9" s="343"/>
      <c r="R9" s="343"/>
      <c r="S9" s="343"/>
      <c r="T9" s="354"/>
      <c r="U9" s="354"/>
      <c r="V9" s="354"/>
      <c r="W9" s="343"/>
      <c r="X9" s="343"/>
      <c r="Y9" s="343"/>
      <c r="Z9" s="343"/>
      <c r="AA9" s="343"/>
      <c r="AB9" s="343"/>
      <c r="AC9" s="343"/>
      <c r="AD9" s="343"/>
      <c r="AE9" s="343"/>
      <c r="AF9" s="343"/>
      <c r="AG9" s="343"/>
      <c r="AH9" s="343"/>
    </row>
    <row r="10" spans="1:34" ht="39.75" customHeight="1">
      <c r="A10" s="355"/>
      <c r="B10" s="356">
        <f>B5+B6</f>
        <v>70550</v>
      </c>
      <c r="C10" s="356">
        <f t="shared" ref="C10:D10" si="3">C5+C6</f>
        <v>70550</v>
      </c>
      <c r="D10" s="356">
        <f t="shared" si="3"/>
        <v>70550</v>
      </c>
      <c r="E10" s="355"/>
      <c r="F10" s="357" t="s">
        <v>377</v>
      </c>
      <c r="G10" s="357" t="s">
        <v>378</v>
      </c>
      <c r="H10" s="357" t="s">
        <v>552</v>
      </c>
      <c r="I10" s="357" t="s">
        <v>379</v>
      </c>
      <c r="J10" s="358"/>
      <c r="K10" s="355"/>
      <c r="L10" s="355"/>
      <c r="M10" s="355"/>
      <c r="N10" s="690" t="s">
        <v>380</v>
      </c>
      <c r="O10" s="690" t="s">
        <v>381</v>
      </c>
      <c r="P10" s="690" t="s">
        <v>382</v>
      </c>
      <c r="Q10" s="355"/>
      <c r="R10" s="355"/>
      <c r="S10" s="355"/>
      <c r="T10" s="355"/>
      <c r="U10" s="355"/>
      <c r="V10" s="355"/>
      <c r="W10" s="355"/>
      <c r="X10" s="355"/>
      <c r="Y10" s="355"/>
      <c r="Z10" s="355"/>
      <c r="AA10" s="355"/>
      <c r="AB10" s="355"/>
      <c r="AC10" s="355"/>
      <c r="AD10" s="355"/>
    </row>
    <row r="11" spans="1:34" ht="48" customHeight="1">
      <c r="A11" s="355"/>
      <c r="B11" s="355"/>
      <c r="C11" s="355"/>
      <c r="D11" s="355"/>
      <c r="E11" s="359" t="s">
        <v>383</v>
      </c>
      <c r="F11" s="267">
        <v>2083</v>
      </c>
      <c r="G11" s="267">
        <v>1303</v>
      </c>
      <c r="H11" s="267">
        <v>865</v>
      </c>
      <c r="I11" s="357"/>
      <c r="J11" s="355"/>
      <c r="K11" s="355"/>
      <c r="L11" s="355"/>
      <c r="M11" s="355"/>
      <c r="N11" s="691"/>
      <c r="O11" s="691"/>
      <c r="P11" s="691"/>
      <c r="Q11" s="355"/>
      <c r="R11" s="355"/>
      <c r="S11" s="355"/>
      <c r="T11" s="355"/>
      <c r="U11" s="355"/>
      <c r="V11" s="355"/>
      <c r="W11" s="355"/>
      <c r="X11" s="355"/>
      <c r="Y11" s="355"/>
      <c r="Z11" s="355"/>
      <c r="AA11" s="355"/>
      <c r="AB11" s="355"/>
      <c r="AC11" s="355"/>
      <c r="AD11" s="355"/>
    </row>
    <row r="12" spans="1:34">
      <c r="A12" s="355"/>
      <c r="B12" s="355"/>
      <c r="C12" s="355"/>
      <c r="D12" s="355"/>
      <c r="E12" s="359" t="s">
        <v>384</v>
      </c>
      <c r="F12" s="147">
        <f>ROUND(F11/9600,4)</f>
        <v>0.217</v>
      </c>
      <c r="G12" s="147">
        <f t="shared" ref="G12:H12" si="4">ROUND(G11/9600,4)</f>
        <v>0.13569999999999999</v>
      </c>
      <c r="H12" s="147">
        <f t="shared" si="4"/>
        <v>9.01E-2</v>
      </c>
      <c r="I12" s="360">
        <v>0.2359</v>
      </c>
      <c r="J12" s="355"/>
      <c r="K12" s="355"/>
      <c r="L12" s="355"/>
      <c r="M12" s="359" t="s">
        <v>385</v>
      </c>
      <c r="N12" s="360">
        <v>0.28120000000000001</v>
      </c>
      <c r="O12" s="360">
        <v>2.1899999999999999E-2</v>
      </c>
      <c r="P12" s="360">
        <v>3.49E-2</v>
      </c>
      <c r="Q12" s="355"/>
      <c r="R12" s="355"/>
      <c r="S12" s="355"/>
      <c r="T12" s="355"/>
      <c r="U12" s="355"/>
      <c r="V12" s="355"/>
      <c r="W12" s="355"/>
      <c r="X12" s="355"/>
      <c r="Y12" s="355"/>
      <c r="Z12" s="355"/>
      <c r="AA12" s="355"/>
      <c r="AB12" s="355"/>
      <c r="AC12" s="355"/>
      <c r="AD12" s="355"/>
    </row>
    <row r="13" spans="1:34">
      <c r="A13" s="355"/>
      <c r="B13" s="355"/>
      <c r="C13" s="355"/>
      <c r="D13" s="355"/>
      <c r="E13" s="355"/>
      <c r="F13" s="355"/>
      <c r="G13" s="355"/>
      <c r="H13" s="355"/>
      <c r="I13" s="355"/>
      <c r="J13" s="355"/>
      <c r="K13" s="355"/>
      <c r="L13" s="355"/>
      <c r="M13" s="355"/>
      <c r="N13" s="355"/>
      <c r="O13" s="355"/>
      <c r="P13" s="355"/>
      <c r="Q13" s="355"/>
      <c r="R13" s="355"/>
      <c r="S13" s="355"/>
      <c r="T13" s="355"/>
      <c r="U13" s="355"/>
      <c r="V13" s="355"/>
      <c r="W13" s="355"/>
      <c r="X13" s="355"/>
      <c r="Y13" s="355"/>
      <c r="Z13" s="355"/>
      <c r="AA13" s="355"/>
      <c r="AB13" s="355"/>
      <c r="AC13" s="355"/>
      <c r="AD13" s="355"/>
    </row>
    <row r="14" spans="1:34">
      <c r="A14" s="682" t="s">
        <v>11</v>
      </c>
      <c r="B14" s="682" t="s">
        <v>10</v>
      </c>
      <c r="C14" s="682" t="s">
        <v>386</v>
      </c>
      <c r="D14" s="682"/>
      <c r="E14" s="682"/>
      <c r="F14" s="682"/>
      <c r="G14" s="682"/>
      <c r="H14" s="682"/>
      <c r="I14" s="682"/>
      <c r="J14" s="682"/>
      <c r="K14" s="682"/>
      <c r="L14" s="682"/>
      <c r="M14" s="682"/>
      <c r="N14" s="682"/>
      <c r="O14" s="682"/>
      <c r="P14" s="682"/>
      <c r="Q14" s="682" t="s">
        <v>553</v>
      </c>
      <c r="R14" s="682" t="s">
        <v>387</v>
      </c>
      <c r="S14" s="682" t="s">
        <v>554</v>
      </c>
      <c r="T14" s="362"/>
      <c r="U14" s="362"/>
      <c r="V14" s="362"/>
      <c r="W14" s="362"/>
      <c r="X14" s="362"/>
      <c r="Y14" s="362"/>
      <c r="Z14" s="362"/>
      <c r="AA14" s="362"/>
      <c r="AB14" s="362"/>
      <c r="AC14" s="362"/>
      <c r="AD14" s="362"/>
    </row>
    <row r="15" spans="1:34" ht="53.25" customHeight="1">
      <c r="A15" s="682"/>
      <c r="B15" s="682"/>
      <c r="C15" s="682" t="s">
        <v>388</v>
      </c>
      <c r="D15" s="682"/>
      <c r="E15" s="682"/>
      <c r="F15" s="682" t="s">
        <v>389</v>
      </c>
      <c r="G15" s="682"/>
      <c r="H15" s="682"/>
      <c r="I15" s="361" t="s">
        <v>390</v>
      </c>
      <c r="J15" s="682" t="s">
        <v>391</v>
      </c>
      <c r="K15" s="682"/>
      <c r="L15" s="682"/>
      <c r="M15" s="682" t="s">
        <v>392</v>
      </c>
      <c r="N15" s="682" t="s">
        <v>393</v>
      </c>
      <c r="O15" s="682" t="s">
        <v>394</v>
      </c>
      <c r="P15" s="682" t="s">
        <v>395</v>
      </c>
      <c r="Q15" s="682"/>
      <c r="R15" s="682"/>
      <c r="S15" s="682"/>
      <c r="T15" s="362"/>
      <c r="U15" s="362"/>
      <c r="V15" s="362"/>
      <c r="W15" s="362"/>
      <c r="X15" s="362"/>
      <c r="Y15" s="362"/>
      <c r="Z15" s="363"/>
      <c r="AA15" s="363"/>
      <c r="AB15" s="363"/>
      <c r="AC15" s="363"/>
      <c r="AD15" s="363"/>
    </row>
    <row r="16" spans="1:34" ht="45" customHeight="1">
      <c r="A16" s="682"/>
      <c r="B16" s="682"/>
      <c r="C16" s="361" t="s">
        <v>396</v>
      </c>
      <c r="D16" s="361" t="s">
        <v>397</v>
      </c>
      <c r="E16" s="361" t="s">
        <v>398</v>
      </c>
      <c r="F16" s="361" t="s">
        <v>396</v>
      </c>
      <c r="G16" s="361" t="s">
        <v>397</v>
      </c>
      <c r="H16" s="361" t="s">
        <v>399</v>
      </c>
      <c r="I16" s="361" t="s">
        <v>400</v>
      </c>
      <c r="J16" s="361" t="s">
        <v>401</v>
      </c>
      <c r="K16" s="364" t="s">
        <v>402</v>
      </c>
      <c r="L16" s="361" t="s">
        <v>403</v>
      </c>
      <c r="M16" s="682"/>
      <c r="N16" s="682"/>
      <c r="O16" s="682"/>
      <c r="P16" s="682"/>
      <c r="Q16" s="682"/>
      <c r="R16" s="682"/>
      <c r="S16" s="682"/>
      <c r="T16" s="363" t="s">
        <v>245</v>
      </c>
      <c r="U16" s="363" t="s">
        <v>246</v>
      </c>
      <c r="V16" s="363" t="s">
        <v>343</v>
      </c>
      <c r="W16" s="363" t="s">
        <v>248</v>
      </c>
      <c r="X16" s="363" t="s">
        <v>344</v>
      </c>
      <c r="Y16" s="363" t="s">
        <v>250</v>
      </c>
      <c r="Z16" s="363" t="s">
        <v>251</v>
      </c>
      <c r="AA16" s="363" t="s">
        <v>364</v>
      </c>
      <c r="AB16" s="365" t="s">
        <v>555</v>
      </c>
      <c r="AC16" s="365" t="s">
        <v>556</v>
      </c>
      <c r="AD16" s="363" t="s">
        <v>252</v>
      </c>
    </row>
    <row r="17" spans="1:48">
      <c r="A17" s="366">
        <v>1</v>
      </c>
      <c r="B17" s="366">
        <v>2</v>
      </c>
      <c r="C17" s="366">
        <v>3</v>
      </c>
      <c r="D17" s="366">
        <v>4</v>
      </c>
      <c r="E17" s="366">
        <v>5</v>
      </c>
      <c r="F17" s="366">
        <v>6</v>
      </c>
      <c r="G17" s="366">
        <v>7</v>
      </c>
      <c r="H17" s="366">
        <v>8</v>
      </c>
      <c r="I17" s="366">
        <v>9</v>
      </c>
      <c r="J17" s="366" t="s">
        <v>404</v>
      </c>
      <c r="K17" s="366">
        <v>11</v>
      </c>
      <c r="L17" s="366">
        <v>12</v>
      </c>
      <c r="M17" s="366">
        <v>13</v>
      </c>
      <c r="N17" s="366">
        <v>14</v>
      </c>
      <c r="O17" s="366">
        <v>15</v>
      </c>
      <c r="P17" s="366">
        <v>16</v>
      </c>
      <c r="Q17" s="366">
        <v>17</v>
      </c>
      <c r="R17" s="366">
        <v>18</v>
      </c>
      <c r="S17" s="366">
        <v>19</v>
      </c>
      <c r="T17" s="366">
        <v>20</v>
      </c>
      <c r="U17" s="366">
        <v>21</v>
      </c>
      <c r="V17" s="366">
        <v>22</v>
      </c>
      <c r="W17" s="366">
        <v>23</v>
      </c>
      <c r="X17" s="366">
        <v>24</v>
      </c>
      <c r="Y17" s="366">
        <v>25</v>
      </c>
      <c r="Z17" s="366">
        <v>26</v>
      </c>
      <c r="AA17" s="366">
        <v>27</v>
      </c>
      <c r="AB17" s="366">
        <v>28</v>
      </c>
      <c r="AC17" s="366">
        <v>29</v>
      </c>
      <c r="AD17" s="366">
        <v>30</v>
      </c>
    </row>
    <row r="18" spans="1:48" ht="25.5">
      <c r="A18" s="262" t="s">
        <v>405</v>
      </c>
      <c r="B18" s="367" t="s">
        <v>406</v>
      </c>
      <c r="C18" s="278">
        <v>180</v>
      </c>
      <c r="D18" s="278">
        <v>60</v>
      </c>
      <c r="E18" s="278">
        <v>0</v>
      </c>
      <c r="F18" s="368">
        <f>ROUND((C18*F12),2)</f>
        <v>39.06</v>
      </c>
      <c r="G18" s="369">
        <f>ROUND((D18*G12),2)</f>
        <v>8.14</v>
      </c>
      <c r="H18" s="369">
        <f>ROUND((E18*$H$9),2)</f>
        <v>0</v>
      </c>
      <c r="I18" s="368">
        <f>ROUND(((F18+G18+H18)*I12),2)</f>
        <v>11.13</v>
      </c>
      <c r="J18" s="279">
        <f t="shared" ref="J18:J19" si="5">K18+L18</f>
        <v>405.89</v>
      </c>
      <c r="K18" s="280">
        <v>1.02</v>
      </c>
      <c r="L18" s="280">
        <v>404.87</v>
      </c>
      <c r="M18" s="281">
        <v>64.06</v>
      </c>
      <c r="N18" s="368">
        <f>ROUND((F18+G18+H18)*N12,2)</f>
        <v>13.27</v>
      </c>
      <c r="O18" s="368">
        <f>ROUND((F18+G18+H18)*O12,2)</f>
        <v>1.03</v>
      </c>
      <c r="P18" s="368">
        <f>ROUND((F18+G18+H18)*P12,2)</f>
        <v>1.65</v>
      </c>
      <c r="Q18" s="370">
        <f>ROUND((F18+G18+H18+I18+J18+M18+N18+O18+P18),2)</f>
        <v>544.23</v>
      </c>
      <c r="R18" s="370">
        <v>4</v>
      </c>
      <c r="S18" s="370">
        <f>Q18-R18</f>
        <v>540.23</v>
      </c>
      <c r="T18" s="371">
        <f>F18+G18+H18</f>
        <v>47.2</v>
      </c>
      <c r="U18" s="371">
        <f>I18</f>
        <v>11.13</v>
      </c>
      <c r="V18" s="371">
        <f>J18</f>
        <v>405.89</v>
      </c>
      <c r="W18" s="372"/>
      <c r="X18" s="371">
        <f>N18</f>
        <v>13.27</v>
      </c>
      <c r="Y18" s="371">
        <f>O18</f>
        <v>1.03</v>
      </c>
      <c r="Z18" s="371">
        <f>M18+P18</f>
        <v>65.710000000000008</v>
      </c>
      <c r="AA18" s="372"/>
      <c r="AB18" s="371">
        <f>SUM(T18:AA18)</f>
        <v>544.2299999999999</v>
      </c>
      <c r="AC18" s="371">
        <f>R18</f>
        <v>4</v>
      </c>
      <c r="AD18" s="371">
        <f>AB18-AC18</f>
        <v>540.2299999999999</v>
      </c>
    </row>
    <row r="19" spans="1:48" ht="25.5">
      <c r="A19" s="262" t="s">
        <v>407</v>
      </c>
      <c r="B19" s="263" t="s">
        <v>408</v>
      </c>
      <c r="C19" s="278">
        <v>300</v>
      </c>
      <c r="D19" s="278">
        <v>100</v>
      </c>
      <c r="E19" s="278">
        <v>0</v>
      </c>
      <c r="F19" s="368">
        <f>ROUND((C19*F12),2)</f>
        <v>65.099999999999994</v>
      </c>
      <c r="G19" s="369">
        <f>ROUND((D19*G12),2)</f>
        <v>13.57</v>
      </c>
      <c r="H19" s="369">
        <f>ROUND((E19*$H$9),2)</f>
        <v>0</v>
      </c>
      <c r="I19" s="368">
        <f>ROUND(((F19+G19+H19)*I12),2)</f>
        <v>18.559999999999999</v>
      </c>
      <c r="J19" s="279">
        <f t="shared" si="5"/>
        <v>405.89</v>
      </c>
      <c r="K19" s="280">
        <v>1.02</v>
      </c>
      <c r="L19" s="280">
        <v>404.87</v>
      </c>
      <c r="M19" s="281">
        <v>64.06</v>
      </c>
      <c r="N19" s="368">
        <f>ROUND((F19+G19+H19)*N12,2)</f>
        <v>22.12</v>
      </c>
      <c r="O19" s="368">
        <f>ROUND((F19+G19+H19)*O12,2)</f>
        <v>1.72</v>
      </c>
      <c r="P19" s="368">
        <f>ROUND((F19+G19+H19)*P12,2)</f>
        <v>2.75</v>
      </c>
      <c r="Q19" s="370">
        <f>ROUND((F19+G19+H19+I19+J19+M19+N19+O19+P19),2)</f>
        <v>593.77</v>
      </c>
      <c r="R19" s="370">
        <v>4</v>
      </c>
      <c r="S19" s="370">
        <f>Q19-R19</f>
        <v>589.77</v>
      </c>
      <c r="T19" s="371">
        <f>F19+G19+H19</f>
        <v>78.669999999999987</v>
      </c>
      <c r="U19" s="371">
        <f>I19</f>
        <v>18.559999999999999</v>
      </c>
      <c r="V19" s="371">
        <f>J19</f>
        <v>405.89</v>
      </c>
      <c r="W19" s="372"/>
      <c r="X19" s="371">
        <f>N19</f>
        <v>22.12</v>
      </c>
      <c r="Y19" s="371">
        <f>O19</f>
        <v>1.72</v>
      </c>
      <c r="Z19" s="371">
        <f>M19+P19</f>
        <v>66.81</v>
      </c>
      <c r="AA19" s="372"/>
      <c r="AB19" s="371">
        <f>SUM(T19:AA19)</f>
        <v>593.77</v>
      </c>
      <c r="AC19" s="371">
        <f>R19</f>
        <v>4</v>
      </c>
      <c r="AD19" s="371">
        <f>AB19-AC19</f>
        <v>589.77</v>
      </c>
    </row>
    <row r="20" spans="1:48">
      <c r="A20" s="373"/>
      <c r="B20" s="374"/>
      <c r="C20" s="374"/>
      <c r="D20" s="374"/>
      <c r="E20" s="374"/>
      <c r="F20" s="374"/>
      <c r="G20" s="374"/>
      <c r="H20" s="374"/>
      <c r="I20" s="374"/>
      <c r="J20" s="374"/>
      <c r="K20" s="374"/>
      <c r="L20" s="374"/>
      <c r="M20" s="374"/>
      <c r="N20" s="374"/>
      <c r="O20" s="374"/>
      <c r="P20" s="374"/>
      <c r="Q20" s="374"/>
      <c r="R20" s="374"/>
      <c r="S20" s="374"/>
      <c r="T20" s="374"/>
      <c r="U20" s="374"/>
      <c r="V20" s="374"/>
      <c r="W20" s="374"/>
      <c r="X20" s="374"/>
      <c r="Y20" s="374"/>
      <c r="Z20" s="374"/>
      <c r="AA20" s="374"/>
      <c r="AB20" s="374"/>
      <c r="AC20" s="374"/>
      <c r="AD20" s="374"/>
      <c r="AE20" s="374"/>
      <c r="AF20" s="374"/>
      <c r="AG20" s="374"/>
      <c r="AH20" s="343"/>
    </row>
    <row r="21" spans="1:48" ht="30.75" customHeight="1">
      <c r="A21" s="680" t="s">
        <v>11</v>
      </c>
      <c r="B21" s="680" t="s">
        <v>409</v>
      </c>
      <c r="C21" s="680" t="s">
        <v>547</v>
      </c>
      <c r="D21" s="680" t="s">
        <v>410</v>
      </c>
      <c r="E21" s="680" t="s">
        <v>411</v>
      </c>
      <c r="F21" s="680" t="s">
        <v>387</v>
      </c>
      <c r="G21" s="680" t="s">
        <v>412</v>
      </c>
      <c r="H21" s="683" t="s">
        <v>413</v>
      </c>
      <c r="I21" s="684"/>
      <c r="J21" s="684"/>
      <c r="K21" s="685"/>
      <c r="L21" s="679" t="s">
        <v>414</v>
      </c>
      <c r="M21" s="686" t="s">
        <v>415</v>
      </c>
      <c r="N21" s="687"/>
      <c r="O21" s="688"/>
      <c r="P21" s="686" t="s">
        <v>416</v>
      </c>
      <c r="Q21" s="687"/>
      <c r="R21" s="688"/>
      <c r="S21" s="679" t="s">
        <v>417</v>
      </c>
      <c r="T21" s="675" t="s">
        <v>241</v>
      </c>
      <c r="U21" s="677" t="s">
        <v>418</v>
      </c>
      <c r="V21" s="677" t="s">
        <v>419</v>
      </c>
      <c r="W21" s="677" t="s">
        <v>420</v>
      </c>
      <c r="X21" s="677" t="s">
        <v>421</v>
      </c>
      <c r="Y21" s="343"/>
      <c r="Z21" s="343"/>
      <c r="AA21" s="343"/>
      <c r="AB21" s="343"/>
      <c r="AC21" s="343"/>
      <c r="AD21" s="343"/>
      <c r="AE21" s="343"/>
      <c r="AF21" s="343"/>
      <c r="AG21" s="343"/>
      <c r="AH21" s="343"/>
    </row>
    <row r="22" spans="1:48" ht="68.25" customHeight="1">
      <c r="A22" s="680"/>
      <c r="B22" s="680"/>
      <c r="C22" s="680"/>
      <c r="D22" s="680"/>
      <c r="E22" s="680"/>
      <c r="F22" s="680"/>
      <c r="G22" s="680"/>
      <c r="H22" s="376" t="s">
        <v>422</v>
      </c>
      <c r="I22" s="375" t="s">
        <v>423</v>
      </c>
      <c r="J22" s="375" t="s">
        <v>424</v>
      </c>
      <c r="K22" s="375" t="s">
        <v>19</v>
      </c>
      <c r="L22" s="679"/>
      <c r="M22" s="375" t="s">
        <v>425</v>
      </c>
      <c r="N22" s="375" t="s">
        <v>426</v>
      </c>
      <c r="O22" s="375" t="s">
        <v>427</v>
      </c>
      <c r="P22" s="375" t="s">
        <v>425</v>
      </c>
      <c r="Q22" s="375" t="s">
        <v>426</v>
      </c>
      <c r="R22" s="375" t="s">
        <v>427</v>
      </c>
      <c r="S22" s="679"/>
      <c r="T22" s="676"/>
      <c r="U22" s="677"/>
      <c r="V22" s="677"/>
      <c r="W22" s="677"/>
      <c r="X22" s="677"/>
      <c r="Y22" s="343"/>
      <c r="Z22" s="343"/>
      <c r="AA22" s="343"/>
      <c r="AB22" s="343"/>
      <c r="AC22" s="678"/>
      <c r="AD22" s="678"/>
      <c r="AE22" s="678"/>
      <c r="AF22" s="678"/>
      <c r="AG22" s="678"/>
      <c r="AH22" s="678"/>
      <c r="AI22" s="530"/>
      <c r="AJ22" s="530"/>
      <c r="AK22" s="530"/>
      <c r="AL22" s="531"/>
      <c r="AM22" s="531"/>
      <c r="AN22" s="531"/>
      <c r="AO22" s="531"/>
      <c r="AP22" s="681"/>
      <c r="AQ22" s="681"/>
      <c r="AR22" s="681"/>
      <c r="AS22" s="681"/>
      <c r="AT22" s="681"/>
      <c r="AU22" s="681"/>
      <c r="AV22" s="531"/>
    </row>
    <row r="23" spans="1:48" ht="25.5">
      <c r="A23" s="262" t="s">
        <v>405</v>
      </c>
      <c r="B23" s="367" t="s">
        <v>406</v>
      </c>
      <c r="C23" s="377" t="s">
        <v>428</v>
      </c>
      <c r="D23" s="268">
        <v>0</v>
      </c>
      <c r="E23" s="378">
        <f>S18</f>
        <v>540.23</v>
      </c>
      <c r="F23" s="379">
        <f>R18</f>
        <v>4</v>
      </c>
      <c r="G23" s="379">
        <f>E23-D23</f>
        <v>540.23</v>
      </c>
      <c r="H23" s="672">
        <v>18</v>
      </c>
      <c r="I23" s="673"/>
      <c r="J23" s="380">
        <v>46</v>
      </c>
      <c r="K23" s="381">
        <f t="shared" ref="K23:K24" si="6">H23+J23</f>
        <v>64</v>
      </c>
      <c r="L23" s="382">
        <f>K23*G23</f>
        <v>34574.720000000001</v>
      </c>
      <c r="M23" s="383" t="s">
        <v>429</v>
      </c>
      <c r="N23" s="383" t="s">
        <v>429</v>
      </c>
      <c r="O23" s="383" t="s">
        <v>429</v>
      </c>
      <c r="P23" s="383" t="s">
        <v>430</v>
      </c>
      <c r="Q23" s="383" t="s">
        <v>429</v>
      </c>
      <c r="R23" s="383" t="s">
        <v>429</v>
      </c>
      <c r="S23" s="384"/>
      <c r="T23" s="385"/>
      <c r="U23" s="386">
        <f>G23*J23</f>
        <v>24850.58</v>
      </c>
      <c r="V23" s="387">
        <f>H23*G23</f>
        <v>9724.14</v>
      </c>
      <c r="W23" s="269">
        <v>0</v>
      </c>
      <c r="X23" s="269">
        <v>0</v>
      </c>
      <c r="Y23" s="374"/>
      <c r="Z23" s="374"/>
      <c r="AA23" s="374"/>
      <c r="AB23" s="374"/>
      <c r="AC23" s="529"/>
      <c r="AD23" s="529"/>
      <c r="AE23" s="529"/>
      <c r="AF23" s="529"/>
      <c r="AG23" s="529"/>
      <c r="AH23" s="529"/>
      <c r="AI23" s="530"/>
      <c r="AJ23" s="530"/>
      <c r="AK23" s="530"/>
      <c r="AL23" s="531"/>
      <c r="AM23" s="531"/>
      <c r="AN23" s="531"/>
      <c r="AO23" s="531"/>
      <c r="AP23" s="532"/>
      <c r="AQ23" s="532"/>
      <c r="AR23" s="532"/>
      <c r="AS23" s="532"/>
      <c r="AT23" s="532"/>
      <c r="AU23" s="532"/>
      <c r="AV23" s="531"/>
    </row>
    <row r="24" spans="1:48" ht="25.5">
      <c r="A24" s="262" t="s">
        <v>407</v>
      </c>
      <c r="B24" s="263" t="s">
        <v>408</v>
      </c>
      <c r="C24" s="377" t="s">
        <v>428</v>
      </c>
      <c r="D24" s="268">
        <v>0</v>
      </c>
      <c r="E24" s="378">
        <f>S19</f>
        <v>589.77</v>
      </c>
      <c r="F24" s="379">
        <f>R19</f>
        <v>4</v>
      </c>
      <c r="G24" s="379">
        <f t="shared" ref="G24" si="7">E24-D24</f>
        <v>589.77</v>
      </c>
      <c r="H24" s="672">
        <v>17</v>
      </c>
      <c r="I24" s="673"/>
      <c r="J24" s="380">
        <v>44</v>
      </c>
      <c r="K24" s="381">
        <f t="shared" si="6"/>
        <v>61</v>
      </c>
      <c r="L24" s="382">
        <f>K24*G24</f>
        <v>35975.97</v>
      </c>
      <c r="M24" s="383" t="s">
        <v>429</v>
      </c>
      <c r="N24" s="383" t="s">
        <v>429</v>
      </c>
      <c r="O24" s="383" t="s">
        <v>429</v>
      </c>
      <c r="P24" s="383" t="s">
        <v>430</v>
      </c>
      <c r="Q24" s="383" t="s">
        <v>429</v>
      </c>
      <c r="R24" s="383" t="s">
        <v>429</v>
      </c>
      <c r="S24" s="384"/>
      <c r="T24" s="385"/>
      <c r="U24" s="386">
        <f>G24*J24</f>
        <v>25949.879999999997</v>
      </c>
      <c r="V24" s="387">
        <f>H24*G24</f>
        <v>10026.09</v>
      </c>
      <c r="W24" s="269">
        <v>0</v>
      </c>
      <c r="X24" s="269">
        <v>0</v>
      </c>
      <c r="Y24" s="374"/>
      <c r="Z24" s="374"/>
      <c r="AA24" s="374"/>
      <c r="AB24" s="374"/>
      <c r="AC24" s="674"/>
      <c r="AD24" s="674"/>
      <c r="AE24" s="674"/>
      <c r="AF24" s="674"/>
      <c r="AG24" s="674"/>
      <c r="AH24" s="674"/>
      <c r="AI24" s="526"/>
      <c r="AJ24" s="526"/>
      <c r="AK24" s="526"/>
      <c r="AL24" s="533"/>
      <c r="AM24" s="533"/>
      <c r="AN24" s="533"/>
      <c r="AO24" s="533"/>
      <c r="AP24" s="534"/>
      <c r="AQ24" s="535"/>
      <c r="AR24" s="536"/>
      <c r="AS24" s="536"/>
      <c r="AT24" s="536"/>
      <c r="AU24" s="536"/>
      <c r="AV24" s="536"/>
    </row>
    <row r="25" spans="1:48" ht="38.25" customHeight="1">
      <c r="A25" s="293"/>
      <c r="B25" s="293"/>
      <c r="C25" s="293"/>
      <c r="D25" s="293"/>
      <c r="E25" s="293"/>
      <c r="F25" s="293"/>
      <c r="G25" s="293"/>
      <c r="H25" s="669">
        <f>H23+H24</f>
        <v>35</v>
      </c>
      <c r="I25" s="670"/>
      <c r="J25" s="388">
        <f>J23+J24</f>
        <v>90</v>
      </c>
      <c r="K25" s="389">
        <f>SUM(K23:K24)</f>
        <v>125</v>
      </c>
      <c r="L25" s="294">
        <f>SUM(L23:L24)</f>
        <v>70550.69</v>
      </c>
      <c r="M25" s="293"/>
      <c r="N25" s="293"/>
      <c r="O25" s="293"/>
      <c r="P25" s="293"/>
      <c r="Q25" s="293"/>
      <c r="R25" s="293"/>
      <c r="S25" s="293"/>
      <c r="T25" s="293"/>
      <c r="U25" s="270">
        <f>SUM(U23:U24)</f>
        <v>50800.46</v>
      </c>
      <c r="V25" s="270">
        <f>SUM(V23:V24)</f>
        <v>19750.23</v>
      </c>
      <c r="W25" s="374"/>
      <c r="X25" s="374"/>
      <c r="Y25" s="374"/>
      <c r="Z25" s="343"/>
      <c r="AA25" s="343"/>
      <c r="AB25" s="343"/>
      <c r="AC25" s="671"/>
      <c r="AD25" s="671"/>
      <c r="AE25" s="671"/>
      <c r="AF25" s="671"/>
      <c r="AG25" s="671"/>
      <c r="AH25" s="671"/>
      <c r="AI25" s="537"/>
      <c r="AJ25" s="537"/>
      <c r="AK25" s="537"/>
      <c r="AL25" s="533"/>
      <c r="AM25" s="533"/>
      <c r="AN25" s="533"/>
      <c r="AO25" s="533"/>
      <c r="AP25" s="536"/>
      <c r="AQ25" s="527"/>
      <c r="AR25" s="533"/>
      <c r="AS25" s="533"/>
      <c r="AT25" s="528"/>
      <c r="AU25" s="536"/>
      <c r="AV25" s="536"/>
    </row>
    <row r="26" spans="1:48">
      <c r="A26" s="343"/>
      <c r="B26" s="343"/>
      <c r="C26" s="343"/>
      <c r="D26" s="343"/>
      <c r="E26" s="343"/>
      <c r="F26" s="343"/>
      <c r="G26" s="343"/>
      <c r="H26" s="390"/>
      <c r="I26" s="391" t="s">
        <v>376</v>
      </c>
      <c r="J26" s="391" t="s">
        <v>375</v>
      </c>
      <c r="K26" s="343"/>
      <c r="L26" s="343"/>
      <c r="M26" s="343"/>
      <c r="N26" s="343"/>
      <c r="O26" s="343"/>
      <c r="P26" s="343"/>
      <c r="Q26" s="343"/>
      <c r="R26" s="343"/>
      <c r="S26" s="374"/>
      <c r="T26" s="374"/>
      <c r="U26" s="374"/>
      <c r="V26" s="374"/>
      <c r="W26" s="374"/>
      <c r="X26" s="374"/>
      <c r="Y26" s="374"/>
      <c r="Z26" s="343"/>
      <c r="AA26" s="343"/>
      <c r="AB26" s="343"/>
      <c r="AC26" s="343"/>
      <c r="AD26" s="343"/>
      <c r="AE26" s="343"/>
      <c r="AF26" s="343"/>
      <c r="AG26" s="343"/>
      <c r="AH26" s="343"/>
    </row>
    <row r="27" spans="1:48">
      <c r="A27" s="343"/>
      <c r="B27" s="343"/>
      <c r="C27" s="343"/>
      <c r="D27" s="343"/>
      <c r="E27" s="343"/>
      <c r="F27" s="343"/>
      <c r="G27" s="343"/>
      <c r="H27" s="392"/>
      <c r="I27" s="392"/>
      <c r="J27" s="393"/>
      <c r="K27" s="343"/>
      <c r="L27" s="343"/>
      <c r="M27" s="343"/>
      <c r="N27" s="343"/>
      <c r="O27" s="343"/>
      <c r="P27" s="343"/>
      <c r="Q27" s="343"/>
      <c r="R27" s="343"/>
      <c r="S27" s="343"/>
      <c r="T27" s="343"/>
      <c r="U27" s="343"/>
      <c r="V27" s="343"/>
      <c r="W27" s="343"/>
      <c r="X27" s="343"/>
      <c r="Y27" s="343"/>
      <c r="Z27" s="343"/>
      <c r="AA27" s="343"/>
      <c r="AB27" s="343"/>
      <c r="AC27" s="343"/>
      <c r="AD27" s="343"/>
      <c r="AE27" s="343"/>
      <c r="AF27" s="343"/>
      <c r="AG27" s="343"/>
      <c r="AH27" s="343"/>
    </row>
    <row r="28" spans="1:48">
      <c r="A28" s="343"/>
      <c r="B28" s="343"/>
      <c r="C28" s="343"/>
      <c r="D28" s="343"/>
      <c r="E28" s="343"/>
      <c r="F28" s="343"/>
      <c r="G28" s="343"/>
      <c r="H28" s="343"/>
      <c r="I28" s="343"/>
      <c r="J28" s="343"/>
      <c r="K28" s="343"/>
      <c r="L28" s="343"/>
      <c r="M28" s="343"/>
      <c r="N28" s="343"/>
      <c r="O28" s="343"/>
      <c r="P28" s="343"/>
      <c r="Q28" s="343"/>
      <c r="R28" s="343"/>
      <c r="S28" s="343"/>
      <c r="T28" s="343"/>
      <c r="U28" s="343"/>
      <c r="V28" s="343"/>
      <c r="W28" s="343"/>
      <c r="X28" s="343"/>
      <c r="Y28" s="343"/>
      <c r="Z28" s="343"/>
      <c r="AA28" s="343"/>
      <c r="AB28" s="343"/>
      <c r="AC28" s="343"/>
      <c r="AD28" s="343"/>
      <c r="AE28" s="343"/>
      <c r="AF28" s="343"/>
      <c r="AG28" s="343"/>
      <c r="AH28" s="343"/>
    </row>
    <row r="29" spans="1:48">
      <c r="A29" s="355"/>
      <c r="B29" s="355"/>
      <c r="C29" s="355"/>
      <c r="D29" s="355"/>
      <c r="E29" s="355"/>
      <c r="F29" s="355"/>
      <c r="G29" s="355"/>
      <c r="H29" s="355"/>
      <c r="I29" s="355"/>
      <c r="J29" s="355"/>
      <c r="K29" s="355"/>
      <c r="L29" s="355"/>
      <c r="M29" s="355"/>
      <c r="N29" s="355"/>
      <c r="O29" s="355"/>
      <c r="P29" s="355"/>
      <c r="Q29" s="359"/>
      <c r="R29" s="359"/>
      <c r="S29" s="359"/>
      <c r="T29" s="355"/>
      <c r="U29" s="355"/>
      <c r="V29" s="355"/>
      <c r="W29" s="355"/>
      <c r="X29" s="355"/>
      <c r="Y29" s="355"/>
      <c r="Z29" s="355"/>
      <c r="AA29" s="355"/>
      <c r="AB29" s="355"/>
      <c r="AC29" s="355"/>
      <c r="AD29" s="355"/>
    </row>
    <row r="30" spans="1:48" ht="15.75">
      <c r="Q30" s="539" t="s">
        <v>650</v>
      </c>
      <c r="R30" s="540"/>
      <c r="S30" s="540"/>
      <c r="T30" s="540"/>
      <c r="U30" s="541"/>
      <c r="V30" s="541"/>
      <c r="W30" s="541"/>
    </row>
    <row r="31" spans="1:48" ht="15.75">
      <c r="Q31" s="540" t="s">
        <v>648</v>
      </c>
      <c r="R31" s="540"/>
      <c r="S31" s="540"/>
      <c r="T31" s="540"/>
      <c r="U31" s="541"/>
      <c r="V31" s="541"/>
      <c r="W31" s="541"/>
    </row>
    <row r="32" spans="1:48" ht="15.75">
      <c r="Q32" s="542" t="s">
        <v>4</v>
      </c>
      <c r="R32" s="542" t="s">
        <v>522</v>
      </c>
      <c r="S32" s="542" t="s">
        <v>655</v>
      </c>
      <c r="T32" s="542" t="s">
        <v>523</v>
      </c>
      <c r="U32" s="541" t="s">
        <v>375</v>
      </c>
      <c r="V32" s="541"/>
      <c r="W32" s="541"/>
    </row>
    <row r="33" spans="17:23" ht="15.75">
      <c r="Q33" s="523" t="s">
        <v>649</v>
      </c>
      <c r="R33" s="543">
        <v>1464865.4</v>
      </c>
      <c r="S33" s="543">
        <v>970009.4</v>
      </c>
      <c r="T33" s="544">
        <f>R33-S33</f>
        <v>494855.99999999988</v>
      </c>
      <c r="U33" s="541"/>
      <c r="V33" s="541"/>
      <c r="W33" s="541"/>
    </row>
    <row r="34" spans="17:23" ht="15.75">
      <c r="Q34" s="540"/>
      <c r="R34" s="540"/>
      <c r="S34" s="540"/>
      <c r="T34" s="540"/>
      <c r="U34" s="541"/>
      <c r="V34" s="541"/>
      <c r="W34" s="541"/>
    </row>
    <row r="35" spans="17:23" ht="15.75">
      <c r="Q35" s="539" t="s">
        <v>651</v>
      </c>
      <c r="R35" s="540"/>
      <c r="S35" s="540"/>
      <c r="T35" s="540"/>
      <c r="U35" s="541"/>
      <c r="V35" s="541"/>
      <c r="W35" s="541"/>
    </row>
    <row r="36" spans="17:23" ht="15.75">
      <c r="Q36" s="545" t="s">
        <v>645</v>
      </c>
      <c r="R36" s="544">
        <f>T33</f>
        <v>494855.99999999988</v>
      </c>
      <c r="S36" s="540"/>
      <c r="T36" s="540"/>
      <c r="U36" s="541"/>
      <c r="V36" s="541"/>
      <c r="W36" s="541"/>
    </row>
    <row r="37" spans="17:23" ht="31.5">
      <c r="Q37" s="546" t="s">
        <v>646</v>
      </c>
      <c r="R37" s="543">
        <v>453</v>
      </c>
      <c r="S37" s="540"/>
      <c r="T37" s="540"/>
      <c r="U37" s="541"/>
      <c r="V37" s="541"/>
      <c r="W37" s="541"/>
    </row>
    <row r="38" spans="17:23" ht="15.75">
      <c r="Q38" s="546" t="s">
        <v>653</v>
      </c>
      <c r="R38" s="543">
        <v>11</v>
      </c>
      <c r="S38" s="540"/>
      <c r="T38" s="540"/>
      <c r="U38" s="541"/>
      <c r="V38" s="541"/>
      <c r="W38" s="541"/>
    </row>
    <row r="39" spans="17:23" ht="15.75">
      <c r="Q39" s="524" t="s">
        <v>622</v>
      </c>
      <c r="R39" s="525">
        <f>R36-R37-R38</f>
        <v>494391.99999999988</v>
      </c>
      <c r="S39" s="540" t="s">
        <v>656</v>
      </c>
      <c r="T39" s="540"/>
      <c r="U39" s="541"/>
      <c r="V39" s="541"/>
      <c r="W39" s="541"/>
    </row>
    <row r="40" spans="17:23" ht="15.75">
      <c r="Q40" s="540"/>
      <c r="R40" s="540"/>
      <c r="S40" s="540"/>
      <c r="T40" s="547"/>
      <c r="U40" s="541"/>
      <c r="V40" s="541"/>
      <c r="W40" s="541"/>
    </row>
    <row r="41" spans="17:23" ht="15.75">
      <c r="Q41" s="541"/>
      <c r="R41" s="541"/>
      <c r="S41" s="541"/>
      <c r="T41" s="541"/>
      <c r="U41" s="541"/>
      <c r="V41" s="541"/>
      <c r="W41" s="541"/>
    </row>
    <row r="42" spans="17:23" ht="15.75">
      <c r="Q42" s="539" t="s">
        <v>652</v>
      </c>
      <c r="R42" s="540"/>
      <c r="S42" s="540"/>
      <c r="T42" s="540"/>
      <c r="U42" s="540"/>
      <c r="V42" s="541"/>
      <c r="W42" s="541"/>
    </row>
    <row r="43" spans="17:23" ht="15.75">
      <c r="Q43" s="542" t="s">
        <v>4</v>
      </c>
      <c r="R43" s="542" t="s">
        <v>522</v>
      </c>
      <c r="S43" s="542" t="s">
        <v>655</v>
      </c>
      <c r="T43" s="542" t="s">
        <v>523</v>
      </c>
      <c r="U43" s="540" t="s">
        <v>376</v>
      </c>
      <c r="V43" s="541"/>
      <c r="W43" s="541"/>
    </row>
    <row r="44" spans="17:23" ht="15.75">
      <c r="Q44" s="540" t="s">
        <v>642</v>
      </c>
      <c r="R44" s="540">
        <v>925303</v>
      </c>
      <c r="S44" s="540">
        <v>839836</v>
      </c>
      <c r="T44" s="545">
        <f>R44-S44</f>
        <v>85467</v>
      </c>
      <c r="U44" s="540"/>
      <c r="V44" s="541"/>
      <c r="W44" s="541"/>
    </row>
    <row r="45" spans="17:23" ht="15.75">
      <c r="Q45" s="548" t="s">
        <v>643</v>
      </c>
      <c r="R45" s="549"/>
      <c r="S45" s="549">
        <v>176</v>
      </c>
      <c r="T45" s="550">
        <f>R45-S45</f>
        <v>-176</v>
      </c>
      <c r="U45" s="551"/>
      <c r="V45" s="541"/>
      <c r="W45" s="541"/>
    </row>
    <row r="46" spans="17:23" ht="15.75">
      <c r="Q46" s="548" t="s">
        <v>644</v>
      </c>
      <c r="R46" s="549"/>
      <c r="S46" s="549">
        <v>20</v>
      </c>
      <c r="T46" s="550">
        <v>-20</v>
      </c>
      <c r="U46" s="540"/>
      <c r="V46" s="541"/>
      <c r="W46" s="541"/>
    </row>
    <row r="47" spans="17:23" ht="15.75">
      <c r="Q47" s="523" t="s">
        <v>68</v>
      </c>
      <c r="R47" s="552"/>
      <c r="S47" s="552"/>
      <c r="T47" s="553">
        <f>T44+T45+T46</f>
        <v>85271</v>
      </c>
      <c r="U47" s="540" t="s">
        <v>647</v>
      </c>
      <c r="V47" s="541"/>
      <c r="W47" s="541"/>
    </row>
    <row r="48" spans="17:23" ht="15.75">
      <c r="Q48" s="541"/>
      <c r="R48" s="541"/>
      <c r="S48" s="541"/>
      <c r="T48" s="541"/>
      <c r="U48" s="541"/>
      <c r="V48" s="541"/>
      <c r="W48" s="554"/>
    </row>
    <row r="49" spans="17:23" ht="15.75">
      <c r="Q49" s="541"/>
      <c r="R49" s="541"/>
      <c r="S49" s="541"/>
      <c r="T49" s="541"/>
      <c r="U49" s="541"/>
      <c r="V49" s="541"/>
      <c r="W49" s="554"/>
    </row>
    <row r="50" spans="17:23" ht="15.75">
      <c r="Q50" s="522"/>
      <c r="R50" s="522"/>
      <c r="S50" s="522"/>
      <c r="T50" s="522"/>
      <c r="U50" s="522"/>
      <c r="V50" s="522"/>
    </row>
    <row r="51" spans="17:23" ht="15.75">
      <c r="Q51" s="522"/>
      <c r="R51" s="522"/>
      <c r="S51" s="522"/>
      <c r="T51" s="522"/>
      <c r="U51" s="522"/>
      <c r="V51" s="522"/>
    </row>
  </sheetData>
  <mergeCells count="50">
    <mergeCell ref="F9:L9"/>
    <mergeCell ref="N10:N11"/>
    <mergeCell ref="O10:O11"/>
    <mergeCell ref="P10:P11"/>
    <mergeCell ref="A14:A16"/>
    <mergeCell ref="B14:B16"/>
    <mergeCell ref="C14:L14"/>
    <mergeCell ref="M14:P14"/>
    <mergeCell ref="G21:G22"/>
    <mergeCell ref="H21:K21"/>
    <mergeCell ref="L21:L22"/>
    <mergeCell ref="M21:O21"/>
    <mergeCell ref="P21:R21"/>
    <mergeCell ref="Q14:Q16"/>
    <mergeCell ref="R14:R16"/>
    <mergeCell ref="S14:S16"/>
    <mergeCell ref="C15:E15"/>
    <mergeCell ref="F15:H15"/>
    <mergeCell ref="J15:L15"/>
    <mergeCell ref="M15:M16"/>
    <mergeCell ref="N15:N16"/>
    <mergeCell ref="O15:O16"/>
    <mergeCell ref="P15:P16"/>
    <mergeCell ref="B21:B22"/>
    <mergeCell ref="C21:C22"/>
    <mergeCell ref="D21:D22"/>
    <mergeCell ref="E21:E22"/>
    <mergeCell ref="F21:F22"/>
    <mergeCell ref="AF25:AH25"/>
    <mergeCell ref="AF22:AH22"/>
    <mergeCell ref="AP22:AQ22"/>
    <mergeCell ref="AR22:AS22"/>
    <mergeCell ref="AT22:AU22"/>
    <mergeCell ref="AF24:AH24"/>
    <mergeCell ref="F3:I3"/>
    <mergeCell ref="Q1:T1"/>
    <mergeCell ref="A2:H2"/>
    <mergeCell ref="H25:I25"/>
    <mergeCell ref="AC25:AE25"/>
    <mergeCell ref="H23:I23"/>
    <mergeCell ref="H24:I24"/>
    <mergeCell ref="AC24:AE24"/>
    <mergeCell ref="T21:T22"/>
    <mergeCell ref="U21:U22"/>
    <mergeCell ref="V21:V22"/>
    <mergeCell ref="W21:W22"/>
    <mergeCell ref="X21:X22"/>
    <mergeCell ref="AC22:AE22"/>
    <mergeCell ref="S21:S22"/>
    <mergeCell ref="A21:A2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2A467-865B-4A01-BAF0-7E7B6978CF99}">
  <sheetPr>
    <tabColor theme="4" tint="0.59999389629810485"/>
  </sheetPr>
  <dimension ref="A1:AD50"/>
  <sheetViews>
    <sheetView zoomScale="55" zoomScaleNormal="55" workbookViewId="0">
      <selection activeCell="P50" sqref="P50"/>
    </sheetView>
  </sheetViews>
  <sheetFormatPr defaultColWidth="9.140625" defaultRowHeight="12.75"/>
  <cols>
    <col min="1" max="1" width="22.85546875" style="140" customWidth="1"/>
    <col min="2" max="2" width="28.5703125" style="140" customWidth="1"/>
    <col min="3" max="3" width="14.28515625" style="140" customWidth="1"/>
    <col min="4" max="4" width="23.28515625" style="140" customWidth="1"/>
    <col min="5" max="5" width="13.7109375" style="140" customWidth="1"/>
    <col min="6" max="6" width="11.140625" style="140" customWidth="1"/>
    <col min="7" max="7" width="27.42578125" style="140" customWidth="1"/>
    <col min="8" max="8" width="14" style="140" customWidth="1"/>
    <col min="9" max="9" width="14.85546875" style="140" customWidth="1"/>
    <col min="10" max="10" width="19.28515625" style="140" customWidth="1"/>
    <col min="11" max="11" width="25.42578125" style="140" customWidth="1"/>
    <col min="12" max="12" width="77.140625" style="140" customWidth="1"/>
    <col min="13" max="13" width="37.5703125" style="140" customWidth="1"/>
    <col min="14" max="14" width="17.5703125" style="140" customWidth="1"/>
    <col min="15" max="15" width="61.28515625" style="140" customWidth="1"/>
    <col min="16" max="16" width="12.140625" style="140" customWidth="1"/>
    <col min="17" max="17" width="15.42578125" style="140" customWidth="1"/>
    <col min="18" max="18" width="42.28515625" style="140" customWidth="1"/>
    <col min="19" max="19" width="22.5703125" style="140" customWidth="1"/>
    <col min="20" max="20" width="11.7109375" style="140" customWidth="1"/>
    <col min="21" max="21" width="14.5703125" style="140" customWidth="1"/>
    <col min="22" max="22" width="29.140625" style="140" customWidth="1"/>
    <col min="23" max="23" width="8.42578125" style="140" customWidth="1"/>
    <col min="24" max="24" width="7" style="140" customWidth="1"/>
    <col min="25" max="25" width="8.85546875" style="140" customWidth="1"/>
    <col min="26" max="30" width="9.140625" style="140"/>
    <col min="31" max="31" width="12.42578125" style="140" customWidth="1"/>
    <col min="32" max="32" width="14.140625" style="140" customWidth="1"/>
    <col min="33" max="33" width="10.85546875" style="140" customWidth="1"/>
    <col min="34" max="16384" width="9.140625" style="140"/>
  </cols>
  <sheetData>
    <row r="1" spans="1:30" ht="67.5" customHeight="1">
      <c r="V1" s="696" t="s">
        <v>550</v>
      </c>
      <c r="W1" s="696"/>
      <c r="X1" s="696"/>
      <c r="Y1" s="696"/>
      <c r="Z1" s="696"/>
    </row>
    <row r="2" spans="1:30" ht="27.75" customHeight="1">
      <c r="A2" s="692" t="s">
        <v>440</v>
      </c>
      <c r="B2" s="692"/>
      <c r="C2" s="692"/>
      <c r="D2" s="692"/>
      <c r="V2" s="295"/>
      <c r="W2" s="295"/>
      <c r="X2" s="295"/>
      <c r="Y2" s="295"/>
      <c r="Z2" s="295"/>
    </row>
    <row r="3" spans="1:30" ht="54.75" customHeight="1">
      <c r="B3" s="701" t="s">
        <v>558</v>
      </c>
      <c r="C3" s="701"/>
      <c r="D3" s="701"/>
      <c r="G3" s="700" t="s">
        <v>568</v>
      </c>
      <c r="H3" s="700"/>
      <c r="I3" s="700"/>
      <c r="J3" s="700"/>
      <c r="T3" s="703"/>
      <c r="U3" s="703"/>
      <c r="V3" s="703"/>
    </row>
    <row r="4" spans="1:30" ht="38.25">
      <c r="A4" s="141"/>
      <c r="B4" s="142" t="s">
        <v>372</v>
      </c>
      <c r="C4" s="142" t="s">
        <v>373</v>
      </c>
      <c r="D4" s="143" t="s">
        <v>374</v>
      </c>
      <c r="G4" s="141"/>
      <c r="H4" s="142" t="s">
        <v>372</v>
      </c>
      <c r="I4" s="142" t="s">
        <v>373</v>
      </c>
      <c r="J4" s="143" t="s">
        <v>374</v>
      </c>
      <c r="L4" s="715" t="s">
        <v>594</v>
      </c>
      <c r="M4" s="716"/>
      <c r="N4" s="145"/>
      <c r="O4" s="434"/>
    </row>
    <row r="5" spans="1:30" ht="59.25" customHeight="1">
      <c r="A5" s="144" t="s">
        <v>431</v>
      </c>
      <c r="B5" s="277">
        <f>ROUND(J23,0)</f>
        <v>177359</v>
      </c>
      <c r="C5" s="277">
        <f>B5</f>
        <v>177359</v>
      </c>
      <c r="D5" s="277">
        <f>B5</f>
        <v>177359</v>
      </c>
      <c r="G5" s="144" t="s">
        <v>431</v>
      </c>
      <c r="H5" s="277">
        <v>177348</v>
      </c>
      <c r="I5" s="277">
        <v>177348</v>
      </c>
      <c r="J5" s="277">
        <v>177348</v>
      </c>
      <c r="K5" s="334"/>
      <c r="L5" s="718">
        <f>B7-H7</f>
        <v>31</v>
      </c>
      <c r="M5" s="719"/>
      <c r="N5" s="429"/>
      <c r="O5" s="435"/>
      <c r="R5" s="717"/>
    </row>
    <row r="6" spans="1:30" ht="63.75">
      <c r="A6" s="144" t="s">
        <v>432</v>
      </c>
      <c r="B6" s="277">
        <f>ROUND(I23,0)</f>
        <v>26049</v>
      </c>
      <c r="C6" s="277">
        <f>B6</f>
        <v>26049</v>
      </c>
      <c r="D6" s="277">
        <f>B6</f>
        <v>26049</v>
      </c>
      <c r="G6" s="144" t="s">
        <v>432</v>
      </c>
      <c r="H6" s="277">
        <v>26029</v>
      </c>
      <c r="I6" s="277">
        <v>26029</v>
      </c>
      <c r="J6" s="277">
        <v>26029</v>
      </c>
      <c r="K6" s="334"/>
      <c r="L6" s="715" t="s">
        <v>593</v>
      </c>
      <c r="M6" s="716"/>
      <c r="N6" s="429"/>
      <c r="O6" s="434"/>
      <c r="R6" s="717"/>
    </row>
    <row r="7" spans="1:30" ht="22.5" customHeight="1">
      <c r="B7" s="336">
        <f>B5+B6</f>
        <v>203408</v>
      </c>
      <c r="C7" s="336">
        <f t="shared" ref="C7:D7" si="0">C5+C6</f>
        <v>203408</v>
      </c>
      <c r="D7" s="336">
        <f t="shared" si="0"/>
        <v>203408</v>
      </c>
      <c r="H7" s="337">
        <v>203377</v>
      </c>
      <c r="I7" s="337">
        <v>203377</v>
      </c>
      <c r="J7" s="337">
        <v>203377</v>
      </c>
      <c r="L7" s="431"/>
      <c r="M7" s="430"/>
      <c r="N7" s="430"/>
      <c r="O7" s="430"/>
      <c r="R7" s="717"/>
    </row>
    <row r="8" spans="1:30" s="272" customFormat="1" ht="15">
      <c r="Q8" s="273"/>
      <c r="R8" s="717"/>
      <c r="S8" s="273"/>
    </row>
    <row r="9" spans="1:30" s="272" customFormat="1" ht="15">
      <c r="F9" s="274" t="s">
        <v>377</v>
      </c>
      <c r="G9" s="274" t="s">
        <v>378</v>
      </c>
      <c r="H9" s="274" t="s">
        <v>552</v>
      </c>
      <c r="I9" s="274" t="s">
        <v>379</v>
      </c>
      <c r="J9" s="275"/>
      <c r="K9" s="538"/>
      <c r="N9" s="704" t="s">
        <v>380</v>
      </c>
      <c r="O9" s="704" t="s">
        <v>381</v>
      </c>
      <c r="P9" s="704" t="s">
        <v>382</v>
      </c>
    </row>
    <row r="10" spans="1:30" s="272" customFormat="1" ht="15.75">
      <c r="E10" s="273" t="s">
        <v>383</v>
      </c>
      <c r="F10" s="271">
        <v>2083</v>
      </c>
      <c r="G10" s="271">
        <v>1303</v>
      </c>
      <c r="H10" s="271">
        <v>865</v>
      </c>
      <c r="I10" s="274"/>
      <c r="N10" s="705"/>
      <c r="O10" s="705"/>
      <c r="P10" s="705"/>
    </row>
    <row r="11" spans="1:30" s="272" customFormat="1" ht="15.75">
      <c r="E11" s="273" t="s">
        <v>384</v>
      </c>
      <c r="F11" s="432">
        <f>ROUND(F10/9600,4)</f>
        <v>0.217</v>
      </c>
      <c r="G11" s="432">
        <f t="shared" ref="G11:H11" si="1">ROUND(G10/9600,4)</f>
        <v>0.13569999999999999</v>
      </c>
      <c r="H11" s="432">
        <f t="shared" si="1"/>
        <v>9.01E-2</v>
      </c>
      <c r="I11" s="433">
        <v>0.2359</v>
      </c>
      <c r="M11" s="273" t="s">
        <v>385</v>
      </c>
      <c r="N11" s="274">
        <v>0.28120000000000001</v>
      </c>
      <c r="O11" s="433">
        <v>2.1899999999999999E-2</v>
      </c>
      <c r="P11" s="433">
        <v>3.49E-2</v>
      </c>
    </row>
    <row r="12" spans="1:30" s="272" customFormat="1" ht="15"/>
    <row r="13" spans="1:30" s="272" customFormat="1" ht="15" customHeight="1">
      <c r="A13" s="702" t="s">
        <v>11</v>
      </c>
      <c r="B13" s="702" t="s">
        <v>10</v>
      </c>
      <c r="C13" s="702" t="s">
        <v>386</v>
      </c>
      <c r="D13" s="702"/>
      <c r="E13" s="702"/>
      <c r="F13" s="702"/>
      <c r="G13" s="702"/>
      <c r="H13" s="702"/>
      <c r="I13" s="702"/>
      <c r="J13" s="702"/>
      <c r="K13" s="702"/>
      <c r="L13" s="702"/>
      <c r="M13" s="702"/>
      <c r="N13" s="702"/>
      <c r="O13" s="702"/>
      <c r="P13" s="702"/>
      <c r="Q13" s="702" t="s">
        <v>553</v>
      </c>
      <c r="R13" s="702" t="s">
        <v>387</v>
      </c>
      <c r="S13" s="702" t="s">
        <v>554</v>
      </c>
      <c r="T13" s="693" t="s">
        <v>245</v>
      </c>
      <c r="U13" s="693" t="s">
        <v>246</v>
      </c>
      <c r="V13" s="693" t="s">
        <v>343</v>
      </c>
      <c r="W13" s="693" t="s">
        <v>248</v>
      </c>
      <c r="X13" s="693" t="s">
        <v>344</v>
      </c>
      <c r="Y13" s="693" t="s">
        <v>250</v>
      </c>
      <c r="Z13" s="693" t="s">
        <v>251</v>
      </c>
      <c r="AA13" s="693" t="s">
        <v>364</v>
      </c>
      <c r="AB13" s="697" t="s">
        <v>555</v>
      </c>
      <c r="AC13" s="697" t="s">
        <v>556</v>
      </c>
      <c r="AD13" s="693" t="s">
        <v>252</v>
      </c>
    </row>
    <row r="14" spans="1:30" s="272" customFormat="1" ht="51.75" customHeight="1">
      <c r="A14" s="702"/>
      <c r="B14" s="702"/>
      <c r="C14" s="702" t="s">
        <v>388</v>
      </c>
      <c r="D14" s="702"/>
      <c r="E14" s="702"/>
      <c r="F14" s="702" t="s">
        <v>389</v>
      </c>
      <c r="G14" s="702"/>
      <c r="H14" s="702"/>
      <c r="I14" s="287" t="s">
        <v>390</v>
      </c>
      <c r="J14" s="702" t="s">
        <v>391</v>
      </c>
      <c r="K14" s="702"/>
      <c r="L14" s="702"/>
      <c r="M14" s="702" t="s">
        <v>392</v>
      </c>
      <c r="N14" s="702" t="s">
        <v>393</v>
      </c>
      <c r="O14" s="702" t="s">
        <v>394</v>
      </c>
      <c r="P14" s="702" t="s">
        <v>395</v>
      </c>
      <c r="Q14" s="702"/>
      <c r="R14" s="702"/>
      <c r="S14" s="702"/>
      <c r="T14" s="694"/>
      <c r="U14" s="694"/>
      <c r="V14" s="694"/>
      <c r="W14" s="694"/>
      <c r="X14" s="694"/>
      <c r="Y14" s="694"/>
      <c r="Z14" s="694"/>
      <c r="AA14" s="694"/>
      <c r="AB14" s="698"/>
      <c r="AC14" s="698"/>
      <c r="AD14" s="694"/>
    </row>
    <row r="15" spans="1:30" s="272" customFormat="1" ht="60">
      <c r="A15" s="702"/>
      <c r="B15" s="702"/>
      <c r="C15" s="287" t="s">
        <v>396</v>
      </c>
      <c r="D15" s="287" t="s">
        <v>397</v>
      </c>
      <c r="E15" s="287" t="s">
        <v>398</v>
      </c>
      <c r="F15" s="287" t="s">
        <v>396</v>
      </c>
      <c r="G15" s="287" t="s">
        <v>397</v>
      </c>
      <c r="H15" s="287" t="s">
        <v>399</v>
      </c>
      <c r="I15" s="287" t="s">
        <v>400</v>
      </c>
      <c r="J15" s="287" t="s">
        <v>401</v>
      </c>
      <c r="K15" s="288" t="s">
        <v>402</v>
      </c>
      <c r="L15" s="287" t="s">
        <v>403</v>
      </c>
      <c r="M15" s="702"/>
      <c r="N15" s="702"/>
      <c r="O15" s="702"/>
      <c r="P15" s="702"/>
      <c r="Q15" s="702"/>
      <c r="R15" s="702"/>
      <c r="S15" s="702"/>
      <c r="T15" s="695"/>
      <c r="U15" s="695"/>
      <c r="V15" s="695"/>
      <c r="W15" s="695"/>
      <c r="X15" s="695"/>
      <c r="Y15" s="695"/>
      <c r="Z15" s="695"/>
      <c r="AA15" s="695"/>
      <c r="AB15" s="699"/>
      <c r="AC15" s="699"/>
      <c r="AD15" s="695"/>
    </row>
    <row r="16" spans="1:30" s="272" customFormat="1" ht="15">
      <c r="A16" s="282">
        <v>1</v>
      </c>
      <c r="B16" s="282">
        <v>2</v>
      </c>
      <c r="C16" s="282">
        <v>3</v>
      </c>
      <c r="D16" s="282">
        <v>4</v>
      </c>
      <c r="E16" s="282">
        <v>5</v>
      </c>
      <c r="F16" s="282">
        <v>6</v>
      </c>
      <c r="G16" s="282">
        <v>7</v>
      </c>
      <c r="H16" s="282">
        <v>8</v>
      </c>
      <c r="I16" s="282">
        <v>9</v>
      </c>
      <c r="J16" s="282" t="s">
        <v>404</v>
      </c>
      <c r="K16" s="282">
        <v>11</v>
      </c>
      <c r="L16" s="282">
        <v>12</v>
      </c>
      <c r="M16" s="282">
        <v>13</v>
      </c>
      <c r="N16" s="282">
        <v>14</v>
      </c>
      <c r="O16" s="282">
        <v>15</v>
      </c>
      <c r="P16" s="282">
        <v>16</v>
      </c>
      <c r="Q16" s="282">
        <v>17</v>
      </c>
      <c r="R16" s="282">
        <v>18</v>
      </c>
      <c r="S16" s="282">
        <v>19</v>
      </c>
      <c r="T16" s="282">
        <v>20</v>
      </c>
      <c r="U16" s="282">
        <v>21</v>
      </c>
      <c r="V16" s="282">
        <v>22</v>
      </c>
      <c r="W16" s="282">
        <v>23</v>
      </c>
      <c r="X16" s="282">
        <v>24</v>
      </c>
      <c r="Y16" s="282">
        <v>25</v>
      </c>
      <c r="Z16" s="282">
        <v>26</v>
      </c>
      <c r="AA16" s="282">
        <v>27</v>
      </c>
      <c r="AB16" s="282">
        <v>28</v>
      </c>
      <c r="AC16" s="282">
        <v>29</v>
      </c>
      <c r="AD16" s="282">
        <v>30</v>
      </c>
    </row>
    <row r="17" spans="1:30" s="276" customFormat="1" ht="30">
      <c r="A17" s="289"/>
      <c r="B17" s="290" t="s">
        <v>557</v>
      </c>
      <c r="C17" s="283">
        <v>30</v>
      </c>
      <c r="D17" s="283">
        <v>30</v>
      </c>
      <c r="E17" s="283">
        <v>0</v>
      </c>
      <c r="F17" s="284">
        <f>ROUND((C17*$F$11),2)</f>
        <v>6.51</v>
      </c>
      <c r="G17" s="284">
        <f>ROUND((D17*$G$11),2)</f>
        <v>4.07</v>
      </c>
      <c r="H17" s="284">
        <f t="shared" ref="H17" si="2">ROUND((E17*$F$11),2)</f>
        <v>0</v>
      </c>
      <c r="I17" s="284">
        <f>ROUND(((F17+G17+H17)*$I$11),2)</f>
        <v>2.5</v>
      </c>
      <c r="J17" s="285">
        <f>K17+L17</f>
        <v>14.49</v>
      </c>
      <c r="K17" s="285">
        <v>0.32</v>
      </c>
      <c r="L17" s="285">
        <v>14.17</v>
      </c>
      <c r="M17" s="284">
        <v>23.76</v>
      </c>
      <c r="N17" s="284">
        <f>ROUND((F17+G17+H17)*$N$11,2)</f>
        <v>2.98</v>
      </c>
      <c r="O17" s="284">
        <f>ROUND((G17+H17+F17)*$O$11,2)</f>
        <v>0.23</v>
      </c>
      <c r="P17" s="284">
        <f>ROUND((H17+G17+F17)*$P$11,2)</f>
        <v>0.37</v>
      </c>
      <c r="Q17" s="286">
        <f>ROUND((F17+G17+H17+I17+J17+M17+N17+O17+P17),2)</f>
        <v>54.91</v>
      </c>
      <c r="R17" s="286"/>
      <c r="S17" s="291">
        <f>Q17-R17</f>
        <v>54.91</v>
      </c>
      <c r="T17" s="285">
        <f>F17+G17+H17</f>
        <v>10.58</v>
      </c>
      <c r="U17" s="285">
        <f>I17</f>
        <v>2.5</v>
      </c>
      <c r="V17" s="285">
        <f>J17</f>
        <v>14.49</v>
      </c>
      <c r="W17" s="282"/>
      <c r="X17" s="285">
        <f>N17</f>
        <v>2.98</v>
      </c>
      <c r="Y17" s="285">
        <f>O17</f>
        <v>0.23</v>
      </c>
      <c r="Z17" s="285">
        <f>M17+P17</f>
        <v>24.130000000000003</v>
      </c>
      <c r="AA17" s="282"/>
      <c r="AB17" s="285">
        <f>SUM(T17:AA17)</f>
        <v>54.910000000000004</v>
      </c>
      <c r="AC17" s="285">
        <f>R17</f>
        <v>0</v>
      </c>
      <c r="AD17" s="285">
        <f>AB17-AC17</f>
        <v>54.910000000000004</v>
      </c>
    </row>
    <row r="19" spans="1:30">
      <c r="A19" s="709" t="s">
        <v>11</v>
      </c>
      <c r="B19" s="709" t="s">
        <v>409</v>
      </c>
      <c r="C19" s="709" t="s">
        <v>433</v>
      </c>
      <c r="D19" s="709" t="s">
        <v>434</v>
      </c>
      <c r="E19" s="709" t="s">
        <v>435</v>
      </c>
      <c r="F19" s="709" t="s">
        <v>436</v>
      </c>
      <c r="G19" s="709" t="s">
        <v>437</v>
      </c>
      <c r="H19" s="710" t="s">
        <v>438</v>
      </c>
      <c r="I19" s="710"/>
      <c r="J19" s="710"/>
      <c r="K19" s="711"/>
      <c r="L19" s="706" t="s">
        <v>439</v>
      </c>
      <c r="M19" s="712" t="s">
        <v>415</v>
      </c>
      <c r="N19" s="713"/>
      <c r="O19" s="714"/>
      <c r="P19" s="712" t="s">
        <v>416</v>
      </c>
      <c r="Q19" s="713"/>
      <c r="R19" s="714"/>
      <c r="S19" s="706" t="s">
        <v>417</v>
      </c>
      <c r="T19" s="706" t="s">
        <v>241</v>
      </c>
      <c r="U19" s="706"/>
      <c r="V19" s="706"/>
    </row>
    <row r="20" spans="1:30" ht="25.5">
      <c r="A20" s="709"/>
      <c r="B20" s="709"/>
      <c r="C20" s="709"/>
      <c r="D20" s="709"/>
      <c r="E20" s="709"/>
      <c r="F20" s="709"/>
      <c r="G20" s="709"/>
      <c r="H20" s="154" t="s">
        <v>422</v>
      </c>
      <c r="I20" s="153" t="s">
        <v>423</v>
      </c>
      <c r="J20" s="153" t="s">
        <v>424</v>
      </c>
      <c r="K20" s="153" t="s">
        <v>19</v>
      </c>
      <c r="L20" s="706"/>
      <c r="M20" s="153" t="s">
        <v>425</v>
      </c>
      <c r="N20" s="153" t="s">
        <v>426</v>
      </c>
      <c r="O20" s="153" t="s">
        <v>427</v>
      </c>
      <c r="P20" s="153" t="s">
        <v>425</v>
      </c>
      <c r="Q20" s="153" t="s">
        <v>426</v>
      </c>
      <c r="R20" s="153" t="s">
        <v>427</v>
      </c>
      <c r="S20" s="706"/>
      <c r="T20" s="706"/>
      <c r="U20" s="706"/>
      <c r="V20" s="706"/>
    </row>
    <row r="21" spans="1:30" ht="63.75">
      <c r="A21" s="155">
        <v>31252</v>
      </c>
      <c r="B21" s="156" t="s">
        <v>440</v>
      </c>
      <c r="C21" s="157" t="s">
        <v>428</v>
      </c>
      <c r="D21" s="158">
        <v>0</v>
      </c>
      <c r="E21" s="158">
        <f>Q17</f>
        <v>54.91</v>
      </c>
      <c r="F21" s="159">
        <f>R17</f>
        <v>0</v>
      </c>
      <c r="G21" s="159">
        <f>E21-D21</f>
        <v>54.91</v>
      </c>
      <c r="H21" s="160">
        <v>0</v>
      </c>
      <c r="I21" s="161">
        <v>339</v>
      </c>
      <c r="J21" s="161">
        <v>3230</v>
      </c>
      <c r="K21" s="161">
        <f>SUM(H21:J21)</f>
        <v>3569</v>
      </c>
      <c r="L21" s="162">
        <f>G21*K21+F33</f>
        <v>203408.05999999997</v>
      </c>
      <c r="M21" s="163" t="s">
        <v>429</v>
      </c>
      <c r="N21" s="164" t="s">
        <v>429</v>
      </c>
      <c r="O21" s="165" t="s">
        <v>441</v>
      </c>
      <c r="P21" s="163" t="s">
        <v>442</v>
      </c>
      <c r="Q21" s="164" t="s">
        <v>429</v>
      </c>
      <c r="R21" s="164" t="s">
        <v>429</v>
      </c>
      <c r="S21" s="163" t="s">
        <v>443</v>
      </c>
      <c r="T21" s="707" t="s">
        <v>444</v>
      </c>
      <c r="U21" s="707"/>
      <c r="V21" s="707"/>
    </row>
    <row r="22" spans="1:30">
      <c r="F22" s="166"/>
      <c r="I22" s="167" t="s">
        <v>376</v>
      </c>
      <c r="J22" s="167" t="s">
        <v>375</v>
      </c>
    </row>
    <row r="23" spans="1:30">
      <c r="F23" s="166"/>
      <c r="I23" s="168">
        <f>I21*G21+I21*E33</f>
        <v>26048.76</v>
      </c>
      <c r="J23" s="168">
        <f>J21*G21</f>
        <v>177359.3</v>
      </c>
    </row>
    <row r="24" spans="1:30">
      <c r="J24" s="169"/>
      <c r="K24" s="169"/>
      <c r="L24" s="170"/>
    </row>
    <row r="25" spans="1:30">
      <c r="C25" s="708">
        <v>2018</v>
      </c>
      <c r="D25" s="708"/>
      <c r="E25" s="708">
        <v>2019</v>
      </c>
      <c r="F25" s="708"/>
      <c r="G25" s="708">
        <v>2020</v>
      </c>
      <c r="H25" s="708"/>
      <c r="I25" s="708">
        <v>2021</v>
      </c>
      <c r="J25" s="708"/>
      <c r="K25" s="708" t="s">
        <v>445</v>
      </c>
      <c r="L25" s="708"/>
      <c r="M25" s="708" t="s">
        <v>446</v>
      </c>
      <c r="N25" s="708"/>
    </row>
    <row r="26" spans="1:30">
      <c r="B26" s="171" t="s">
        <v>447</v>
      </c>
      <c r="C26" s="150" t="s">
        <v>448</v>
      </c>
      <c r="D26" s="150" t="s">
        <v>449</v>
      </c>
      <c r="E26" s="150" t="s">
        <v>448</v>
      </c>
      <c r="F26" s="150" t="s">
        <v>449</v>
      </c>
      <c r="G26" s="150" t="s">
        <v>448</v>
      </c>
      <c r="H26" s="150" t="s">
        <v>449</v>
      </c>
      <c r="I26" s="150" t="s">
        <v>448</v>
      </c>
      <c r="J26" s="150" t="s">
        <v>449</v>
      </c>
      <c r="K26" s="150" t="s">
        <v>448</v>
      </c>
      <c r="L26" s="150" t="s">
        <v>449</v>
      </c>
      <c r="M26" s="150" t="s">
        <v>448</v>
      </c>
      <c r="N26" s="150" t="s">
        <v>449</v>
      </c>
    </row>
    <row r="27" spans="1:30">
      <c r="B27" s="171">
        <v>31252</v>
      </c>
      <c r="C27" s="150">
        <v>0</v>
      </c>
      <c r="D27" s="150">
        <v>2526</v>
      </c>
      <c r="E27" s="150">
        <v>1</v>
      </c>
      <c r="F27" s="150">
        <v>4243</v>
      </c>
      <c r="G27" s="150">
        <v>0</v>
      </c>
      <c r="H27" s="150">
        <v>3274</v>
      </c>
      <c r="I27" s="150">
        <v>3</v>
      </c>
      <c r="J27" s="150">
        <v>2554</v>
      </c>
      <c r="K27" s="150">
        <f>AVERAGE(C27, E27, G27, I27)</f>
        <v>1</v>
      </c>
      <c r="L27" s="172">
        <f>AVERAGE(D27, F27, H27, J27)</f>
        <v>3149.25</v>
      </c>
      <c r="M27" s="172">
        <v>378</v>
      </c>
      <c r="N27" s="172">
        <v>3779</v>
      </c>
    </row>
    <row r="28" spans="1:30">
      <c r="C28" s="140" t="s">
        <v>450</v>
      </c>
    </row>
    <row r="29" spans="1:30">
      <c r="C29" s="140" t="s">
        <v>451</v>
      </c>
    </row>
    <row r="33" spans="2:16" ht="63.75">
      <c r="B33" s="173" t="s">
        <v>452</v>
      </c>
      <c r="C33" s="174" t="s">
        <v>453</v>
      </c>
      <c r="D33" s="175" t="s">
        <v>454</v>
      </c>
      <c r="E33" s="176">
        <v>21.93</v>
      </c>
      <c r="F33" s="152">
        <f>E33*I21</f>
        <v>7434.2699999999995</v>
      </c>
      <c r="L33" s="539" t="s">
        <v>650</v>
      </c>
      <c r="M33" s="540"/>
      <c r="N33" s="540"/>
      <c r="O33" s="540"/>
    </row>
    <row r="34" spans="2:16" ht="15.75">
      <c r="L34" s="540" t="s">
        <v>648</v>
      </c>
      <c r="M34" s="540"/>
      <c r="N34" s="540"/>
      <c r="O34" s="540"/>
    </row>
    <row r="35" spans="2:16" ht="15.75">
      <c r="L35" s="542" t="s">
        <v>4</v>
      </c>
      <c r="M35" s="542" t="s">
        <v>522</v>
      </c>
      <c r="N35" s="542" t="s">
        <v>655</v>
      </c>
      <c r="O35" s="542" t="s">
        <v>523</v>
      </c>
      <c r="P35" s="140" t="s">
        <v>375</v>
      </c>
    </row>
    <row r="36" spans="2:16" ht="15.75">
      <c r="L36" s="523" t="s">
        <v>649</v>
      </c>
      <c r="M36" s="543">
        <v>1464865.4</v>
      </c>
      <c r="N36" s="543">
        <v>970009.4</v>
      </c>
      <c r="O36" s="544">
        <f>M36-N36</f>
        <v>494855.99999999988</v>
      </c>
    </row>
    <row r="37" spans="2:16" ht="15.75">
      <c r="L37" s="540"/>
      <c r="M37" s="540"/>
      <c r="N37" s="540"/>
      <c r="O37" s="540"/>
    </row>
    <row r="38" spans="2:16" ht="15.75">
      <c r="L38" s="539" t="s">
        <v>651</v>
      </c>
      <c r="M38" s="540"/>
      <c r="N38" s="540"/>
      <c r="O38" s="540"/>
    </row>
    <row r="39" spans="2:16" ht="15.75">
      <c r="L39" s="545" t="s">
        <v>645</v>
      </c>
      <c r="M39" s="544">
        <f>O36</f>
        <v>494855.99999999988</v>
      </c>
      <c r="N39" s="540"/>
      <c r="O39" s="540"/>
    </row>
    <row r="40" spans="2:16" ht="15.75">
      <c r="L40" s="546" t="s">
        <v>646</v>
      </c>
      <c r="M40" s="543">
        <v>453</v>
      </c>
      <c r="N40" s="540"/>
      <c r="O40" s="540"/>
    </row>
    <row r="41" spans="2:16" ht="15.75">
      <c r="L41" s="546" t="s">
        <v>653</v>
      </c>
      <c r="M41" s="543">
        <v>11</v>
      </c>
      <c r="N41" s="540"/>
      <c r="O41" s="540"/>
    </row>
    <row r="42" spans="2:16" ht="15.75">
      <c r="L42" s="524" t="s">
        <v>622</v>
      </c>
      <c r="M42" s="525">
        <f>M39-M40-M41</f>
        <v>494391.99999999988</v>
      </c>
      <c r="N42" s="540" t="s">
        <v>656</v>
      </c>
      <c r="O42" s="540"/>
    </row>
    <row r="43" spans="2:16" ht="15.75">
      <c r="L43" s="540"/>
      <c r="M43" s="540"/>
      <c r="N43" s="540"/>
      <c r="O43" s="547"/>
    </row>
    <row r="44" spans="2:16" ht="15.75">
      <c r="L44" s="541"/>
      <c r="M44" s="541"/>
      <c r="N44" s="541"/>
      <c r="O44" s="541"/>
    </row>
    <row r="45" spans="2:16" ht="15.75">
      <c r="L45" s="539" t="s">
        <v>652</v>
      </c>
      <c r="M45" s="540"/>
      <c r="N45" s="540"/>
      <c r="O45" s="540"/>
    </row>
    <row r="46" spans="2:16" ht="15.75">
      <c r="L46" s="542" t="s">
        <v>4</v>
      </c>
      <c r="M46" s="542" t="s">
        <v>522</v>
      </c>
      <c r="N46" s="542" t="s">
        <v>655</v>
      </c>
      <c r="O46" s="542" t="s">
        <v>523</v>
      </c>
    </row>
    <row r="47" spans="2:16" ht="15.75">
      <c r="L47" s="540" t="s">
        <v>642</v>
      </c>
      <c r="M47" s="540">
        <v>925303</v>
      </c>
      <c r="N47" s="540">
        <v>839836</v>
      </c>
      <c r="O47" s="545">
        <f>M47-N47</f>
        <v>85467</v>
      </c>
      <c r="P47" s="140" t="s">
        <v>376</v>
      </c>
    </row>
    <row r="48" spans="2:16" ht="15">
      <c r="L48" s="548" t="s">
        <v>643</v>
      </c>
      <c r="M48" s="549"/>
      <c r="N48" s="549">
        <v>176</v>
      </c>
      <c r="O48" s="550">
        <f>M48-N48</f>
        <v>-176</v>
      </c>
    </row>
    <row r="49" spans="12:16" ht="15">
      <c r="L49" s="548" t="s">
        <v>644</v>
      </c>
      <c r="M49" s="549"/>
      <c r="N49" s="549">
        <v>20</v>
      </c>
      <c r="O49" s="550">
        <v>-20</v>
      </c>
    </row>
    <row r="50" spans="12:16" ht="15.75">
      <c r="L50" s="523" t="s">
        <v>68</v>
      </c>
      <c r="M50" s="552"/>
      <c r="N50" s="552"/>
      <c r="O50" s="553">
        <f>O47+O48+O49</f>
        <v>85271</v>
      </c>
      <c r="P50" s="140" t="s">
        <v>647</v>
      </c>
    </row>
  </sheetData>
  <mergeCells count="57">
    <mergeCell ref="L4:M4"/>
    <mergeCell ref="R5:R8"/>
    <mergeCell ref="L5:M5"/>
    <mergeCell ref="L6:M6"/>
    <mergeCell ref="A13:A15"/>
    <mergeCell ref="B13:B15"/>
    <mergeCell ref="C13:L13"/>
    <mergeCell ref="M13:P13"/>
    <mergeCell ref="O14:O15"/>
    <mergeCell ref="P14:P15"/>
    <mergeCell ref="C14:E14"/>
    <mergeCell ref="F14:H14"/>
    <mergeCell ref="J14:L14"/>
    <mergeCell ref="M14:M15"/>
    <mergeCell ref="A19:A20"/>
    <mergeCell ref="B19:B20"/>
    <mergeCell ref="C19:C20"/>
    <mergeCell ref="D19:D20"/>
    <mergeCell ref="E19:E20"/>
    <mergeCell ref="T19:V20"/>
    <mergeCell ref="T21:V21"/>
    <mergeCell ref="C25:D25"/>
    <mergeCell ref="E25:F25"/>
    <mergeCell ref="G25:H25"/>
    <mergeCell ref="I25:J25"/>
    <mergeCell ref="K25:L25"/>
    <mergeCell ref="M25:N25"/>
    <mergeCell ref="G19:G20"/>
    <mergeCell ref="H19:K19"/>
    <mergeCell ref="L19:L20"/>
    <mergeCell ref="M19:O19"/>
    <mergeCell ref="P19:R19"/>
    <mergeCell ref="S19:S20"/>
    <mergeCell ref="F19:F20"/>
    <mergeCell ref="T3:V3"/>
    <mergeCell ref="N9:N10"/>
    <mergeCell ref="O9:O10"/>
    <mergeCell ref="Q13:Q15"/>
    <mergeCell ref="R13:R15"/>
    <mergeCell ref="P9:P10"/>
    <mergeCell ref="N14:N15"/>
    <mergeCell ref="A2:D2"/>
    <mergeCell ref="AD13:AD15"/>
    <mergeCell ref="V1:Z1"/>
    <mergeCell ref="X13:X15"/>
    <mergeCell ref="Y13:Y15"/>
    <mergeCell ref="Z13:Z15"/>
    <mergeCell ref="AA13:AA15"/>
    <mergeCell ref="AB13:AB15"/>
    <mergeCell ref="AC13:AC15"/>
    <mergeCell ref="W13:W15"/>
    <mergeCell ref="G3:J3"/>
    <mergeCell ref="B3:D3"/>
    <mergeCell ref="T13:T15"/>
    <mergeCell ref="U13:U15"/>
    <mergeCell ref="V13:V15"/>
    <mergeCell ref="S13:S15"/>
  </mergeCells>
  <pageMargins left="0.7" right="0.7" top="0.75" bottom="0.75" header="0.3" footer="0.3"/>
  <pageSetup orientation="portrait" horizontalDpi="90" verticalDpi="9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DD784-AFD0-4617-AF7F-60C7C952ABFA}">
  <sheetPr>
    <tabColor theme="4" tint="0.59999389629810485"/>
  </sheetPr>
  <dimension ref="A1:AD33"/>
  <sheetViews>
    <sheetView zoomScale="57" zoomScaleNormal="57" workbookViewId="0">
      <selection activeCell="A37" sqref="A37:XFD43"/>
    </sheetView>
  </sheetViews>
  <sheetFormatPr defaultRowHeight="12.75"/>
  <cols>
    <col min="1" max="1" width="20" style="5" customWidth="1"/>
    <col min="2" max="2" width="25.85546875" style="5" customWidth="1"/>
    <col min="3" max="3" width="12.7109375" style="5" customWidth="1"/>
    <col min="4" max="4" width="13.140625" style="5" bestFit="1" customWidth="1"/>
    <col min="5" max="5" width="27.85546875" style="5" bestFit="1" customWidth="1"/>
    <col min="6" max="6" width="10.42578125" style="5" customWidth="1"/>
    <col min="7" max="7" width="18.140625" style="5" customWidth="1"/>
    <col min="8" max="8" width="19.28515625" style="5" customWidth="1"/>
    <col min="9" max="9" width="18.140625" style="5" customWidth="1"/>
    <col min="10" max="10" width="18.28515625" style="5" customWidth="1"/>
    <col min="11" max="11" width="11.42578125" style="5" customWidth="1"/>
    <col min="12" max="12" width="61.42578125" style="5" customWidth="1"/>
    <col min="13" max="13" width="28" style="5" customWidth="1"/>
    <col min="14" max="14" width="21.7109375" style="5" customWidth="1"/>
    <col min="15" max="15" width="56" style="5" customWidth="1"/>
    <col min="16" max="16" width="19.140625" style="5" customWidth="1"/>
    <col min="17" max="17" width="13.7109375" style="5" customWidth="1"/>
    <col min="18" max="18" width="19.42578125" style="5" customWidth="1"/>
    <col min="19" max="22" width="9.140625" style="5"/>
    <col min="23" max="23" width="17.85546875" style="5" customWidth="1"/>
    <col min="24" max="16384" width="9.140625" style="5"/>
  </cols>
  <sheetData>
    <row r="1" spans="1:30" ht="38.25" customHeight="1">
      <c r="X1" s="589" t="s">
        <v>569</v>
      </c>
      <c r="Y1" s="589"/>
      <c r="Z1" s="589"/>
      <c r="AA1" s="589"/>
      <c r="AB1" s="589"/>
      <c r="AC1" s="589"/>
      <c r="AD1" s="589"/>
    </row>
    <row r="2" spans="1:30">
      <c r="A2" s="668" t="s">
        <v>559</v>
      </c>
      <c r="B2" s="668"/>
      <c r="C2" s="668"/>
      <c r="D2" s="668"/>
      <c r="E2" s="668"/>
      <c r="F2" s="668"/>
      <c r="G2" s="668"/>
      <c r="H2" s="668"/>
      <c r="I2" s="668"/>
      <c r="O2" s="570"/>
      <c r="P2" s="570"/>
      <c r="Q2" s="570"/>
      <c r="R2" s="570"/>
      <c r="S2" s="571"/>
      <c r="T2" s="571"/>
      <c r="U2" s="571"/>
      <c r="V2" s="571"/>
      <c r="W2" s="571"/>
    </row>
    <row r="3" spans="1:30">
      <c r="O3" s="572"/>
      <c r="P3" s="572"/>
      <c r="Q3" s="572"/>
      <c r="R3" s="572"/>
      <c r="S3" s="571"/>
      <c r="T3" s="571"/>
      <c r="U3" s="571"/>
      <c r="V3" s="571"/>
      <c r="W3" s="571"/>
    </row>
    <row r="4" spans="1:30" s="140" customFormat="1">
      <c r="B4" s="701" t="s">
        <v>558</v>
      </c>
      <c r="C4" s="701"/>
      <c r="D4" s="701"/>
      <c r="G4" s="720" t="s">
        <v>570</v>
      </c>
      <c r="H4" s="720"/>
      <c r="I4" s="720"/>
      <c r="J4" s="720"/>
      <c r="O4" s="570"/>
      <c r="P4" s="573"/>
      <c r="Q4" s="573"/>
      <c r="R4" s="573"/>
      <c r="T4" s="703"/>
      <c r="U4" s="703"/>
      <c r="V4" s="703"/>
    </row>
    <row r="5" spans="1:30" s="140" customFormat="1" ht="33.75" customHeight="1">
      <c r="A5" s="141"/>
      <c r="B5" s="142" t="s">
        <v>372</v>
      </c>
      <c r="C5" s="142" t="s">
        <v>373</v>
      </c>
      <c r="D5" s="143" t="s">
        <v>374</v>
      </c>
      <c r="G5" s="141"/>
      <c r="H5" s="142" t="s">
        <v>372</v>
      </c>
      <c r="I5" s="142" t="s">
        <v>373</v>
      </c>
      <c r="J5" s="143" t="s">
        <v>374</v>
      </c>
      <c r="L5" s="728" t="s">
        <v>594</v>
      </c>
      <c r="M5" s="729"/>
      <c r="N5" s="436"/>
      <c r="O5" s="574"/>
      <c r="P5" s="575"/>
      <c r="Q5" s="575"/>
      <c r="R5" s="576"/>
    </row>
    <row r="6" spans="1:30" s="140" customFormat="1" ht="33.75" customHeight="1">
      <c r="A6" s="153" t="s">
        <v>420</v>
      </c>
      <c r="B6" s="277">
        <f>L31</f>
        <v>245019</v>
      </c>
      <c r="C6" s="277">
        <f>B6</f>
        <v>245019</v>
      </c>
      <c r="D6" s="277">
        <f>B6</f>
        <v>245019</v>
      </c>
      <c r="G6" s="153" t="s">
        <v>420</v>
      </c>
      <c r="H6" s="339">
        <v>245014</v>
      </c>
      <c r="I6" s="340">
        <v>245014</v>
      </c>
      <c r="J6" s="340">
        <v>245014</v>
      </c>
      <c r="K6" s="334"/>
      <c r="L6" s="718">
        <f>B7-H7</f>
        <v>5</v>
      </c>
      <c r="M6" s="719"/>
      <c r="N6" s="429"/>
      <c r="O6" s="571"/>
      <c r="P6" s="577"/>
      <c r="Q6" s="575"/>
      <c r="R6" s="576"/>
    </row>
    <row r="7" spans="1:30" s="140" customFormat="1" ht="50.25" customHeight="1">
      <c r="B7" s="336">
        <f>B6</f>
        <v>245019</v>
      </c>
      <c r="C7" s="336">
        <f>C6</f>
        <v>245019</v>
      </c>
      <c r="D7" s="336">
        <f>D6</f>
        <v>245019</v>
      </c>
      <c r="H7" s="337">
        <f>H6</f>
        <v>245014</v>
      </c>
      <c r="I7" s="337">
        <f>I6</f>
        <v>245014</v>
      </c>
      <c r="J7" s="337">
        <f>J6</f>
        <v>245014</v>
      </c>
      <c r="L7" s="730" t="s">
        <v>657</v>
      </c>
      <c r="M7" s="731"/>
      <c r="N7" s="475"/>
      <c r="O7" s="578"/>
      <c r="P7" s="579"/>
      <c r="Q7" s="580"/>
      <c r="R7" s="581"/>
    </row>
    <row r="8" spans="1:30" s="140" customFormat="1" ht="20.25" customHeight="1">
      <c r="B8" s="516"/>
      <c r="C8" s="516"/>
      <c r="D8" s="516"/>
      <c r="H8" s="516"/>
      <c r="I8" s="516"/>
      <c r="J8" s="516"/>
      <c r="L8" s="517"/>
      <c r="M8" s="517"/>
      <c r="N8" s="475"/>
      <c r="O8" s="513"/>
      <c r="P8" s="514"/>
      <c r="Q8" s="723"/>
      <c r="R8" s="723"/>
      <c r="S8" s="723"/>
      <c r="T8" s="723"/>
      <c r="U8" s="723"/>
      <c r="V8" s="723"/>
      <c r="W8" s="723"/>
    </row>
    <row r="9" spans="1:30" s="140" customFormat="1" ht="20.25" customHeight="1">
      <c r="B9" s="516"/>
      <c r="C9" s="516"/>
      <c r="D9" s="516"/>
      <c r="H9" s="516"/>
      <c r="I9" s="516"/>
      <c r="J9" s="516"/>
      <c r="L9" s="517"/>
      <c r="M9" s="517"/>
      <c r="N9" s="475"/>
      <c r="O9" s="582"/>
      <c r="P9" s="580"/>
      <c r="Q9" s="580"/>
      <c r="R9" s="581"/>
    </row>
    <row r="10" spans="1:30" s="140" customFormat="1" ht="20.25" customHeight="1">
      <c r="B10" s="516"/>
      <c r="C10" s="516"/>
      <c r="D10" s="516"/>
      <c r="H10" s="516"/>
      <c r="I10" s="516"/>
      <c r="J10" s="516"/>
      <c r="L10" s="517"/>
      <c r="M10" s="517"/>
      <c r="N10" s="475"/>
      <c r="O10" s="518"/>
      <c r="P10" s="519"/>
      <c r="Q10" s="519"/>
      <c r="R10" s="520"/>
    </row>
    <row r="11" spans="1:30" s="140" customFormat="1" ht="20.25" customHeight="1">
      <c r="B11" s="516"/>
      <c r="C11" s="516"/>
      <c r="D11" s="516"/>
      <c r="H11" s="516"/>
      <c r="I11" s="516"/>
      <c r="J11" s="516"/>
      <c r="L11" s="517"/>
      <c r="M11" s="517"/>
      <c r="N11" s="475"/>
      <c r="O11" s="518"/>
      <c r="P11" s="519"/>
      <c r="Q11" s="519"/>
      <c r="R11" s="520"/>
    </row>
    <row r="12" spans="1:30" s="140" customFormat="1" ht="20.25" customHeight="1">
      <c r="B12" s="516"/>
      <c r="C12" s="516"/>
      <c r="D12" s="516"/>
      <c r="H12" s="516"/>
      <c r="I12" s="516"/>
      <c r="J12" s="516"/>
      <c r="L12" s="517"/>
      <c r="M12" s="517"/>
      <c r="N12" s="475"/>
      <c r="O12" s="518"/>
      <c r="P12" s="519"/>
      <c r="Q12" s="519"/>
      <c r="R12" s="520"/>
    </row>
    <row r="13" spans="1:30" s="140" customFormat="1">
      <c r="Q13" s="146"/>
      <c r="R13" s="146"/>
      <c r="S13" s="146"/>
    </row>
    <row r="14" spans="1:30" s="140" customFormat="1">
      <c r="F14" s="144" t="s">
        <v>377</v>
      </c>
      <c r="G14" s="144" t="s">
        <v>378</v>
      </c>
      <c r="H14" s="144" t="s">
        <v>552</v>
      </c>
      <c r="I14" s="144" t="s">
        <v>379</v>
      </c>
      <c r="J14" s="145"/>
      <c r="M14" s="436"/>
      <c r="N14" s="721" t="s">
        <v>380</v>
      </c>
      <c r="O14" s="721" t="s">
        <v>381</v>
      </c>
      <c r="P14" s="721" t="s">
        <v>382</v>
      </c>
    </row>
    <row r="15" spans="1:30" s="140" customFormat="1">
      <c r="E15" s="146" t="s">
        <v>383</v>
      </c>
      <c r="F15" s="267">
        <v>2083</v>
      </c>
      <c r="G15" s="267">
        <v>1303</v>
      </c>
      <c r="H15" s="267">
        <v>865</v>
      </c>
      <c r="I15" s="144"/>
      <c r="M15" s="436"/>
      <c r="N15" s="722"/>
      <c r="O15" s="722"/>
      <c r="P15" s="722"/>
    </row>
    <row r="16" spans="1:30" s="140" customFormat="1">
      <c r="E16" s="146" t="s">
        <v>384</v>
      </c>
      <c r="F16" s="147">
        <f>ROUND(F15/9600,4)</f>
        <v>0.217</v>
      </c>
      <c r="G16" s="147">
        <f t="shared" ref="G16:H16" si="0">ROUND(G15/9600,4)</f>
        <v>0.13569999999999999</v>
      </c>
      <c r="H16" s="147">
        <f t="shared" si="0"/>
        <v>9.01E-2</v>
      </c>
      <c r="I16" s="148">
        <v>0.2359</v>
      </c>
      <c r="M16" s="436" t="s">
        <v>385</v>
      </c>
      <c r="N16" s="148">
        <v>0.28120000000000001</v>
      </c>
      <c r="O16" s="148">
        <v>2.1899999999999999E-2</v>
      </c>
      <c r="P16" s="144">
        <v>3.49E-2</v>
      </c>
    </row>
    <row r="19" spans="1:30">
      <c r="A19" s="724" t="s">
        <v>11</v>
      </c>
      <c r="B19" s="724" t="s">
        <v>10</v>
      </c>
      <c r="C19" s="724" t="s">
        <v>386</v>
      </c>
      <c r="D19" s="724"/>
      <c r="E19" s="724"/>
      <c r="F19" s="724"/>
      <c r="G19" s="724"/>
      <c r="H19" s="724"/>
      <c r="I19" s="724"/>
      <c r="J19" s="724"/>
      <c r="K19" s="724"/>
      <c r="L19" s="724"/>
      <c r="M19" s="724"/>
      <c r="N19" s="724"/>
      <c r="O19" s="724"/>
      <c r="P19" s="724"/>
      <c r="Q19" s="724" t="s">
        <v>553</v>
      </c>
      <c r="R19" s="724" t="s">
        <v>387</v>
      </c>
      <c r="S19" s="724" t="s">
        <v>554</v>
      </c>
      <c r="T19" s="725" t="s">
        <v>245</v>
      </c>
      <c r="U19" s="725" t="s">
        <v>246</v>
      </c>
      <c r="V19" s="725" t="s">
        <v>343</v>
      </c>
      <c r="W19" s="725" t="s">
        <v>248</v>
      </c>
      <c r="X19" s="725" t="s">
        <v>344</v>
      </c>
      <c r="Y19" s="725" t="s">
        <v>250</v>
      </c>
      <c r="Z19" s="725" t="s">
        <v>251</v>
      </c>
      <c r="AA19" s="725" t="s">
        <v>364</v>
      </c>
      <c r="AB19" s="741" t="s">
        <v>555</v>
      </c>
      <c r="AC19" s="741" t="s">
        <v>556</v>
      </c>
      <c r="AD19" s="725" t="s">
        <v>252</v>
      </c>
    </row>
    <row r="20" spans="1:30" ht="51">
      <c r="A20" s="724"/>
      <c r="B20" s="724"/>
      <c r="C20" s="724" t="s">
        <v>388</v>
      </c>
      <c r="D20" s="724"/>
      <c r="E20" s="724"/>
      <c r="F20" s="724" t="s">
        <v>389</v>
      </c>
      <c r="G20" s="724"/>
      <c r="H20" s="724"/>
      <c r="I20" s="143" t="s">
        <v>390</v>
      </c>
      <c r="J20" s="724" t="s">
        <v>391</v>
      </c>
      <c r="K20" s="724"/>
      <c r="L20" s="724"/>
      <c r="M20" s="724" t="s">
        <v>392</v>
      </c>
      <c r="N20" s="724" t="s">
        <v>393</v>
      </c>
      <c r="O20" s="724" t="s">
        <v>394</v>
      </c>
      <c r="P20" s="724" t="s">
        <v>395</v>
      </c>
      <c r="Q20" s="724"/>
      <c r="R20" s="724"/>
      <c r="S20" s="724"/>
      <c r="T20" s="726"/>
      <c r="U20" s="726"/>
      <c r="V20" s="726"/>
      <c r="W20" s="726"/>
      <c r="X20" s="726"/>
      <c r="Y20" s="726"/>
      <c r="Z20" s="726"/>
      <c r="AA20" s="726"/>
      <c r="AB20" s="742"/>
      <c r="AC20" s="742"/>
      <c r="AD20" s="726"/>
    </row>
    <row r="21" spans="1:30" ht="38.25">
      <c r="A21" s="724"/>
      <c r="B21" s="724"/>
      <c r="C21" s="143" t="s">
        <v>396</v>
      </c>
      <c r="D21" s="143" t="s">
        <v>397</v>
      </c>
      <c r="E21" s="143" t="s">
        <v>398</v>
      </c>
      <c r="F21" s="143" t="s">
        <v>396</v>
      </c>
      <c r="G21" s="143" t="s">
        <v>397</v>
      </c>
      <c r="H21" s="143" t="s">
        <v>399</v>
      </c>
      <c r="I21" s="143" t="s">
        <v>400</v>
      </c>
      <c r="J21" s="143" t="s">
        <v>401</v>
      </c>
      <c r="K21" s="149" t="s">
        <v>402</v>
      </c>
      <c r="L21" s="143" t="s">
        <v>403</v>
      </c>
      <c r="M21" s="724"/>
      <c r="N21" s="724"/>
      <c r="O21" s="724"/>
      <c r="P21" s="724"/>
      <c r="Q21" s="724"/>
      <c r="R21" s="724"/>
      <c r="S21" s="724"/>
      <c r="T21" s="727"/>
      <c r="U21" s="727"/>
      <c r="V21" s="727"/>
      <c r="W21" s="727"/>
      <c r="X21" s="727"/>
      <c r="Y21" s="727"/>
      <c r="Z21" s="727"/>
      <c r="AA21" s="727"/>
      <c r="AB21" s="743"/>
      <c r="AC21" s="743"/>
      <c r="AD21" s="727"/>
    </row>
    <row r="22" spans="1:30" s="140" customFormat="1">
      <c r="A22" s="150">
        <v>1</v>
      </c>
      <c r="B22" s="150">
        <v>2</v>
      </c>
      <c r="C22" s="150">
        <v>3</v>
      </c>
      <c r="D22" s="150">
        <v>4</v>
      </c>
      <c r="E22" s="150">
        <v>5</v>
      </c>
      <c r="F22" s="150">
        <v>6</v>
      </c>
      <c r="G22" s="150">
        <v>7</v>
      </c>
      <c r="H22" s="150">
        <v>8</v>
      </c>
      <c r="I22" s="150">
        <v>9</v>
      </c>
      <c r="J22" s="150" t="s">
        <v>404</v>
      </c>
      <c r="K22" s="150">
        <v>11</v>
      </c>
      <c r="L22" s="150">
        <v>12</v>
      </c>
      <c r="M22" s="150">
        <v>13</v>
      </c>
      <c r="N22" s="150">
        <v>14</v>
      </c>
      <c r="O22" s="150">
        <v>15</v>
      </c>
      <c r="P22" s="150">
        <v>16</v>
      </c>
      <c r="Q22" s="150">
        <v>17</v>
      </c>
      <c r="R22" s="150">
        <v>18</v>
      </c>
      <c r="S22" s="150">
        <v>19</v>
      </c>
      <c r="T22" s="150">
        <v>20</v>
      </c>
      <c r="U22" s="150">
        <v>21</v>
      </c>
      <c r="V22" s="150">
        <v>22</v>
      </c>
      <c r="W22" s="150">
        <v>23</v>
      </c>
      <c r="X22" s="150">
        <v>24</v>
      </c>
      <c r="Y22" s="150">
        <v>25</v>
      </c>
      <c r="Z22" s="150">
        <v>26</v>
      </c>
      <c r="AA22" s="150">
        <v>27</v>
      </c>
      <c r="AB22" s="150">
        <v>28</v>
      </c>
      <c r="AC22" s="150">
        <v>29</v>
      </c>
      <c r="AD22" s="150">
        <v>30</v>
      </c>
    </row>
    <row r="23" spans="1:30" s="422" customFormat="1" ht="51">
      <c r="A23" s="437"/>
      <c r="B23" s="338" t="s">
        <v>560</v>
      </c>
      <c r="C23" s="369">
        <v>1</v>
      </c>
      <c r="D23" s="369">
        <v>1</v>
      </c>
      <c r="E23" s="369">
        <v>0</v>
      </c>
      <c r="F23" s="151">
        <f>ROUND((C23*$F$16),2)</f>
        <v>0.22</v>
      </c>
      <c r="G23" s="151">
        <f>ROUND((D23*$G$16),2)</f>
        <v>0.14000000000000001</v>
      </c>
      <c r="H23" s="151">
        <f>ROUND((E23*$F$16),2)</f>
        <v>0</v>
      </c>
      <c r="I23" s="151">
        <f>ROUND(((F23+G23+H23)*$I$16),2)</f>
        <v>0.08</v>
      </c>
      <c r="J23" s="152">
        <f>K23+L23</f>
        <v>10.44</v>
      </c>
      <c r="K23" s="371">
        <v>10.44</v>
      </c>
      <c r="L23" s="371">
        <v>0</v>
      </c>
      <c r="M23" s="368">
        <v>0.28000000000000003</v>
      </c>
      <c r="N23" s="151">
        <f>ROUND((F23+G23+H23)*$N$16,2)</f>
        <v>0.1</v>
      </c>
      <c r="O23" s="151">
        <f>ROUND((G23+H23+F23)*$O$16,2)</f>
        <v>0.01</v>
      </c>
      <c r="P23" s="151">
        <f>ROUND((H23+G23+F23)*$P$16,2)</f>
        <v>0.01</v>
      </c>
      <c r="Q23" s="438">
        <f>ROUND((F23+G23+H23+I23+J23+M23+N23+O23+P23),2)</f>
        <v>11.28</v>
      </c>
      <c r="R23" s="370">
        <v>0</v>
      </c>
      <c r="S23" s="277">
        <f>Q23-R23</f>
        <v>11.28</v>
      </c>
      <c r="T23" s="152">
        <f>F23+G23+H23</f>
        <v>0.36</v>
      </c>
      <c r="U23" s="152">
        <f>I23</f>
        <v>0.08</v>
      </c>
      <c r="V23" s="152">
        <f>J23</f>
        <v>10.44</v>
      </c>
      <c r="W23" s="150"/>
      <c r="X23" s="152">
        <f>N23</f>
        <v>0.1</v>
      </c>
      <c r="Y23" s="152">
        <f>O23</f>
        <v>0.01</v>
      </c>
      <c r="Z23" s="152">
        <f>M23+P23</f>
        <v>0.29000000000000004</v>
      </c>
      <c r="AA23" s="150"/>
      <c r="AB23" s="152">
        <f>SUM(T23:AA23)</f>
        <v>11.279999999999998</v>
      </c>
      <c r="AC23" s="152">
        <f>R23</f>
        <v>0</v>
      </c>
      <c r="AD23" s="152">
        <f>AB23-AC23</f>
        <v>11.279999999999998</v>
      </c>
    </row>
    <row r="24" spans="1:30" ht="51">
      <c r="A24" s="437"/>
      <c r="B24" s="439" t="s">
        <v>561</v>
      </c>
      <c r="C24" s="440">
        <v>10</v>
      </c>
      <c r="D24" s="440">
        <v>10</v>
      </c>
      <c r="E24" s="440">
        <v>0</v>
      </c>
      <c r="F24" s="151">
        <f>ROUND((C24*$F$16),2)</f>
        <v>2.17</v>
      </c>
      <c r="G24" s="151">
        <f>ROUND((D24*$G$16),2)</f>
        <v>1.36</v>
      </c>
      <c r="H24" s="151">
        <f>ROUND((E24*$F$16),2)</f>
        <v>0</v>
      </c>
      <c r="I24" s="151">
        <f>ROUND(((F24+G24+H24)*$I$16),2)</f>
        <v>0.83</v>
      </c>
      <c r="J24" s="152">
        <f>K24+L24</f>
        <v>2.33</v>
      </c>
      <c r="K24" s="441">
        <v>2.0499999999999998</v>
      </c>
      <c r="L24" s="441">
        <v>0.28000000000000003</v>
      </c>
      <c r="M24" s="440">
        <v>0.11</v>
      </c>
      <c r="N24" s="151">
        <f>ROUND((F24+G24+H24)*$N$16,2)</f>
        <v>0.99</v>
      </c>
      <c r="O24" s="151">
        <f>ROUND((G24+H24+F24)*$O$16,2)</f>
        <v>0.08</v>
      </c>
      <c r="P24" s="151">
        <f>ROUND((H24+G24+F24)*$P$16,2)</f>
        <v>0.12</v>
      </c>
      <c r="Q24" s="438">
        <f>ROUND((F24+G24+H24+I24+J24+M24+N24+O24+P24),2)</f>
        <v>7.99</v>
      </c>
      <c r="R24" s="370">
        <v>0</v>
      </c>
      <c r="S24" s="277">
        <f>Q24-R24</f>
        <v>7.99</v>
      </c>
      <c r="T24" s="152">
        <f>F24+G24+H24</f>
        <v>3.5300000000000002</v>
      </c>
      <c r="U24" s="152">
        <f>I24</f>
        <v>0.83</v>
      </c>
      <c r="V24" s="152">
        <f>J24</f>
        <v>2.33</v>
      </c>
      <c r="W24" s="150"/>
      <c r="X24" s="152">
        <f>N24</f>
        <v>0.99</v>
      </c>
      <c r="Y24" s="152">
        <f>O24</f>
        <v>0.08</v>
      </c>
      <c r="Z24" s="152">
        <f>M24+P24</f>
        <v>0.22999999999999998</v>
      </c>
      <c r="AA24" s="150"/>
      <c r="AB24" s="152">
        <f>SUM(T24:AA24)</f>
        <v>7.99</v>
      </c>
      <c r="AC24" s="152">
        <f>R24</f>
        <v>0</v>
      </c>
      <c r="AD24" s="152">
        <f>AB24-AC24</f>
        <v>7.99</v>
      </c>
    </row>
    <row r="26" spans="1:30" s="355" customFormat="1">
      <c r="A26" s="682" t="s">
        <v>11</v>
      </c>
      <c r="B26" s="682" t="s">
        <v>409</v>
      </c>
      <c r="C26" s="682" t="s">
        <v>433</v>
      </c>
      <c r="D26" s="682" t="s">
        <v>434</v>
      </c>
      <c r="E26" s="682" t="s">
        <v>435</v>
      </c>
      <c r="F26" s="682" t="s">
        <v>436</v>
      </c>
      <c r="G26" s="682" t="s">
        <v>437</v>
      </c>
      <c r="H26" s="732" t="s">
        <v>413</v>
      </c>
      <c r="I26" s="733"/>
      <c r="J26" s="733"/>
      <c r="K26" s="734"/>
      <c r="L26" s="735" t="s">
        <v>439</v>
      </c>
      <c r="M26" s="736" t="s">
        <v>415</v>
      </c>
      <c r="N26" s="737"/>
      <c r="O26" s="738"/>
      <c r="P26" s="736" t="s">
        <v>416</v>
      </c>
      <c r="Q26" s="737"/>
      <c r="R26" s="738"/>
      <c r="S26" s="735" t="s">
        <v>417</v>
      </c>
      <c r="T26" s="739" t="s">
        <v>241</v>
      </c>
      <c r="U26" s="444"/>
      <c r="V26" s="444"/>
      <c r="W26" s="445"/>
      <c r="X26" s="445"/>
    </row>
    <row r="27" spans="1:30" s="355" customFormat="1" ht="165.75">
      <c r="A27" s="682"/>
      <c r="B27" s="682"/>
      <c r="C27" s="682"/>
      <c r="D27" s="682"/>
      <c r="E27" s="682"/>
      <c r="F27" s="682"/>
      <c r="G27" s="682"/>
      <c r="H27" s="443" t="s">
        <v>422</v>
      </c>
      <c r="I27" s="442" t="s">
        <v>423</v>
      </c>
      <c r="J27" s="442" t="s">
        <v>424</v>
      </c>
      <c r="K27" s="442" t="s">
        <v>19</v>
      </c>
      <c r="L27" s="735"/>
      <c r="M27" s="442" t="s">
        <v>425</v>
      </c>
      <c r="N27" s="442" t="s">
        <v>426</v>
      </c>
      <c r="O27" s="442" t="s">
        <v>427</v>
      </c>
      <c r="P27" s="442" t="s">
        <v>425</v>
      </c>
      <c r="Q27" s="442" t="s">
        <v>426</v>
      </c>
      <c r="R27" s="442" t="s">
        <v>427</v>
      </c>
      <c r="S27" s="735"/>
      <c r="T27" s="740"/>
      <c r="U27" s="153" t="s">
        <v>418</v>
      </c>
      <c r="V27" s="153" t="s">
        <v>419</v>
      </c>
      <c r="W27" s="153" t="s">
        <v>420</v>
      </c>
      <c r="X27" s="153" t="s">
        <v>421</v>
      </c>
    </row>
    <row r="28" spans="1:30" s="355" customFormat="1">
      <c r="A28" s="446"/>
      <c r="B28" s="446"/>
      <c r="C28" s="447"/>
      <c r="D28" s="446"/>
      <c r="E28" s="447"/>
      <c r="F28" s="448"/>
      <c r="G28" s="448"/>
      <c r="H28" s="449"/>
      <c r="I28" s="450"/>
      <c r="J28" s="451"/>
      <c r="K28" s="452"/>
      <c r="L28" s="452"/>
      <c r="M28" s="452"/>
      <c r="N28" s="452"/>
      <c r="O28" s="452"/>
      <c r="P28" s="452"/>
      <c r="Q28" s="452"/>
      <c r="R28" s="452"/>
      <c r="S28" s="452"/>
      <c r="T28" s="452"/>
      <c r="V28" s="453"/>
      <c r="W28" s="372"/>
    </row>
    <row r="29" spans="1:30" s="355" customFormat="1" ht="76.5">
      <c r="A29" s="454"/>
      <c r="B29" s="292" t="s">
        <v>560</v>
      </c>
      <c r="C29" s="455" t="s">
        <v>428</v>
      </c>
      <c r="D29" s="456">
        <v>0</v>
      </c>
      <c r="E29" s="456">
        <f>S23</f>
        <v>11.28</v>
      </c>
      <c r="F29" s="448">
        <v>0</v>
      </c>
      <c r="G29" s="457">
        <f>E29-D29</f>
        <v>11.28</v>
      </c>
      <c r="H29" s="458">
        <v>18500</v>
      </c>
      <c r="I29" s="458"/>
      <c r="J29" s="459"/>
      <c r="K29" s="460">
        <f>H29+J29</f>
        <v>18500</v>
      </c>
      <c r="L29" s="461">
        <f>K29*G29</f>
        <v>208680</v>
      </c>
      <c r="M29" s="462" t="s">
        <v>442</v>
      </c>
      <c r="N29" s="462" t="s">
        <v>429</v>
      </c>
      <c r="O29" s="448" t="s">
        <v>562</v>
      </c>
      <c r="P29" s="462" t="s">
        <v>429</v>
      </c>
      <c r="Q29" s="462" t="s">
        <v>429</v>
      </c>
      <c r="R29" s="462" t="s">
        <v>429</v>
      </c>
      <c r="S29" s="463" t="s">
        <v>429</v>
      </c>
      <c r="T29" s="463"/>
      <c r="U29" s="464">
        <v>0</v>
      </c>
      <c r="V29" s="465"/>
      <c r="W29" s="464">
        <f>H29*G29</f>
        <v>208680</v>
      </c>
      <c r="X29" s="464">
        <f>J29*G29</f>
        <v>0</v>
      </c>
    </row>
    <row r="30" spans="1:30" s="355" customFormat="1" ht="51">
      <c r="A30" s="454"/>
      <c r="B30" s="466" t="s">
        <v>561</v>
      </c>
      <c r="C30" s="455"/>
      <c r="D30" s="456">
        <v>0</v>
      </c>
      <c r="E30" s="456">
        <f>S24</f>
        <v>7.99</v>
      </c>
      <c r="F30" s="448">
        <v>0</v>
      </c>
      <c r="G30" s="457">
        <f>E30</f>
        <v>7.99</v>
      </c>
      <c r="H30" s="467">
        <v>4548</v>
      </c>
      <c r="I30" s="467"/>
      <c r="J30" s="468"/>
      <c r="K30" s="460">
        <f>H30+J30</f>
        <v>4548</v>
      </c>
      <c r="L30" s="461">
        <f>ROUND(K30*G30,0)</f>
        <v>36339</v>
      </c>
      <c r="M30" s="462" t="s">
        <v>430</v>
      </c>
      <c r="N30" s="462" t="s">
        <v>429</v>
      </c>
      <c r="O30" s="448"/>
      <c r="P30" s="462"/>
      <c r="Q30" s="462"/>
      <c r="R30" s="462"/>
      <c r="S30" s="463"/>
      <c r="T30" s="463"/>
      <c r="U30" s="464">
        <f>J30*G30</f>
        <v>0</v>
      </c>
      <c r="V30" s="464"/>
      <c r="W30" s="464">
        <f>ROUND(H30*G30,0)</f>
        <v>36339</v>
      </c>
      <c r="X30" s="464"/>
    </row>
    <row r="31" spans="1:30" s="355" customFormat="1">
      <c r="A31" s="293"/>
      <c r="B31" s="293"/>
      <c r="C31" s="293"/>
      <c r="D31" s="293"/>
      <c r="E31" s="293"/>
      <c r="F31" s="293"/>
      <c r="G31" s="293"/>
      <c r="H31" s="469">
        <f>H29+H30</f>
        <v>23048</v>
      </c>
      <c r="I31" s="470"/>
      <c r="J31" s="471">
        <f>J29+J30</f>
        <v>0</v>
      </c>
      <c r="K31" s="472"/>
      <c r="L31" s="473">
        <f>L29+L30</f>
        <v>245019</v>
      </c>
      <c r="M31" s="293"/>
      <c r="N31" s="293"/>
      <c r="O31" s="293"/>
      <c r="P31" s="293"/>
      <c r="Q31" s="293"/>
      <c r="R31" s="293"/>
      <c r="S31" s="293"/>
      <c r="T31" s="293"/>
      <c r="U31" s="293"/>
      <c r="V31" s="293"/>
    </row>
    <row r="32" spans="1:30" s="355" customFormat="1">
      <c r="J32" s="474"/>
    </row>
    <row r="33" s="355" customFormat="1"/>
  </sheetData>
  <mergeCells count="50">
    <mergeCell ref="X1:AD1"/>
    <mergeCell ref="L5:M5"/>
    <mergeCell ref="L6:M6"/>
    <mergeCell ref="L7:M7"/>
    <mergeCell ref="H26:K26"/>
    <mergeCell ref="L26:L27"/>
    <mergeCell ref="M26:O26"/>
    <mergeCell ref="P26:R26"/>
    <mergeCell ref="S26:S27"/>
    <mergeCell ref="T26:T27"/>
    <mergeCell ref="N20:N21"/>
    <mergeCell ref="O20:O21"/>
    <mergeCell ref="P20:P21"/>
    <mergeCell ref="AB19:AB21"/>
    <mergeCell ref="AC19:AC21"/>
    <mergeCell ref="AD19:AD21"/>
    <mergeCell ref="A26:A27"/>
    <mergeCell ref="B26:B27"/>
    <mergeCell ref="C26:C27"/>
    <mergeCell ref="D26:D27"/>
    <mergeCell ref="E26:E27"/>
    <mergeCell ref="F26:F27"/>
    <mergeCell ref="G26:G27"/>
    <mergeCell ref="Y19:Y21"/>
    <mergeCell ref="Z19:Z21"/>
    <mergeCell ref="AA19:AA21"/>
    <mergeCell ref="S19:S21"/>
    <mergeCell ref="T19:T21"/>
    <mergeCell ref="U19:U21"/>
    <mergeCell ref="V19:V21"/>
    <mergeCell ref="W19:W21"/>
    <mergeCell ref="X19:X21"/>
    <mergeCell ref="R19:R21"/>
    <mergeCell ref="A19:A21"/>
    <mergeCell ref="B19:B21"/>
    <mergeCell ref="C19:L19"/>
    <mergeCell ref="M19:P19"/>
    <mergeCell ref="Q19:Q21"/>
    <mergeCell ref="C20:E20"/>
    <mergeCell ref="F20:H20"/>
    <mergeCell ref="J20:L20"/>
    <mergeCell ref="M20:M21"/>
    <mergeCell ref="A2:I2"/>
    <mergeCell ref="B4:D4"/>
    <mergeCell ref="G4:J4"/>
    <mergeCell ref="T4:V4"/>
    <mergeCell ref="N14:N15"/>
    <mergeCell ref="O14:O15"/>
    <mergeCell ref="P14:P15"/>
    <mergeCell ref="Q8:W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3829B-2502-4F05-982D-C4BD0B2096F4}">
  <sheetPr>
    <tabColor theme="4" tint="0.59999389629810485"/>
  </sheetPr>
  <dimension ref="A1:G42"/>
  <sheetViews>
    <sheetView topLeftCell="A21" zoomScale="60" zoomScaleNormal="60" workbookViewId="0">
      <selection activeCell="D51" sqref="D51"/>
    </sheetView>
  </sheetViews>
  <sheetFormatPr defaultRowHeight="12.75"/>
  <cols>
    <col min="1" max="1" width="16" style="5" customWidth="1"/>
    <col min="2" max="2" width="48.140625" style="5" customWidth="1"/>
    <col min="3" max="3" width="16.5703125" style="5" customWidth="1"/>
    <col min="4" max="4" width="18.140625" style="5" customWidth="1"/>
    <col min="5" max="5" width="20.5703125" style="5" customWidth="1"/>
    <col min="6" max="16384" width="9.140625" style="5"/>
  </cols>
  <sheetData>
    <row r="1" spans="1:7" ht="54.75" customHeight="1">
      <c r="B1" s="494"/>
      <c r="D1" s="589" t="s">
        <v>604</v>
      </c>
      <c r="E1" s="589"/>
      <c r="F1" s="589"/>
      <c r="G1" s="589"/>
    </row>
    <row r="2" spans="1:7">
      <c r="A2" s="744" t="s">
        <v>607</v>
      </c>
      <c r="B2" s="744"/>
      <c r="C2" s="744"/>
      <c r="D2" s="744"/>
      <c r="E2" s="744"/>
    </row>
    <row r="3" spans="1:7" ht="38.25">
      <c r="A3" s="495" t="s">
        <v>11</v>
      </c>
      <c r="B3" s="261" t="s">
        <v>10</v>
      </c>
      <c r="C3" s="495" t="s">
        <v>571</v>
      </c>
      <c r="D3" s="261" t="s">
        <v>605</v>
      </c>
      <c r="E3" s="261" t="s">
        <v>606</v>
      </c>
    </row>
    <row r="4" spans="1:7">
      <c r="A4" s="749" t="s">
        <v>12</v>
      </c>
      <c r="B4" s="750"/>
      <c r="C4" s="496"/>
      <c r="D4" s="496"/>
      <c r="E4" s="496"/>
    </row>
    <row r="5" spans="1:7" ht="25.5">
      <c r="A5" s="497">
        <v>47073</v>
      </c>
      <c r="B5" s="6" t="s">
        <v>0</v>
      </c>
      <c r="C5" s="33">
        <f>1257+1154</f>
        <v>2411</v>
      </c>
      <c r="D5" s="33">
        <v>23.32</v>
      </c>
      <c r="E5" s="33">
        <f t="shared" ref="E5:E12" si="0">C5*D5</f>
        <v>56224.520000000004</v>
      </c>
    </row>
    <row r="6" spans="1:7" ht="38.25">
      <c r="A6" s="497">
        <v>47075</v>
      </c>
      <c r="B6" s="6" t="s">
        <v>44</v>
      </c>
      <c r="C6" s="33">
        <v>321</v>
      </c>
      <c r="D6" s="33">
        <v>24.59</v>
      </c>
      <c r="E6" s="33">
        <f t="shared" si="0"/>
        <v>7893.39</v>
      </c>
    </row>
    <row r="7" spans="1:7" ht="38.25">
      <c r="A7" s="497">
        <v>47078</v>
      </c>
      <c r="B7" s="6" t="s">
        <v>13</v>
      </c>
      <c r="C7" s="33">
        <f>1258+1902</f>
        <v>3160</v>
      </c>
      <c r="D7" s="33">
        <v>44.25</v>
      </c>
      <c r="E7" s="33">
        <f t="shared" si="0"/>
        <v>139830</v>
      </c>
    </row>
    <row r="8" spans="1:7" ht="25.5">
      <c r="A8" s="497">
        <v>47079</v>
      </c>
      <c r="B8" s="6" t="s">
        <v>2</v>
      </c>
      <c r="C8" s="33">
        <v>2705</v>
      </c>
      <c r="D8" s="33">
        <v>0.8</v>
      </c>
      <c r="E8" s="33">
        <f t="shared" si="0"/>
        <v>2164</v>
      </c>
    </row>
    <row r="9" spans="1:7" ht="25.5">
      <c r="A9" s="497">
        <v>47268</v>
      </c>
      <c r="B9" s="6" t="s">
        <v>3</v>
      </c>
      <c r="C9" s="33">
        <f>378+9239</f>
        <v>9617</v>
      </c>
      <c r="D9" s="33">
        <v>4.5199999999999996</v>
      </c>
      <c r="E9" s="33">
        <f t="shared" si="0"/>
        <v>43468.84</v>
      </c>
    </row>
    <row r="10" spans="1:7" ht="25.5">
      <c r="A10" s="497">
        <v>47416</v>
      </c>
      <c r="B10" s="6" t="s">
        <v>1</v>
      </c>
      <c r="C10" s="33">
        <v>37</v>
      </c>
      <c r="D10" s="33">
        <v>1.96</v>
      </c>
      <c r="E10" s="33">
        <f t="shared" si="0"/>
        <v>72.52</v>
      </c>
    </row>
    <row r="11" spans="1:7" ht="25.5">
      <c r="A11" s="497">
        <v>60046</v>
      </c>
      <c r="B11" s="6" t="s">
        <v>15</v>
      </c>
      <c r="C11" s="33">
        <f>130+598</f>
        <v>728</v>
      </c>
      <c r="D11" s="33">
        <v>0.8</v>
      </c>
      <c r="E11" s="33">
        <f t="shared" si="0"/>
        <v>582.4</v>
      </c>
    </row>
    <row r="12" spans="1:7" ht="25.5">
      <c r="A12" s="498">
        <v>47328</v>
      </c>
      <c r="B12" s="499" t="s">
        <v>14</v>
      </c>
      <c r="C12" s="33">
        <f>187+3929</f>
        <v>4116</v>
      </c>
      <c r="D12" s="33">
        <v>3.83</v>
      </c>
      <c r="E12" s="33">
        <f t="shared" si="0"/>
        <v>15764.28</v>
      </c>
    </row>
    <row r="13" spans="1:7">
      <c r="A13" s="498"/>
      <c r="B13" s="500"/>
      <c r="C13" s="33"/>
      <c r="D13" s="33"/>
      <c r="E13" s="501">
        <f>SUM(E5:E12)</f>
        <v>265999.95</v>
      </c>
    </row>
    <row r="14" spans="1:7">
      <c r="A14" s="748" t="s">
        <v>16</v>
      </c>
      <c r="B14" s="748"/>
      <c r="C14" s="496"/>
      <c r="D14" s="496"/>
      <c r="E14" s="496"/>
    </row>
    <row r="15" spans="1:7" ht="25.5">
      <c r="A15" s="497">
        <v>47268</v>
      </c>
      <c r="B15" s="6" t="s">
        <v>3</v>
      </c>
      <c r="C15" s="33">
        <v>572</v>
      </c>
      <c r="D15" s="33">
        <v>4.5199999999999996</v>
      </c>
      <c r="E15" s="33">
        <v>2585.4399999999996</v>
      </c>
    </row>
    <row r="16" spans="1:7" ht="38.25">
      <c r="A16" s="497">
        <v>47078</v>
      </c>
      <c r="B16" s="6" t="s">
        <v>13</v>
      </c>
      <c r="C16" s="33">
        <v>0</v>
      </c>
      <c r="D16" s="33"/>
      <c r="E16" s="33"/>
    </row>
    <row r="17" spans="1:5" ht="25.5">
      <c r="A17" s="497">
        <v>47328</v>
      </c>
      <c r="B17" s="6" t="s">
        <v>14</v>
      </c>
      <c r="C17" s="33">
        <v>434</v>
      </c>
      <c r="D17" s="33">
        <v>3.8300000000000005</v>
      </c>
      <c r="E17" s="33">
        <v>1662.2200000000003</v>
      </c>
    </row>
    <row r="18" spans="1:5">
      <c r="A18" s="497"/>
      <c r="B18" s="6"/>
      <c r="C18" s="33"/>
      <c r="D18" s="33"/>
      <c r="E18" s="501">
        <f>SUM(E15:E17)</f>
        <v>4247.66</v>
      </c>
    </row>
    <row r="19" spans="1:5">
      <c r="A19" s="748" t="s">
        <v>17</v>
      </c>
      <c r="B19" s="748"/>
      <c r="C19" s="496"/>
      <c r="D19" s="496"/>
      <c r="E19" s="496"/>
    </row>
    <row r="20" spans="1:5" ht="25.5">
      <c r="A20" s="502" t="s">
        <v>18</v>
      </c>
      <c r="B20" s="6" t="s">
        <v>45</v>
      </c>
      <c r="C20" s="33"/>
      <c r="D20" s="33"/>
      <c r="E20" s="33"/>
    </row>
    <row r="21" spans="1:5" ht="25.5">
      <c r="A21" s="502" t="s">
        <v>18</v>
      </c>
      <c r="B21" s="6" t="s">
        <v>572</v>
      </c>
      <c r="C21" s="35">
        <v>8062</v>
      </c>
      <c r="D21" s="35">
        <v>0.79</v>
      </c>
      <c r="E21" s="503">
        <f>C21*D21</f>
        <v>6368.9800000000005</v>
      </c>
    </row>
    <row r="22" spans="1:5" ht="25.5">
      <c r="A22" s="502" t="s">
        <v>18</v>
      </c>
      <c r="B22" s="6" t="s">
        <v>46</v>
      </c>
      <c r="C22" s="35">
        <v>768</v>
      </c>
      <c r="D22" s="35">
        <v>9.68</v>
      </c>
      <c r="E22" s="503">
        <f>C22*D22</f>
        <v>7434.24</v>
      </c>
    </row>
    <row r="23" spans="1:5" ht="38.25">
      <c r="A23" s="502" t="s">
        <v>18</v>
      </c>
      <c r="B23" s="6" t="s">
        <v>573</v>
      </c>
      <c r="C23" s="35">
        <v>768</v>
      </c>
      <c r="D23" s="35">
        <v>127.35</v>
      </c>
      <c r="E23" s="503">
        <f>C23*D23</f>
        <v>97804.799999999988</v>
      </c>
    </row>
    <row r="24" spans="1:5" ht="25.5">
      <c r="A24" s="504" t="s">
        <v>47</v>
      </c>
      <c r="B24" s="6" t="s">
        <v>48</v>
      </c>
      <c r="C24" s="35">
        <v>217</v>
      </c>
      <c r="D24" s="35">
        <v>24.59</v>
      </c>
      <c r="E24" s="503">
        <f>C24*D24</f>
        <v>5336.03</v>
      </c>
    </row>
    <row r="25" spans="1:5" ht="38.25">
      <c r="A25" s="504" t="s">
        <v>49</v>
      </c>
      <c r="B25" s="6" t="s">
        <v>50</v>
      </c>
      <c r="C25" s="35">
        <v>1</v>
      </c>
      <c r="D25" s="503">
        <v>13.49</v>
      </c>
      <c r="E25" s="503">
        <f t="shared" ref="E25:E31" si="1">C25*D25</f>
        <v>13.49</v>
      </c>
    </row>
    <row r="26" spans="1:5" ht="38.25">
      <c r="A26" s="504" t="s">
        <v>51</v>
      </c>
      <c r="B26" s="6" t="s">
        <v>52</v>
      </c>
      <c r="C26" s="35">
        <v>144</v>
      </c>
      <c r="D26" s="503">
        <v>13.49</v>
      </c>
      <c r="E26" s="503">
        <f t="shared" si="1"/>
        <v>1942.56</v>
      </c>
    </row>
    <row r="27" spans="1:5" ht="38.25">
      <c r="A27" s="504" t="s">
        <v>53</v>
      </c>
      <c r="B27" s="6" t="s">
        <v>54</v>
      </c>
      <c r="C27" s="35">
        <v>142</v>
      </c>
      <c r="D27" s="503">
        <v>13.49</v>
      </c>
      <c r="E27" s="503">
        <f t="shared" si="1"/>
        <v>1915.58</v>
      </c>
    </row>
    <row r="28" spans="1:5" ht="38.25">
      <c r="A28" s="504" t="s">
        <v>55</v>
      </c>
      <c r="B28" s="6" t="s">
        <v>56</v>
      </c>
      <c r="C28" s="35">
        <v>99</v>
      </c>
      <c r="D28" s="503">
        <v>20.65</v>
      </c>
      <c r="E28" s="503">
        <f t="shared" si="1"/>
        <v>2044.35</v>
      </c>
    </row>
    <row r="29" spans="1:5" ht="25.5">
      <c r="A29" s="505" t="s">
        <v>57</v>
      </c>
      <c r="B29" s="6" t="s">
        <v>58</v>
      </c>
      <c r="C29" s="33"/>
      <c r="D29" s="33"/>
      <c r="E29" s="409">
        <f t="shared" si="1"/>
        <v>0</v>
      </c>
    </row>
    <row r="30" spans="1:5" ht="25.5">
      <c r="A30" s="505" t="s">
        <v>59</v>
      </c>
      <c r="B30" s="6" t="s">
        <v>60</v>
      </c>
      <c r="C30" s="33">
        <v>113</v>
      </c>
      <c r="D30" s="409">
        <v>1.35</v>
      </c>
      <c r="E30" s="409">
        <f t="shared" si="1"/>
        <v>152.55000000000001</v>
      </c>
    </row>
    <row r="31" spans="1:5" ht="51">
      <c r="A31" s="505" t="s">
        <v>61</v>
      </c>
      <c r="B31" s="6" t="s">
        <v>62</v>
      </c>
      <c r="C31" s="33">
        <v>0</v>
      </c>
      <c r="D31" s="409">
        <v>171.46</v>
      </c>
      <c r="E31" s="409">
        <f t="shared" si="1"/>
        <v>0</v>
      </c>
    </row>
    <row r="32" spans="1:5">
      <c r="A32" s="497"/>
      <c r="B32" s="6"/>
      <c r="C32" s="33"/>
      <c r="D32" s="33"/>
      <c r="E32" s="506">
        <f>SUM(E21:E31)</f>
        <v>123012.58</v>
      </c>
    </row>
    <row r="33" spans="1:5">
      <c r="A33" s="748" t="s">
        <v>63</v>
      </c>
      <c r="B33" s="748"/>
      <c r="C33" s="496"/>
      <c r="D33" s="496"/>
      <c r="E33" s="496"/>
    </row>
    <row r="34" spans="1:5" ht="51">
      <c r="A34" s="497">
        <v>47329</v>
      </c>
      <c r="B34" s="6" t="s">
        <v>64</v>
      </c>
      <c r="C34" s="33">
        <v>0</v>
      </c>
      <c r="D34" s="507"/>
      <c r="E34" s="33"/>
    </row>
    <row r="35" spans="1:5" ht="25.5">
      <c r="A35" s="497">
        <v>47330</v>
      </c>
      <c r="B35" s="6" t="s">
        <v>65</v>
      </c>
      <c r="C35" s="33">
        <v>0</v>
      </c>
      <c r="D35" s="33"/>
      <c r="E35" s="33"/>
    </row>
    <row r="36" spans="1:5">
      <c r="A36" s="497"/>
      <c r="B36" s="6"/>
      <c r="C36" s="33"/>
      <c r="D36" s="33"/>
      <c r="E36" s="33"/>
    </row>
    <row r="37" spans="1:5">
      <c r="A37" s="748" t="s">
        <v>66</v>
      </c>
      <c r="B37" s="748"/>
      <c r="C37" s="496">
        <v>0</v>
      </c>
      <c r="D37" s="496"/>
      <c r="E37" s="496"/>
    </row>
    <row r="38" spans="1:5" ht="24" customHeight="1">
      <c r="A38" s="508" t="s">
        <v>72</v>
      </c>
      <c r="B38" s="508"/>
      <c r="C38" s="32"/>
      <c r="D38" s="509"/>
      <c r="E38" s="510">
        <f>ROUND(E13+E18+E32+E36+E37,0)</f>
        <v>393260</v>
      </c>
    </row>
    <row r="39" spans="1:5" ht="24" customHeight="1">
      <c r="A39" s="745" t="s">
        <v>586</v>
      </c>
      <c r="B39" s="745"/>
      <c r="C39" s="745"/>
      <c r="D39" s="745"/>
      <c r="E39" s="85">
        <f>E38*6</f>
        <v>2359560</v>
      </c>
    </row>
    <row r="40" spans="1:5">
      <c r="A40" s="746" t="s">
        <v>590</v>
      </c>
      <c r="B40" s="746"/>
      <c r="C40" s="746"/>
      <c r="D40" s="746"/>
      <c r="E40" s="85">
        <f>E38*3</f>
        <v>1179780</v>
      </c>
    </row>
    <row r="41" spans="1:5">
      <c r="A41" s="747" t="s">
        <v>72</v>
      </c>
      <c r="B41" s="747"/>
      <c r="C41" s="747"/>
      <c r="D41" s="747"/>
      <c r="E41" s="23">
        <f>E39+E40</f>
        <v>3539340</v>
      </c>
    </row>
    <row r="42" spans="1:5">
      <c r="A42" s="5" t="s">
        <v>608</v>
      </c>
    </row>
  </sheetData>
  <mergeCells count="10">
    <mergeCell ref="D1:G1"/>
    <mergeCell ref="A2:E2"/>
    <mergeCell ref="A39:D39"/>
    <mergeCell ref="A40:D40"/>
    <mergeCell ref="A41:D41"/>
    <mergeCell ref="A37:B37"/>
    <mergeCell ref="A4:B4"/>
    <mergeCell ref="A14:B14"/>
    <mergeCell ref="A19:B19"/>
    <mergeCell ref="A33:B3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724F9-C403-406E-91B6-73F1D451D190}">
  <sheetPr>
    <tabColor theme="4" tint="0.59999389629810485"/>
  </sheetPr>
  <dimension ref="A1:L23"/>
  <sheetViews>
    <sheetView zoomScale="60" zoomScaleNormal="60" workbookViewId="0">
      <selection activeCell="E37" sqref="E37"/>
    </sheetView>
  </sheetViews>
  <sheetFormatPr defaultRowHeight="12.75"/>
  <cols>
    <col min="1" max="1" width="9.140625" style="5"/>
    <col min="2" max="2" width="42.7109375" style="5" customWidth="1"/>
    <col min="3" max="3" width="18.85546875" style="5" customWidth="1"/>
    <col min="4" max="4" width="18.28515625" style="5" customWidth="1"/>
    <col min="5" max="5" width="21.5703125" style="5" customWidth="1"/>
    <col min="6" max="8" width="21.42578125" style="5" customWidth="1"/>
    <col min="9" max="9" width="9.140625" style="5"/>
    <col min="10" max="10" width="11.140625" style="5" customWidth="1"/>
    <col min="11" max="11" width="9.140625" style="5"/>
    <col min="12" max="12" width="10" style="5" bestFit="1" customWidth="1"/>
    <col min="13" max="16384" width="9.140625" style="5"/>
  </cols>
  <sheetData>
    <row r="1" spans="1:12" ht="58.5" customHeight="1">
      <c r="G1" s="589" t="s">
        <v>582</v>
      </c>
      <c r="H1" s="589"/>
      <c r="I1" s="589"/>
    </row>
    <row r="2" spans="1:12">
      <c r="A2" s="751" t="s">
        <v>83</v>
      </c>
      <c r="B2" s="751"/>
      <c r="C2" s="751"/>
      <c r="D2" s="751"/>
      <c r="E2" s="751"/>
      <c r="F2" s="751"/>
      <c r="G2" s="11"/>
      <c r="H2" s="11"/>
    </row>
    <row r="3" spans="1:12" ht="38.25" customHeight="1">
      <c r="B3" s="397" t="s">
        <v>4</v>
      </c>
      <c r="C3" s="397" t="s">
        <v>574</v>
      </c>
      <c r="D3" s="397" t="s">
        <v>583</v>
      </c>
      <c r="E3" s="397" t="s">
        <v>79</v>
      </c>
      <c r="F3" s="397" t="s">
        <v>5</v>
      </c>
      <c r="G3" s="397" t="s">
        <v>38</v>
      </c>
      <c r="H3" s="397" t="s">
        <v>80</v>
      </c>
    </row>
    <row r="4" spans="1:12" ht="25.5">
      <c r="B4" s="40" t="s">
        <v>6</v>
      </c>
      <c r="C4" s="3">
        <v>293</v>
      </c>
      <c r="D4" s="4">
        <v>55904.85</v>
      </c>
      <c r="E4" s="1">
        <f>D4/C4</f>
        <v>190.80153583617746</v>
      </c>
      <c r="F4" s="1">
        <f>C4*1.1*E4</f>
        <v>61495.334999999999</v>
      </c>
      <c r="G4" s="2">
        <f>ROUNDUP(C4/10*1.1,0)</f>
        <v>33</v>
      </c>
      <c r="H4" s="1">
        <f>G4*E4</f>
        <v>6296.4506825938561</v>
      </c>
      <c r="I4" s="12"/>
    </row>
    <row r="5" spans="1:12" ht="25.5">
      <c r="B5" s="40" t="s">
        <v>7</v>
      </c>
      <c r="C5" s="3">
        <v>164</v>
      </c>
      <c r="D5" s="4">
        <v>140461.16</v>
      </c>
      <c r="E5" s="1">
        <f>D5/C5</f>
        <v>856.47048780487808</v>
      </c>
      <c r="F5" s="1">
        <f>C5*1.1*E5</f>
        <v>154507.27600000001</v>
      </c>
      <c r="G5" s="2">
        <f t="shared" ref="G5:G7" si="0">ROUNDUP(C5/10*1.1,0)</f>
        <v>19</v>
      </c>
      <c r="H5" s="1">
        <f>G5*E5</f>
        <v>16272.939268292683</v>
      </c>
      <c r="I5" s="12"/>
    </row>
    <row r="6" spans="1:12" ht="25.5">
      <c r="B6" s="40" t="s">
        <v>8</v>
      </c>
      <c r="C6" s="3">
        <v>1897</v>
      </c>
      <c r="D6" s="4">
        <v>1754203.01</v>
      </c>
      <c r="E6" s="1">
        <f>D6/C6</f>
        <v>924.72483394833944</v>
      </c>
      <c r="F6" s="1">
        <f>C6*1.1*E6</f>
        <v>1929623.3110000002</v>
      </c>
      <c r="G6" s="2">
        <f t="shared" si="0"/>
        <v>209</v>
      </c>
      <c r="H6" s="1">
        <f>G6*E6</f>
        <v>193267.49029520294</v>
      </c>
      <c r="I6" s="12"/>
    </row>
    <row r="7" spans="1:12" ht="25.5">
      <c r="B7" s="40" t="s">
        <v>9</v>
      </c>
      <c r="C7" s="3">
        <v>4520</v>
      </c>
      <c r="D7" s="4">
        <v>545310</v>
      </c>
      <c r="E7" s="1">
        <f>D7/C7</f>
        <v>120.64380530973452</v>
      </c>
      <c r="F7" s="1">
        <f>C7*1.1*E7</f>
        <v>599841</v>
      </c>
      <c r="G7" s="2">
        <f t="shared" si="0"/>
        <v>498</v>
      </c>
      <c r="H7" s="1">
        <f t="shared" ref="H7" si="1">G7*E7</f>
        <v>60080.615044247788</v>
      </c>
      <c r="I7" s="12"/>
    </row>
    <row r="8" spans="1:12">
      <c r="B8" s="35"/>
      <c r="C8" s="35"/>
      <c r="D8" s="35"/>
      <c r="E8" s="398" t="s">
        <v>584</v>
      </c>
      <c r="F8" s="399">
        <f>ROUND(SUM(F4:F7),0)</f>
        <v>2745467</v>
      </c>
      <c r="G8" s="399"/>
      <c r="H8" s="399">
        <f>ROUND(SUM(H4:H7),0)</f>
        <v>275917</v>
      </c>
    </row>
    <row r="9" spans="1:12">
      <c r="B9" s="13"/>
      <c r="C9" s="13"/>
      <c r="D9" s="13"/>
      <c r="E9" s="13"/>
      <c r="F9" s="13"/>
      <c r="G9" s="13"/>
      <c r="H9" s="13"/>
    </row>
    <row r="10" spans="1:12">
      <c r="B10" s="13"/>
      <c r="C10" s="13"/>
      <c r="D10" s="13"/>
      <c r="E10" s="13"/>
      <c r="F10" s="13"/>
      <c r="G10" s="13"/>
      <c r="H10" s="13"/>
    </row>
    <row r="11" spans="1:12">
      <c r="B11" s="13"/>
      <c r="C11" s="13"/>
      <c r="D11" s="13"/>
      <c r="E11" s="13"/>
      <c r="F11" s="13"/>
      <c r="G11" s="13"/>
      <c r="H11" s="13"/>
    </row>
    <row r="12" spans="1:12" ht="38.25">
      <c r="B12" s="397" t="s">
        <v>4</v>
      </c>
      <c r="C12" s="397" t="s">
        <v>574</v>
      </c>
      <c r="D12" s="397" t="s">
        <v>583</v>
      </c>
      <c r="E12" s="397" t="s">
        <v>79</v>
      </c>
      <c r="F12" s="397" t="s">
        <v>5</v>
      </c>
      <c r="G12" s="397" t="s">
        <v>38</v>
      </c>
      <c r="H12" s="397" t="s">
        <v>80</v>
      </c>
      <c r="J12" s="394"/>
    </row>
    <row r="13" spans="1:12" ht="25.5">
      <c r="B13" s="6" t="s">
        <v>42</v>
      </c>
      <c r="C13" s="3">
        <v>27</v>
      </c>
      <c r="D13" s="4">
        <v>22649.51</v>
      </c>
      <c r="E13" s="4">
        <f>D13/C13</f>
        <v>838.87074074074064</v>
      </c>
      <c r="F13" s="1">
        <f>C13*1.1*E13</f>
        <v>24914.460999999999</v>
      </c>
      <c r="G13" s="2">
        <f>ROUNDUP(C13/10*1.1,0)</f>
        <v>3</v>
      </c>
      <c r="H13" s="1">
        <f>G13*E13</f>
        <v>2516.612222222222</v>
      </c>
      <c r="I13" s="12"/>
      <c r="J13" s="14"/>
    </row>
    <row r="14" spans="1:12" ht="25.5">
      <c r="B14" s="6" t="s">
        <v>43</v>
      </c>
      <c r="C14" s="3">
        <v>1459</v>
      </c>
      <c r="D14" s="4">
        <v>2014147.15</v>
      </c>
      <c r="E14" s="4">
        <f>D14/C14</f>
        <v>1380.4983893077449</v>
      </c>
      <c r="F14" s="1">
        <f>C14*1.1*E14</f>
        <v>2215561.8649999998</v>
      </c>
      <c r="G14" s="2">
        <f>ROUND(C14/10*1.1,0)</f>
        <v>160</v>
      </c>
      <c r="H14" s="1">
        <f>G14*E14</f>
        <v>220879.74228923919</v>
      </c>
      <c r="I14" s="12"/>
      <c r="J14" s="14"/>
      <c r="K14" s="14"/>
      <c r="L14" s="14"/>
    </row>
    <row r="15" spans="1:12">
      <c r="B15" s="400" t="s">
        <v>585</v>
      </c>
      <c r="C15" s="401"/>
      <c r="D15" s="402"/>
      <c r="E15" s="403"/>
      <c r="F15" s="404">
        <f>F13+F14</f>
        <v>2240476.3259999999</v>
      </c>
      <c r="G15" s="404"/>
      <c r="H15" s="404">
        <f>H13+H14</f>
        <v>223396.35451146142</v>
      </c>
    </row>
    <row r="16" spans="1:12">
      <c r="F16" s="15"/>
      <c r="G16" s="405" t="s">
        <v>119</v>
      </c>
      <c r="H16" s="407">
        <f>ROUNDUP(H15+H8,0)</f>
        <v>499314</v>
      </c>
    </row>
    <row r="17" spans="2:8">
      <c r="F17" s="14"/>
      <c r="G17" s="14"/>
      <c r="H17" s="14"/>
    </row>
    <row r="18" spans="2:8" ht="12.75" customHeight="1">
      <c r="B18" s="752" t="s">
        <v>586</v>
      </c>
      <c r="C18" s="752"/>
      <c r="D18" s="752"/>
      <c r="E18" s="752"/>
      <c r="F18" s="752"/>
      <c r="G18" s="752"/>
      <c r="H18" s="406">
        <f>H16*6</f>
        <v>2995884</v>
      </c>
    </row>
    <row r="19" spans="2:8">
      <c r="B19" s="752" t="s">
        <v>590</v>
      </c>
      <c r="C19" s="752"/>
      <c r="D19" s="752"/>
      <c r="E19" s="752"/>
      <c r="F19" s="752"/>
      <c r="G19" s="752"/>
      <c r="H19" s="406">
        <f>H16*3</f>
        <v>1497942</v>
      </c>
    </row>
    <row r="20" spans="2:8" ht="12.75" customHeight="1">
      <c r="G20" s="32" t="s">
        <v>72</v>
      </c>
      <c r="H20" s="396">
        <f>H18+H19</f>
        <v>4493826</v>
      </c>
    </row>
    <row r="23" spans="2:8">
      <c r="F23" s="395"/>
    </row>
  </sheetData>
  <mergeCells count="4">
    <mergeCell ref="A2:F2"/>
    <mergeCell ref="G1:I1"/>
    <mergeCell ref="B18:G18"/>
    <mergeCell ref="B19:G19"/>
  </mergeCells>
  <pageMargins left="0.7" right="0.7" top="0.75" bottom="0.75" header="0.3" footer="0.3"/>
  <pageSetup orientation="portrait" horizontalDpi="90" verticalDpi="9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AD37F-0524-44FE-B7A6-E0604729E04B}">
  <sheetPr>
    <tabColor theme="4" tint="0.59999389629810485"/>
  </sheetPr>
  <dimension ref="A1:F13"/>
  <sheetViews>
    <sheetView zoomScale="82" zoomScaleNormal="82" workbookViewId="0">
      <selection sqref="A1:XFD1048576"/>
    </sheetView>
  </sheetViews>
  <sheetFormatPr defaultRowHeight="12.75"/>
  <cols>
    <col min="1" max="1" width="75" style="5" customWidth="1"/>
    <col min="2" max="2" width="14.7109375" style="5" customWidth="1"/>
    <col min="3" max="4" width="9.140625" style="5"/>
    <col min="5" max="5" width="25.28515625" style="5" customWidth="1"/>
    <col min="6" max="16384" width="9.140625" style="5"/>
  </cols>
  <sheetData>
    <row r="1" spans="1:6" ht="63" customHeight="1">
      <c r="C1" s="589" t="s">
        <v>598</v>
      </c>
      <c r="D1" s="589"/>
      <c r="E1" s="589"/>
      <c r="F1" s="589"/>
    </row>
    <row r="2" spans="1:6">
      <c r="A2" s="16" t="s">
        <v>41</v>
      </c>
    </row>
    <row r="3" spans="1:6">
      <c r="A3" s="17" t="s">
        <v>595</v>
      </c>
      <c r="B3" s="488">
        <v>17174</v>
      </c>
      <c r="C3" s="18"/>
      <c r="D3" s="18"/>
      <c r="E3" s="18"/>
    </row>
    <row r="4" spans="1:6">
      <c r="A4" s="17" t="s">
        <v>618</v>
      </c>
      <c r="B4" s="80">
        <f>21.09-B5</f>
        <v>18.23</v>
      </c>
      <c r="C4" s="18"/>
      <c r="D4" s="18"/>
      <c r="E4" s="18"/>
    </row>
    <row r="5" spans="1:6" s="21" customFormat="1">
      <c r="A5" s="19" t="s">
        <v>69</v>
      </c>
      <c r="B5" s="24">
        <v>2.86</v>
      </c>
      <c r="C5" s="20"/>
      <c r="D5" s="20"/>
      <c r="E5" s="20"/>
    </row>
    <row r="6" spans="1:6">
      <c r="A6" s="19" t="s">
        <v>70</v>
      </c>
      <c r="B6" s="25">
        <v>14.238945048601099</v>
      </c>
      <c r="C6" s="20"/>
      <c r="D6" s="20"/>
      <c r="E6" s="20"/>
    </row>
    <row r="7" spans="1:6" s="21" customFormat="1">
      <c r="A7" s="19" t="s">
        <v>597</v>
      </c>
      <c r="B7" s="25">
        <f>B4+B6+B5</f>
        <v>35.328945048601099</v>
      </c>
      <c r="C7" s="20"/>
      <c r="D7" s="20"/>
      <c r="E7" s="20"/>
    </row>
    <row r="8" spans="1:6">
      <c r="A8" s="19" t="s">
        <v>575</v>
      </c>
      <c r="B8" s="25">
        <v>10490</v>
      </c>
      <c r="C8" s="20"/>
      <c r="D8" s="20"/>
      <c r="E8" s="20"/>
    </row>
    <row r="9" spans="1:6">
      <c r="A9" s="10" t="s">
        <v>576</v>
      </c>
      <c r="B9" s="489">
        <f>ROUNDUP(B8*B7,0)</f>
        <v>370601</v>
      </c>
      <c r="C9" s="20"/>
      <c r="D9" s="20"/>
      <c r="E9" s="20"/>
    </row>
    <row r="10" spans="1:6" ht="25.5">
      <c r="A10" s="490" t="s">
        <v>586</v>
      </c>
      <c r="B10" s="491">
        <f>B9*6</f>
        <v>2223606</v>
      </c>
      <c r="C10" s="20"/>
      <c r="D10" s="20"/>
      <c r="E10" s="20"/>
    </row>
    <row r="11" spans="1:6" ht="25.5">
      <c r="A11" s="490" t="s">
        <v>590</v>
      </c>
      <c r="B11" s="491">
        <f>B9*3</f>
        <v>1111803</v>
      </c>
      <c r="C11" s="20"/>
      <c r="D11" s="20"/>
      <c r="E11" s="20"/>
    </row>
    <row r="12" spans="1:6">
      <c r="A12" s="492" t="s">
        <v>72</v>
      </c>
      <c r="B12" s="493">
        <f>B10+B11</f>
        <v>3335409</v>
      </c>
      <c r="C12" s="20"/>
      <c r="D12" s="20"/>
      <c r="E12" s="20"/>
    </row>
    <row r="13" spans="1:6" ht="13.5" customHeight="1">
      <c r="A13" s="753" t="s">
        <v>596</v>
      </c>
      <c r="B13" s="753"/>
      <c r="C13" s="753"/>
      <c r="D13" s="753"/>
    </row>
  </sheetData>
  <mergeCells count="2">
    <mergeCell ref="A13:D13"/>
    <mergeCell ref="C1:F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D0EBB-4208-4CDD-AA44-1BF7F0887064}">
  <sheetPr>
    <tabColor theme="4" tint="0.59999389629810485"/>
  </sheetPr>
  <dimension ref="A1:G33"/>
  <sheetViews>
    <sheetView zoomScale="69" zoomScaleNormal="69" workbookViewId="0">
      <selection activeCell="B38" sqref="B38"/>
    </sheetView>
  </sheetViews>
  <sheetFormatPr defaultRowHeight="12.75"/>
  <cols>
    <col min="1" max="1" width="19.5703125" style="5" customWidth="1"/>
    <col min="2" max="2" width="119" style="5" customWidth="1"/>
    <col min="3" max="3" width="13.85546875" style="7" customWidth="1"/>
    <col min="4" max="4" width="13.7109375" style="5" customWidth="1"/>
    <col min="5" max="5" width="16.85546875" style="5" customWidth="1"/>
    <col min="6" max="16384" width="9.140625" style="5"/>
  </cols>
  <sheetData>
    <row r="1" spans="1:7" ht="47.25" customHeight="1">
      <c r="A1" s="408"/>
      <c r="B1" s="408"/>
      <c r="C1" s="755" t="s">
        <v>587</v>
      </c>
      <c r="D1" s="755"/>
      <c r="E1" s="755"/>
      <c r="F1" s="755"/>
      <c r="G1" s="755"/>
    </row>
    <row r="2" spans="1:7" ht="15" customHeight="1">
      <c r="A2" s="754" t="s">
        <v>85</v>
      </c>
      <c r="B2" s="754"/>
      <c r="C2" s="754"/>
      <c r="D2" s="754"/>
      <c r="E2" s="754"/>
    </row>
    <row r="3" spans="1:7" ht="38.25">
      <c r="A3" s="54" t="s">
        <v>11</v>
      </c>
      <c r="B3" s="54" t="s">
        <v>10</v>
      </c>
      <c r="C3" s="412" t="s">
        <v>577</v>
      </c>
      <c r="D3" s="412" t="s">
        <v>71</v>
      </c>
      <c r="E3" s="412" t="s">
        <v>588</v>
      </c>
    </row>
    <row r="4" spans="1:7">
      <c r="A4" s="756" t="s">
        <v>20</v>
      </c>
      <c r="B4" s="757"/>
      <c r="C4" s="409"/>
      <c r="D4" s="33"/>
      <c r="E4" s="33"/>
    </row>
    <row r="5" spans="1:7" ht="25.5">
      <c r="A5" s="26">
        <v>70035</v>
      </c>
      <c r="B5" s="6" t="s">
        <v>21</v>
      </c>
      <c r="C5" s="417">
        <v>29242</v>
      </c>
      <c r="D5" s="36">
        <v>0.3</v>
      </c>
      <c r="E5" s="36">
        <f>C5*D5</f>
        <v>8772.6</v>
      </c>
    </row>
    <row r="6" spans="1:7" ht="25.5">
      <c r="A6" s="26">
        <v>70036</v>
      </c>
      <c r="B6" s="6" t="s">
        <v>22</v>
      </c>
      <c r="C6" s="417">
        <v>15465</v>
      </c>
      <c r="D6" s="36">
        <v>0.2</v>
      </c>
      <c r="E6" s="36">
        <f>C6*D6</f>
        <v>3093</v>
      </c>
    </row>
    <row r="7" spans="1:7">
      <c r="A7" s="26"/>
      <c r="B7" s="26"/>
      <c r="C7" s="417"/>
      <c r="D7" s="36"/>
      <c r="E7" s="413">
        <f>SUM(E5:E6)</f>
        <v>11865.6</v>
      </c>
    </row>
    <row r="8" spans="1:7">
      <c r="A8" s="758" t="s">
        <v>23</v>
      </c>
      <c r="B8" s="758"/>
      <c r="C8" s="417"/>
      <c r="D8" s="36"/>
      <c r="E8" s="36"/>
    </row>
    <row r="9" spans="1:7">
      <c r="A9" s="26">
        <v>60160</v>
      </c>
      <c r="B9" s="6" t="s">
        <v>24</v>
      </c>
      <c r="C9" s="417">
        <v>34</v>
      </c>
      <c r="D9" s="36">
        <v>8.67</v>
      </c>
      <c r="E9" s="36">
        <f>C9*D9</f>
        <v>294.77999999999997</v>
      </c>
    </row>
    <row r="10" spans="1:7">
      <c r="A10" s="26">
        <v>60161</v>
      </c>
      <c r="B10" s="6" t="s">
        <v>25</v>
      </c>
      <c r="C10" s="417">
        <v>44</v>
      </c>
      <c r="D10" s="36">
        <v>0.36</v>
      </c>
      <c r="E10" s="36">
        <f t="shared" ref="E10:E13" si="0">C10*D10</f>
        <v>15.84</v>
      </c>
    </row>
    <row r="11" spans="1:7" ht="25.5">
      <c r="A11" s="26">
        <v>60166</v>
      </c>
      <c r="B11" s="6" t="s">
        <v>26</v>
      </c>
      <c r="C11" s="417">
        <v>417007</v>
      </c>
      <c r="D11" s="36">
        <v>0.3</v>
      </c>
      <c r="E11" s="36">
        <f t="shared" si="0"/>
        <v>125102.09999999999</v>
      </c>
    </row>
    <row r="12" spans="1:7" ht="25.5">
      <c r="A12" s="26">
        <v>60167</v>
      </c>
      <c r="B12" s="6" t="s">
        <v>27</v>
      </c>
      <c r="C12" s="417">
        <v>14125</v>
      </c>
      <c r="D12" s="36">
        <v>0.54</v>
      </c>
      <c r="E12" s="36">
        <f t="shared" si="0"/>
        <v>7627.5000000000009</v>
      </c>
    </row>
    <row r="13" spans="1:7" ht="25.5">
      <c r="A13" s="26">
        <v>60168</v>
      </c>
      <c r="B13" s="6" t="s">
        <v>28</v>
      </c>
      <c r="C13" s="417">
        <v>118492</v>
      </c>
      <c r="D13" s="36">
        <v>0.2</v>
      </c>
      <c r="E13" s="36">
        <f t="shared" si="0"/>
        <v>23698.400000000001</v>
      </c>
    </row>
    <row r="14" spans="1:7">
      <c r="A14" s="26"/>
      <c r="B14" s="6"/>
      <c r="C14" s="417"/>
      <c r="D14" s="36"/>
      <c r="E14" s="296">
        <f>SUM(E9:E13)</f>
        <v>156738.62</v>
      </c>
    </row>
    <row r="15" spans="1:7">
      <c r="A15" s="758" t="s">
        <v>29</v>
      </c>
      <c r="B15" s="758"/>
      <c r="C15" s="417"/>
      <c r="D15" s="36"/>
      <c r="E15" s="414"/>
    </row>
    <row r="16" spans="1:7">
      <c r="A16" s="26">
        <v>60160</v>
      </c>
      <c r="B16" s="6" t="s">
        <v>24</v>
      </c>
      <c r="C16" s="418"/>
      <c r="D16" s="36"/>
      <c r="E16" s="36"/>
    </row>
    <row r="17" spans="1:5">
      <c r="A17" s="26">
        <v>60169</v>
      </c>
      <c r="B17" s="27" t="s">
        <v>30</v>
      </c>
      <c r="C17" s="417">
        <v>16106</v>
      </c>
      <c r="D17" s="36">
        <v>0.9</v>
      </c>
      <c r="E17" s="36">
        <f>C17*D17</f>
        <v>14495.4</v>
      </c>
    </row>
    <row r="18" spans="1:5">
      <c r="A18" s="26"/>
      <c r="B18" s="410"/>
      <c r="C18" s="417"/>
      <c r="D18" s="36"/>
      <c r="E18" s="296">
        <f>E17</f>
        <v>14495.4</v>
      </c>
    </row>
    <row r="19" spans="1:5">
      <c r="A19" s="758" t="s">
        <v>32</v>
      </c>
      <c r="B19" s="758"/>
      <c r="C19" s="418"/>
      <c r="D19" s="36"/>
      <c r="E19" s="36"/>
    </row>
    <row r="20" spans="1:5" ht="25.5">
      <c r="A20" s="26">
        <v>60516</v>
      </c>
      <c r="B20" s="28" t="s">
        <v>36</v>
      </c>
      <c r="C20" s="418">
        <v>6990</v>
      </c>
      <c r="D20" s="36">
        <v>3.54</v>
      </c>
      <c r="E20" s="418">
        <f>C20*D20</f>
        <v>24744.6</v>
      </c>
    </row>
    <row r="21" spans="1:5" ht="25.5">
      <c r="A21" s="26">
        <v>60517</v>
      </c>
      <c r="B21" s="28" t="s">
        <v>37</v>
      </c>
      <c r="C21" s="418">
        <v>160800</v>
      </c>
      <c r="D21" s="36">
        <v>0.91</v>
      </c>
      <c r="E21" s="418">
        <f>C21*D21</f>
        <v>146328</v>
      </c>
    </row>
    <row r="22" spans="1:5">
      <c r="A22" s="26"/>
      <c r="B22" s="28"/>
      <c r="C22" s="418"/>
      <c r="D22" s="36"/>
      <c r="E22" s="419">
        <f>SUM(E20:E21)</f>
        <v>171072.6</v>
      </c>
    </row>
    <row r="23" spans="1:5">
      <c r="A23" s="758" t="s">
        <v>39</v>
      </c>
      <c r="B23" s="758"/>
      <c r="C23" s="418"/>
      <c r="D23" s="36"/>
      <c r="E23" s="36"/>
    </row>
    <row r="24" spans="1:5">
      <c r="A24" s="26" t="s">
        <v>31</v>
      </c>
      <c r="B24" s="28" t="s">
        <v>40</v>
      </c>
      <c r="C24" s="418"/>
      <c r="D24" s="36"/>
      <c r="E24" s="413">
        <v>40370</v>
      </c>
    </row>
    <row r="25" spans="1:5">
      <c r="A25" s="758" t="s">
        <v>33</v>
      </c>
      <c r="B25" s="758"/>
      <c r="C25" s="418"/>
      <c r="D25" s="36"/>
      <c r="E25" s="413">
        <f>E20+E21</f>
        <v>171072.6</v>
      </c>
    </row>
    <row r="26" spans="1:5">
      <c r="A26" s="26" t="s">
        <v>31</v>
      </c>
      <c r="B26" s="6" t="s">
        <v>34</v>
      </c>
      <c r="C26" s="418"/>
      <c r="D26" s="36"/>
      <c r="E26" s="418">
        <v>60084.509999999987</v>
      </c>
    </row>
    <row r="27" spans="1:5">
      <c r="A27" s="26" t="s">
        <v>31</v>
      </c>
      <c r="B27" s="6" t="s">
        <v>35</v>
      </c>
      <c r="C27" s="418"/>
      <c r="D27" s="36"/>
      <c r="E27" s="36">
        <v>799.01999999999941</v>
      </c>
    </row>
    <row r="28" spans="1:5">
      <c r="A28" s="29"/>
      <c r="B28" s="30"/>
      <c r="C28" s="418"/>
      <c r="D28" s="36"/>
      <c r="E28" s="413">
        <f>E27+E26</f>
        <v>60883.529999999984</v>
      </c>
    </row>
    <row r="29" spans="1:5">
      <c r="A29" s="411" t="s">
        <v>19</v>
      </c>
      <c r="B29" s="411"/>
      <c r="C29" s="415"/>
      <c r="D29" s="415"/>
      <c r="E29" s="416">
        <f>ROUNDUP(E7+E14+E18+E25+E28+E24,0)</f>
        <v>455426</v>
      </c>
    </row>
    <row r="30" spans="1:5">
      <c r="A30" s="31"/>
      <c r="B30" s="31"/>
    </row>
    <row r="31" spans="1:5" ht="12.75" customHeight="1">
      <c r="A31" s="759" t="s">
        <v>586</v>
      </c>
      <c r="B31" s="759"/>
      <c r="C31" s="759"/>
      <c r="D31" s="759"/>
      <c r="E31" s="420">
        <f>E29*6</f>
        <v>2732556</v>
      </c>
    </row>
    <row r="32" spans="1:5" ht="12.75" customHeight="1">
      <c r="A32" s="759" t="s">
        <v>609</v>
      </c>
      <c r="B32" s="759"/>
      <c r="C32" s="759"/>
      <c r="D32" s="759"/>
      <c r="E32" s="420">
        <f>E29*3</f>
        <v>1366278</v>
      </c>
    </row>
    <row r="33" spans="4:5">
      <c r="D33" s="5" t="s">
        <v>589</v>
      </c>
      <c r="E33" s="23">
        <f>E31+E32</f>
        <v>4098834</v>
      </c>
    </row>
  </sheetData>
  <mergeCells count="10">
    <mergeCell ref="A31:D31"/>
    <mergeCell ref="A32:D32"/>
    <mergeCell ref="A23:B23"/>
    <mergeCell ref="A25:B25"/>
    <mergeCell ref="A19:B19"/>
    <mergeCell ref="A2:E2"/>
    <mergeCell ref="C1:G1"/>
    <mergeCell ref="A4:B4"/>
    <mergeCell ref="A8:B8"/>
    <mergeCell ref="A15:B1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E1CD1-DCE2-40EE-9732-73B507257727}">
  <sheetPr>
    <tabColor theme="4" tint="0.59999389629810485"/>
  </sheetPr>
  <dimension ref="A1:G22"/>
  <sheetViews>
    <sheetView zoomScale="73" zoomScaleNormal="73" workbookViewId="0">
      <selection activeCell="D35" sqref="D35"/>
    </sheetView>
  </sheetViews>
  <sheetFormatPr defaultColWidth="8.7109375" defaultRowHeight="12.75"/>
  <cols>
    <col min="1" max="1" width="38.140625" style="5" customWidth="1"/>
    <col min="2" max="2" width="17.85546875" style="5" customWidth="1"/>
    <col min="3" max="3" width="20.28515625" style="5" customWidth="1"/>
    <col min="4" max="4" width="24" style="13" customWidth="1"/>
    <col min="5" max="16384" width="8.7109375" style="5"/>
  </cols>
  <sheetData>
    <row r="1" spans="1:7" ht="54.75" customHeight="1">
      <c r="D1" s="657" t="s">
        <v>602</v>
      </c>
      <c r="E1" s="657"/>
      <c r="F1" s="657"/>
      <c r="G1" s="657"/>
    </row>
    <row r="2" spans="1:7" s="16" customFormat="1">
      <c r="A2" s="767" t="s">
        <v>611</v>
      </c>
      <c r="B2" s="767"/>
      <c r="C2" s="767"/>
      <c r="D2" s="767"/>
    </row>
    <row r="3" spans="1:7" ht="38.25">
      <c r="A3" s="72" t="s">
        <v>578</v>
      </c>
      <c r="B3" s="72" t="s">
        <v>67</v>
      </c>
      <c r="C3" s="72" t="s">
        <v>599</v>
      </c>
      <c r="D3" s="297" t="s">
        <v>603</v>
      </c>
    </row>
    <row r="4" spans="1:7">
      <c r="A4" s="34" t="s">
        <v>612</v>
      </c>
      <c r="B4" s="34">
        <v>504</v>
      </c>
      <c r="C4" s="479">
        <v>1914.1197222222238</v>
      </c>
      <c r="D4" s="480">
        <f>B4*C4</f>
        <v>964716.34000000078</v>
      </c>
    </row>
    <row r="5" spans="1:7">
      <c r="A5" s="34" t="s">
        <v>613</v>
      </c>
      <c r="B5" s="34">
        <v>504</v>
      </c>
      <c r="C5" s="479">
        <v>1914.1197222222238</v>
      </c>
      <c r="D5" s="480">
        <f t="shared" ref="D5:D15" si="0">B5*C5</f>
        <v>964716.34000000078</v>
      </c>
    </row>
    <row r="6" spans="1:7">
      <c r="A6" s="34" t="s">
        <v>614</v>
      </c>
      <c r="B6" s="34">
        <v>504</v>
      </c>
      <c r="C6" s="479">
        <v>1914.1197222222238</v>
      </c>
      <c r="D6" s="480">
        <f t="shared" si="0"/>
        <v>964716.34000000078</v>
      </c>
    </row>
    <row r="7" spans="1:7">
      <c r="A7" s="34" t="s">
        <v>86</v>
      </c>
      <c r="B7" s="34">
        <v>504</v>
      </c>
      <c r="C7" s="479">
        <v>1914.1197222222238</v>
      </c>
      <c r="D7" s="480">
        <f t="shared" si="0"/>
        <v>964716.34000000078</v>
      </c>
    </row>
    <row r="8" spans="1:7">
      <c r="A8" s="34" t="s">
        <v>87</v>
      </c>
      <c r="B8" s="34">
        <v>504</v>
      </c>
      <c r="C8" s="479">
        <v>1914.1197222222238</v>
      </c>
      <c r="D8" s="480">
        <f t="shared" si="0"/>
        <v>964716.34000000078</v>
      </c>
    </row>
    <row r="9" spans="1:7">
      <c r="A9" s="34" t="s">
        <v>88</v>
      </c>
      <c r="B9" s="34">
        <f>504/2</f>
        <v>252</v>
      </c>
      <c r="C9" s="479">
        <v>1914.1197222222238</v>
      </c>
      <c r="D9" s="480">
        <f t="shared" si="0"/>
        <v>482358.17000000039</v>
      </c>
    </row>
    <row r="10" spans="1:7">
      <c r="A10" s="34" t="s">
        <v>89</v>
      </c>
      <c r="B10" s="34">
        <f t="shared" ref="B10:B11" si="1">504/2</f>
        <v>252</v>
      </c>
      <c r="C10" s="479">
        <v>1914.1197222222238</v>
      </c>
      <c r="D10" s="480">
        <f t="shared" si="0"/>
        <v>482358.17000000039</v>
      </c>
    </row>
    <row r="11" spans="1:7">
      <c r="A11" s="34" t="s">
        <v>90</v>
      </c>
      <c r="B11" s="34">
        <f t="shared" si="1"/>
        <v>252</v>
      </c>
      <c r="C11" s="479">
        <v>1914.1197222222238</v>
      </c>
      <c r="D11" s="480">
        <f t="shared" si="0"/>
        <v>482358.17000000039</v>
      </c>
    </row>
    <row r="12" spans="1:7">
      <c r="A12" s="34" t="s">
        <v>91</v>
      </c>
      <c r="B12" s="34">
        <v>504</v>
      </c>
      <c r="C12" s="479">
        <v>1914.1197222222238</v>
      </c>
      <c r="D12" s="480">
        <f t="shared" si="0"/>
        <v>964716.34000000078</v>
      </c>
    </row>
    <row r="13" spans="1:7">
      <c r="A13" s="34" t="s">
        <v>579</v>
      </c>
      <c r="B13" s="34">
        <v>504</v>
      </c>
      <c r="C13" s="479">
        <v>1914.1197222222238</v>
      </c>
      <c r="D13" s="480">
        <f t="shared" si="0"/>
        <v>964716.34000000078</v>
      </c>
    </row>
    <row r="14" spans="1:7">
      <c r="A14" s="34" t="s">
        <v>580</v>
      </c>
      <c r="B14" s="34">
        <v>504</v>
      </c>
      <c r="C14" s="479">
        <v>1914.1197222222238</v>
      </c>
      <c r="D14" s="480">
        <f t="shared" si="0"/>
        <v>964716.34000000078</v>
      </c>
    </row>
    <row r="15" spans="1:7">
      <c r="A15" s="34" t="s">
        <v>581</v>
      </c>
      <c r="B15" s="34">
        <v>504</v>
      </c>
      <c r="C15" s="479">
        <v>1914.1197222222238</v>
      </c>
      <c r="D15" s="480">
        <f t="shared" si="0"/>
        <v>964716.34000000078</v>
      </c>
    </row>
    <row r="16" spans="1:7" s="16" customFormat="1">
      <c r="A16" s="761" t="s">
        <v>601</v>
      </c>
      <c r="B16" s="762"/>
      <c r="C16" s="763"/>
      <c r="D16" s="481">
        <f>SUM(D4:D15)</f>
        <v>10129521.570000008</v>
      </c>
    </row>
    <row r="17" spans="1:4" s="483" customFormat="1">
      <c r="A17" s="765" t="s">
        <v>600</v>
      </c>
      <c r="B17" s="766"/>
      <c r="C17" s="477"/>
      <c r="D17" s="482">
        <f>SUM(D16)/12*1</f>
        <v>844126.79750000068</v>
      </c>
    </row>
    <row r="18" spans="1:4" ht="21.75" customHeight="1">
      <c r="A18" s="760" t="s">
        <v>610</v>
      </c>
      <c r="B18" s="760"/>
      <c r="C18" s="760"/>
      <c r="D18" s="478">
        <f>ROUND(D17*6,0)</f>
        <v>5064761</v>
      </c>
    </row>
    <row r="19" spans="1:4" ht="24.75" customHeight="1">
      <c r="A19" s="760" t="s">
        <v>609</v>
      </c>
      <c r="B19" s="760"/>
      <c r="C19" s="760"/>
      <c r="D19" s="478">
        <f>ROUND(D17*3,0)</f>
        <v>2532380</v>
      </c>
    </row>
    <row r="20" spans="1:4">
      <c r="C20" s="32" t="s">
        <v>72</v>
      </c>
      <c r="D20" s="476">
        <f>D18+D19</f>
        <v>7597141</v>
      </c>
    </row>
    <row r="21" spans="1:4">
      <c r="A21" s="764" t="s">
        <v>596</v>
      </c>
      <c r="B21" s="764"/>
      <c r="C21" s="764"/>
      <c r="D21" s="764"/>
    </row>
    <row r="22" spans="1:4" ht="30.75" customHeight="1">
      <c r="A22" s="589" t="s">
        <v>615</v>
      </c>
      <c r="B22" s="589"/>
      <c r="C22" s="589"/>
      <c r="D22" s="589"/>
    </row>
  </sheetData>
  <mergeCells count="8">
    <mergeCell ref="A22:D22"/>
    <mergeCell ref="D1:G1"/>
    <mergeCell ref="A18:C18"/>
    <mergeCell ref="A19:C19"/>
    <mergeCell ref="A16:C16"/>
    <mergeCell ref="A21:D21"/>
    <mergeCell ref="A17:B17"/>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Nr.1</vt:lpstr>
      <vt:lpstr>Nr.2</vt:lpstr>
      <vt:lpstr>Nr.3</vt:lpstr>
      <vt:lpstr>Nr.4</vt:lpstr>
      <vt:lpstr>Nr.5</vt:lpstr>
      <vt:lpstr>Nr.6</vt:lpstr>
      <vt:lpstr>Nr.7</vt:lpstr>
      <vt:lpstr>Nr.8</vt:lpstr>
      <vt:lpstr>turp_Nr.8</vt:lpstr>
      <vt:lpstr>Nr.9</vt:lpstr>
      <vt:lpstr>Nr.10</vt:lpstr>
      <vt:lpstr>Nr.11</vt:lpstr>
      <vt:lpstr>Nr.12</vt:lpstr>
      <vt:lpstr>Nr.13</vt:lpstr>
      <vt:lpstr>Nr.14</vt:lpstr>
      <vt:lpstr>Nr.15</vt:lpstr>
      <vt:lpstr>Nr.16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Anete Baškevica</dc:creator>
  <cp:lastModifiedBy>Ivita Lazdiņa</cp:lastModifiedBy>
  <cp:lastPrinted>2022-06-27T12:02:16Z</cp:lastPrinted>
  <dcterms:created xsi:type="dcterms:W3CDTF">2022-04-26T14:16:21Z</dcterms:created>
  <dcterms:modified xsi:type="dcterms:W3CDTF">2023-03-22T13:08:34Z</dcterms:modified>
</cp:coreProperties>
</file>