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file-itd-01.lm.local\LMshared\BUDZETS\2026.gads\Mājokļa_pab_reforma\1_materiāls minsitram uz 04.02.2026\JAUNS_liekam_TAP_ā\Anotācijas III sadaļas pielikumi\"/>
    </mc:Choice>
  </mc:AlternateContent>
  <xr:revisionPtr revIDLastSave="0" documentId="13_ncr:1_{74616CF9-12FF-4F74-80E9-E4D56CD95DAA}" xr6:coauthVersionLast="47" xr6:coauthVersionMax="47" xr10:uidLastSave="{00000000-0000-0000-0000-000000000000}"/>
  <bookViews>
    <workbookView xWindow="-110" yWindow="-110" windowWidth="25820" windowHeight="13900" xr2:uid="{6E940812-8593-4617-AF4C-99C5F754FAA6}"/>
  </bookViews>
  <sheets>
    <sheet name="Kopsavilkums" sheetId="53" r:id="rId1"/>
    <sheet name="MP Faktiskā izpilde_plāns" sheetId="50" r:id="rId2"/>
    <sheet name="GMI" sheetId="54" r:id="rId3"/>
    <sheet name="GMI apmēri" sheetId="52" r:id="rId4"/>
    <sheet name="GMI apmēri janv.-aprīl." sheetId="5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4" i="53" l="1"/>
  <c r="K11" i="53"/>
  <c r="K10" i="53"/>
  <c r="O74" i="50"/>
  <c r="O73" i="50"/>
  <c r="O72" i="50"/>
  <c r="O71" i="50"/>
  <c r="V74" i="50"/>
  <c r="V73" i="50"/>
  <c r="V72" i="50"/>
  <c r="V71" i="50"/>
  <c r="AC74" i="50"/>
  <c r="AC73" i="50"/>
  <c r="AC72" i="50"/>
  <c r="AC71" i="50"/>
  <c r="AJ74" i="50"/>
  <c r="AJ72" i="50"/>
  <c r="AJ73" i="50"/>
  <c r="AJ71" i="50"/>
  <c r="AI71" i="50"/>
  <c r="N74" i="50" l="1"/>
  <c r="N73" i="50"/>
  <c r="N72" i="50"/>
  <c r="N71" i="50"/>
  <c r="U74" i="50"/>
  <c r="U73" i="50"/>
  <c r="U72" i="50"/>
  <c r="U71" i="50"/>
  <c r="AB74" i="50"/>
  <c r="AB73" i="50"/>
  <c r="G73" i="50" s="1"/>
  <c r="AB72" i="50"/>
  <c r="AB71" i="50"/>
  <c r="AI72" i="50"/>
  <c r="AI73" i="50"/>
  <c r="AI74" i="50"/>
  <c r="AJ81" i="50"/>
  <c r="AI81" i="50"/>
  <c r="AJ80" i="50"/>
  <c r="AI80" i="50"/>
  <c r="AJ79" i="50"/>
  <c r="AI79" i="50"/>
  <c r="AJ78" i="50"/>
  <c r="AI78" i="50"/>
  <c r="AJ77" i="50"/>
  <c r="AI77" i="50"/>
  <c r="AJ76" i="50"/>
  <c r="AI76" i="50"/>
  <c r="AJ75" i="50"/>
  <c r="AI75" i="50"/>
  <c r="AC81" i="50"/>
  <c r="AB81" i="50"/>
  <c r="G81" i="50" s="1"/>
  <c r="AC80" i="50"/>
  <c r="AB80" i="50"/>
  <c r="AC79" i="50"/>
  <c r="AB79" i="50"/>
  <c r="AC78" i="50"/>
  <c r="AB78" i="50"/>
  <c r="AC77" i="50"/>
  <c r="AB77" i="50"/>
  <c r="AC76" i="50"/>
  <c r="AB76" i="50"/>
  <c r="AC75" i="50"/>
  <c r="AB75" i="50"/>
  <c r="V81" i="50"/>
  <c r="U81" i="50"/>
  <c r="V80" i="50"/>
  <c r="U80" i="50"/>
  <c r="V79" i="50"/>
  <c r="U79" i="50"/>
  <c r="V78" i="50"/>
  <c r="U78" i="50"/>
  <c r="V77" i="50"/>
  <c r="U77" i="50"/>
  <c r="V76" i="50"/>
  <c r="U76" i="50"/>
  <c r="V75" i="50"/>
  <c r="U75" i="50"/>
  <c r="N76" i="50"/>
  <c r="O76" i="50"/>
  <c r="N77" i="50"/>
  <c r="O77" i="50"/>
  <c r="N78" i="50"/>
  <c r="O78" i="50"/>
  <c r="N79" i="50"/>
  <c r="O79" i="50"/>
  <c r="N80" i="50"/>
  <c r="O80" i="50"/>
  <c r="N81" i="50"/>
  <c r="O81" i="50"/>
  <c r="O75" i="50"/>
  <c r="N75" i="50"/>
  <c r="AJ70" i="50"/>
  <c r="AI70" i="50"/>
  <c r="AC70" i="50"/>
  <c r="AB70" i="50"/>
  <c r="G70" i="50" s="1"/>
  <c r="V70" i="50"/>
  <c r="U70" i="50"/>
  <c r="O70" i="50"/>
  <c r="H70" i="50" s="1"/>
  <c r="N70" i="50"/>
  <c r="H81" i="50"/>
  <c r="F81" i="50"/>
  <c r="D81" i="50"/>
  <c r="F80" i="50"/>
  <c r="D80" i="50"/>
  <c r="E80" i="50" s="1"/>
  <c r="F79" i="50"/>
  <c r="D79" i="50"/>
  <c r="E79" i="50" s="1"/>
  <c r="F78" i="50"/>
  <c r="D78" i="50"/>
  <c r="E78" i="50" s="1"/>
  <c r="F77" i="50"/>
  <c r="D77" i="50"/>
  <c r="E77" i="50" s="1"/>
  <c r="H76" i="50"/>
  <c r="G76" i="50"/>
  <c r="F76" i="50"/>
  <c r="D76" i="50"/>
  <c r="E76" i="50" s="1"/>
  <c r="F75" i="50"/>
  <c r="D75" i="50"/>
  <c r="H74" i="50"/>
  <c r="D74" i="50"/>
  <c r="H73" i="50"/>
  <c r="D73" i="50"/>
  <c r="H72" i="50"/>
  <c r="D72" i="50"/>
  <c r="H71" i="50"/>
  <c r="D71" i="50"/>
  <c r="F70" i="50"/>
  <c r="D70" i="50"/>
  <c r="E70" i="50" s="1"/>
  <c r="M81" i="50"/>
  <c r="L81" i="50"/>
  <c r="J81" i="50"/>
  <c r="I81" i="50"/>
  <c r="K81" i="50" s="1"/>
  <c r="M80" i="50"/>
  <c r="L80" i="50"/>
  <c r="J80" i="50"/>
  <c r="I80" i="50"/>
  <c r="K80" i="50" s="1"/>
  <c r="M79" i="50"/>
  <c r="L79" i="50"/>
  <c r="J79" i="50"/>
  <c r="I79" i="50"/>
  <c r="K79" i="50" s="1"/>
  <c r="M78" i="50"/>
  <c r="L78" i="50"/>
  <c r="J78" i="50"/>
  <c r="I78" i="50"/>
  <c r="K78" i="50" s="1"/>
  <c r="M77" i="50"/>
  <c r="L77" i="50"/>
  <c r="J77" i="50"/>
  <c r="I77" i="50"/>
  <c r="K77" i="50" s="1"/>
  <c r="M76" i="50"/>
  <c r="L76" i="50"/>
  <c r="J76" i="50"/>
  <c r="I76" i="50"/>
  <c r="K76" i="50" s="1"/>
  <c r="M75" i="50"/>
  <c r="L75" i="50"/>
  <c r="J75" i="50"/>
  <c r="I75" i="50"/>
  <c r="K75" i="50" s="1"/>
  <c r="M74" i="50"/>
  <c r="L74" i="50"/>
  <c r="J74" i="50"/>
  <c r="I74" i="50"/>
  <c r="K74" i="50" s="1"/>
  <c r="M73" i="50"/>
  <c r="L73" i="50"/>
  <c r="J73" i="50"/>
  <c r="I73" i="50"/>
  <c r="K73" i="50" s="1"/>
  <c r="M72" i="50"/>
  <c r="L72" i="50"/>
  <c r="J72" i="50"/>
  <c r="I72" i="50"/>
  <c r="K72" i="50" s="1"/>
  <c r="M71" i="50"/>
  <c r="L71" i="50"/>
  <c r="J71" i="50"/>
  <c r="I71" i="50"/>
  <c r="K71" i="50" s="1"/>
  <c r="M70" i="50"/>
  <c r="L70" i="50"/>
  <c r="J70" i="50"/>
  <c r="I70" i="50"/>
  <c r="K70" i="50" s="1"/>
  <c r="T81" i="50"/>
  <c r="R81" i="50" s="1"/>
  <c r="S81" i="50"/>
  <c r="Q81" i="50"/>
  <c r="P81" i="50"/>
  <c r="T80" i="50"/>
  <c r="S80" i="50"/>
  <c r="Q80" i="50"/>
  <c r="P80" i="50"/>
  <c r="R80" i="50" s="1"/>
  <c r="T79" i="50"/>
  <c r="S79" i="50"/>
  <c r="Q79" i="50"/>
  <c r="P79" i="50"/>
  <c r="R79" i="50" s="1"/>
  <c r="T78" i="50"/>
  <c r="S78" i="50"/>
  <c r="Q78" i="50"/>
  <c r="P78" i="50"/>
  <c r="R78" i="50" s="1"/>
  <c r="T77" i="50"/>
  <c r="S77" i="50"/>
  <c r="Q77" i="50"/>
  <c r="P77" i="50"/>
  <c r="R77" i="50" s="1"/>
  <c r="T76" i="50"/>
  <c r="S76" i="50"/>
  <c r="Q76" i="50"/>
  <c r="P76" i="50"/>
  <c r="R76" i="50" s="1"/>
  <c r="T75" i="50"/>
  <c r="Q75" i="50"/>
  <c r="P75" i="50"/>
  <c r="R75" i="50" s="1"/>
  <c r="Q74" i="50"/>
  <c r="P74" i="50"/>
  <c r="Q73" i="50"/>
  <c r="P73" i="50"/>
  <c r="Q72" i="50"/>
  <c r="P72" i="50"/>
  <c r="Q71" i="50"/>
  <c r="P71" i="50"/>
  <c r="T70" i="50"/>
  <c r="S70" i="50"/>
  <c r="Q70" i="50"/>
  <c r="P70" i="50"/>
  <c r="R70" i="50" s="1"/>
  <c r="AA81" i="50"/>
  <c r="Z81" i="50"/>
  <c r="X81" i="50"/>
  <c r="W81" i="50"/>
  <c r="Y81" i="50" s="1"/>
  <c r="AA80" i="50"/>
  <c r="Z80" i="50"/>
  <c r="X80" i="50"/>
  <c r="W80" i="50"/>
  <c r="Y80" i="50" s="1"/>
  <c r="AA79" i="50"/>
  <c r="Z79" i="50"/>
  <c r="X79" i="50"/>
  <c r="W79" i="50"/>
  <c r="Y79" i="50" s="1"/>
  <c r="AA78" i="50"/>
  <c r="Z78" i="50"/>
  <c r="X78" i="50"/>
  <c r="W78" i="50"/>
  <c r="Y78" i="50" s="1"/>
  <c r="AA77" i="50"/>
  <c r="Z77" i="50"/>
  <c r="X77" i="50"/>
  <c r="W77" i="50"/>
  <c r="Y77" i="50" s="1"/>
  <c r="AA76" i="50"/>
  <c r="Z76" i="50"/>
  <c r="X76" i="50"/>
  <c r="W76" i="50"/>
  <c r="Y76" i="50" s="1"/>
  <c r="AA75" i="50"/>
  <c r="X75" i="50"/>
  <c r="W75" i="50"/>
  <c r="Y75" i="50" s="1"/>
  <c r="X74" i="50"/>
  <c r="W74" i="50"/>
  <c r="X73" i="50"/>
  <c r="W73" i="50"/>
  <c r="X72" i="50"/>
  <c r="W72" i="50"/>
  <c r="X71" i="50"/>
  <c r="W71" i="50"/>
  <c r="AA70" i="50"/>
  <c r="Z70" i="50"/>
  <c r="X70" i="50"/>
  <c r="W70" i="50"/>
  <c r="Y70" i="50" s="1"/>
  <c r="AG76" i="50"/>
  <c r="AG77" i="50"/>
  <c r="AG78" i="50"/>
  <c r="AG79" i="50"/>
  <c r="AG80" i="50"/>
  <c r="AG81" i="50"/>
  <c r="AG70" i="50"/>
  <c r="AF75" i="50"/>
  <c r="AF76" i="50"/>
  <c r="AF77" i="50"/>
  <c r="AF78" i="50"/>
  <c r="AF79" i="50"/>
  <c r="AF80" i="50"/>
  <c r="AF81" i="50"/>
  <c r="AF70" i="50"/>
  <c r="AE71" i="50"/>
  <c r="AE72" i="50"/>
  <c r="AE73" i="50"/>
  <c r="AE74" i="50"/>
  <c r="AE75" i="50"/>
  <c r="AE76" i="50"/>
  <c r="AE77" i="50"/>
  <c r="AE78" i="50"/>
  <c r="AE79" i="50"/>
  <c r="AE80" i="50"/>
  <c r="AE81" i="50"/>
  <c r="AE70" i="50"/>
  <c r="AE37" i="50"/>
  <c r="AD71" i="50"/>
  <c r="AD72" i="50"/>
  <c r="AD73" i="50"/>
  <c r="AD74" i="50"/>
  <c r="AD75" i="50"/>
  <c r="AD76" i="50"/>
  <c r="AD77" i="50"/>
  <c r="AD78" i="50"/>
  <c r="AD79" i="50"/>
  <c r="AD80" i="50"/>
  <c r="AD81" i="50"/>
  <c r="AD70" i="50"/>
  <c r="AH75" i="50"/>
  <c r="AH76" i="50"/>
  <c r="AH77" i="50"/>
  <c r="AH78" i="50"/>
  <c r="AH79" i="50"/>
  <c r="AH80" i="50"/>
  <c r="AH81" i="50"/>
  <c r="AH70" i="50"/>
  <c r="L19" i="52"/>
  <c r="G72" i="50" l="1"/>
  <c r="G74" i="50"/>
  <c r="G71" i="50"/>
  <c r="E81" i="50"/>
  <c r="E75" i="50"/>
  <c r="G77" i="50"/>
  <c r="G80" i="50"/>
  <c r="H80" i="50"/>
  <c r="H78" i="50"/>
  <c r="G78" i="50"/>
  <c r="H77" i="50"/>
  <c r="H75" i="50"/>
  <c r="G75" i="50"/>
  <c r="H79" i="50"/>
  <c r="G79" i="50"/>
  <c r="D82" i="50"/>
  <c r="I82" i="50"/>
  <c r="P82" i="50"/>
  <c r="AJ82" i="50"/>
  <c r="W82" i="50"/>
  <c r="AD82" i="50"/>
  <c r="H36" i="55"/>
  <c r="D28" i="55"/>
  <c r="D24" i="55"/>
  <c r="D20" i="55"/>
  <c r="E16" i="55"/>
  <c r="E17" i="55" s="1"/>
  <c r="D16" i="55"/>
  <c r="E12" i="55"/>
  <c r="E24" i="55" s="1"/>
  <c r="E25" i="55" s="1"/>
  <c r="G7" i="55"/>
  <c r="G11" i="55" s="1"/>
  <c r="G16" i="55" s="1"/>
  <c r="J16" i="55" s="1"/>
  <c r="F7" i="55"/>
  <c r="F11" i="55" s="1"/>
  <c r="AD62" i="50"/>
  <c r="AD63" i="50"/>
  <c r="AD64" i="50"/>
  <c r="AD61" i="50"/>
  <c r="I64" i="50"/>
  <c r="I61" i="50"/>
  <c r="I41" i="50"/>
  <c r="V82" i="50" l="1"/>
  <c r="AI82" i="50"/>
  <c r="M82" i="50"/>
  <c r="K82" i="50" s="1"/>
  <c r="AC82" i="50"/>
  <c r="E28" i="55"/>
  <c r="E29" i="55" s="1"/>
  <c r="G17" i="55"/>
  <c r="J17" i="55" s="1"/>
  <c r="G12" i="55"/>
  <c r="F16" i="55"/>
  <c r="F17" i="55" s="1"/>
  <c r="F12" i="55"/>
  <c r="F24" i="55" s="1"/>
  <c r="F25" i="55" s="1"/>
  <c r="E20" i="55"/>
  <c r="E21" i="55" s="1"/>
  <c r="AD38" i="50"/>
  <c r="I38" i="50"/>
  <c r="AD41" i="50"/>
  <c r="AD40" i="50"/>
  <c r="AD39" i="50"/>
  <c r="W64" i="50"/>
  <c r="W41" i="50" s="1"/>
  <c r="W63" i="50"/>
  <c r="W40" i="50" s="1"/>
  <c r="W62" i="50"/>
  <c r="W39" i="50" s="1"/>
  <c r="W61" i="50"/>
  <c r="W38" i="50" s="1"/>
  <c r="P64" i="50"/>
  <c r="P41" i="50" s="1"/>
  <c r="P63" i="50"/>
  <c r="P40" i="50" s="1"/>
  <c r="P62" i="50"/>
  <c r="P39" i="50" s="1"/>
  <c r="P61" i="50"/>
  <c r="P38" i="50" s="1"/>
  <c r="I62" i="50"/>
  <c r="I39" i="50" s="1"/>
  <c r="I63" i="50"/>
  <c r="I40" i="50" s="1"/>
  <c r="H82" i="50" l="1"/>
  <c r="O82" i="50"/>
  <c r="N82" i="50"/>
  <c r="AB82" i="50"/>
  <c r="U82" i="50"/>
  <c r="G24" i="55"/>
  <c r="G20" i="55"/>
  <c r="J20" i="55" s="1"/>
  <c r="G28" i="55"/>
  <c r="J28" i="55" s="1"/>
  <c r="F20" i="55"/>
  <c r="F21" i="55" s="1"/>
  <c r="F28" i="55"/>
  <c r="F29" i="55" s="1"/>
  <c r="G29" i="55"/>
  <c r="J29" i="55" s="1"/>
  <c r="G21" i="55"/>
  <c r="J21" i="55" s="1"/>
  <c r="L10" i="53"/>
  <c r="L6" i="53"/>
  <c r="G82" i="50" l="1"/>
  <c r="G25" i="55"/>
  <c r="J25" i="55" s="1"/>
  <c r="J24" i="55"/>
  <c r="D37" i="50"/>
  <c r="AF37" i="50"/>
  <c r="Y37" i="50"/>
  <c r="X37" i="50"/>
  <c r="R37" i="50"/>
  <c r="V37" i="50"/>
  <c r="U37" i="50" s="1"/>
  <c r="Q37" i="50"/>
  <c r="K37" i="50"/>
  <c r="J37" i="50"/>
  <c r="H36" i="52" l="1"/>
  <c r="M5" i="54"/>
  <c r="D9" i="53" l="1"/>
  <c r="E9" i="53"/>
  <c r="F9" i="53"/>
  <c r="G9" i="53"/>
  <c r="H9" i="53"/>
  <c r="I9" i="53"/>
  <c r="I13" i="53" s="1"/>
  <c r="J9" i="53"/>
  <c r="J13" i="53" s="1"/>
  <c r="K9" i="53"/>
  <c r="K13" i="53" s="1"/>
  <c r="C9" i="53"/>
  <c r="K25" i="54" l="1"/>
  <c r="G10" i="53" s="1"/>
  <c r="E26" i="53" s="1"/>
  <c r="F25" i="54"/>
  <c r="D10" i="53" s="1"/>
  <c r="D26" i="53" s="1"/>
  <c r="AI28" i="50" l="1"/>
  <c r="AI32" i="50"/>
  <c r="AI24" i="50"/>
  <c r="AI25" i="50"/>
  <c r="AI26" i="50"/>
  <c r="AI27" i="50"/>
  <c r="AI29" i="50"/>
  <c r="AI30" i="50"/>
  <c r="AI31" i="50"/>
  <c r="AE24" i="50"/>
  <c r="AF24" i="50"/>
  <c r="AE25" i="50"/>
  <c r="AF25" i="50"/>
  <c r="AG25" i="50" s="1"/>
  <c r="AE26" i="50"/>
  <c r="AF26" i="50"/>
  <c r="AE27" i="50"/>
  <c r="AF27" i="50"/>
  <c r="AE28" i="50"/>
  <c r="AF28" i="50"/>
  <c r="AE29" i="50"/>
  <c r="AF29" i="50"/>
  <c r="AE30" i="50"/>
  <c r="AF30" i="50"/>
  <c r="AG30" i="50"/>
  <c r="AE31" i="50"/>
  <c r="AF31" i="50"/>
  <c r="AE32" i="50"/>
  <c r="AB25" i="50"/>
  <c r="AB26" i="50"/>
  <c r="AB27" i="50"/>
  <c r="AB28" i="50"/>
  <c r="AB29" i="50"/>
  <c r="AB30" i="50"/>
  <c r="AB31" i="50"/>
  <c r="AB32" i="50"/>
  <c r="Y25" i="50"/>
  <c r="Y26" i="50"/>
  <c r="Y27" i="50"/>
  <c r="Y28" i="50"/>
  <c r="Y29" i="50"/>
  <c r="Y30" i="50"/>
  <c r="Y31" i="50"/>
  <c r="Y32" i="50"/>
  <c r="X23" i="50"/>
  <c r="X24" i="50"/>
  <c r="X25" i="50"/>
  <c r="X26" i="50"/>
  <c r="X27" i="50"/>
  <c r="X28" i="50"/>
  <c r="X29" i="50"/>
  <c r="X30" i="50"/>
  <c r="X31" i="50"/>
  <c r="X32" i="50"/>
  <c r="U26" i="50"/>
  <c r="U27" i="50"/>
  <c r="U28" i="50"/>
  <c r="U29" i="50"/>
  <c r="U30" i="50"/>
  <c r="U31" i="50"/>
  <c r="U32" i="50"/>
  <c r="R26" i="50"/>
  <c r="R27" i="50"/>
  <c r="R28" i="50"/>
  <c r="R29" i="50"/>
  <c r="R30" i="50"/>
  <c r="R31" i="50"/>
  <c r="R32" i="50"/>
  <c r="Q25" i="50"/>
  <c r="Q26" i="50"/>
  <c r="Q27" i="50"/>
  <c r="Q28" i="50"/>
  <c r="Q29" i="50"/>
  <c r="Q30" i="50"/>
  <c r="Q31" i="50"/>
  <c r="Q32" i="50"/>
  <c r="M33" i="50"/>
  <c r="J24" i="50"/>
  <c r="J25" i="50"/>
  <c r="J26" i="50"/>
  <c r="J27" i="50"/>
  <c r="J28" i="50"/>
  <c r="J29" i="50"/>
  <c r="J30" i="50"/>
  <c r="J31" i="50"/>
  <c r="J32" i="50"/>
  <c r="I33" i="50"/>
  <c r="G17" i="54"/>
  <c r="E22" i="53" s="1"/>
  <c r="AG28" i="50" l="1"/>
  <c r="Z37" i="50"/>
  <c r="Z30" i="50"/>
  <c r="Z29" i="50"/>
  <c r="AG31" i="50"/>
  <c r="Z31" i="50"/>
  <c r="Z26" i="50"/>
  <c r="S37" i="50"/>
  <c r="AF32" i="50"/>
  <c r="AG29" i="50"/>
  <c r="AG27" i="50"/>
  <c r="AG26" i="50"/>
  <c r="Z28" i="50"/>
  <c r="Z32" i="50"/>
  <c r="Z27" i="50"/>
  <c r="S32" i="50"/>
  <c r="S31" i="50"/>
  <c r="S30" i="50"/>
  <c r="S29" i="50"/>
  <c r="S28" i="50"/>
  <c r="S27" i="50"/>
  <c r="AG32" i="50" l="1"/>
  <c r="AG37" i="50"/>
  <c r="J9" i="54"/>
  <c r="H9" i="54"/>
  <c r="J8" i="54"/>
  <c r="H8" i="54"/>
  <c r="J7" i="54"/>
  <c r="H7" i="54"/>
  <c r="J6" i="54"/>
  <c r="H6" i="54"/>
  <c r="J5" i="54"/>
  <c r="H5" i="54"/>
  <c r="H22" i="54" s="1"/>
  <c r="E6" i="54"/>
  <c r="E7" i="54"/>
  <c r="E8" i="54"/>
  <c r="E9" i="54"/>
  <c r="E10" i="54"/>
  <c r="E11" i="54"/>
  <c r="E12" i="54"/>
  <c r="E13" i="54"/>
  <c r="E14" i="54"/>
  <c r="E15" i="54"/>
  <c r="E16" i="54"/>
  <c r="E5" i="54"/>
  <c r="C16" i="54"/>
  <c r="C15" i="54"/>
  <c r="C14" i="54"/>
  <c r="C13" i="54"/>
  <c r="C12" i="54"/>
  <c r="C11" i="54"/>
  <c r="C10" i="54"/>
  <c r="C23" i="54" s="1"/>
  <c r="C9" i="54"/>
  <c r="C8" i="54"/>
  <c r="C7" i="54"/>
  <c r="C6" i="54"/>
  <c r="F17" i="54"/>
  <c r="D17" i="54"/>
  <c r="C5" i="54"/>
  <c r="B17" i="54"/>
  <c r="D22" i="53" s="1"/>
  <c r="E25" i="54" l="1"/>
  <c r="C17" i="54"/>
  <c r="C22" i="54"/>
  <c r="C24" i="54" s="1"/>
  <c r="E17" i="54"/>
  <c r="D23" i="53" l="1"/>
  <c r="D11" i="53"/>
  <c r="D25" i="53" s="1"/>
  <c r="D24" i="53" s="1"/>
  <c r="E26" i="54"/>
  <c r="L6" i="54"/>
  <c r="L7" i="54" s="1"/>
  <c r="L8" i="54" s="1"/>
  <c r="L9" i="54" s="1"/>
  <c r="L10" i="54" s="1"/>
  <c r="L11" i="54" s="1"/>
  <c r="L12" i="54" s="1"/>
  <c r="L13" i="54" s="1"/>
  <c r="L14" i="54" s="1"/>
  <c r="L15" i="54" s="1"/>
  <c r="L16" i="54" s="1"/>
  <c r="L17" i="54" l="1"/>
  <c r="F22" i="53"/>
  <c r="D12" i="53"/>
  <c r="Q39" i="50"/>
  <c r="Q38" i="50"/>
  <c r="AE38" i="50"/>
  <c r="AE40" i="50"/>
  <c r="D28" i="52"/>
  <c r="D24" i="52"/>
  <c r="D20" i="52"/>
  <c r="E16" i="52"/>
  <c r="E17" i="52" s="1"/>
  <c r="D16" i="52"/>
  <c r="E12" i="52"/>
  <c r="G7" i="52"/>
  <c r="G11" i="52" s="1"/>
  <c r="F7" i="52"/>
  <c r="F11" i="52" s="1"/>
  <c r="E28" i="52" l="1"/>
  <c r="E29" i="52" s="1"/>
  <c r="C18" i="54"/>
  <c r="C19" i="54" s="1"/>
  <c r="Q40" i="50"/>
  <c r="AE39" i="50"/>
  <c r="AE41" i="50"/>
  <c r="J41" i="50"/>
  <c r="Q41" i="50"/>
  <c r="X38" i="50"/>
  <c r="X39" i="50"/>
  <c r="J38" i="50"/>
  <c r="X40" i="50"/>
  <c r="J39" i="50"/>
  <c r="J40" i="50"/>
  <c r="X41" i="50"/>
  <c r="D40" i="50"/>
  <c r="D39" i="50"/>
  <c r="D38" i="50"/>
  <c r="D41" i="50"/>
  <c r="F16" i="52"/>
  <c r="F17" i="52" s="1"/>
  <c r="F12" i="52"/>
  <c r="F24" i="52" s="1"/>
  <c r="F25" i="52" s="1"/>
  <c r="G12" i="52"/>
  <c r="G24" i="52" s="1"/>
  <c r="G25" i="52" s="1"/>
  <c r="G16" i="52"/>
  <c r="G17" i="52" s="1"/>
  <c r="E20" i="52"/>
  <c r="E21" i="52" s="1"/>
  <c r="E24" i="52"/>
  <c r="E25" i="52" s="1"/>
  <c r="G20" i="52" l="1"/>
  <c r="H18" i="54"/>
  <c r="M18" i="54"/>
  <c r="G28" i="52"/>
  <c r="G29" i="52" s="1"/>
  <c r="G21" i="52"/>
  <c r="F28" i="52"/>
  <c r="F29" i="52" s="1"/>
  <c r="F20" i="52"/>
  <c r="F21" i="52" s="1"/>
  <c r="Q24" i="50" l="1"/>
  <c r="Q23" i="50"/>
  <c r="Q22" i="50"/>
  <c r="Q21" i="50"/>
  <c r="J23" i="50"/>
  <c r="J22" i="50"/>
  <c r="J21" i="50"/>
  <c r="Q16" i="50"/>
  <c r="Q15" i="50"/>
  <c r="Q14" i="50"/>
  <c r="Q13" i="50"/>
  <c r="Q12" i="50"/>
  <c r="Q11" i="50"/>
  <c r="Q10" i="50"/>
  <c r="Q9" i="50"/>
  <c r="Q8" i="50"/>
  <c r="Q7" i="50"/>
  <c r="Q6" i="50"/>
  <c r="J16" i="50"/>
  <c r="J15" i="50"/>
  <c r="J14" i="50"/>
  <c r="J13" i="50"/>
  <c r="J12" i="50"/>
  <c r="J11" i="50"/>
  <c r="J10" i="50"/>
  <c r="J9" i="50"/>
  <c r="J8" i="50"/>
  <c r="J7" i="50"/>
  <c r="J6" i="50"/>
  <c r="X22" i="50"/>
  <c r="X21" i="50"/>
  <c r="X16" i="50"/>
  <c r="X15" i="50"/>
  <c r="X14" i="50"/>
  <c r="X13" i="50"/>
  <c r="X12" i="50"/>
  <c r="X11" i="50"/>
  <c r="X10" i="50"/>
  <c r="X9" i="50"/>
  <c r="X8" i="50"/>
  <c r="X7" i="50"/>
  <c r="X6" i="50"/>
  <c r="AE23" i="50"/>
  <c r="AE22" i="50"/>
  <c r="AE21" i="50"/>
  <c r="AE7" i="50"/>
  <c r="AE8" i="50"/>
  <c r="AE9" i="50"/>
  <c r="AE10" i="50"/>
  <c r="AE11" i="50"/>
  <c r="AE12" i="50"/>
  <c r="AE13" i="50"/>
  <c r="AE14" i="50"/>
  <c r="AE15" i="50"/>
  <c r="AE16" i="50"/>
  <c r="AE6" i="50"/>
  <c r="AF23" i="50"/>
  <c r="AF22" i="50"/>
  <c r="AF21" i="50"/>
  <c r="Y24" i="50"/>
  <c r="Y23" i="50"/>
  <c r="Y22" i="50"/>
  <c r="Y21" i="50"/>
  <c r="R25" i="50"/>
  <c r="R24" i="50"/>
  <c r="R23" i="50"/>
  <c r="R22" i="50"/>
  <c r="R21" i="50"/>
  <c r="K25" i="50"/>
  <c r="K24" i="50"/>
  <c r="K23" i="50"/>
  <c r="K22" i="50"/>
  <c r="K21" i="50"/>
  <c r="AF16" i="50"/>
  <c r="AF15" i="50"/>
  <c r="AF14" i="50"/>
  <c r="AF13" i="50"/>
  <c r="AF12" i="50"/>
  <c r="AF11" i="50"/>
  <c r="AF10" i="50"/>
  <c r="AF9" i="50"/>
  <c r="AF8" i="50"/>
  <c r="AF7" i="50"/>
  <c r="AF6" i="50"/>
  <c r="AF5" i="50"/>
  <c r="Y16" i="50"/>
  <c r="Y15" i="50"/>
  <c r="Y14" i="50"/>
  <c r="Y13" i="50"/>
  <c r="Y12" i="50"/>
  <c r="Y11" i="50"/>
  <c r="Y10" i="50"/>
  <c r="Y9" i="50"/>
  <c r="Y8" i="50"/>
  <c r="Y7" i="50"/>
  <c r="Y6" i="50"/>
  <c r="Y5" i="50"/>
  <c r="R16" i="50"/>
  <c r="R15" i="50"/>
  <c r="R14" i="50"/>
  <c r="R13" i="50"/>
  <c r="R12" i="50"/>
  <c r="R11" i="50"/>
  <c r="R10" i="50"/>
  <c r="R9" i="50"/>
  <c r="R8" i="50"/>
  <c r="R7" i="50"/>
  <c r="R6" i="50"/>
  <c r="R5" i="50"/>
  <c r="K16" i="50"/>
  <c r="K15" i="50"/>
  <c r="K14" i="50"/>
  <c r="K13" i="50"/>
  <c r="K12" i="50"/>
  <c r="K11" i="50"/>
  <c r="K10" i="50"/>
  <c r="K9" i="50"/>
  <c r="K8" i="50"/>
  <c r="K7" i="50"/>
  <c r="K6" i="50"/>
  <c r="K5" i="50"/>
  <c r="H24" i="50"/>
  <c r="F22" i="50"/>
  <c r="U25" i="50"/>
  <c r="F24" i="50"/>
  <c r="U23" i="50"/>
  <c r="F21" i="50"/>
  <c r="H21" i="50"/>
  <c r="H23" i="50"/>
  <c r="H25" i="50"/>
  <c r="N25" i="50"/>
  <c r="N24" i="50"/>
  <c r="AI23" i="50"/>
  <c r="AB23" i="50"/>
  <c r="N23" i="50"/>
  <c r="AB22" i="50"/>
  <c r="U22" i="50"/>
  <c r="N22" i="50"/>
  <c r="AI21" i="50"/>
  <c r="AB21" i="50"/>
  <c r="U21" i="50"/>
  <c r="N21" i="50"/>
  <c r="D6" i="50"/>
  <c r="F6" i="50"/>
  <c r="E6" i="50" s="1"/>
  <c r="H6" i="50"/>
  <c r="D7" i="50"/>
  <c r="F7" i="50"/>
  <c r="H7" i="50"/>
  <c r="D8" i="50"/>
  <c r="F8" i="50"/>
  <c r="H8" i="50"/>
  <c r="D9" i="50"/>
  <c r="F9" i="50"/>
  <c r="H9" i="50"/>
  <c r="D10" i="50"/>
  <c r="F10" i="50"/>
  <c r="H10" i="50"/>
  <c r="D11" i="50"/>
  <c r="F11" i="50"/>
  <c r="H11" i="50"/>
  <c r="D12" i="50"/>
  <c r="F12" i="50"/>
  <c r="H12" i="50"/>
  <c r="D13" i="50"/>
  <c r="F13" i="50"/>
  <c r="H13" i="50"/>
  <c r="D14" i="50"/>
  <c r="F14" i="50"/>
  <c r="H14" i="50"/>
  <c r="D15" i="50"/>
  <c r="F15" i="50"/>
  <c r="E15" i="50" s="1"/>
  <c r="H15" i="50"/>
  <c r="D16" i="50"/>
  <c r="F16" i="50"/>
  <c r="E16" i="50" s="1"/>
  <c r="H16" i="50"/>
  <c r="F5" i="50"/>
  <c r="H5" i="50"/>
  <c r="AD17" i="50"/>
  <c r="W17" i="50"/>
  <c r="P17" i="50"/>
  <c r="I17" i="50"/>
  <c r="D5" i="50"/>
  <c r="AI15" i="50"/>
  <c r="AI13" i="50"/>
  <c r="AI12" i="50"/>
  <c r="AI11" i="50"/>
  <c r="AI10" i="50"/>
  <c r="AI9" i="50"/>
  <c r="AI8" i="50"/>
  <c r="AI7" i="50"/>
  <c r="AB16" i="50"/>
  <c r="AB15" i="50"/>
  <c r="AB14" i="50"/>
  <c r="AB10" i="50"/>
  <c r="AB9" i="50"/>
  <c r="AB8" i="50"/>
  <c r="AB7" i="50"/>
  <c r="AB6" i="50"/>
  <c r="AB13" i="50"/>
  <c r="U16" i="50"/>
  <c r="U14" i="50"/>
  <c r="U13" i="50"/>
  <c r="U11" i="50"/>
  <c r="U10" i="50"/>
  <c r="V17" i="50"/>
  <c r="U8" i="50"/>
  <c r="U15" i="50"/>
  <c r="U12" i="50"/>
  <c r="U9" i="50"/>
  <c r="N6" i="50"/>
  <c r="N7" i="50"/>
  <c r="N8" i="50"/>
  <c r="N9" i="50"/>
  <c r="N10" i="50"/>
  <c r="N11" i="50"/>
  <c r="N12" i="50"/>
  <c r="N13" i="50"/>
  <c r="N14" i="50"/>
  <c r="N15" i="50"/>
  <c r="N16" i="50"/>
  <c r="N5" i="50"/>
  <c r="O17" i="50"/>
  <c r="M17" i="50"/>
  <c r="E12" i="50" l="1"/>
  <c r="AG24" i="50"/>
  <c r="E10" i="53"/>
  <c r="E8" i="50"/>
  <c r="S13" i="50"/>
  <c r="L15" i="50"/>
  <c r="D33" i="53"/>
  <c r="D35" i="53" s="1"/>
  <c r="C10" i="53"/>
  <c r="S6" i="50"/>
  <c r="S11" i="50"/>
  <c r="S12" i="50"/>
  <c r="S26" i="50"/>
  <c r="Z23" i="50"/>
  <c r="Z24" i="50"/>
  <c r="Z25" i="50"/>
  <c r="L11" i="50"/>
  <c r="L6" i="50"/>
  <c r="L12" i="50"/>
  <c r="L22" i="50"/>
  <c r="S7" i="50"/>
  <c r="L9" i="50"/>
  <c r="S22" i="50"/>
  <c r="S8" i="50"/>
  <c r="S23" i="50"/>
  <c r="S14" i="50"/>
  <c r="S15" i="50"/>
  <c r="L14" i="50"/>
  <c r="S21" i="50"/>
  <c r="K17" i="50"/>
  <c r="S9" i="50"/>
  <c r="S24" i="50"/>
  <c r="S16" i="50"/>
  <c r="L10" i="50"/>
  <c r="D26" i="50"/>
  <c r="S10" i="50"/>
  <c r="S25" i="50"/>
  <c r="L7" i="50"/>
  <c r="L8" i="50"/>
  <c r="L23" i="50"/>
  <c r="L16" i="50"/>
  <c r="L13" i="50"/>
  <c r="L24" i="50"/>
  <c r="E11" i="50"/>
  <c r="L25" i="50"/>
  <c r="AE42" i="50"/>
  <c r="L21" i="50"/>
  <c r="X42" i="50"/>
  <c r="Z15" i="50"/>
  <c r="D27" i="50"/>
  <c r="E9" i="50"/>
  <c r="E14" i="50"/>
  <c r="Z14" i="50"/>
  <c r="Z16" i="50"/>
  <c r="AG10" i="50"/>
  <c r="E10" i="50"/>
  <c r="AG7" i="50"/>
  <c r="AG8" i="50"/>
  <c r="Z6" i="50"/>
  <c r="Z7" i="50"/>
  <c r="Z8" i="50"/>
  <c r="Z12" i="50"/>
  <c r="Z13" i="50"/>
  <c r="Z21" i="50"/>
  <c r="AG9" i="50"/>
  <c r="AG14" i="50"/>
  <c r="Z9" i="50"/>
  <c r="Z10" i="50"/>
  <c r="Z11" i="50"/>
  <c r="Z22" i="50"/>
  <c r="AG15" i="50"/>
  <c r="AG16" i="50"/>
  <c r="AG11" i="50"/>
  <c r="AG23" i="50"/>
  <c r="AG12" i="50"/>
  <c r="AG21" i="50"/>
  <c r="AG22" i="50"/>
  <c r="AG13" i="50"/>
  <c r="AG6" i="50"/>
  <c r="E5" i="50"/>
  <c r="E7" i="50"/>
  <c r="E13" i="50"/>
  <c r="G10" i="50"/>
  <c r="H22" i="50"/>
  <c r="AI22" i="50"/>
  <c r="G22" i="50" s="1"/>
  <c r="AB24" i="50"/>
  <c r="F23" i="50"/>
  <c r="U24" i="50"/>
  <c r="F25" i="50"/>
  <c r="G15" i="50"/>
  <c r="G25" i="50"/>
  <c r="G23" i="50"/>
  <c r="G21" i="50"/>
  <c r="G8" i="50"/>
  <c r="G13" i="50"/>
  <c r="G9" i="50"/>
  <c r="H17" i="50"/>
  <c r="F17" i="50"/>
  <c r="D17" i="50"/>
  <c r="D29" i="53" s="1"/>
  <c r="AI16" i="50"/>
  <c r="G16" i="50" s="1"/>
  <c r="AI14" i="50"/>
  <c r="G14" i="50" s="1"/>
  <c r="AJ17" i="50"/>
  <c r="AI6" i="50"/>
  <c r="AI5" i="50"/>
  <c r="AH17" i="50"/>
  <c r="AF17" i="50" s="1"/>
  <c r="AC17" i="50"/>
  <c r="AB12" i="50"/>
  <c r="G12" i="50" s="1"/>
  <c r="AB11" i="50"/>
  <c r="G11" i="50" s="1"/>
  <c r="AB5" i="50"/>
  <c r="AA17" i="50"/>
  <c r="Y17" i="50" s="1"/>
  <c r="U7" i="50"/>
  <c r="G7" i="50" s="1"/>
  <c r="U6" i="50"/>
  <c r="U5" i="50"/>
  <c r="T17" i="50"/>
  <c r="R17" i="50" s="1"/>
  <c r="N17" i="50"/>
  <c r="E19" i="52" l="1"/>
  <c r="E19" i="55"/>
  <c r="E27" i="52"/>
  <c r="E27" i="55"/>
  <c r="E31" i="52"/>
  <c r="E31" i="55"/>
  <c r="E23" i="52"/>
  <c r="E23" i="55"/>
  <c r="D36" i="53"/>
  <c r="AI33" i="50"/>
  <c r="E30" i="52"/>
  <c r="K31" i="52"/>
  <c r="E18" i="52"/>
  <c r="K19" i="52"/>
  <c r="E22" i="52"/>
  <c r="K23" i="52"/>
  <c r="E26" i="52"/>
  <c r="K27" i="52"/>
  <c r="J42" i="50"/>
  <c r="D42" i="50"/>
  <c r="Q42" i="50"/>
  <c r="X43" i="50"/>
  <c r="G24" i="50"/>
  <c r="E17" i="50"/>
  <c r="D30" i="53" s="1"/>
  <c r="G6" i="50"/>
  <c r="G5" i="50"/>
  <c r="AI17" i="50"/>
  <c r="AB17" i="50"/>
  <c r="U17" i="50"/>
  <c r="D25" i="50"/>
  <c r="E25" i="50" s="1"/>
  <c r="D24" i="50"/>
  <c r="E24" i="50" s="1"/>
  <c r="D23" i="50"/>
  <c r="E23" i="50" s="1"/>
  <c r="D22" i="50"/>
  <c r="E22" i="50" s="1"/>
  <c r="E30" i="55" l="1"/>
  <c r="E22" i="55"/>
  <c r="E26" i="55"/>
  <c r="E18" i="55"/>
  <c r="G17" i="50"/>
  <c r="E11" i="53"/>
  <c r="E34" i="52"/>
  <c r="K26" i="52"/>
  <c r="E33" i="52"/>
  <c r="K22" i="52"/>
  <c r="E32" i="52"/>
  <c r="K18" i="52"/>
  <c r="E35" i="52"/>
  <c r="K30" i="52"/>
  <c r="Q43" i="50"/>
  <c r="AE43" i="50"/>
  <c r="J43" i="50"/>
  <c r="D43" i="50"/>
  <c r="D28" i="50"/>
  <c r="D21" i="50"/>
  <c r="E32" i="55" l="1"/>
  <c r="E34" i="55"/>
  <c r="E35" i="55"/>
  <c r="E33" i="55"/>
  <c r="E36" i="55" s="1"/>
  <c r="D32" i="53"/>
  <c r="D31" i="53" s="1"/>
  <c r="C11" i="53"/>
  <c r="E12" i="53"/>
  <c r="C12" i="53" s="1"/>
  <c r="E36" i="52"/>
  <c r="X45" i="50"/>
  <c r="Q44" i="50"/>
  <c r="X44" i="50"/>
  <c r="J44" i="50"/>
  <c r="D44" i="50"/>
  <c r="AE44" i="50"/>
  <c r="D29" i="50"/>
  <c r="D30" i="50"/>
  <c r="E21" i="50"/>
  <c r="J45" i="50" l="1"/>
  <c r="X46" i="50"/>
  <c r="AE45" i="50"/>
  <c r="D45" i="50"/>
  <c r="Q45" i="50"/>
  <c r="AD33" i="50"/>
  <c r="AE47" i="50" l="1"/>
  <c r="Q46" i="50"/>
  <c r="X47" i="50"/>
  <c r="AH33" i="50"/>
  <c r="AE46" i="50"/>
  <c r="AD49" i="50"/>
  <c r="J46" i="50"/>
  <c r="D46" i="50"/>
  <c r="D31" i="50"/>
  <c r="AF33" i="50" l="1"/>
  <c r="D47" i="50"/>
  <c r="J47" i="50"/>
  <c r="AJ33" i="50"/>
  <c r="D32" i="50"/>
  <c r="D33" i="50" s="1"/>
  <c r="E29" i="53" s="1"/>
  <c r="Q47" i="50"/>
  <c r="P33" i="50"/>
  <c r="AE48" i="50"/>
  <c r="W33" i="50"/>
  <c r="F31" i="52" l="1"/>
  <c r="F31" i="55"/>
  <c r="F30" i="52"/>
  <c r="M31" i="52"/>
  <c r="L31" i="52" s="1"/>
  <c r="F35" i="52"/>
  <c r="V33" i="50"/>
  <c r="X48" i="50"/>
  <c r="W49" i="50"/>
  <c r="T33" i="50"/>
  <c r="Q48" i="50"/>
  <c r="P49" i="50"/>
  <c r="D48" i="50"/>
  <c r="D49" i="50" s="1"/>
  <c r="J48" i="50"/>
  <c r="I49" i="50"/>
  <c r="AA33" i="50"/>
  <c r="Y33" i="50" s="1"/>
  <c r="F27" i="52" l="1"/>
  <c r="F27" i="55"/>
  <c r="F30" i="55"/>
  <c r="F29" i="53"/>
  <c r="F26" i="52"/>
  <c r="M26" i="52" s="1"/>
  <c r="L26" i="52" s="1"/>
  <c r="M27" i="52"/>
  <c r="L27" i="52" s="1"/>
  <c r="H30" i="52"/>
  <c r="M30" i="52"/>
  <c r="L30" i="52" s="1"/>
  <c r="R33" i="50"/>
  <c r="U33" i="50"/>
  <c r="H26" i="52"/>
  <c r="G30" i="52" s="1"/>
  <c r="O30" i="52" s="1"/>
  <c r="N30" i="52" s="1"/>
  <c r="AC33" i="50"/>
  <c r="F23" i="52" l="1"/>
  <c r="F23" i="55"/>
  <c r="H30" i="55"/>
  <c r="F35" i="55"/>
  <c r="F26" i="55"/>
  <c r="F34" i="52"/>
  <c r="M23" i="52"/>
  <c r="L23" i="52" s="1"/>
  <c r="F22" i="52"/>
  <c r="G26" i="52"/>
  <c r="AB33" i="50"/>
  <c r="G31" i="52"/>
  <c r="O31" i="52" s="1"/>
  <c r="N31" i="52" s="1"/>
  <c r="H26" i="55" l="1"/>
  <c r="G30" i="55" s="1"/>
  <c r="G26" i="55"/>
  <c r="F34" i="55"/>
  <c r="F22" i="55"/>
  <c r="G27" i="52"/>
  <c r="O27" i="52" s="1"/>
  <c r="N27" i="52" s="1"/>
  <c r="O26" i="52"/>
  <c r="N26" i="52" s="1"/>
  <c r="M22" i="52"/>
  <c r="L22" i="52" s="1"/>
  <c r="H22" i="52"/>
  <c r="G22" i="52" s="1"/>
  <c r="F33" i="52"/>
  <c r="G35" i="52"/>
  <c r="H22" i="55" l="1"/>
  <c r="F33" i="55"/>
  <c r="G22" i="55"/>
  <c r="G27" i="55"/>
  <c r="G34" i="55"/>
  <c r="G31" i="55"/>
  <c r="G35" i="55"/>
  <c r="G34" i="52"/>
  <c r="O22" i="52"/>
  <c r="N22" i="52" s="1"/>
  <c r="G23" i="52"/>
  <c r="J31" i="55" l="1"/>
  <c r="AF54" i="50" s="1"/>
  <c r="AF41" i="50" s="1"/>
  <c r="J27" i="55"/>
  <c r="Y54" i="50" s="1"/>
  <c r="G23" i="55"/>
  <c r="G33" i="55"/>
  <c r="O23" i="52"/>
  <c r="N23" i="52" s="1"/>
  <c r="G33" i="52"/>
  <c r="AG48" i="50"/>
  <c r="AH48" i="50"/>
  <c r="AJ48" i="50" s="1"/>
  <c r="AI48" i="50" s="1"/>
  <c r="AG46" i="50"/>
  <c r="AH46" i="50"/>
  <c r="AJ46" i="50" s="1"/>
  <c r="AI46" i="50" s="1"/>
  <c r="AA43" i="50"/>
  <c r="Z43" i="50"/>
  <c r="AA42" i="50"/>
  <c r="AA44" i="50"/>
  <c r="Z44" i="50"/>
  <c r="AH44" i="50"/>
  <c r="AJ44" i="50" s="1"/>
  <c r="AI44" i="50" s="1"/>
  <c r="AG44" i="50"/>
  <c r="AA48" i="50"/>
  <c r="AC48" i="50" s="1"/>
  <c r="AB48" i="50" s="1"/>
  <c r="Z48" i="50"/>
  <c r="AA46" i="50"/>
  <c r="Z46" i="50"/>
  <c r="AG45" i="50"/>
  <c r="AH45" i="50"/>
  <c r="AA45" i="50"/>
  <c r="Z45" i="50"/>
  <c r="AA47" i="50"/>
  <c r="AC47" i="50" s="1"/>
  <c r="AB47" i="50" s="1"/>
  <c r="Z47" i="50"/>
  <c r="AH42" i="50"/>
  <c r="AH43" i="50"/>
  <c r="AG43" i="50"/>
  <c r="AG47" i="50"/>
  <c r="AH47" i="50"/>
  <c r="AF39" i="50" l="1"/>
  <c r="AF40" i="50"/>
  <c r="AF38" i="50"/>
  <c r="Y39" i="50"/>
  <c r="Y40" i="50"/>
  <c r="Y41" i="50"/>
  <c r="Y38" i="50"/>
  <c r="J23" i="55"/>
  <c r="R54" i="50" s="1"/>
  <c r="AC37" i="50"/>
  <c r="AB37" i="50" s="1"/>
  <c r="AC44" i="50"/>
  <c r="AB44" i="50" s="1"/>
  <c r="AJ43" i="50"/>
  <c r="AI43" i="50" s="1"/>
  <c r="AC46" i="50"/>
  <c r="AB46" i="50" s="1"/>
  <c r="AC42" i="50"/>
  <c r="AB42" i="50" s="1"/>
  <c r="AJ47" i="50"/>
  <c r="AI47" i="50" s="1"/>
  <c r="AJ42" i="50"/>
  <c r="AI42" i="50" s="1"/>
  <c r="AJ45" i="50"/>
  <c r="AI45" i="50" s="1"/>
  <c r="AC43" i="50"/>
  <c r="AB43" i="50" s="1"/>
  <c r="AC45" i="50"/>
  <c r="AB45" i="50" s="1"/>
  <c r="AJ37" i="50"/>
  <c r="AI37" i="50" s="1"/>
  <c r="R41" i="50" l="1"/>
  <c r="R39" i="50"/>
  <c r="R40" i="50"/>
  <c r="R38" i="50"/>
  <c r="AA40" i="50"/>
  <c r="Z40" i="50"/>
  <c r="Z73" i="50" s="1"/>
  <c r="AG38" i="50"/>
  <c r="AG71" i="50" s="1"/>
  <c r="AH38" i="50"/>
  <c r="AH71" i="50" s="1"/>
  <c r="Z38" i="50"/>
  <c r="Z71" i="50" s="1"/>
  <c r="AA38" i="50"/>
  <c r="AA71" i="50" s="1"/>
  <c r="AA41" i="50"/>
  <c r="Z42" i="50"/>
  <c r="Z75" i="50" s="1"/>
  <c r="Z41" i="50"/>
  <c r="Z74" i="50" s="1"/>
  <c r="Z39" i="50"/>
  <c r="Z72" i="50" s="1"/>
  <c r="AA39" i="50"/>
  <c r="AH41" i="50"/>
  <c r="AG42" i="50"/>
  <c r="AG75" i="50" s="1"/>
  <c r="AG41" i="50"/>
  <c r="AG74" i="50" s="1"/>
  <c r="AH40" i="50"/>
  <c r="AG40" i="50"/>
  <c r="AG73" i="50" s="1"/>
  <c r="AG39" i="50"/>
  <c r="AG72" i="50" s="1"/>
  <c r="AH39" i="50"/>
  <c r="AJ40" i="50" l="1"/>
  <c r="AH73" i="50"/>
  <c r="AF73" i="50" s="1"/>
  <c r="AC39" i="50"/>
  <c r="AB39" i="50" s="1"/>
  <c r="AA72" i="50"/>
  <c r="Y72" i="50" s="1"/>
  <c r="AJ41" i="50"/>
  <c r="AI41" i="50" s="1"/>
  <c r="AH74" i="50"/>
  <c r="AF74" i="50" s="1"/>
  <c r="AC41" i="50"/>
  <c r="AB41" i="50" s="1"/>
  <c r="AA74" i="50"/>
  <c r="Y74" i="50" s="1"/>
  <c r="Y71" i="50"/>
  <c r="AF71" i="50"/>
  <c r="AC40" i="50"/>
  <c r="AB40" i="50" s="1"/>
  <c r="AA73" i="50"/>
  <c r="Y73" i="50" s="1"/>
  <c r="AJ39" i="50"/>
  <c r="AI39" i="50" s="1"/>
  <c r="AH72" i="50"/>
  <c r="AF72" i="50" s="1"/>
  <c r="AC38" i="50"/>
  <c r="AA49" i="50"/>
  <c r="Y49" i="50" s="1"/>
  <c r="AJ38" i="50"/>
  <c r="AH49" i="50"/>
  <c r="AF49" i="50" s="1"/>
  <c r="AI40" i="50"/>
  <c r="AH82" i="50" l="1"/>
  <c r="AF82" i="50" s="1"/>
  <c r="AA82" i="50"/>
  <c r="Y82" i="50" s="1"/>
  <c r="AI38" i="50"/>
  <c r="AI49" i="50" s="1"/>
  <c r="AJ49" i="50"/>
  <c r="AB38" i="50"/>
  <c r="AB49" i="50" s="1"/>
  <c r="AC49" i="50"/>
  <c r="J16" i="54"/>
  <c r="H16" i="54"/>
  <c r="J10" i="54"/>
  <c r="H10" i="54"/>
  <c r="I17" i="54"/>
  <c r="H17" i="54" s="1"/>
  <c r="H19" i="54" s="1"/>
  <c r="H15" i="54"/>
  <c r="J15" i="54"/>
  <c r="H14" i="54"/>
  <c r="J14" i="54"/>
  <c r="H13" i="54"/>
  <c r="J13" i="54"/>
  <c r="H12" i="54"/>
  <c r="J12" i="54"/>
  <c r="H11" i="54"/>
  <c r="H23" i="54" l="1"/>
  <c r="H24" i="54" s="1"/>
  <c r="K17" i="54"/>
  <c r="E23" i="53"/>
  <c r="J11" i="54"/>
  <c r="J25" i="54" s="1"/>
  <c r="G11" i="53" l="1"/>
  <c r="E25" i="53" s="1"/>
  <c r="E24" i="53" s="1"/>
  <c r="J26" i="54"/>
  <c r="M6" i="54"/>
  <c r="J17" i="54"/>
  <c r="G12" i="53" l="1"/>
  <c r="M7" i="54"/>
  <c r="N6" i="54"/>
  <c r="P5" i="54"/>
  <c r="O5" i="54" l="1"/>
  <c r="P6" i="54"/>
  <c r="N7" i="54"/>
  <c r="M8" i="54"/>
  <c r="O6" i="54" l="1"/>
  <c r="P7" i="54"/>
  <c r="M9" i="54"/>
  <c r="N8" i="54"/>
  <c r="P8" i="54" l="1"/>
  <c r="N9" i="54"/>
  <c r="M10" i="54"/>
  <c r="O7" i="54"/>
  <c r="N10" i="54" l="1"/>
  <c r="M11" i="54"/>
  <c r="P9" i="54"/>
  <c r="O9" i="54" s="1"/>
  <c r="O8" i="54"/>
  <c r="N11" i="54" l="1"/>
  <c r="M12" i="54"/>
  <c r="P10" i="54"/>
  <c r="O10" i="54" s="1"/>
  <c r="M13" i="54" l="1"/>
  <c r="N12" i="54"/>
  <c r="P11" i="54"/>
  <c r="O11" i="54" l="1"/>
  <c r="P12" i="54"/>
  <c r="M14" i="54"/>
  <c r="N13" i="54"/>
  <c r="P13" i="54" l="1"/>
  <c r="M15" i="54"/>
  <c r="N14" i="54"/>
  <c r="O12" i="54"/>
  <c r="P14" i="54" l="1"/>
  <c r="N15" i="54"/>
  <c r="M16" i="54"/>
  <c r="N16" i="54" s="1"/>
  <c r="O13" i="54"/>
  <c r="P16" i="54" l="1"/>
  <c r="N17" i="54"/>
  <c r="P15" i="54"/>
  <c r="P25" i="54" s="1"/>
  <c r="J10" i="53" s="1"/>
  <c r="F26" i="53" s="1"/>
  <c r="O14" i="54"/>
  <c r="J14" i="53" l="1"/>
  <c r="M17" i="54"/>
  <c r="M19" i="54" s="1"/>
  <c r="O15" i="54"/>
  <c r="O25" i="54" s="1"/>
  <c r="P17" i="54"/>
  <c r="O16" i="54"/>
  <c r="O26" i="54" l="1"/>
  <c r="J11" i="53"/>
  <c r="F25" i="53" s="1"/>
  <c r="F24" i="53" s="1"/>
  <c r="J12" i="53"/>
  <c r="O17" i="54"/>
  <c r="F23" i="53"/>
  <c r="J15" i="53" l="1"/>
  <c r="J16" i="53" s="1"/>
  <c r="F27" i="50" l="1"/>
  <c r="E27" i="50" s="1"/>
  <c r="F31" i="50"/>
  <c r="E31" i="50" s="1"/>
  <c r="H27" i="50"/>
  <c r="F28" i="50"/>
  <c r="E28" i="50" s="1"/>
  <c r="H28" i="50"/>
  <c r="F32" i="50"/>
  <c r="E32" i="50" s="1"/>
  <c r="N31" i="50"/>
  <c r="G31" i="50" s="1"/>
  <c r="F29" i="50"/>
  <c r="E29" i="50" s="1"/>
  <c r="K28" i="50"/>
  <c r="N28" i="50"/>
  <c r="G28" i="50" s="1"/>
  <c r="H30" i="50"/>
  <c r="N30" i="50"/>
  <c r="G30" i="50" s="1"/>
  <c r="H29" i="50"/>
  <c r="K31" i="50"/>
  <c r="F26" i="50"/>
  <c r="E26" i="50" s="1"/>
  <c r="K29" i="50"/>
  <c r="N29" i="50"/>
  <c r="G29" i="50" s="1"/>
  <c r="H32" i="50"/>
  <c r="N32" i="50"/>
  <c r="G32" i="50" s="1"/>
  <c r="N27" i="50"/>
  <c r="G27" i="50" s="1"/>
  <c r="K32" i="50"/>
  <c r="K27" i="50"/>
  <c r="K30" i="50"/>
  <c r="F30" i="50"/>
  <c r="E30" i="50" s="1"/>
  <c r="H26" i="50"/>
  <c r="K26" i="50"/>
  <c r="K33" i="50"/>
  <c r="F19" i="52" l="1"/>
  <c r="F19" i="55"/>
  <c r="L29" i="50"/>
  <c r="L28" i="50"/>
  <c r="L26" i="50"/>
  <c r="L30" i="50"/>
  <c r="L32" i="50"/>
  <c r="L37" i="50"/>
  <c r="F18" i="52"/>
  <c r="M19" i="52"/>
  <c r="F33" i="50"/>
  <c r="F32" i="52"/>
  <c r="F36" i="52" s="1"/>
  <c r="L27" i="50"/>
  <c r="H31" i="50"/>
  <c r="H10" i="53" s="1"/>
  <c r="N26" i="50"/>
  <c r="O33" i="50"/>
  <c r="L31" i="50"/>
  <c r="F18" i="55" l="1"/>
  <c r="E33" i="53"/>
  <c r="E35" i="53" s="1"/>
  <c r="F10" i="53"/>
  <c r="H18" i="52"/>
  <c r="G18" i="52" s="1"/>
  <c r="M18" i="52"/>
  <c r="L18" i="52" s="1"/>
  <c r="G26" i="50"/>
  <c r="H11" i="53" s="1"/>
  <c r="N33" i="50"/>
  <c r="E33" i="50"/>
  <c r="E30" i="53" s="1"/>
  <c r="H33" i="50"/>
  <c r="F32" i="55" l="1"/>
  <c r="F36" i="55" s="1"/>
  <c r="H18" i="55"/>
  <c r="G18" i="55" s="1"/>
  <c r="E36" i="53"/>
  <c r="E32" i="53"/>
  <c r="F11" i="53"/>
  <c r="H12" i="53"/>
  <c r="O18" i="52"/>
  <c r="N18" i="52" s="1"/>
  <c r="G19" i="52"/>
  <c r="G32" i="52" s="1"/>
  <c r="G36" i="52" s="1"/>
  <c r="G33" i="50"/>
  <c r="G19" i="55" l="1"/>
  <c r="J19" i="55" s="1"/>
  <c r="K54" i="50" s="1"/>
  <c r="K38" i="50" s="1"/>
  <c r="G32" i="55"/>
  <c r="G36" i="55" s="1"/>
  <c r="F34" i="50"/>
  <c r="F12" i="53"/>
  <c r="O19" i="52"/>
  <c r="N19" i="52" s="1"/>
  <c r="E31" i="53"/>
  <c r="F37" i="50" l="1"/>
  <c r="E37" i="50" s="1"/>
  <c r="O37" i="50"/>
  <c r="N37" i="50" s="1"/>
  <c r="K39" i="50" l="1"/>
  <c r="K40" i="50"/>
  <c r="K41" i="50"/>
  <c r="M41" i="50" s="1"/>
  <c r="M38" i="50"/>
  <c r="L38" i="50"/>
  <c r="G37" i="50"/>
  <c r="H37" i="50"/>
  <c r="O38" i="50" l="1"/>
  <c r="N38" i="50" s="1"/>
  <c r="M48" i="50" l="1"/>
  <c r="M43" i="50"/>
  <c r="O43" i="50" s="1"/>
  <c r="O41" i="50"/>
  <c r="M44" i="50"/>
  <c r="M47" i="50"/>
  <c r="M45" i="50"/>
  <c r="O45" i="50" s="1"/>
  <c r="M42" i="50"/>
  <c r="O42" i="50" s="1"/>
  <c r="M46" i="50"/>
  <c r="M40" i="50"/>
  <c r="L44" i="50"/>
  <c r="L45" i="50"/>
  <c r="L43" i="50"/>
  <c r="L46" i="50"/>
  <c r="L42" i="50"/>
  <c r="L47" i="50"/>
  <c r="L48" i="50"/>
  <c r="L40" i="50"/>
  <c r="L39" i="50"/>
  <c r="L41" i="50"/>
  <c r="M39" i="50"/>
  <c r="O48" i="50" l="1"/>
  <c r="O47" i="50"/>
  <c r="N41" i="50"/>
  <c r="N42" i="50"/>
  <c r="M49" i="50"/>
  <c r="K49" i="50" s="1"/>
  <c r="N43" i="50"/>
  <c r="O44" i="50"/>
  <c r="O40" i="50"/>
  <c r="O46" i="50"/>
  <c r="N46" i="50"/>
  <c r="N45" i="50"/>
  <c r="O39" i="50"/>
  <c r="N47" i="50"/>
  <c r="N48" i="50" l="1"/>
  <c r="N40" i="50"/>
  <c r="O49" i="50"/>
  <c r="N44" i="50"/>
  <c r="N39" i="50"/>
  <c r="N49" i="50" l="1"/>
  <c r="T48" i="50" l="1"/>
  <c r="V48" i="50" s="1"/>
  <c r="H48" i="50" s="1"/>
  <c r="T39" i="50"/>
  <c r="T46" i="50"/>
  <c r="F46" i="50" s="1"/>
  <c r="E46" i="50" s="1"/>
  <c r="T44" i="50"/>
  <c r="V44" i="50" s="1"/>
  <c r="H44" i="50" s="1"/>
  <c r="T45" i="50"/>
  <c r="F45" i="50" s="1"/>
  <c r="E45" i="50" s="1"/>
  <c r="T42" i="50"/>
  <c r="V42" i="50" s="1"/>
  <c r="H42" i="50" s="1"/>
  <c r="T43" i="50"/>
  <c r="F43" i="50" s="1"/>
  <c r="E43" i="50" s="1"/>
  <c r="T41" i="50"/>
  <c r="T47" i="50"/>
  <c r="V47" i="50" s="1"/>
  <c r="H47" i="50" s="1"/>
  <c r="T40" i="50"/>
  <c r="S43" i="50"/>
  <c r="S40" i="50"/>
  <c r="S73" i="50" s="1"/>
  <c r="S38" i="50"/>
  <c r="S71" i="50" s="1"/>
  <c r="S47" i="50"/>
  <c r="S45" i="50"/>
  <c r="S46" i="50"/>
  <c r="S42" i="50"/>
  <c r="S75" i="50" s="1"/>
  <c r="S44" i="50"/>
  <c r="S41" i="50"/>
  <c r="S74" i="50" s="1"/>
  <c r="S48" i="50"/>
  <c r="S39" i="50"/>
  <c r="S72" i="50" s="1"/>
  <c r="T38" i="50"/>
  <c r="T71" i="50" s="1"/>
  <c r="F40" i="50" l="1"/>
  <c r="E40" i="50" s="1"/>
  <c r="T73" i="50"/>
  <c r="V39" i="50"/>
  <c r="H39" i="50" s="1"/>
  <c r="T72" i="50"/>
  <c r="V41" i="50"/>
  <c r="U41" i="50" s="1"/>
  <c r="G41" i="50" s="1"/>
  <c r="T74" i="50"/>
  <c r="F71" i="50"/>
  <c r="R71" i="50"/>
  <c r="T82" i="50"/>
  <c r="R82" i="50" s="1"/>
  <c r="F41" i="50"/>
  <c r="E41" i="50" s="1"/>
  <c r="V43" i="50"/>
  <c r="H43" i="50" s="1"/>
  <c r="F44" i="50"/>
  <c r="E44" i="50" s="1"/>
  <c r="V40" i="50"/>
  <c r="H40" i="50" s="1"/>
  <c r="U44" i="50"/>
  <c r="G44" i="50" s="1"/>
  <c r="F48" i="50"/>
  <c r="E48" i="50" s="1"/>
  <c r="U47" i="50"/>
  <c r="G47" i="50" s="1"/>
  <c r="U48" i="50"/>
  <c r="G48" i="50" s="1"/>
  <c r="V46" i="50"/>
  <c r="H46" i="50" s="1"/>
  <c r="F42" i="50"/>
  <c r="E42" i="50" s="1"/>
  <c r="U42" i="50"/>
  <c r="G42" i="50" s="1"/>
  <c r="T49" i="50"/>
  <c r="R49" i="50" s="1"/>
  <c r="V38" i="50"/>
  <c r="U38" i="50" s="1"/>
  <c r="F39" i="50"/>
  <c r="E39" i="50" s="1"/>
  <c r="F38" i="50"/>
  <c r="V45" i="50"/>
  <c r="H45" i="50" s="1"/>
  <c r="F47" i="50"/>
  <c r="E47" i="50" s="1"/>
  <c r="E71" i="50" l="1"/>
  <c r="H41" i="50"/>
  <c r="F72" i="50"/>
  <c r="E72" i="50" s="1"/>
  <c r="R72" i="50"/>
  <c r="F73" i="50"/>
  <c r="E73" i="50" s="1"/>
  <c r="R73" i="50"/>
  <c r="F74" i="50"/>
  <c r="E74" i="50" s="1"/>
  <c r="R74" i="50"/>
  <c r="U39" i="50"/>
  <c r="G39" i="50" s="1"/>
  <c r="U40" i="50"/>
  <c r="G40" i="50" s="1"/>
  <c r="U43" i="50"/>
  <c r="G43" i="50" s="1"/>
  <c r="F49" i="50"/>
  <c r="E49" i="50" s="1"/>
  <c r="F30" i="53" s="1"/>
  <c r="E38" i="50"/>
  <c r="G38" i="50"/>
  <c r="U45" i="50"/>
  <c r="G45" i="50" s="1"/>
  <c r="H38" i="50"/>
  <c r="V49" i="50"/>
  <c r="U46" i="50"/>
  <c r="G46" i="50" s="1"/>
  <c r="F82" i="50" l="1"/>
  <c r="E82" i="50" s="1"/>
  <c r="H49" i="50"/>
  <c r="U49" i="50"/>
  <c r="G49" i="50"/>
  <c r="K15" i="53" l="1"/>
  <c r="I15" i="53" s="1"/>
  <c r="I11" i="53"/>
  <c r="F32" i="53"/>
  <c r="I10" i="53"/>
  <c r="K12" i="53"/>
  <c r="F33" i="53"/>
  <c r="F35" i="53" s="1"/>
  <c r="F31" i="53" l="1"/>
  <c r="K16" i="53"/>
  <c r="I16" i="53" s="1"/>
  <c r="I14" i="53"/>
  <c r="F36" i="53"/>
  <c r="I12"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H32" authorId="0" shapeId="0" xr:uid="{7D6B812B-1183-4159-9273-98F376E697B5}">
      <text>
        <r>
          <rPr>
            <b/>
            <sz val="9"/>
            <color indexed="81"/>
            <rFont val="Tahoma"/>
            <family val="2"/>
            <charset val="186"/>
          </rPr>
          <t>Sandra Strēle:</t>
        </r>
        <r>
          <rPr>
            <sz val="9"/>
            <color indexed="81"/>
            <rFont val="Tahoma"/>
            <family val="2"/>
            <charset val="186"/>
          </rPr>
          <t xml:space="preserve">
2026.gada LM janvāra naudas plūsma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E25" authorId="0" shapeId="0" xr:uid="{065D5842-6E74-498C-8307-2B395B534BD3}">
      <text>
        <r>
          <rPr>
            <b/>
            <sz val="9"/>
            <color indexed="81"/>
            <rFont val="Tahoma"/>
            <family val="2"/>
            <charset val="186"/>
          </rPr>
          <t>Sandra Strēle:</t>
        </r>
        <r>
          <rPr>
            <sz val="9"/>
            <color indexed="81"/>
            <rFont val="Tahoma"/>
            <family val="2"/>
            <charset val="186"/>
          </rPr>
          <t xml:space="preserve">
453 149.01 2023.g. dec. </t>
        </r>
      </text>
    </comment>
    <comment ref="F25" authorId="0" shapeId="0" xr:uid="{577EC731-171C-4B97-819B-777EBA8A1106}">
      <text>
        <r>
          <rPr>
            <b/>
            <sz val="9"/>
            <color indexed="81"/>
            <rFont val="Tahoma"/>
            <family val="2"/>
            <charset val="186"/>
          </rPr>
          <t>Sandra Strēle:</t>
        </r>
        <r>
          <rPr>
            <sz val="9"/>
            <color indexed="81"/>
            <rFont val="Tahoma"/>
            <family val="2"/>
            <charset val="186"/>
          </rPr>
          <t xml:space="preserve">
2023.gada decembris ir 194 206.72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H18" authorId="0" shapeId="0" xr:uid="{023227DC-5BCF-4122-B506-B5CC3B85D671}">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19" authorId="0" shapeId="0" xr:uid="{AB76F602-D39C-4708-95AC-CA575359C7BE}">
      <text>
        <r>
          <rPr>
            <b/>
            <sz val="9"/>
            <color indexed="81"/>
            <rFont val="Tahoma"/>
            <family val="2"/>
            <charset val="186"/>
          </rPr>
          <t>Sandra Strēle:</t>
        </r>
        <r>
          <rPr>
            <sz val="9"/>
            <color indexed="81"/>
            <rFont val="Tahoma"/>
            <family val="2"/>
            <charset val="186"/>
          </rPr>
          <t xml:space="preserve">
MĒNESĪ, 
GADĀ 453.24
</t>
        </r>
      </text>
    </comment>
    <comment ref="H22" authorId="0" shapeId="0" xr:uid="{83D4FF7B-94A4-478A-B7C7-D5D1B7C71639}">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23" authorId="0" shapeId="0" xr:uid="{08DC4225-B037-460F-A75A-E2BF6788523E}">
      <text>
        <r>
          <rPr>
            <b/>
            <sz val="9"/>
            <color indexed="81"/>
            <rFont val="Tahoma"/>
            <family val="2"/>
            <charset val="186"/>
          </rPr>
          <t>Sandra Strēle:</t>
        </r>
        <r>
          <rPr>
            <sz val="9"/>
            <color indexed="81"/>
            <rFont val="Tahoma"/>
            <family val="2"/>
            <charset val="186"/>
          </rPr>
          <t xml:space="preserve">
MĒNESĪ, 
GADĀ 550.68</t>
        </r>
      </text>
    </comment>
    <comment ref="H26" authorId="0" shapeId="0" xr:uid="{4E9C7B4A-7B50-473E-BBA4-E59785346A18}">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27" authorId="0" shapeId="0" xr:uid="{CDC0527C-D59A-4949-9F9A-6B0E22605BF8}">
      <text>
        <r>
          <rPr>
            <b/>
            <sz val="9"/>
            <color indexed="81"/>
            <rFont val="Tahoma"/>
            <family val="2"/>
            <charset val="186"/>
          </rPr>
          <t>Sandra Strēle:</t>
        </r>
        <r>
          <rPr>
            <sz val="9"/>
            <color indexed="81"/>
            <rFont val="Tahoma"/>
            <family val="2"/>
            <charset val="186"/>
          </rPr>
          <t xml:space="preserve">
MĒNESĪ, 
GADĀ 985.20</t>
        </r>
      </text>
    </comment>
    <comment ref="H30" authorId="0" shapeId="0" xr:uid="{75F0CF06-6511-4D24-BD76-E3F933BFE6B8}">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N31" authorId="0" shapeId="0" xr:uid="{DB2FAC60-BFE5-403F-B725-9495EB7B94F1}">
      <text>
        <r>
          <rPr>
            <b/>
            <sz val="9"/>
            <color indexed="81"/>
            <rFont val="Tahoma"/>
            <family val="2"/>
            <charset val="186"/>
          </rPr>
          <t>Sandra Strēle:</t>
        </r>
        <r>
          <rPr>
            <sz val="9"/>
            <color indexed="81"/>
            <rFont val="Tahoma"/>
            <family val="2"/>
            <charset val="186"/>
          </rPr>
          <t xml:space="preserve">
MĒNESĪ, 
GADĀ 761.64</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H18" authorId="0" shapeId="0" xr:uid="{D00CBFF7-8895-4D01-A192-14EEEE12D6FC}">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H22" authorId="0" shapeId="0" xr:uid="{B8C9CD83-6B8C-477F-962B-FF739A2E86F2}">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H26" authorId="0" shapeId="0" xr:uid="{BDED300B-35D9-4FC1-B7F9-5BC6B65C22D8}">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 ref="H30" authorId="0" shapeId="0" xr:uid="{34516584-C6BB-420A-A411-3D1FBA22967D}">
      <text>
        <r>
          <rPr>
            <b/>
            <sz val="9"/>
            <color indexed="81"/>
            <rFont val="Tahoma"/>
            <family val="2"/>
            <charset val="186"/>
          </rPr>
          <t>Sandra Strēle:</t>
        </r>
        <r>
          <rPr>
            <sz val="9"/>
            <color indexed="81"/>
            <rFont val="Tahoma"/>
            <family val="2"/>
            <charset val="186"/>
          </rPr>
          <t xml:space="preserve">
% ģimenes/personas ienākumu pieaugums, kas paliek rīcībā pēc rēķinu nomaksas. Šo pieaugumu saglabājam arī turpmākajiem gadiem</t>
        </r>
      </text>
    </comment>
  </commentList>
</comments>
</file>

<file path=xl/sharedStrings.xml><?xml version="1.0" encoding="utf-8"?>
<sst xmlns="http://schemas.openxmlformats.org/spreadsheetml/2006/main" count="528" uniqueCount="122">
  <si>
    <t>KOPĀ</t>
  </si>
  <si>
    <t>jūnijs</t>
  </si>
  <si>
    <t>jūlijs</t>
  </si>
  <si>
    <t>augusts</t>
  </si>
  <si>
    <t>septembris</t>
  </si>
  <si>
    <t>oktobris</t>
  </si>
  <si>
    <t>novembris</t>
  </si>
  <si>
    <t>decembris</t>
  </si>
  <si>
    <t>janvāris</t>
  </si>
  <si>
    <t>februāris</t>
  </si>
  <si>
    <t>marts</t>
  </si>
  <si>
    <t>aprīlis</t>
  </si>
  <si>
    <t>maijs</t>
  </si>
  <si>
    <t>personu skaits</t>
  </si>
  <si>
    <t>izlietotais finansējums KOPĀ</t>
  </si>
  <si>
    <t>valsts budžets</t>
  </si>
  <si>
    <t>pašvaldības budžets</t>
  </si>
  <si>
    <t>Atsevišķi dzīvojošai pensijas vecuma personai vai atsevišķi dzīvojošai personai ar invaliditāti
(koeficients 2.5)</t>
  </si>
  <si>
    <t>Mājsaimniecībai, kurā ir tikai pensijas vecuma personas vai personas ar invaliditāti
(koeficients 2)</t>
  </si>
  <si>
    <t>Mājsaimniecībai, kurā ir pensijas vecuma personas vai personas ar invaliditāti un bērni 
 (koeficients 2)</t>
  </si>
  <si>
    <t>Pārējām mājsaimniecībām 
(koeficients 1.5)</t>
  </si>
  <si>
    <t>Atsevišķi dzīvojošai pensijas vecuma personai vai atsevišķi dzīvojošai personai ar invaliditāti
(koeficients 2.1)</t>
  </si>
  <si>
    <t>Mājsaimniecībai, kurā ir tikai pensijas vecuma personas vai personas ar invaliditāti
(koeficients 1.7)</t>
  </si>
  <si>
    <t>Mājsaimniecībai, kurā ir pensijas vecuma personas vai personas ar invaliditāti un bērni 
 (koeficients 1.7)</t>
  </si>
  <si>
    <t>Pārējām mājsaimniecībām 
(koeficients 1.3)</t>
  </si>
  <si>
    <t>Fakts</t>
  </si>
  <si>
    <t>Plāns</t>
  </si>
  <si>
    <t>Mājokļa pabalsts 
KOPĀ 2024. gads</t>
  </si>
  <si>
    <t>Mājokļa pabalsts 
KOPĀ 2025. gads</t>
  </si>
  <si>
    <t>vidējais apmērs uz 1 pers.</t>
  </si>
  <si>
    <t>x</t>
  </si>
  <si>
    <t>personu skaita pieaugums pret iepriekšējo mēnesi,%</t>
  </si>
  <si>
    <t>pabalsta vidējā apmērā pieaugums pret iepriekšējo mēnesi,%</t>
  </si>
  <si>
    <t>3.tabula</t>
  </si>
  <si>
    <t>Kura gada mediāna?</t>
  </si>
  <si>
    <t>Mediāna</t>
  </si>
  <si>
    <t>koeficients</t>
  </si>
  <si>
    <t>euro</t>
  </si>
  <si>
    <t>1.personai</t>
  </si>
  <si>
    <t>nākamajai</t>
  </si>
  <si>
    <t>Piemērs:</t>
  </si>
  <si>
    <t>Atsevišķi dzīvojošai pensijas vecuma personai vai atsevišķi dzīvojošai personai ar invaliditāti  (koeficients 2.1)</t>
  </si>
  <si>
    <t>Personām ar ienākumiem mājokļa pabalsta aprēķinā GMI līmenis/slieksnis tiek reizināts ar attiecīgiem koeficientiem, kuri ir noteikti SPSPL 35. panta piektajā daļā.</t>
  </si>
  <si>
    <t>Mājsaimniecībai, kurā ir tikai pensijas vecuma personas vai personas ar invaliditāti  (koeficients 1.7)</t>
  </si>
  <si>
    <t>Mājsaimniecībai, kurā ir pensijas vecuma personas vai personas ar invaliditāti un bērni           (koeficients 1.7)</t>
  </si>
  <si>
    <t>Pārējām mājsaimniecībām   (koeficients 1.3)</t>
  </si>
  <si>
    <t>2025 fakts</t>
  </si>
  <si>
    <t>Līdzekļi vidēji uz 1 pers. mājsaimniecībā</t>
  </si>
  <si>
    <t>Faktiski izmaksātais pabalsta apmērs</t>
  </si>
  <si>
    <t>Mājokļa pabalsts 
KOPĀ 2026. gads</t>
  </si>
  <si>
    <t>GMI</t>
  </si>
  <si>
    <t>MP</t>
  </si>
  <si>
    <t>valsts</t>
  </si>
  <si>
    <t>pašvaldība</t>
  </si>
  <si>
    <t xml:space="preserve">Galvenie izpildes rādītāji </t>
  </si>
  <si>
    <t>pers.sk.vidēji mēn.</t>
  </si>
  <si>
    <t>persona</t>
  </si>
  <si>
    <t>vidējais pabalsta apmērs mēnesī</t>
  </si>
  <si>
    <t>Izdevumi KOPĀ</t>
  </si>
  <si>
    <t>pašvaldību budžets</t>
  </si>
  <si>
    <t>valsts budžets/naudas plūsma</t>
  </si>
  <si>
    <t>Mājokļa pabalsts</t>
  </si>
  <si>
    <t>Pielikumā:</t>
  </si>
  <si>
    <t>1. tabula</t>
  </si>
  <si>
    <t>2. tabula</t>
  </si>
  <si>
    <t>3. tabula</t>
  </si>
  <si>
    <t>1.tabula</t>
  </si>
  <si>
    <t>GMI pabalsts 
KOPĀ 2024. gads</t>
  </si>
  <si>
    <t>GMI pabalsts 
KOPĀ 2025. gads</t>
  </si>
  <si>
    <t>GMI pabalsts 
KOPĀ 2026. gads</t>
  </si>
  <si>
    <t>pieaugums</t>
  </si>
  <si>
    <t>vidējais apmērs periodā no janvāra līdz maijam</t>
  </si>
  <si>
    <t>vidējais apmērs  periodā no jūnija līdz decembrim</t>
  </si>
  <si>
    <t>Plānotie GMI un MP izdevumi kopā (naudas plūsma/valsts budžets)</t>
  </si>
  <si>
    <t>2.tabula</t>
  </si>
  <si>
    <t>2026 fakts</t>
  </si>
  <si>
    <t>2024 FAKTS</t>
  </si>
  <si>
    <t>2025 FAKTS</t>
  </si>
  <si>
    <t>starpība/ tas, kas paliek pēc rēķinu nomaksas m/s rīcībā vidēji uz 1 pers.*</t>
  </si>
  <si>
    <t>*m/s ienākumi mīnus m/s rēķina apmērs (vidēji uz 1 personu m/s)</t>
  </si>
  <si>
    <t>Atsevišķi dzīvojošai personai (pensionāram vai invalīdam) pēc komunālo rēķinu nomaksas citu vajadzību nodrošināšanai piem.,:
1) 2024. gadā ir jāpaliek 342.50 euro (137 euro x koefic. 2.5);
2)  2025. gadā ir jāpaliek 348.60 euro (166 euro x koefic. 2.1);
3)  2026. gadā ir jāpaliek 392.60 euro (187 euro x koefic. 2.1).</t>
  </si>
  <si>
    <t>Ja vienā mājsaimniecībā dzīvo pensionārs kopā ar personu, kurai noteikta invaliditāte, tad pēc komunālo rēķinu nomaksas citu vajadzību nodrošināšanai piem.,:
1) 2024. gadā ir jāpaliek 466.00 euro (137 euro x koefic.2 + 96 euro x koefic.2 );
2) 2025. gadā ir jāpaliek 479.40 euro (166 euro x koefic.1.7 + 116 euro x koefic.1.7 );
3) 2026. gadā ir jāpaliek 540.60 euro (187 euro x koefic.1.7 + 131 euro x koefic.1.7 ).</t>
  </si>
  <si>
    <t>Ja vienā mājsaimniecībā dzīvo pensionārs kopā ar personu, kurai noteikta invaliditāte, un bērnu (3 pers), tad pēc komunālo rēķinu nomaksas citu vajadzību nodrošināšanai piem.:
1) 2024. gadā ir jāpaliek 658.00 euro (137 euro x koefic.2 + 96 euro x koefic.2 + 96 euro x koefic.2);
2) 2025. gadā ir jāpaliek 676.60 euro (166 euro x koefic.1.7 + 166 euro x koefic.1.7 + 116 euro x koefic.1.7);
3) 2026. gadā ir jāpaliek 763.30 euro (187 euro x koefic.1.7 + 187 euro x koefic.1.7 + 131 euro x koefic.1.7).</t>
  </si>
  <si>
    <t>Ja vienā mājsaimniecībā dzīvo 3 personas, piem., no kurām vismaz viens ir darbspējīgs, tad pēc komunālo rēķinu nomaksas citu vajadzību nodrošināšanai piem.,:
1) 2024. gadā ir jāpaliek 493.50 euro (137 euro x koefic.1.5 + 96 euro x koefic.1.5 + 96 euro x koefic.1.5);
2) 2025. gadā ir jāpaliek 517.40 euro (166 euro x koefic.1.3 + 116 euro x koefic.1.3 + 116 euro x koefic.1.3);
3) 2026. gadā ir jāpaliek 583.70 euro (187 euro x koefic.1.3 + 131 euro x koefic.1.3 + 131 euro x koefic.1.3).</t>
  </si>
  <si>
    <t>MP apmērs vidēji mēnesī / 1 mājsaimniecība</t>
  </si>
  <si>
    <t>starpība/ tas, kas paliek pēc rēķinu nomaksas m/s rīcībā (jo lielāks GMI slieksnis, jo lielākai summai jāpaliek M/S rīcībā)</t>
  </si>
  <si>
    <r>
      <rPr>
        <u/>
        <sz val="11"/>
        <color theme="1"/>
        <rFont val="Times New Roman"/>
        <family val="1"/>
        <charset val="186"/>
      </rPr>
      <t xml:space="preserve">M/s, kurām sedz visus izdevumus par mājokli, sedz tos neatkarīgi no tā, cik augsts ir GMI līmenis. </t>
    </r>
    <r>
      <rPr>
        <sz val="11"/>
        <color theme="1"/>
        <rFont val="Times New Roman"/>
        <family val="1"/>
        <charset val="186"/>
      </rPr>
      <t xml:space="preserve">
</t>
    </r>
    <r>
      <rPr>
        <b/>
        <sz val="11"/>
        <color theme="1"/>
        <rFont val="Times New Roman"/>
        <family val="1"/>
        <charset val="186"/>
      </rPr>
      <t xml:space="preserve">
GMI līmeņa paaugstināšana lielākoties ietekmē MP saņēmēju loku (tas palielinās). 
</t>
    </r>
    <r>
      <rPr>
        <sz val="11"/>
        <color theme="1"/>
        <rFont val="Times New Roman"/>
        <family val="1"/>
        <charset val="186"/>
      </rPr>
      <t xml:space="preserve">
</t>
    </r>
    <r>
      <rPr>
        <b/>
        <sz val="11"/>
        <color rgb="FFFF0000"/>
        <rFont val="Times New Roman"/>
        <family val="1"/>
        <charset val="186"/>
      </rPr>
      <t>Vidējai MP uz m/s palielinās, ja:</t>
    </r>
    <r>
      <rPr>
        <sz val="11"/>
        <color theme="1"/>
        <rFont val="Times New Roman"/>
        <family val="1"/>
        <charset val="186"/>
      </rPr>
      <t xml:space="preserve">
 - samazinājušies ģimenes ienākumi;
 - m/s ienākumi nemainās, bet </t>
    </r>
    <r>
      <rPr>
        <sz val="11"/>
        <color rgb="FFFF0000"/>
        <rFont val="Times New Roman"/>
        <family val="1"/>
        <charset val="186"/>
      </rPr>
      <t>palielinās izdevumi par mājokli</t>
    </r>
    <r>
      <rPr>
        <sz val="11"/>
        <color theme="1"/>
        <rFont val="Times New Roman"/>
        <family val="1"/>
        <charset val="186"/>
      </rPr>
      <t xml:space="preserve"> (tām m/s, kurām sedz visus ar mājokli saistītos izdevumus);
 - m/s, kurām sedza daļu pie esošā sliekšna, </t>
    </r>
    <r>
      <rPr>
        <sz val="11"/>
        <color rgb="FFFF0000"/>
        <rFont val="Times New Roman"/>
        <family val="1"/>
        <charset val="186"/>
      </rPr>
      <t>ja palielinās izdevumi par mājokli</t>
    </r>
    <r>
      <rPr>
        <sz val="11"/>
        <color theme="1"/>
        <rFont val="Times New Roman"/>
        <family val="1"/>
        <charset val="186"/>
      </rPr>
      <t xml:space="preserve"> sedz lielāku daļu vai visu (palielinās MP apmērs);
 - ja palielinās GMI līmenis, tad palielinās MP pabalsts tām m/s, kurām pie zemāka GMI sliekšņa ar MP sedza daļu no mājokļa izdevumiem (tagad segs lielāku daļu vai pilnā apjomā).</t>
    </r>
  </si>
  <si>
    <t>GMI pabalsta izdevumi 2024.-2026. gadā (fakts)</t>
  </si>
  <si>
    <t>Mājokļa pabalsta izdevumi 2024.-2026. gadā (fakts)</t>
  </si>
  <si>
    <t>GMI pabalsta apmēri 2024.-2026.gadā</t>
  </si>
  <si>
    <t>Bāze</t>
  </si>
  <si>
    <t>Precizēts  izdevumu plāns atbilstoši faktsikajiem izdevumiem līdz 31.01.2026.</t>
  </si>
  <si>
    <t>Prognozējamais finansējuma atlikums pret plānotājiem izdevumiem</t>
  </si>
  <si>
    <r>
      <t xml:space="preserve">Atsevišķi dzīvojošai pensijas vecuma personai vai atsevišķi dzīvojošai personai ar invaliditāti
(koeficients 2.1)
</t>
    </r>
    <r>
      <rPr>
        <b/>
        <sz val="11"/>
        <color rgb="FFFF0000"/>
        <rFont val="Times New Roman"/>
        <family val="1"/>
        <charset val="186"/>
      </rPr>
      <t>(MP par janv.-aprīlis piemēro 2.5)</t>
    </r>
  </si>
  <si>
    <r>
      <t xml:space="preserve">Mājsaimniecībai, kurā ir tikai pensijas vecuma personas vai personas ar invaliditāti
(koeficients 1.7)
</t>
    </r>
    <r>
      <rPr>
        <b/>
        <sz val="11"/>
        <color rgb="FFFF0000"/>
        <rFont val="Times New Roman"/>
        <family val="1"/>
        <charset val="186"/>
      </rPr>
      <t>(MP par janv.-aprīlis piemēro 2)</t>
    </r>
  </si>
  <si>
    <t>p/v MP izdevumi par decembri</t>
  </si>
  <si>
    <t>p/v MP izdevumi par janvāri</t>
  </si>
  <si>
    <t>p/v MP izdevumi par februāri</t>
  </si>
  <si>
    <t>p/v MP izdevumi par martu</t>
  </si>
  <si>
    <t>p/v MP izdevumi par aprīli</t>
  </si>
  <si>
    <t>LM naudas plūsma janvārī</t>
  </si>
  <si>
    <t>LM naudas plūsma oktobrī</t>
  </si>
  <si>
    <t>LM naudas plūsma februārī</t>
  </si>
  <si>
    <t>LM naudas plūsma martā</t>
  </si>
  <si>
    <t>LM naudas plūsma aprīlī</t>
  </si>
  <si>
    <t>LM naudas plūsma maijā</t>
  </si>
  <si>
    <t>LM naudas plūsma jūnijā</t>
  </si>
  <si>
    <t>LM naudas plūsma jūlijā</t>
  </si>
  <si>
    <t>LM naudas plūsma augustā</t>
  </si>
  <si>
    <t>LM naudas plūsma septembrī</t>
  </si>
  <si>
    <t>LM naudas plūsma novembrī</t>
  </si>
  <si>
    <t>LM naudas plūsma decembrī</t>
  </si>
  <si>
    <t>izdevumi 2027. gadā</t>
  </si>
  <si>
    <r>
      <t xml:space="preserve">Mājsaimniecībai, kurā ir pensijas vecuma personas vai personas ar invaliditāti un bērni 
 (koeficients 1.7)
</t>
    </r>
    <r>
      <rPr>
        <b/>
        <sz val="11"/>
        <color rgb="FFFF0000"/>
        <rFont val="Times New Roman"/>
        <family val="1"/>
        <charset val="186"/>
      </rPr>
      <t>(MP par janv.-aprīlis piemēro 2)</t>
    </r>
  </si>
  <si>
    <r>
      <t xml:space="preserve">Pārējām mājsaimniecībām 
(koeficients 1.3)
</t>
    </r>
    <r>
      <rPr>
        <b/>
        <sz val="11"/>
        <color rgb="FFFF0000"/>
        <rFont val="Times New Roman"/>
        <family val="1"/>
        <charset val="186"/>
      </rPr>
      <t>(MP par janv.-aprīlis piemēro 1.7)</t>
    </r>
  </si>
  <si>
    <t>Prognozējams, ka palielinoties koeficientiem, MP saņēmēju loks palielināsies atbilstoši saņēmēju skaita izmaiņām 2025. gadā pret 2024. gadu, kad koeficienti tika samazināti.
"Pārējām mājsaimniecībām" prognozējams, ka palielinoties koeficientiem līdz 1.7, MP saņēmēju loks palielināsies 2x lielākā apjomā kā saņēmēju skaita izmaiņām 2025. gadā pret 2024. gadu, kad koeficienti tika samazināti.</t>
  </si>
  <si>
    <r>
      <t xml:space="preserve">GMI līmeņa </t>
    </r>
    <r>
      <rPr>
        <b/>
        <sz val="11"/>
        <color rgb="FFFF0000"/>
        <rFont val="Times New Roman"/>
        <family val="1"/>
        <charset val="186"/>
      </rPr>
      <t>palielinājums 4 mēnešiem</t>
    </r>
  </si>
  <si>
    <t>Vidējā mājokļa pabalsta palielinājums saistībā ar koeficientu pieaugumu (50% no GMI līmeņa pieauguma)</t>
  </si>
  <si>
    <t>Esošā SPSPL norma</t>
  </si>
  <si>
    <t>3.pielikums</t>
  </si>
  <si>
    <t>Tiesību akta projekta "Grozījums likumā "Sociālo pakalpojumu un sociālās palīdzības likums"" sākotnējās ietekmes (ex-ante) novērtējuma ziņojumam (anotācijai) 
26-TA-406</t>
  </si>
  <si>
    <r>
      <t xml:space="preserve">Mājokļa pabalsta un GMI pabalsta izdevumi 2024.-2026. gadā (koefic. 2.5, 2, 2 un 1.7, 30:70)
Papildu 20% mērķdotācija MP izdevumiem par janv. - aprīl.
</t>
    </r>
    <r>
      <rPr>
        <i/>
        <sz val="14"/>
        <rFont val="Times New Roman"/>
        <family val="1"/>
        <charset val="186"/>
      </rPr>
      <t>(naudas plūsma)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</si>
</sst>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 #,##0.00"/>
  </numFmts>
  <fonts count="59" x14ac:knownFonts="1">
    <font>
      <sz val="10"/>
      <name val="Arial"/>
      <family val="2"/>
      <charset val="186"/>
    </font>
    <font>
      <sz val="11"/>
      <color indexed="8"/>
      <name val="Calibri"/>
      <family val="2"/>
      <charset val="186"/>
    </font>
    <font>
      <sz val="10"/>
      <name val="Times New Roman"/>
      <family val="1"/>
      <charset val="186"/>
    </font>
    <font>
      <b/>
      <sz val="10"/>
      <name val="Times New Roman"/>
      <family val="1"/>
      <charset val="186"/>
    </font>
    <font>
      <b/>
      <sz val="10"/>
      <color rgb="FFFF0000"/>
      <name val="Times New Roman"/>
      <family val="1"/>
      <charset val="186"/>
    </font>
    <font>
      <sz val="8"/>
      <name val="Arial"/>
      <family val="2"/>
      <charset val="186"/>
    </font>
    <font>
      <sz val="9"/>
      <name val="Times New Roman"/>
      <family val="1"/>
      <charset val="186"/>
    </font>
    <font>
      <sz val="10"/>
      <color rgb="FF0070C0"/>
      <name val="Times New Roman"/>
      <family val="1"/>
      <charset val="186"/>
    </font>
    <font>
      <b/>
      <sz val="10"/>
      <color rgb="FF0070C0"/>
      <name val="Times New Roman"/>
      <family val="1"/>
      <charset val="186"/>
    </font>
    <font>
      <i/>
      <sz val="9"/>
      <name val="Times New Roman"/>
      <family val="1"/>
      <charset val="186"/>
    </font>
    <font>
      <i/>
      <sz val="10"/>
      <name val="Times New Roman"/>
      <family val="1"/>
      <charset val="186"/>
    </font>
    <font>
      <b/>
      <i/>
      <sz val="10"/>
      <name val="Times New Roman"/>
      <family val="1"/>
      <charset val="186"/>
    </font>
    <font>
      <i/>
      <sz val="10"/>
      <color rgb="FF0070C0"/>
      <name val="Times New Roman"/>
      <family val="1"/>
      <charset val="186"/>
    </font>
    <font>
      <b/>
      <sz val="11"/>
      <name val="Times New Roman"/>
      <family val="1"/>
      <charset val="186"/>
    </font>
    <font>
      <sz val="11"/>
      <name val="Times New Roman"/>
      <family val="1"/>
      <charset val="186"/>
    </font>
    <font>
      <sz val="11"/>
      <color theme="1"/>
      <name val="Times New Roman"/>
      <family val="1"/>
      <charset val="186"/>
    </font>
    <font>
      <b/>
      <sz val="11"/>
      <color theme="1"/>
      <name val="Times New Roman"/>
      <family val="1"/>
      <charset val="186"/>
    </font>
    <font>
      <i/>
      <sz val="11"/>
      <color theme="1"/>
      <name val="Times New Roman"/>
      <family val="1"/>
      <charset val="186"/>
    </font>
    <font>
      <b/>
      <sz val="11"/>
      <color rgb="FFFF0000"/>
      <name val="Times New Roman"/>
      <family val="1"/>
      <charset val="186"/>
    </font>
    <font>
      <sz val="11"/>
      <color theme="4" tint="-0.249977111117893"/>
      <name val="Times New Roman"/>
      <family val="1"/>
      <charset val="186"/>
    </font>
    <font>
      <i/>
      <sz val="11"/>
      <name val="Times New Roman"/>
      <family val="1"/>
      <charset val="186"/>
    </font>
    <font>
      <i/>
      <sz val="8"/>
      <name val="Times New Roman"/>
      <family val="1"/>
      <charset val="186"/>
    </font>
    <font>
      <i/>
      <sz val="8"/>
      <color rgb="FF0070C0"/>
      <name val="Times New Roman"/>
      <family val="1"/>
      <charset val="186"/>
    </font>
    <font>
      <sz val="11"/>
      <color rgb="FF0070C0"/>
      <name val="Times New Roman"/>
      <family val="1"/>
      <charset val="186"/>
    </font>
    <font>
      <i/>
      <sz val="7"/>
      <name val="Times New Roman"/>
      <family val="1"/>
      <charset val="186"/>
    </font>
    <font>
      <i/>
      <sz val="7"/>
      <color rgb="FF0070C0"/>
      <name val="Times New Roman"/>
      <family val="1"/>
      <charset val="186"/>
    </font>
    <font>
      <sz val="11"/>
      <color rgb="FFFF0000"/>
      <name val="Times New Roman"/>
      <family val="1"/>
      <charset val="186"/>
    </font>
    <font>
      <sz val="9"/>
      <color indexed="81"/>
      <name val="Tahoma"/>
      <family val="2"/>
      <charset val="186"/>
    </font>
    <font>
      <b/>
      <sz val="9"/>
      <color indexed="81"/>
      <name val="Tahoma"/>
      <family val="2"/>
      <charset val="186"/>
    </font>
    <font>
      <b/>
      <sz val="11"/>
      <color rgb="FF0070C0"/>
      <name val="Times New Roman"/>
      <family val="1"/>
      <charset val="186"/>
    </font>
    <font>
      <i/>
      <sz val="9"/>
      <color theme="1"/>
      <name val="Times New Roman"/>
      <family val="1"/>
      <charset val="186"/>
    </font>
    <font>
      <i/>
      <sz val="9"/>
      <color rgb="FF0070C0"/>
      <name val="Times New Roman"/>
      <family val="1"/>
      <charset val="186"/>
    </font>
    <font>
      <b/>
      <sz val="8"/>
      <name val="Times New Roman"/>
      <family val="1"/>
      <charset val="186"/>
    </font>
    <font>
      <b/>
      <i/>
      <sz val="9"/>
      <name val="Times New Roman"/>
      <family val="1"/>
      <charset val="186"/>
    </font>
    <font>
      <b/>
      <i/>
      <sz val="9"/>
      <color theme="1"/>
      <name val="Times New Roman"/>
      <family val="1"/>
      <charset val="186"/>
    </font>
    <font>
      <b/>
      <i/>
      <sz val="9"/>
      <color rgb="FF0070C0"/>
      <name val="Times New Roman"/>
      <family val="1"/>
      <charset val="186"/>
    </font>
    <font>
      <b/>
      <sz val="7"/>
      <color rgb="FFC00000"/>
      <name val="Times New Roman"/>
      <family val="1"/>
      <charset val="186"/>
    </font>
    <font>
      <sz val="8"/>
      <color rgb="FFFF0000"/>
      <name val="Times New Roman"/>
      <family val="1"/>
      <charset val="186"/>
    </font>
    <font>
      <b/>
      <i/>
      <sz val="10"/>
      <color rgb="FFFF0000"/>
      <name val="Times New Roman"/>
      <family val="1"/>
      <charset val="186"/>
    </font>
    <font>
      <b/>
      <i/>
      <sz val="11"/>
      <color rgb="FFFF0000"/>
      <name val="Times New Roman"/>
      <family val="1"/>
      <charset val="186"/>
    </font>
    <font>
      <b/>
      <sz val="14"/>
      <name val="Times New Roman"/>
      <family val="1"/>
      <charset val="186"/>
    </font>
    <font>
      <i/>
      <sz val="14"/>
      <name val="Times New Roman"/>
      <family val="1"/>
      <charset val="186"/>
    </font>
    <font>
      <i/>
      <sz val="10"/>
      <color rgb="FFFF0000"/>
      <name val="Times New Roman"/>
      <family val="1"/>
      <charset val="186"/>
    </font>
    <font>
      <b/>
      <i/>
      <sz val="11"/>
      <name val="Times New Roman"/>
      <family val="1"/>
      <charset val="186"/>
    </font>
    <font>
      <sz val="7"/>
      <color rgb="FFFF0000"/>
      <name val="Times New Roman"/>
      <family val="1"/>
      <charset val="186"/>
    </font>
    <font>
      <sz val="10"/>
      <color rgb="FFFF0000"/>
      <name val="Times New Roman"/>
      <family val="1"/>
      <charset val="186"/>
    </font>
    <font>
      <i/>
      <sz val="9"/>
      <color rgb="FFFF0000"/>
      <name val="Times New Roman"/>
      <family val="1"/>
      <charset val="186"/>
    </font>
    <font>
      <sz val="14"/>
      <name val="Times New Roman"/>
      <family val="1"/>
      <charset val="186"/>
    </font>
    <font>
      <b/>
      <sz val="9"/>
      <name val="Times New Roman"/>
      <family val="1"/>
      <charset val="186"/>
    </font>
    <font>
      <sz val="8"/>
      <color rgb="FFC00000"/>
      <name val="Times New Roman"/>
      <family val="1"/>
      <charset val="186"/>
    </font>
    <font>
      <i/>
      <sz val="11"/>
      <color rgb="FF0070C0"/>
      <name val="Times New Roman"/>
      <family val="1"/>
      <charset val="186"/>
    </font>
    <font>
      <sz val="11"/>
      <color theme="0" tint="-0.249977111117893"/>
      <name val="Times New Roman"/>
      <family val="1"/>
      <charset val="186"/>
    </font>
    <font>
      <i/>
      <sz val="11"/>
      <color theme="0" tint="-0.249977111117893"/>
      <name val="Times New Roman"/>
      <family val="1"/>
      <charset val="186"/>
    </font>
    <font>
      <u/>
      <sz val="11"/>
      <color theme="1"/>
      <name val="Times New Roman"/>
      <family val="1"/>
      <charset val="186"/>
    </font>
    <font>
      <b/>
      <sz val="8"/>
      <color rgb="FFFF0000"/>
      <name val="Times New Roman"/>
      <family val="1"/>
      <charset val="186"/>
    </font>
    <font>
      <sz val="14"/>
      <color rgb="FFFF0000"/>
      <name val="Times New Roman"/>
      <family val="1"/>
      <charset val="186"/>
    </font>
    <font>
      <b/>
      <sz val="14"/>
      <color rgb="FFFF0000"/>
      <name val="Times New Roman"/>
      <family val="1"/>
      <charset val="186"/>
    </font>
    <font>
      <i/>
      <sz val="14"/>
      <color rgb="FFFF0000"/>
      <name val="Times New Roman"/>
      <family val="1"/>
      <charset val="186"/>
    </font>
    <font>
      <sz val="12"/>
      <name val="Times New Roman"/>
      <family val="1"/>
      <charset val="186"/>
    </font>
  </fonts>
  <fills count="14">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rgb="FFF2F2F2"/>
        <bgColor indexed="64"/>
      </patternFill>
    </fill>
    <fill>
      <patternFill patternType="solid">
        <fgColor rgb="FFE2EFDA"/>
        <bgColor indexed="64"/>
      </patternFill>
    </fill>
    <fill>
      <patternFill patternType="solid">
        <fgColor indexed="9"/>
        <bgColor indexed="26"/>
      </patternFill>
    </fill>
    <fill>
      <patternFill patternType="solid">
        <fgColor theme="5" tint="0.79998168889431442"/>
        <bgColor indexed="26"/>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77">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bottom/>
      <diagonal/>
    </border>
    <border>
      <left style="thick">
        <color rgb="FFFF0000"/>
      </left>
      <right style="thick">
        <color rgb="FFFF0000"/>
      </right>
      <top style="thick">
        <color rgb="FFFF0000"/>
      </top>
      <bottom style="thin">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bottom/>
      <diagonal/>
    </border>
    <border>
      <left style="thick">
        <color rgb="FFFF0000"/>
      </left>
      <right style="thick">
        <color rgb="FFFF0000"/>
      </right>
      <top style="thin">
        <color indexed="64"/>
      </top>
      <bottom/>
      <diagonal/>
    </border>
    <border>
      <left style="thick">
        <color rgb="FFFF0000"/>
      </left>
      <right style="thick">
        <color rgb="FFFF0000"/>
      </right>
      <top style="medium">
        <color indexed="64"/>
      </top>
      <bottom style="thin">
        <color indexed="64"/>
      </bottom>
      <diagonal/>
    </border>
    <border>
      <left style="thick">
        <color rgb="FFFF0000"/>
      </left>
      <right style="thick">
        <color rgb="FFFF0000"/>
      </right>
      <top style="thin">
        <color indexed="64"/>
      </top>
      <bottom style="medium">
        <color indexed="64"/>
      </bottom>
      <diagonal/>
    </border>
    <border>
      <left style="thick">
        <color rgb="FFFF0000"/>
      </left>
      <right style="thick">
        <color rgb="FFFF0000"/>
      </right>
      <top style="thin">
        <color indexed="64"/>
      </top>
      <bottom style="thick">
        <color rgb="FFFF0000"/>
      </bottom>
      <diagonal/>
    </border>
    <border>
      <left style="thick">
        <color rgb="FFFF0000"/>
      </left>
      <right/>
      <top style="thick">
        <color rgb="FFFF0000"/>
      </top>
      <bottom style="thin">
        <color indexed="64"/>
      </bottom>
      <diagonal/>
    </border>
    <border>
      <left/>
      <right/>
      <top style="thick">
        <color rgb="FFFF0000"/>
      </top>
      <bottom style="thin">
        <color indexed="64"/>
      </bottom>
      <diagonal/>
    </border>
    <border>
      <left style="thick">
        <color rgb="FFFF0000"/>
      </left>
      <right style="thin">
        <color indexed="64"/>
      </right>
      <top style="thin">
        <color indexed="64"/>
      </top>
      <bottom/>
      <diagonal/>
    </border>
    <border>
      <left style="thick">
        <color rgb="FFFF0000"/>
      </left>
      <right style="thin">
        <color indexed="64"/>
      </right>
      <top style="thin">
        <color indexed="64"/>
      </top>
      <bottom style="thin">
        <color indexed="64"/>
      </bottom>
      <diagonal/>
    </border>
    <border>
      <left style="thick">
        <color rgb="FFFF0000"/>
      </left>
      <right style="thin">
        <color indexed="64"/>
      </right>
      <top/>
      <bottom style="thin">
        <color indexed="64"/>
      </bottom>
      <diagonal/>
    </border>
    <border>
      <left style="thick">
        <color rgb="FFFF0000"/>
      </left>
      <right style="thin">
        <color indexed="64"/>
      </right>
      <top style="thin">
        <color indexed="64"/>
      </top>
      <bottom style="medium">
        <color indexed="64"/>
      </bottom>
      <diagonal/>
    </border>
    <border>
      <left style="thick">
        <color rgb="FFFF0000"/>
      </left>
      <right/>
      <top/>
      <bottom/>
      <diagonal/>
    </border>
    <border>
      <left style="thick">
        <color rgb="FFFF0000"/>
      </left>
      <right style="thin">
        <color indexed="64"/>
      </right>
      <top style="medium">
        <color indexed="64"/>
      </top>
      <bottom style="thin">
        <color indexed="64"/>
      </bottom>
      <diagonal/>
    </border>
    <border>
      <left style="thick">
        <color rgb="FFFF0000"/>
      </left>
      <right style="thin">
        <color indexed="64"/>
      </right>
      <top style="thin">
        <color indexed="64"/>
      </top>
      <bottom style="thick">
        <color rgb="FFFF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style="thin">
        <color indexed="64"/>
      </top>
      <bottom style="thick">
        <color rgb="FFFF0000"/>
      </bottom>
      <diagonal/>
    </border>
    <border>
      <left/>
      <right style="thick">
        <color rgb="FFFF0000"/>
      </right>
      <top style="thick">
        <color rgb="FFFF0000"/>
      </top>
      <bottom/>
      <diagonal/>
    </border>
    <border>
      <left style="thick">
        <color rgb="FFFF0000"/>
      </left>
      <right style="thick">
        <color rgb="FFFF0000"/>
      </right>
      <top style="thick">
        <color rgb="FFFF0000"/>
      </top>
      <bottom/>
      <diagonal/>
    </border>
    <border>
      <left style="thick">
        <color rgb="FFFF0000"/>
      </left>
      <right style="thick">
        <color rgb="FFFF0000"/>
      </right>
      <top/>
      <bottom style="thin">
        <color indexed="64"/>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style="medium">
        <color rgb="FFFF0000"/>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s>
  <cellStyleXfs count="2">
    <xf numFmtId="0" fontId="0" fillId="0" borderId="0"/>
    <xf numFmtId="0" fontId="1" fillId="0" borderId="0"/>
  </cellStyleXfs>
  <cellXfs count="476">
    <xf numFmtId="0" fontId="0" fillId="0" borderId="0" xfId="0"/>
    <xf numFmtId="0" fontId="4" fillId="0" borderId="0" xfId="0" applyFont="1" applyAlignment="1">
      <alignment horizontal="left"/>
    </xf>
    <xf numFmtId="3" fontId="2" fillId="2" borderId="2" xfId="0" applyNumberFormat="1" applyFont="1" applyFill="1" applyBorder="1" applyAlignment="1">
      <alignment horizontal="center"/>
    </xf>
    <xf numFmtId="0" fontId="2" fillId="0" borderId="0" xfId="0" applyFont="1"/>
    <xf numFmtId="0" fontId="2" fillId="0" borderId="0" xfId="0" applyFont="1" applyAlignment="1">
      <alignment wrapText="1"/>
    </xf>
    <xf numFmtId="0" fontId="6" fillId="2" borderId="6" xfId="0" applyFont="1" applyFill="1" applyBorder="1" applyAlignment="1">
      <alignment horizontal="center" wrapText="1"/>
    </xf>
    <xf numFmtId="0" fontId="6" fillId="2" borderId="2" xfId="0" applyFont="1" applyFill="1" applyBorder="1" applyAlignment="1">
      <alignment horizontal="center" wrapText="1"/>
    </xf>
    <xf numFmtId="0" fontId="6" fillId="0" borderId="2" xfId="0" applyFont="1" applyBorder="1" applyAlignment="1">
      <alignment horizontal="center" wrapText="1"/>
    </xf>
    <xf numFmtId="0" fontId="6" fillId="0" borderId="5" xfId="0" applyFont="1" applyBorder="1" applyAlignment="1">
      <alignment horizontal="center" wrapText="1"/>
    </xf>
    <xf numFmtId="0" fontId="6" fillId="2" borderId="3" xfId="0" applyFont="1" applyFill="1" applyBorder="1" applyAlignment="1">
      <alignment horizontal="center" wrapText="1"/>
    </xf>
    <xf numFmtId="3" fontId="2" fillId="2" borderId="6" xfId="0" applyNumberFormat="1" applyFont="1" applyFill="1" applyBorder="1" applyAlignment="1">
      <alignment horizontal="center"/>
    </xf>
    <xf numFmtId="3" fontId="2" fillId="2" borderId="2" xfId="0" applyNumberFormat="1" applyFont="1" applyFill="1" applyBorder="1"/>
    <xf numFmtId="3" fontId="2" fillId="0" borderId="2" xfId="0" applyNumberFormat="1" applyFont="1" applyBorder="1"/>
    <xf numFmtId="3" fontId="2" fillId="0" borderId="5" xfId="0" applyNumberFormat="1" applyFont="1" applyBorder="1"/>
    <xf numFmtId="3" fontId="2" fillId="2" borderId="3" xfId="0" applyNumberFormat="1" applyFont="1" applyFill="1" applyBorder="1" applyAlignment="1">
      <alignment horizontal="center"/>
    </xf>
    <xf numFmtId="0" fontId="3" fillId="2" borderId="0" xfId="0" applyFont="1" applyFill="1"/>
    <xf numFmtId="3" fontId="3" fillId="2" borderId="9" xfId="0" applyNumberFormat="1" applyFont="1" applyFill="1" applyBorder="1" applyAlignment="1">
      <alignment horizontal="center"/>
    </xf>
    <xf numFmtId="3" fontId="3" fillId="2" borderId="4" xfId="0" applyNumberFormat="1" applyFont="1" applyFill="1" applyBorder="1" applyAlignment="1">
      <alignment horizontal="right"/>
    </xf>
    <xf numFmtId="3" fontId="3" fillId="0" borderId="4" xfId="0" applyNumberFormat="1" applyFont="1" applyBorder="1" applyAlignment="1">
      <alignment horizontal="right"/>
    </xf>
    <xf numFmtId="3" fontId="3" fillId="0" borderId="10" xfId="0" applyNumberFormat="1" applyFont="1" applyBorder="1" applyAlignment="1">
      <alignment horizontal="right"/>
    </xf>
    <xf numFmtId="3" fontId="3" fillId="2" borderId="3" xfId="0" applyNumberFormat="1" applyFont="1" applyFill="1" applyBorder="1" applyAlignment="1">
      <alignment horizontal="center"/>
    </xf>
    <xf numFmtId="3" fontId="3" fillId="2" borderId="2" xfId="0" applyNumberFormat="1" applyFont="1" applyFill="1" applyBorder="1" applyAlignment="1">
      <alignment horizontal="right"/>
    </xf>
    <xf numFmtId="3" fontId="3" fillId="0" borderId="2" xfId="0" applyNumberFormat="1" applyFont="1" applyBorder="1" applyAlignment="1">
      <alignment horizontal="right"/>
    </xf>
    <xf numFmtId="3" fontId="3" fillId="2" borderId="2" xfId="0" applyNumberFormat="1" applyFont="1" applyFill="1" applyBorder="1" applyAlignment="1">
      <alignment horizontal="center"/>
    </xf>
    <xf numFmtId="0" fontId="7" fillId="0" borderId="0" xfId="0" applyFont="1"/>
    <xf numFmtId="3" fontId="7" fillId="2" borderId="6" xfId="0" applyNumberFormat="1" applyFont="1" applyFill="1" applyBorder="1" applyAlignment="1">
      <alignment horizontal="center"/>
    </xf>
    <xf numFmtId="3" fontId="7" fillId="2" borderId="2" xfId="0" applyNumberFormat="1" applyFont="1" applyFill="1" applyBorder="1"/>
    <xf numFmtId="3" fontId="7" fillId="0" borderId="2" xfId="0" applyNumberFormat="1" applyFont="1" applyBorder="1"/>
    <xf numFmtId="3" fontId="7" fillId="0" borderId="5" xfId="0" applyNumberFormat="1" applyFont="1" applyBorder="1"/>
    <xf numFmtId="3" fontId="7" fillId="2" borderId="2" xfId="0" applyNumberFormat="1" applyFont="1" applyFill="1" applyBorder="1" applyAlignment="1">
      <alignment horizontal="center"/>
    </xf>
    <xf numFmtId="0" fontId="8" fillId="2" borderId="0" xfId="0" applyFont="1" applyFill="1"/>
    <xf numFmtId="3" fontId="8" fillId="2" borderId="9" xfId="0" applyNumberFormat="1" applyFont="1" applyFill="1" applyBorder="1" applyAlignment="1">
      <alignment horizontal="center"/>
    </xf>
    <xf numFmtId="3" fontId="8" fillId="2" borderId="4" xfId="0" applyNumberFormat="1" applyFont="1" applyFill="1" applyBorder="1" applyAlignment="1">
      <alignment horizontal="right"/>
    </xf>
    <xf numFmtId="3" fontId="8" fillId="0" borderId="4" xfId="0" applyNumberFormat="1" applyFont="1" applyBorder="1" applyAlignment="1">
      <alignment horizontal="right"/>
    </xf>
    <xf numFmtId="3" fontId="8" fillId="0" borderId="10" xfId="0" applyNumberFormat="1" applyFont="1" applyBorder="1" applyAlignment="1">
      <alignment horizontal="right"/>
    </xf>
    <xf numFmtId="3" fontId="8" fillId="2" borderId="2" xfId="0" applyNumberFormat="1" applyFont="1" applyFill="1" applyBorder="1" applyAlignment="1">
      <alignment horizontal="right"/>
    </xf>
    <xf numFmtId="3" fontId="8" fillId="0" borderId="2" xfId="0" applyNumberFormat="1" applyFont="1" applyBorder="1" applyAlignment="1">
      <alignment horizontal="right"/>
    </xf>
    <xf numFmtId="3" fontId="8" fillId="2" borderId="2" xfId="0" applyNumberFormat="1" applyFont="1" applyFill="1" applyBorder="1" applyAlignment="1">
      <alignment horizontal="center"/>
    </xf>
    <xf numFmtId="0" fontId="9" fillId="2" borderId="3" xfId="0" applyFont="1" applyFill="1" applyBorder="1" applyAlignment="1">
      <alignment horizontal="center" wrapText="1"/>
    </xf>
    <xf numFmtId="3" fontId="10" fillId="2" borderId="3" xfId="0" applyNumberFormat="1" applyFont="1" applyFill="1" applyBorder="1" applyAlignment="1">
      <alignment horizontal="center"/>
    </xf>
    <xf numFmtId="4" fontId="10" fillId="2" borderId="3" xfId="0" applyNumberFormat="1" applyFont="1" applyFill="1" applyBorder="1" applyAlignment="1">
      <alignment horizontal="center"/>
    </xf>
    <xf numFmtId="4" fontId="12" fillId="2" borderId="3" xfId="0" applyNumberFormat="1" applyFont="1" applyFill="1" applyBorder="1" applyAlignment="1">
      <alignment horizontal="center"/>
    </xf>
    <xf numFmtId="0" fontId="2" fillId="0" borderId="0" xfId="0" applyFont="1" applyBorder="1"/>
    <xf numFmtId="3" fontId="11" fillId="2" borderId="3" xfId="0" applyNumberFormat="1" applyFont="1" applyFill="1" applyBorder="1" applyAlignment="1">
      <alignment horizontal="center"/>
    </xf>
    <xf numFmtId="3" fontId="2" fillId="2" borderId="16" xfId="0" applyNumberFormat="1" applyFont="1" applyFill="1" applyBorder="1" applyAlignment="1">
      <alignment horizontal="center"/>
    </xf>
    <xf numFmtId="4" fontId="10" fillId="2" borderId="15" xfId="0" applyNumberFormat="1" applyFont="1" applyFill="1" applyBorder="1" applyAlignment="1">
      <alignment horizontal="center"/>
    </xf>
    <xf numFmtId="3" fontId="2" fillId="2" borderId="17" xfId="0" applyNumberFormat="1" applyFont="1" applyFill="1" applyBorder="1"/>
    <xf numFmtId="3" fontId="2" fillId="0" borderId="17" xfId="0" applyNumberFormat="1" applyFont="1" applyBorder="1"/>
    <xf numFmtId="3" fontId="2" fillId="0" borderId="18" xfId="0" applyNumberFormat="1" applyFont="1" applyBorder="1"/>
    <xf numFmtId="3" fontId="2" fillId="2" borderId="15" xfId="0" applyNumberFormat="1" applyFont="1" applyFill="1" applyBorder="1" applyAlignment="1">
      <alignment horizontal="center"/>
    </xf>
    <xf numFmtId="3" fontId="2" fillId="2" borderId="17" xfId="0" applyNumberFormat="1" applyFont="1" applyFill="1" applyBorder="1" applyAlignment="1">
      <alignment horizontal="center"/>
    </xf>
    <xf numFmtId="3" fontId="10" fillId="2" borderId="15" xfId="0" applyNumberFormat="1" applyFont="1" applyFill="1" applyBorder="1" applyAlignment="1">
      <alignment horizontal="center"/>
    </xf>
    <xf numFmtId="0" fontId="15" fillId="0" borderId="0" xfId="0" applyFont="1"/>
    <xf numFmtId="0" fontId="17" fillId="0" borderId="0" xfId="0" applyFont="1"/>
    <xf numFmtId="0" fontId="14" fillId="0" borderId="0" xfId="0" applyFont="1"/>
    <xf numFmtId="0" fontId="20" fillId="0" borderId="0" xfId="0" applyFont="1"/>
    <xf numFmtId="0" fontId="15" fillId="0" borderId="0" xfId="0" applyFont="1" applyAlignment="1">
      <alignment horizontal="center"/>
    </xf>
    <xf numFmtId="9" fontId="13" fillId="0" borderId="0" xfId="0" applyNumberFormat="1" applyFont="1"/>
    <xf numFmtId="0" fontId="3" fillId="0" borderId="2" xfId="0" applyFont="1" applyBorder="1" applyAlignment="1">
      <alignment horizontal="center"/>
    </xf>
    <xf numFmtId="0" fontId="3" fillId="0" borderId="20" xfId="0" applyFont="1" applyBorder="1" applyAlignment="1">
      <alignment horizontal="center"/>
    </xf>
    <xf numFmtId="0" fontId="21" fillId="0" borderId="2" xfId="0" applyFont="1" applyBorder="1" applyAlignment="1">
      <alignment horizontal="center" vertical="center"/>
    </xf>
    <xf numFmtId="0" fontId="21" fillId="0" borderId="20" xfId="0" applyFont="1" applyBorder="1" applyAlignment="1">
      <alignment horizontal="center" vertical="center"/>
    </xf>
    <xf numFmtId="0" fontId="15" fillId="0" borderId="2" xfId="0" applyFont="1" applyBorder="1" applyAlignment="1">
      <alignment horizontal="right"/>
    </xf>
    <xf numFmtId="0" fontId="15" fillId="0" borderId="2" xfId="0" applyFont="1" applyBorder="1" applyAlignment="1">
      <alignment horizontal="center"/>
    </xf>
    <xf numFmtId="2" fontId="15" fillId="0" borderId="20" xfId="0" applyNumberFormat="1" applyFont="1" applyBorder="1" applyAlignment="1">
      <alignment vertical="center"/>
    </xf>
    <xf numFmtId="0" fontId="26" fillId="0" borderId="0" xfId="0" applyFont="1"/>
    <xf numFmtId="2" fontId="13" fillId="0" borderId="0" xfId="0" applyNumberFormat="1" applyFont="1" applyAlignment="1">
      <alignment horizontal="right"/>
    </xf>
    <xf numFmtId="0" fontId="8" fillId="0" borderId="0" xfId="0" applyFont="1" applyBorder="1" applyAlignment="1">
      <alignment horizontal="center"/>
    </xf>
    <xf numFmtId="0" fontId="22" fillId="0" borderId="0" xfId="0" applyFont="1" applyBorder="1" applyAlignment="1">
      <alignment horizontal="center" vertical="center"/>
    </xf>
    <xf numFmtId="2" fontId="23" fillId="0" borderId="0" xfId="0" applyNumberFormat="1" applyFont="1" applyBorder="1"/>
    <xf numFmtId="2" fontId="15" fillId="0" borderId="20" xfId="0" applyNumberFormat="1" applyFont="1" applyBorder="1" applyAlignment="1">
      <alignment horizontal="right"/>
    </xf>
    <xf numFmtId="2" fontId="14" fillId="0" borderId="20" xfId="0" applyNumberFormat="1" applyFont="1" applyBorder="1" applyAlignment="1">
      <alignment horizontal="right"/>
    </xf>
    <xf numFmtId="2" fontId="15" fillId="0" borderId="2" xfId="0" applyNumberFormat="1" applyFont="1" applyBorder="1"/>
    <xf numFmtId="0" fontId="15" fillId="0" borderId="2" xfId="0" applyFont="1" applyBorder="1"/>
    <xf numFmtId="0" fontId="21" fillId="0" borderId="0" xfId="0" applyFont="1" applyBorder="1" applyAlignment="1">
      <alignment horizontal="center" vertical="center"/>
    </xf>
    <xf numFmtId="2" fontId="29" fillId="0" borderId="0" xfId="0" applyNumberFormat="1" applyFont="1" applyAlignment="1">
      <alignment horizontal="right"/>
    </xf>
    <xf numFmtId="2" fontId="30" fillId="0" borderId="20" xfId="0" applyNumberFormat="1" applyFont="1" applyBorder="1" applyAlignment="1">
      <alignment horizontal="right" vertical="center"/>
    </xf>
    <xf numFmtId="2" fontId="30" fillId="0" borderId="2" xfId="0" applyNumberFormat="1" applyFont="1" applyBorder="1" applyAlignment="1">
      <alignment horizontal="right" vertical="center"/>
    </xf>
    <xf numFmtId="2" fontId="15" fillId="0" borderId="0" xfId="0" applyNumberFormat="1" applyFont="1"/>
    <xf numFmtId="0" fontId="24" fillId="0" borderId="24" xfId="0" applyFont="1" applyBorder="1" applyAlignment="1">
      <alignment horizontal="center" vertical="center"/>
    </xf>
    <xf numFmtId="0" fontId="24" fillId="0" borderId="19" xfId="0" applyFont="1" applyBorder="1" applyAlignment="1">
      <alignment horizontal="center" vertical="center"/>
    </xf>
    <xf numFmtId="2" fontId="16" fillId="0" borderId="27" xfId="0" applyNumberFormat="1" applyFont="1" applyBorder="1" applyAlignment="1">
      <alignment vertical="center"/>
    </xf>
    <xf numFmtId="2" fontId="16" fillId="0" borderId="1" xfId="0" applyNumberFormat="1" applyFont="1" applyBorder="1" applyAlignment="1">
      <alignment vertical="center"/>
    </xf>
    <xf numFmtId="2" fontId="34" fillId="8" borderId="20" xfId="0" applyNumberFormat="1" applyFont="1" applyFill="1" applyBorder="1" applyAlignment="1">
      <alignment horizontal="right" vertical="center"/>
    </xf>
    <xf numFmtId="2" fontId="34" fillId="8" borderId="2" xfId="0" applyNumberFormat="1" applyFont="1" applyFill="1" applyBorder="1" applyAlignment="1">
      <alignment horizontal="right" vertical="center"/>
    </xf>
    <xf numFmtId="2" fontId="36" fillId="0" borderId="0" xfId="0" applyNumberFormat="1" applyFont="1" applyAlignment="1">
      <alignment vertical="top"/>
    </xf>
    <xf numFmtId="0" fontId="29" fillId="4" borderId="0" xfId="0" applyFont="1" applyFill="1" applyBorder="1" applyAlignment="1">
      <alignment horizontal="center" vertical="center" wrapText="1"/>
    </xf>
    <xf numFmtId="0" fontId="23" fillId="0" borderId="0" xfId="0" applyFont="1" applyBorder="1" applyAlignment="1">
      <alignment horizontal="center" vertical="center" wrapText="1"/>
    </xf>
    <xf numFmtId="2" fontId="29" fillId="0" borderId="0" xfId="0" applyNumberFormat="1" applyFont="1" applyBorder="1" applyAlignment="1">
      <alignment horizontal="right" vertical="center"/>
    </xf>
    <xf numFmtId="0" fontId="26" fillId="0" borderId="0" xfId="0" applyFont="1" applyBorder="1"/>
    <xf numFmtId="0" fontId="25" fillId="0" borderId="0" xfId="0" applyFont="1" applyBorder="1" applyAlignment="1">
      <alignment horizontal="center" vertical="center"/>
    </xf>
    <xf numFmtId="2" fontId="29" fillId="0" borderId="0" xfId="0" applyNumberFormat="1" applyFont="1" applyBorder="1" applyAlignment="1">
      <alignment vertical="center"/>
    </xf>
    <xf numFmtId="2" fontId="35" fillId="8" borderId="0" xfId="0" applyNumberFormat="1" applyFont="1" applyFill="1" applyBorder="1" applyAlignment="1">
      <alignment horizontal="right" vertical="center"/>
    </xf>
    <xf numFmtId="2" fontId="31" fillId="3" borderId="0" xfId="0" applyNumberFormat="1" applyFont="1" applyFill="1" applyBorder="1" applyAlignment="1">
      <alignment horizontal="right" vertical="center"/>
    </xf>
    <xf numFmtId="0" fontId="7" fillId="0" borderId="0" xfId="0" applyFont="1" applyBorder="1"/>
    <xf numFmtId="0" fontId="7" fillId="0" borderId="13" xfId="0" applyFont="1" applyBorder="1"/>
    <xf numFmtId="3" fontId="12" fillId="2" borderId="3" xfId="0" applyNumberFormat="1" applyFont="1" applyFill="1" applyBorder="1" applyAlignment="1">
      <alignment horizontal="center"/>
    </xf>
    <xf numFmtId="3" fontId="12" fillId="2" borderId="15" xfId="0" applyNumberFormat="1" applyFont="1" applyFill="1" applyBorder="1" applyAlignment="1">
      <alignment horizontal="center"/>
    </xf>
    <xf numFmtId="0" fontId="3" fillId="0" borderId="0" xfId="0" applyFont="1"/>
    <xf numFmtId="4" fontId="38" fillId="2" borderId="12" xfId="0" applyNumberFormat="1" applyFont="1" applyFill="1" applyBorder="1" applyAlignment="1">
      <alignment horizontal="center"/>
    </xf>
    <xf numFmtId="4" fontId="38" fillId="2" borderId="3" xfId="0" applyNumberFormat="1" applyFont="1" applyFill="1" applyBorder="1" applyAlignment="1">
      <alignment horizontal="center"/>
    </xf>
    <xf numFmtId="2" fontId="39" fillId="0" borderId="28" xfId="0" applyNumberFormat="1" applyFont="1" applyBorder="1" applyAlignment="1">
      <alignment horizontal="right" vertical="center"/>
    </xf>
    <xf numFmtId="2" fontId="39" fillId="0" borderId="4" xfId="0" applyNumberFormat="1" applyFont="1" applyBorder="1" applyAlignment="1">
      <alignment horizontal="right" vertical="center"/>
    </xf>
    <xf numFmtId="2" fontId="18" fillId="0" borderId="28" xfId="0" applyNumberFormat="1" applyFont="1" applyBorder="1" applyAlignment="1">
      <alignment vertical="center"/>
    </xf>
    <xf numFmtId="0" fontId="2" fillId="0" borderId="0" xfId="0" applyFont="1" applyAlignment="1">
      <alignment horizontal="right" wrapText="1"/>
    </xf>
    <xf numFmtId="0" fontId="11" fillId="10" borderId="20" xfId="0" applyFont="1" applyFill="1" applyBorder="1" applyAlignment="1">
      <alignment horizontal="right" vertical="center" wrapText="1"/>
    </xf>
    <xf numFmtId="3" fontId="3" fillId="2" borderId="29" xfId="0" applyNumberFormat="1" applyFont="1" applyFill="1" applyBorder="1" applyAlignment="1">
      <alignment horizontal="center"/>
    </xf>
    <xf numFmtId="0" fontId="14" fillId="0" borderId="0" xfId="0" applyFont="1" applyAlignment="1">
      <alignment horizontal="right" wrapText="1"/>
    </xf>
    <xf numFmtId="0" fontId="18" fillId="0" borderId="0" xfId="0" applyFont="1" applyAlignment="1">
      <alignment vertical="center" wrapText="1"/>
    </xf>
    <xf numFmtId="0" fontId="13" fillId="2" borderId="2" xfId="0" applyFont="1" applyFill="1" applyBorder="1" applyAlignment="1">
      <alignment horizontal="center"/>
    </xf>
    <xf numFmtId="0" fontId="18" fillId="0" borderId="0" xfId="0" applyFont="1"/>
    <xf numFmtId="0" fontId="20" fillId="0" borderId="2" xfId="0" applyFont="1" applyBorder="1" applyAlignment="1">
      <alignment horizontal="center"/>
    </xf>
    <xf numFmtId="3" fontId="13" fillId="2" borderId="2" xfId="0" applyNumberFormat="1" applyFont="1" applyFill="1" applyBorder="1" applyAlignment="1">
      <alignment horizontal="center"/>
    </xf>
    <xf numFmtId="4" fontId="13" fillId="2" borderId="2" xfId="0" applyNumberFormat="1" applyFont="1" applyFill="1" applyBorder="1" applyAlignment="1">
      <alignment horizontal="right"/>
    </xf>
    <xf numFmtId="3" fontId="13" fillId="2" borderId="2" xfId="0" applyNumberFormat="1" applyFont="1" applyFill="1" applyBorder="1" applyAlignment="1">
      <alignment horizontal="right"/>
    </xf>
    <xf numFmtId="3" fontId="13" fillId="11" borderId="0" xfId="0" applyNumberFormat="1" applyFont="1" applyFill="1" applyAlignment="1">
      <alignment horizontal="right" vertical="center"/>
    </xf>
    <xf numFmtId="0" fontId="13" fillId="0" borderId="0" xfId="0" applyFont="1"/>
    <xf numFmtId="0" fontId="26" fillId="0" borderId="0" xfId="0" applyFont="1" applyAlignment="1">
      <alignment horizontal="right" wrapText="1"/>
    </xf>
    <xf numFmtId="0" fontId="38" fillId="0" borderId="0" xfId="0" applyFont="1" applyAlignment="1">
      <alignment horizontal="right" vertical="center"/>
    </xf>
    <xf numFmtId="0" fontId="42" fillId="0" borderId="0" xfId="0" applyFont="1" applyAlignment="1">
      <alignment horizontal="right" vertical="center" wrapText="1"/>
    </xf>
    <xf numFmtId="3" fontId="4" fillId="0" borderId="0" xfId="0" applyNumberFormat="1" applyFont="1" applyAlignment="1">
      <alignment vertical="center"/>
    </xf>
    <xf numFmtId="3" fontId="44" fillId="0" borderId="0" xfId="0" applyNumberFormat="1" applyFont="1" applyAlignment="1">
      <alignment vertical="top"/>
    </xf>
    <xf numFmtId="0" fontId="13" fillId="0" borderId="0" xfId="0" applyFont="1" applyAlignment="1">
      <alignment vertical="center" wrapText="1"/>
    </xf>
    <xf numFmtId="3" fontId="20" fillId="2" borderId="2" xfId="0" applyNumberFormat="1" applyFont="1" applyFill="1" applyBorder="1" applyAlignment="1">
      <alignment horizontal="right"/>
    </xf>
    <xf numFmtId="0" fontId="14" fillId="0" borderId="0" xfId="0" applyFont="1" applyAlignment="1">
      <alignment horizontal="right" vertical="center" wrapText="1"/>
    </xf>
    <xf numFmtId="0" fontId="2" fillId="0" borderId="0" xfId="0" applyFont="1" applyAlignment="1">
      <alignment vertical="center"/>
    </xf>
    <xf numFmtId="0" fontId="2" fillId="0" borderId="0" xfId="0" applyFont="1" applyAlignment="1"/>
    <xf numFmtId="2" fontId="2" fillId="0" borderId="0" xfId="0" applyNumberFormat="1" applyFont="1"/>
    <xf numFmtId="164" fontId="10" fillId="0" borderId="0" xfId="0" applyNumberFormat="1" applyFont="1" applyAlignment="1">
      <alignment horizontal="center"/>
    </xf>
    <xf numFmtId="4" fontId="2" fillId="0" borderId="0" xfId="0" applyNumberFormat="1" applyFont="1" applyAlignment="1">
      <alignment vertical="center"/>
    </xf>
    <xf numFmtId="4" fontId="2" fillId="0" borderId="0" xfId="0" applyNumberFormat="1" applyFont="1"/>
    <xf numFmtId="0" fontId="11" fillId="0" borderId="0" xfId="0" applyFont="1" applyAlignment="1">
      <alignment horizontal="right" vertical="center" wrapText="1"/>
    </xf>
    <xf numFmtId="0" fontId="10" fillId="0" borderId="0" xfId="0" applyFont="1" applyAlignment="1">
      <alignment horizontal="right" vertical="center" wrapText="1"/>
    </xf>
    <xf numFmtId="3" fontId="48" fillId="0" borderId="0" xfId="0" applyNumberFormat="1" applyFont="1"/>
    <xf numFmtId="0" fontId="10" fillId="0" borderId="20" xfId="0" applyFont="1" applyBorder="1" applyAlignment="1">
      <alignment horizontal="right" vertical="center" wrapText="1"/>
    </xf>
    <xf numFmtId="3" fontId="4" fillId="2" borderId="6" xfId="0" applyNumberFormat="1" applyFont="1" applyFill="1" applyBorder="1" applyAlignment="1">
      <alignment vertical="center"/>
    </xf>
    <xf numFmtId="3" fontId="45" fillId="0" borderId="2" xfId="0" applyNumberFormat="1" applyFont="1" applyBorder="1" applyAlignment="1">
      <alignment vertical="center"/>
    </xf>
    <xf numFmtId="3" fontId="45" fillId="0" borderId="5" xfId="0" applyNumberFormat="1" applyFont="1" applyBorder="1" applyAlignment="1">
      <alignment vertical="center"/>
    </xf>
    <xf numFmtId="3" fontId="3" fillId="2" borderId="6" xfId="0" applyNumberFormat="1" applyFont="1" applyFill="1" applyBorder="1" applyAlignment="1">
      <alignment vertical="center"/>
    </xf>
    <xf numFmtId="3" fontId="2" fillId="0" borderId="2" xfId="0" applyNumberFormat="1" applyFont="1" applyBorder="1" applyAlignment="1">
      <alignment vertical="center"/>
    </xf>
    <xf numFmtId="0" fontId="3" fillId="0" borderId="0" xfId="0" applyFont="1" applyAlignment="1">
      <alignment horizontal="right" wrapText="1"/>
    </xf>
    <xf numFmtId="3" fontId="3" fillId="2" borderId="19" xfId="0" applyNumberFormat="1" applyFont="1" applyFill="1" applyBorder="1" applyAlignment="1">
      <alignment horizontal="center"/>
    </xf>
    <xf numFmtId="3" fontId="3" fillId="2" borderId="30" xfId="0" applyNumberFormat="1" applyFont="1" applyFill="1" applyBorder="1" applyAlignment="1">
      <alignment horizontal="center"/>
    </xf>
    <xf numFmtId="0" fontId="18" fillId="12" borderId="14" xfId="0" applyFont="1" applyFill="1" applyBorder="1" applyAlignment="1">
      <alignment wrapText="1"/>
    </xf>
    <xf numFmtId="0" fontId="26" fillId="12" borderId="0" xfId="0" applyFont="1" applyFill="1"/>
    <xf numFmtId="0" fontId="13" fillId="12" borderId="14" xfId="0" applyFont="1" applyFill="1" applyBorder="1" applyAlignment="1">
      <alignment wrapText="1"/>
    </xf>
    <xf numFmtId="3" fontId="13" fillId="0" borderId="0" xfId="0" applyNumberFormat="1" applyFont="1" applyAlignment="1">
      <alignment vertical="center" wrapText="1"/>
    </xf>
    <xf numFmtId="0" fontId="49" fillId="0" borderId="0" xfId="0" applyFont="1" applyAlignment="1">
      <alignment horizontal="right" wrapText="1"/>
    </xf>
    <xf numFmtId="0" fontId="49" fillId="0" borderId="0" xfId="0" applyFont="1"/>
    <xf numFmtId="3" fontId="49" fillId="0" borderId="0" xfId="0" applyNumberFormat="1" applyFont="1"/>
    <xf numFmtId="0" fontId="29" fillId="0" borderId="2" xfId="0" applyFont="1" applyFill="1" applyBorder="1" applyAlignment="1">
      <alignment horizontal="center"/>
    </xf>
    <xf numFmtId="3" fontId="29" fillId="0" borderId="2" xfId="0" applyNumberFormat="1" applyFont="1" applyFill="1" applyBorder="1" applyAlignment="1">
      <alignment horizontal="center"/>
    </xf>
    <xf numFmtId="4" fontId="29" fillId="0" borderId="2" xfId="0" applyNumberFormat="1" applyFont="1" applyFill="1" applyBorder="1" applyAlignment="1">
      <alignment horizontal="right"/>
    </xf>
    <xf numFmtId="3" fontId="29" fillId="0" borderId="2" xfId="0" applyNumberFormat="1" applyFont="1" applyFill="1" applyBorder="1" applyAlignment="1">
      <alignment horizontal="right"/>
    </xf>
    <xf numFmtId="3" fontId="50" fillId="0" borderId="2" xfId="0" applyNumberFormat="1" applyFont="1" applyFill="1" applyBorder="1" applyAlignment="1">
      <alignment horizontal="right"/>
    </xf>
    <xf numFmtId="3" fontId="29" fillId="11" borderId="0" xfId="0" applyNumberFormat="1" applyFont="1" applyFill="1" applyAlignment="1">
      <alignment horizontal="right" vertical="center"/>
    </xf>
    <xf numFmtId="3" fontId="4" fillId="10" borderId="9" xfId="0" applyNumberFormat="1" applyFont="1" applyFill="1" applyBorder="1" applyAlignment="1">
      <alignment vertical="center"/>
    </xf>
    <xf numFmtId="3" fontId="4" fillId="10" borderId="4" xfId="0" applyNumberFormat="1" applyFont="1" applyFill="1" applyBorder="1" applyAlignment="1">
      <alignment vertical="center"/>
    </xf>
    <xf numFmtId="3" fontId="4" fillId="10" borderId="10" xfId="0" applyNumberFormat="1" applyFont="1" applyFill="1" applyBorder="1" applyAlignment="1">
      <alignment vertical="center"/>
    </xf>
    <xf numFmtId="3" fontId="3" fillId="10" borderId="9" xfId="0" applyNumberFormat="1" applyFont="1" applyFill="1" applyBorder="1" applyAlignment="1">
      <alignment vertical="center"/>
    </xf>
    <xf numFmtId="3" fontId="3" fillId="10" borderId="4" xfId="0" applyNumberFormat="1" applyFont="1" applyFill="1" applyBorder="1" applyAlignment="1">
      <alignment vertical="center"/>
    </xf>
    <xf numFmtId="3" fontId="3" fillId="10" borderId="10" xfId="0" applyNumberFormat="1" applyFont="1" applyFill="1" applyBorder="1" applyAlignment="1">
      <alignment vertical="center"/>
    </xf>
    <xf numFmtId="3" fontId="3" fillId="2" borderId="7" xfId="0" applyNumberFormat="1" applyFont="1" applyFill="1" applyBorder="1" applyAlignment="1">
      <alignment vertical="center"/>
    </xf>
    <xf numFmtId="3" fontId="2" fillId="0" borderId="1" xfId="0" applyNumberFormat="1" applyFont="1" applyBorder="1" applyAlignment="1">
      <alignment vertical="center"/>
    </xf>
    <xf numFmtId="3" fontId="2" fillId="0" borderId="8" xfId="0" applyNumberFormat="1" applyFont="1" applyBorder="1" applyAlignment="1">
      <alignment vertical="center"/>
    </xf>
    <xf numFmtId="3" fontId="3" fillId="0" borderId="0" xfId="0" applyNumberFormat="1" applyFont="1" applyAlignment="1">
      <alignment horizontal="center"/>
    </xf>
    <xf numFmtId="3" fontId="3" fillId="2" borderId="2" xfId="0" applyNumberFormat="1" applyFont="1" applyFill="1" applyBorder="1"/>
    <xf numFmtId="0" fontId="3" fillId="0" borderId="0" xfId="0" applyFont="1" applyBorder="1"/>
    <xf numFmtId="0" fontId="13" fillId="5" borderId="20"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13" fillId="5" borderId="20" xfId="0" applyFont="1" applyFill="1" applyBorder="1" applyAlignment="1">
      <alignment horizontal="right" vertical="center"/>
    </xf>
    <xf numFmtId="2" fontId="14" fillId="0" borderId="20" xfId="0" applyNumberFormat="1" applyFont="1" applyBorder="1"/>
    <xf numFmtId="0" fontId="14" fillId="0" borderId="20" xfId="0" applyFont="1" applyBorder="1"/>
    <xf numFmtId="2" fontId="13" fillId="0" borderId="27" xfId="0" applyNumberFormat="1" applyFont="1" applyBorder="1" applyAlignment="1">
      <alignment vertical="center"/>
    </xf>
    <xf numFmtId="2" fontId="33" fillId="8" borderId="20" xfId="0" applyNumberFormat="1" applyFont="1" applyFill="1" applyBorder="1" applyAlignment="1">
      <alignment horizontal="right" vertical="center"/>
    </xf>
    <xf numFmtId="2" fontId="31" fillId="3" borderId="20" xfId="0" applyNumberFormat="1" applyFont="1" applyFill="1" applyBorder="1" applyAlignment="1">
      <alignment horizontal="right" vertical="center"/>
    </xf>
    <xf numFmtId="2" fontId="39" fillId="3" borderId="28" xfId="0" applyNumberFormat="1" applyFont="1" applyFill="1" applyBorder="1" applyAlignment="1">
      <alignment horizontal="right" vertical="center"/>
    </xf>
    <xf numFmtId="0" fontId="13" fillId="5" borderId="35" xfId="0" applyFont="1" applyFill="1" applyBorder="1" applyAlignment="1">
      <alignment horizontal="center" vertical="center" wrapText="1"/>
    </xf>
    <xf numFmtId="0" fontId="14" fillId="5" borderId="36" xfId="0" applyFont="1" applyFill="1" applyBorder="1" applyAlignment="1">
      <alignment horizontal="center" vertical="center" wrapText="1"/>
    </xf>
    <xf numFmtId="0" fontId="13" fillId="5" borderId="36" xfId="0" applyFont="1" applyFill="1" applyBorder="1" applyAlignment="1">
      <alignment horizontal="right" vertical="center"/>
    </xf>
    <xf numFmtId="2" fontId="13" fillId="0" borderId="37" xfId="0" applyNumberFormat="1" applyFont="1" applyBorder="1" applyAlignment="1">
      <alignment horizontal="right"/>
    </xf>
    <xf numFmtId="0" fontId="19" fillId="0" borderId="37" xfId="0" applyFont="1" applyBorder="1"/>
    <xf numFmtId="0" fontId="3" fillId="0" borderId="36" xfId="0" applyFont="1" applyBorder="1" applyAlignment="1">
      <alignment horizontal="center"/>
    </xf>
    <xf numFmtId="0" fontId="21" fillId="0" borderId="36" xfId="0" applyFont="1" applyBorder="1" applyAlignment="1">
      <alignment horizontal="center" vertical="center"/>
    </xf>
    <xf numFmtId="2" fontId="14" fillId="0" borderId="36" xfId="0" applyNumberFormat="1" applyFont="1" applyBorder="1"/>
    <xf numFmtId="0" fontId="14" fillId="0" borderId="36" xfId="0" applyFont="1" applyBorder="1"/>
    <xf numFmtId="0" fontId="8" fillId="0" borderId="36" xfId="0" applyFont="1" applyBorder="1" applyAlignment="1">
      <alignment horizontal="center"/>
    </xf>
    <xf numFmtId="0" fontId="25" fillId="0" borderId="38" xfId="0" applyFont="1" applyBorder="1" applyAlignment="1">
      <alignment horizontal="center" vertical="center"/>
    </xf>
    <xf numFmtId="2" fontId="29" fillId="0" borderId="39" xfId="0" applyNumberFormat="1" applyFont="1" applyBorder="1" applyAlignment="1">
      <alignment vertical="center"/>
    </xf>
    <xf numFmtId="2" fontId="35" fillId="8" borderId="36" xfId="0" applyNumberFormat="1" applyFont="1" applyFill="1" applyBorder="1" applyAlignment="1">
      <alignment horizontal="right" vertical="center"/>
    </xf>
    <xf numFmtId="2" fontId="31" fillId="3" borderId="36" xfId="0" applyNumberFormat="1" applyFont="1" applyFill="1" applyBorder="1" applyAlignment="1">
      <alignment horizontal="right" vertical="center"/>
    </xf>
    <xf numFmtId="2" fontId="39" fillId="3" borderId="40" xfId="0" applyNumberFormat="1" applyFont="1" applyFill="1" applyBorder="1" applyAlignment="1">
      <alignment horizontal="right" vertical="center"/>
    </xf>
    <xf numFmtId="2" fontId="39" fillId="3" borderId="41" xfId="0" applyNumberFormat="1" applyFont="1" applyFill="1" applyBorder="1" applyAlignment="1">
      <alignment horizontal="right" vertical="center"/>
    </xf>
    <xf numFmtId="0" fontId="10" fillId="0" borderId="25" xfId="0" applyFont="1" applyBorder="1" applyAlignment="1">
      <alignment horizontal="right" vertical="center" wrapText="1"/>
    </xf>
    <xf numFmtId="3" fontId="3" fillId="2" borderId="16" xfId="0" applyNumberFormat="1" applyFont="1" applyFill="1" applyBorder="1" applyAlignment="1">
      <alignment vertical="center"/>
    </xf>
    <xf numFmtId="3" fontId="2" fillId="0" borderId="17" xfId="0" applyNumberFormat="1" applyFont="1" applyBorder="1" applyAlignment="1">
      <alignment vertical="center"/>
    </xf>
    <xf numFmtId="3" fontId="2" fillId="0" borderId="18" xfId="0" applyNumberFormat="1" applyFont="1" applyBorder="1" applyAlignment="1">
      <alignment vertical="center"/>
    </xf>
    <xf numFmtId="3" fontId="3" fillId="2" borderId="24" xfId="0" applyNumberFormat="1" applyFont="1" applyFill="1" applyBorder="1" applyAlignment="1">
      <alignment horizontal="center"/>
    </xf>
    <xf numFmtId="3" fontId="2" fillId="0" borderId="20" xfId="0" applyNumberFormat="1" applyFont="1" applyBorder="1" applyAlignment="1">
      <alignment vertical="center"/>
    </xf>
    <xf numFmtId="3" fontId="2" fillId="0" borderId="25" xfId="0" applyNumberFormat="1" applyFont="1" applyBorder="1" applyAlignment="1">
      <alignment vertical="center"/>
    </xf>
    <xf numFmtId="3" fontId="3" fillId="10" borderId="28" xfId="0" applyNumberFormat="1" applyFont="1" applyFill="1" applyBorder="1" applyAlignment="1">
      <alignment vertical="center"/>
    </xf>
    <xf numFmtId="3" fontId="2" fillId="0" borderId="27" xfId="0" applyNumberFormat="1" applyFont="1" applyBorder="1" applyAlignment="1">
      <alignment vertical="center"/>
    </xf>
    <xf numFmtId="3" fontId="3" fillId="2" borderId="44" xfId="0" applyNumberFormat="1" applyFont="1" applyFill="1" applyBorder="1" applyAlignment="1">
      <alignment horizontal="center"/>
    </xf>
    <xf numFmtId="3" fontId="3" fillId="2" borderId="45" xfId="0" applyNumberFormat="1" applyFont="1" applyFill="1" applyBorder="1" applyAlignment="1">
      <alignment vertical="center"/>
    </xf>
    <xf numFmtId="3" fontId="3" fillId="2" borderId="46" xfId="0" applyNumberFormat="1" applyFont="1" applyFill="1" applyBorder="1" applyAlignment="1">
      <alignment vertical="center"/>
    </xf>
    <xf numFmtId="3" fontId="3" fillId="10" borderId="47" xfId="0" applyNumberFormat="1" applyFont="1" applyFill="1" applyBorder="1" applyAlignment="1">
      <alignment vertical="center"/>
    </xf>
    <xf numFmtId="3" fontId="3" fillId="0" borderId="48" xfId="0" applyNumberFormat="1" applyFont="1" applyBorder="1" applyAlignment="1">
      <alignment horizontal="center"/>
    </xf>
    <xf numFmtId="3" fontId="3" fillId="0" borderId="0" xfId="0" applyNumberFormat="1" applyFont="1" applyBorder="1" applyAlignment="1">
      <alignment horizontal="center"/>
    </xf>
    <xf numFmtId="3" fontId="3" fillId="2" borderId="49" xfId="0" applyNumberFormat="1" applyFont="1" applyFill="1" applyBorder="1" applyAlignment="1">
      <alignment vertical="center"/>
    </xf>
    <xf numFmtId="3" fontId="3" fillId="10" borderId="50" xfId="0" applyNumberFormat="1" applyFont="1" applyFill="1" applyBorder="1" applyAlignment="1">
      <alignment vertical="center"/>
    </xf>
    <xf numFmtId="0" fontId="52" fillId="0" borderId="0" xfId="0" applyFont="1"/>
    <xf numFmtId="0" fontId="24" fillId="0" borderId="0" xfId="0" applyFont="1"/>
    <xf numFmtId="0" fontId="16" fillId="0" borderId="56" xfId="0" applyFont="1" applyBorder="1" applyAlignment="1">
      <alignment horizontal="center"/>
    </xf>
    <xf numFmtId="0" fontId="16" fillId="0" borderId="0" xfId="0" applyFont="1" applyBorder="1" applyAlignment="1">
      <alignment horizontal="center"/>
    </xf>
    <xf numFmtId="0" fontId="15" fillId="0" borderId="56" xfId="0" applyFont="1" applyBorder="1"/>
    <xf numFmtId="0" fontId="15" fillId="0" borderId="0" xfId="0" applyFont="1" applyBorder="1"/>
    <xf numFmtId="2" fontId="51" fillId="0" borderId="56" xfId="0" applyNumberFormat="1" applyFont="1" applyBorder="1"/>
    <xf numFmtId="2" fontId="51" fillId="0" borderId="0" xfId="0" applyNumberFormat="1" applyFont="1" applyBorder="1"/>
    <xf numFmtId="2" fontId="16" fillId="0" borderId="56" xfId="0" applyNumberFormat="1" applyFont="1" applyBorder="1"/>
    <xf numFmtId="2" fontId="16" fillId="0" borderId="0" xfId="0" applyNumberFormat="1" applyFont="1" applyBorder="1"/>
    <xf numFmtId="0" fontId="26" fillId="0" borderId="56" xfId="0" applyFont="1" applyBorder="1"/>
    <xf numFmtId="2" fontId="16" fillId="0" borderId="57" xfId="0" applyNumberFormat="1" applyFont="1" applyBorder="1"/>
    <xf numFmtId="2" fontId="16" fillId="0" borderId="58" xfId="0" applyNumberFormat="1" applyFont="1" applyBorder="1"/>
    <xf numFmtId="0" fontId="16" fillId="3" borderId="51" xfId="0" applyFont="1" applyFill="1" applyBorder="1" applyAlignment="1">
      <alignment horizontal="center"/>
    </xf>
    <xf numFmtId="0" fontId="15" fillId="3" borderId="34" xfId="0" applyFont="1" applyFill="1" applyBorder="1"/>
    <xf numFmtId="2" fontId="51" fillId="3" borderId="34" xfId="0" applyNumberFormat="1" applyFont="1" applyFill="1" applyBorder="1"/>
    <xf numFmtId="2" fontId="16" fillId="3" borderId="34" xfId="0" applyNumberFormat="1" applyFont="1" applyFill="1" applyBorder="1"/>
    <xf numFmtId="0" fontId="26" fillId="3" borderId="34" xfId="0" applyFont="1" applyFill="1" applyBorder="1"/>
    <xf numFmtId="2" fontId="16" fillId="3" borderId="52" xfId="0" applyNumberFormat="1" applyFont="1" applyFill="1" applyBorder="1"/>
    <xf numFmtId="2" fontId="18" fillId="0" borderId="0" xfId="0" applyNumberFormat="1" applyFont="1" applyBorder="1"/>
    <xf numFmtId="2" fontId="18" fillId="0" borderId="58" xfId="0" applyNumberFormat="1" applyFont="1" applyBorder="1"/>
    <xf numFmtId="0" fontId="37" fillId="0" borderId="0" xfId="0" applyFont="1"/>
    <xf numFmtId="0" fontId="54" fillId="0" borderId="0" xfId="0" applyFont="1" applyBorder="1" applyAlignment="1">
      <alignment horizontal="center"/>
    </xf>
    <xf numFmtId="0" fontId="37" fillId="0" borderId="0" xfId="0" applyFont="1" applyBorder="1"/>
    <xf numFmtId="0" fontId="2" fillId="0" borderId="0" xfId="0" applyFont="1" applyAlignment="1">
      <alignment horizontal="center"/>
    </xf>
    <xf numFmtId="2" fontId="4" fillId="0" borderId="0" xfId="0" applyNumberFormat="1" applyFont="1" applyAlignment="1">
      <alignment horizontal="left"/>
    </xf>
    <xf numFmtId="0" fontId="6" fillId="2" borderId="29" xfId="0" applyFont="1" applyFill="1" applyBorder="1" applyAlignment="1">
      <alignment horizontal="center" wrapText="1"/>
    </xf>
    <xf numFmtId="0" fontId="9" fillId="2" borderId="33" xfId="0" applyFont="1" applyFill="1" applyBorder="1" applyAlignment="1">
      <alignment horizontal="center" wrapText="1"/>
    </xf>
    <xf numFmtId="0" fontId="6" fillId="2" borderId="19" xfId="0" applyFont="1" applyFill="1" applyBorder="1" applyAlignment="1">
      <alignment horizontal="center" wrapText="1"/>
    </xf>
    <xf numFmtId="0" fontId="6" fillId="0" borderId="19" xfId="0" applyFont="1" applyBorder="1" applyAlignment="1">
      <alignment horizontal="center" wrapText="1"/>
    </xf>
    <xf numFmtId="0" fontId="6" fillId="0" borderId="30" xfId="0" applyFont="1" applyBorder="1" applyAlignment="1">
      <alignment horizontal="center" wrapText="1"/>
    </xf>
    <xf numFmtId="3" fontId="7" fillId="2" borderId="16" xfId="0" applyNumberFormat="1" applyFont="1" applyFill="1" applyBorder="1" applyAlignment="1">
      <alignment horizontal="center"/>
    </xf>
    <xf numFmtId="4" fontId="12" fillId="2" borderId="15" xfId="0" applyNumberFormat="1" applyFont="1" applyFill="1" applyBorder="1" applyAlignment="1">
      <alignment horizontal="center"/>
    </xf>
    <xf numFmtId="3" fontId="7" fillId="2" borderId="17" xfId="0" applyNumberFormat="1" applyFont="1" applyFill="1" applyBorder="1"/>
    <xf numFmtId="3" fontId="7" fillId="0" borderId="17" xfId="0" applyNumberFormat="1" applyFont="1" applyBorder="1"/>
    <xf numFmtId="3" fontId="7" fillId="0" borderId="18" xfId="0" applyNumberFormat="1" applyFont="1" applyBorder="1"/>
    <xf numFmtId="3" fontId="7" fillId="2" borderId="17" xfId="0" applyNumberFormat="1" applyFont="1" applyFill="1" applyBorder="1" applyAlignment="1">
      <alignment horizontal="center"/>
    </xf>
    <xf numFmtId="0" fontId="2" fillId="0" borderId="53" xfId="0" applyFont="1" applyBorder="1"/>
    <xf numFmtId="0" fontId="2" fillId="0" borderId="54" xfId="0" applyFont="1" applyBorder="1"/>
    <xf numFmtId="0" fontId="2" fillId="0" borderId="55" xfId="0" applyFont="1" applyBorder="1"/>
    <xf numFmtId="3" fontId="2" fillId="2" borderId="7" xfId="0" applyNumberFormat="1" applyFont="1" applyFill="1" applyBorder="1" applyAlignment="1">
      <alignment horizontal="center"/>
    </xf>
    <xf numFmtId="4" fontId="10" fillId="2" borderId="11" xfId="0" applyNumberFormat="1" applyFont="1" applyFill="1" applyBorder="1" applyAlignment="1">
      <alignment horizontal="center"/>
    </xf>
    <xf numFmtId="3" fontId="2" fillId="2" borderId="1" xfId="0" applyNumberFormat="1" applyFont="1" applyFill="1" applyBorder="1"/>
    <xf numFmtId="3" fontId="2" fillId="0" borderId="1" xfId="0" applyNumberFormat="1" applyFont="1" applyBorder="1"/>
    <xf numFmtId="3" fontId="2" fillId="0" borderId="8" xfId="0" applyNumberFormat="1" applyFont="1" applyBorder="1"/>
    <xf numFmtId="3" fontId="2" fillId="2" borderId="1" xfId="0" applyNumberFormat="1" applyFont="1" applyFill="1" applyBorder="1" applyAlignment="1">
      <alignment horizontal="center"/>
    </xf>
    <xf numFmtId="3" fontId="10" fillId="2" borderId="11" xfId="0" applyNumberFormat="1" applyFont="1" applyFill="1" applyBorder="1" applyAlignment="1">
      <alignment horizontal="center"/>
    </xf>
    <xf numFmtId="0" fontId="6" fillId="2" borderId="33" xfId="0" applyFont="1" applyFill="1" applyBorder="1" applyAlignment="1">
      <alignment horizontal="center" wrapText="1"/>
    </xf>
    <xf numFmtId="3" fontId="2" fillId="2" borderId="11" xfId="0" applyNumberFormat="1" applyFont="1" applyFill="1" applyBorder="1" applyAlignment="1">
      <alignment horizontal="center"/>
    </xf>
    <xf numFmtId="0" fontId="2" fillId="0" borderId="56" xfId="0" applyFont="1" applyBorder="1"/>
    <xf numFmtId="0" fontId="2" fillId="0" borderId="57" xfId="0" applyFont="1" applyBorder="1"/>
    <xf numFmtId="0" fontId="2" fillId="0" borderId="58" xfId="0" applyFont="1" applyBorder="1"/>
    <xf numFmtId="3" fontId="2" fillId="2" borderId="9" xfId="0" applyNumberFormat="1" applyFont="1" applyFill="1" applyBorder="1" applyAlignment="1">
      <alignment horizontal="center"/>
    </xf>
    <xf numFmtId="4" fontId="10" fillId="2" borderId="12" xfId="0" applyNumberFormat="1" applyFont="1" applyFill="1" applyBorder="1" applyAlignment="1">
      <alignment horizontal="center"/>
    </xf>
    <xf numFmtId="3" fontId="2" fillId="0" borderId="4" xfId="0" applyNumberFormat="1" applyFont="1" applyBorder="1"/>
    <xf numFmtId="3" fontId="2" fillId="0" borderId="10" xfId="0" applyNumberFormat="1" applyFont="1" applyBorder="1"/>
    <xf numFmtId="3" fontId="2" fillId="2" borderId="12" xfId="0" applyNumberFormat="1" applyFont="1" applyFill="1" applyBorder="1" applyAlignment="1">
      <alignment horizontal="center"/>
    </xf>
    <xf numFmtId="3" fontId="10" fillId="2" borderId="12" xfId="0" applyNumberFormat="1" applyFont="1" applyFill="1" applyBorder="1" applyAlignment="1">
      <alignment horizontal="center"/>
    </xf>
    <xf numFmtId="3" fontId="2" fillId="2" borderId="4" xfId="0" applyNumberFormat="1" applyFont="1" applyFill="1" applyBorder="1"/>
    <xf numFmtId="3" fontId="2" fillId="2" borderId="4" xfId="0" applyNumberFormat="1" applyFont="1" applyFill="1" applyBorder="1" applyAlignment="1">
      <alignment horizontal="center"/>
    </xf>
    <xf numFmtId="0" fontId="29" fillId="0" borderId="0" xfId="0" applyFont="1" applyFill="1" applyBorder="1" applyAlignment="1"/>
    <xf numFmtId="3" fontId="29" fillId="0" borderId="0" xfId="0" applyNumberFormat="1" applyFont="1" applyFill="1" applyAlignment="1">
      <alignment vertical="center"/>
    </xf>
    <xf numFmtId="0" fontId="18" fillId="12" borderId="0" xfId="0" applyFont="1" applyFill="1" applyBorder="1" applyAlignment="1">
      <alignment wrapText="1"/>
    </xf>
    <xf numFmtId="0" fontId="29" fillId="0" borderId="60" xfId="0" applyFont="1" applyFill="1" applyBorder="1" applyAlignment="1"/>
    <xf numFmtId="3" fontId="3" fillId="0" borderId="0" xfId="0" applyNumberFormat="1" applyFont="1" applyFill="1" applyAlignment="1">
      <alignment horizontal="center"/>
    </xf>
    <xf numFmtId="3" fontId="3" fillId="0" borderId="48" xfId="0" applyNumberFormat="1" applyFont="1" applyFill="1" applyBorder="1" applyAlignment="1">
      <alignment horizontal="center"/>
    </xf>
    <xf numFmtId="3" fontId="3" fillId="0" borderId="0" xfId="0" applyNumberFormat="1" applyFont="1" applyFill="1" applyBorder="1" applyAlignment="1">
      <alignment horizontal="center"/>
    </xf>
    <xf numFmtId="0" fontId="10" fillId="0" borderId="25" xfId="0" applyFont="1" applyFill="1" applyBorder="1" applyAlignment="1">
      <alignment horizontal="right" vertical="center" wrapText="1"/>
    </xf>
    <xf numFmtId="3" fontId="2" fillId="0" borderId="18" xfId="0" applyNumberFormat="1" applyFont="1" applyFill="1" applyBorder="1" applyAlignment="1">
      <alignment vertical="center"/>
    </xf>
    <xf numFmtId="3" fontId="3" fillId="10" borderId="61" xfId="0" applyNumberFormat="1" applyFont="1" applyFill="1" applyBorder="1" applyAlignment="1">
      <alignment vertical="center"/>
    </xf>
    <xf numFmtId="3" fontId="3" fillId="2" borderId="63" xfId="0" applyNumberFormat="1" applyFont="1" applyFill="1" applyBorder="1" applyAlignment="1">
      <alignment horizontal="center"/>
    </xf>
    <xf numFmtId="3" fontId="2" fillId="0" borderId="36" xfId="0" applyNumberFormat="1" applyFont="1" applyBorder="1" applyAlignment="1">
      <alignment vertical="center"/>
    </xf>
    <xf numFmtId="3" fontId="2" fillId="0" borderId="64" xfId="0" applyNumberFormat="1" applyFont="1" applyBorder="1" applyAlignment="1">
      <alignment vertical="center"/>
    </xf>
    <xf numFmtId="3" fontId="3" fillId="10" borderId="40" xfId="0" applyNumberFormat="1" applyFont="1" applyFill="1" applyBorder="1" applyAlignment="1">
      <alignment vertical="center"/>
    </xf>
    <xf numFmtId="3" fontId="3" fillId="0" borderId="37" xfId="0" applyNumberFormat="1" applyFont="1" applyFill="1" applyBorder="1" applyAlignment="1">
      <alignment horizontal="center"/>
    </xf>
    <xf numFmtId="3" fontId="4" fillId="13" borderId="37" xfId="0" applyNumberFormat="1" applyFont="1" applyFill="1" applyBorder="1" applyAlignment="1">
      <alignment horizontal="center"/>
    </xf>
    <xf numFmtId="3" fontId="45" fillId="13" borderId="39" xfId="0" applyNumberFormat="1" applyFont="1" applyFill="1" applyBorder="1" applyAlignment="1">
      <alignment vertical="center"/>
    </xf>
    <xf numFmtId="3" fontId="3" fillId="10" borderId="41" xfId="0" applyNumberFormat="1" applyFont="1" applyFill="1" applyBorder="1" applyAlignment="1">
      <alignment vertical="center"/>
    </xf>
    <xf numFmtId="0" fontId="13" fillId="2" borderId="20" xfId="0" applyFont="1" applyFill="1" applyBorder="1" applyAlignment="1">
      <alignment horizontal="center"/>
    </xf>
    <xf numFmtId="3" fontId="13" fillId="2" borderId="20" xfId="0" applyNumberFormat="1" applyFont="1" applyFill="1" applyBorder="1" applyAlignment="1">
      <alignment horizontal="center"/>
    </xf>
    <xf numFmtId="4" fontId="13" fillId="2" borderId="20" xfId="0" applyNumberFormat="1" applyFont="1" applyFill="1" applyBorder="1" applyAlignment="1">
      <alignment horizontal="right"/>
    </xf>
    <xf numFmtId="3" fontId="13" fillId="2" borderId="20" xfId="0" applyNumberFormat="1" applyFont="1" applyFill="1" applyBorder="1" applyAlignment="1">
      <alignment horizontal="right"/>
    </xf>
    <xf numFmtId="3" fontId="20" fillId="2" borderId="20" xfId="0" applyNumberFormat="1" applyFont="1" applyFill="1" applyBorder="1" applyAlignment="1">
      <alignment horizontal="right"/>
    </xf>
    <xf numFmtId="0" fontId="29" fillId="12" borderId="0" xfId="0" applyFont="1" applyFill="1" applyBorder="1" applyAlignment="1">
      <alignment wrapText="1"/>
    </xf>
    <xf numFmtId="0" fontId="29" fillId="0" borderId="65" xfId="0" applyFont="1" applyFill="1" applyBorder="1" applyAlignment="1">
      <alignment horizontal="center"/>
    </xf>
    <xf numFmtId="3" fontId="29" fillId="0" borderId="66" xfId="0" applyNumberFormat="1" applyFont="1" applyFill="1" applyBorder="1" applyAlignment="1">
      <alignment horizontal="center"/>
    </xf>
    <xf numFmtId="4" fontId="29" fillId="0" borderId="66" xfId="0" applyNumberFormat="1" applyFont="1" applyFill="1" applyBorder="1" applyAlignment="1">
      <alignment horizontal="right"/>
    </xf>
    <xf numFmtId="3" fontId="29" fillId="0" borderId="66" xfId="0" applyNumberFormat="1" applyFont="1" applyFill="1" applyBorder="1" applyAlignment="1">
      <alignment horizontal="right"/>
    </xf>
    <xf numFmtId="3" fontId="50" fillId="0" borderId="66" xfId="0" applyNumberFormat="1" applyFont="1" applyFill="1" applyBorder="1" applyAlignment="1">
      <alignment horizontal="right"/>
    </xf>
    <xf numFmtId="3" fontId="50" fillId="0" borderId="67" xfId="0" applyNumberFormat="1" applyFont="1" applyFill="1" applyBorder="1" applyAlignment="1">
      <alignment horizontal="right"/>
    </xf>
    <xf numFmtId="0" fontId="7" fillId="13" borderId="13" xfId="0" applyFont="1" applyFill="1" applyBorder="1"/>
    <xf numFmtId="3" fontId="45" fillId="13" borderId="6" xfId="0" applyNumberFormat="1" applyFont="1" applyFill="1" applyBorder="1" applyAlignment="1">
      <alignment horizontal="center"/>
    </xf>
    <xf numFmtId="4" fontId="12" fillId="13" borderId="3" xfId="0" applyNumberFormat="1" applyFont="1" applyFill="1" applyBorder="1" applyAlignment="1">
      <alignment horizontal="center"/>
    </xf>
    <xf numFmtId="3" fontId="7" fillId="13" borderId="2" xfId="0" applyNumberFormat="1" applyFont="1" applyFill="1" applyBorder="1"/>
    <xf numFmtId="3" fontId="7" fillId="13" borderId="5" xfId="0" applyNumberFormat="1" applyFont="1" applyFill="1" applyBorder="1"/>
    <xf numFmtId="3" fontId="45" fillId="13" borderId="2" xfId="0" applyNumberFormat="1" applyFont="1" applyFill="1" applyBorder="1" applyAlignment="1">
      <alignment horizontal="center"/>
    </xf>
    <xf numFmtId="3" fontId="12" fillId="13" borderId="3" xfId="0" applyNumberFormat="1" applyFont="1" applyFill="1" applyBorder="1" applyAlignment="1">
      <alignment horizontal="center"/>
    </xf>
    <xf numFmtId="4" fontId="42" fillId="13" borderId="3" xfId="0" applyNumberFormat="1" applyFont="1" applyFill="1" applyBorder="1" applyAlignment="1">
      <alignment horizontal="center"/>
    </xf>
    <xf numFmtId="0" fontId="7" fillId="13" borderId="59" xfId="0" applyFont="1" applyFill="1" applyBorder="1"/>
    <xf numFmtId="3" fontId="45" fillId="13" borderId="9" xfId="0" applyNumberFormat="1" applyFont="1" applyFill="1" applyBorder="1" applyAlignment="1">
      <alignment horizontal="center"/>
    </xf>
    <xf numFmtId="4" fontId="12" fillId="13" borderId="12" xfId="0" applyNumberFormat="1" applyFont="1" applyFill="1" applyBorder="1" applyAlignment="1">
      <alignment horizontal="center"/>
    </xf>
    <xf numFmtId="3" fontId="7" fillId="13" borderId="4" xfId="0" applyNumberFormat="1" applyFont="1" applyFill="1" applyBorder="1"/>
    <xf numFmtId="3" fontId="7" fillId="13" borderId="10" xfId="0" applyNumberFormat="1" applyFont="1" applyFill="1" applyBorder="1"/>
    <xf numFmtId="3" fontId="45" fillId="13" borderId="4" xfId="0" applyNumberFormat="1" applyFont="1" applyFill="1" applyBorder="1" applyAlignment="1">
      <alignment horizontal="center"/>
    </xf>
    <xf numFmtId="3" fontId="12" fillId="13" borderId="12" xfId="0" applyNumberFormat="1" applyFont="1" applyFill="1" applyBorder="1" applyAlignment="1">
      <alignment horizontal="center"/>
    </xf>
    <xf numFmtId="4" fontId="42" fillId="13" borderId="12" xfId="0" applyNumberFormat="1" applyFont="1" applyFill="1" applyBorder="1" applyAlignment="1">
      <alignment horizontal="center"/>
    </xf>
    <xf numFmtId="3" fontId="2" fillId="2" borderId="68" xfId="0" applyNumberFormat="1" applyFont="1" applyFill="1" applyBorder="1" applyAlignment="1">
      <alignment horizontal="center"/>
    </xf>
    <xf numFmtId="4" fontId="10" fillId="2" borderId="69" xfId="0" applyNumberFormat="1" applyFont="1" applyFill="1" applyBorder="1" applyAlignment="1">
      <alignment horizontal="center"/>
    </xf>
    <xf numFmtId="3" fontId="2" fillId="2" borderId="70" xfId="0" applyNumberFormat="1" applyFont="1" applyFill="1" applyBorder="1"/>
    <xf numFmtId="3" fontId="2" fillId="0" borderId="70" xfId="0" applyNumberFormat="1" applyFont="1" applyBorder="1"/>
    <xf numFmtId="3" fontId="2" fillId="0" borderId="71" xfId="0" applyNumberFormat="1" applyFont="1" applyBorder="1"/>
    <xf numFmtId="3" fontId="2" fillId="2" borderId="70" xfId="0" applyNumberFormat="1" applyFont="1" applyFill="1" applyBorder="1" applyAlignment="1">
      <alignment horizontal="center"/>
    </xf>
    <xf numFmtId="3" fontId="10" fillId="2" borderId="69" xfId="0" applyNumberFormat="1" applyFont="1" applyFill="1" applyBorder="1" applyAlignment="1">
      <alignment horizontal="center"/>
    </xf>
    <xf numFmtId="0" fontId="7" fillId="13" borderId="53" xfId="0" applyFont="1" applyFill="1" applyBorder="1"/>
    <xf numFmtId="0" fontId="7" fillId="13" borderId="55" xfId="0" applyFont="1" applyFill="1" applyBorder="1"/>
    <xf numFmtId="3" fontId="45" fillId="13" borderId="7" xfId="0" applyNumberFormat="1" applyFont="1" applyFill="1" applyBorder="1" applyAlignment="1">
      <alignment horizontal="center"/>
    </xf>
    <xf numFmtId="4" fontId="12" fillId="13" borderId="11" xfId="0" applyNumberFormat="1" applyFont="1" applyFill="1" applyBorder="1" applyAlignment="1">
      <alignment horizontal="center"/>
    </xf>
    <xf numFmtId="3" fontId="7" fillId="13" borderId="1" xfId="0" applyNumberFormat="1" applyFont="1" applyFill="1" applyBorder="1"/>
    <xf numFmtId="3" fontId="7" fillId="13" borderId="8" xfId="0" applyNumberFormat="1" applyFont="1" applyFill="1" applyBorder="1"/>
    <xf numFmtId="3" fontId="45" fillId="13" borderId="1" xfId="0" applyNumberFormat="1" applyFont="1" applyFill="1" applyBorder="1" applyAlignment="1">
      <alignment horizontal="center"/>
    </xf>
    <xf numFmtId="3" fontId="12" fillId="13" borderId="11" xfId="0" applyNumberFormat="1" applyFont="1" applyFill="1" applyBorder="1" applyAlignment="1">
      <alignment horizontal="center"/>
    </xf>
    <xf numFmtId="4" fontId="42" fillId="13" borderId="11" xfId="0" applyNumberFormat="1" applyFont="1" applyFill="1" applyBorder="1" applyAlignment="1">
      <alignment horizontal="center"/>
    </xf>
    <xf numFmtId="0" fontId="7" fillId="13" borderId="56" xfId="0" applyFont="1" applyFill="1" applyBorder="1"/>
    <xf numFmtId="0" fontId="7" fillId="13" borderId="57" xfId="0" applyFont="1" applyFill="1" applyBorder="1"/>
    <xf numFmtId="0" fontId="45" fillId="0" borderId="0" xfId="0" applyFont="1" applyAlignment="1">
      <alignment wrapText="1"/>
    </xf>
    <xf numFmtId="0" fontId="45" fillId="0" borderId="0" xfId="0" applyFont="1"/>
    <xf numFmtId="0" fontId="4" fillId="13" borderId="56" xfId="0" applyFont="1" applyFill="1" applyBorder="1"/>
    <xf numFmtId="0" fontId="4" fillId="13" borderId="53" xfId="0" applyFont="1" applyFill="1" applyBorder="1"/>
    <xf numFmtId="0" fontId="4" fillId="13" borderId="55" xfId="0" applyFont="1" applyFill="1" applyBorder="1"/>
    <xf numFmtId="0" fontId="4" fillId="13" borderId="13" xfId="0" applyFont="1" applyFill="1" applyBorder="1"/>
    <xf numFmtId="0" fontId="4" fillId="13" borderId="34" xfId="0" applyFont="1" applyFill="1" applyBorder="1"/>
    <xf numFmtId="0" fontId="4" fillId="13" borderId="0" xfId="0" applyFont="1" applyFill="1"/>
    <xf numFmtId="0" fontId="4" fillId="13" borderId="57" xfId="0" applyFont="1" applyFill="1" applyBorder="1"/>
    <xf numFmtId="0" fontId="4" fillId="13" borderId="59" xfId="0" applyFont="1" applyFill="1" applyBorder="1"/>
    <xf numFmtId="3" fontId="2" fillId="0" borderId="0" xfId="0" applyNumberFormat="1" applyFont="1"/>
    <xf numFmtId="3" fontId="2" fillId="2" borderId="69" xfId="0" applyNumberFormat="1" applyFont="1" applyFill="1" applyBorder="1" applyAlignment="1">
      <alignment horizontal="center"/>
    </xf>
    <xf numFmtId="3" fontId="2" fillId="2" borderId="29" xfId="0" applyNumberFormat="1" applyFont="1" applyFill="1" applyBorder="1" applyAlignment="1">
      <alignment horizontal="center"/>
    </xf>
    <xf numFmtId="4" fontId="10" fillId="2" borderId="33" xfId="0" applyNumberFormat="1" applyFont="1" applyFill="1" applyBorder="1" applyAlignment="1">
      <alignment horizontal="center"/>
    </xf>
    <xf numFmtId="3" fontId="2" fillId="2" borderId="19" xfId="0" applyNumberFormat="1" applyFont="1" applyFill="1" applyBorder="1"/>
    <xf numFmtId="3" fontId="2" fillId="0" borderId="19" xfId="0" applyNumberFormat="1" applyFont="1" applyBorder="1"/>
    <xf numFmtId="3" fontId="2" fillId="0" borderId="30" xfId="0" applyNumberFormat="1" applyFont="1" applyBorder="1"/>
    <xf numFmtId="3" fontId="2" fillId="2" borderId="33" xfId="0" applyNumberFormat="1" applyFont="1" applyFill="1" applyBorder="1" applyAlignment="1">
      <alignment horizontal="center"/>
    </xf>
    <xf numFmtId="3" fontId="10" fillId="2" borderId="33" xfId="0" applyNumberFormat="1" applyFont="1" applyFill="1" applyBorder="1" applyAlignment="1">
      <alignment horizontal="center"/>
    </xf>
    <xf numFmtId="3" fontId="2" fillId="2" borderId="19" xfId="0" applyNumberFormat="1" applyFont="1" applyFill="1" applyBorder="1" applyAlignment="1">
      <alignment horizontal="center"/>
    </xf>
    <xf numFmtId="0" fontId="18" fillId="0" borderId="0" xfId="0" applyFont="1" applyAlignment="1">
      <alignment horizontal="right"/>
    </xf>
    <xf numFmtId="0" fontId="26" fillId="0" borderId="0" xfId="0" applyFont="1" applyAlignment="1">
      <alignment horizontal="right"/>
    </xf>
    <xf numFmtId="9" fontId="18" fillId="0" borderId="0" xfId="0" applyNumberFormat="1" applyFont="1" applyAlignment="1">
      <alignment horizontal="right"/>
    </xf>
    <xf numFmtId="2" fontId="45" fillId="0" borderId="0" xfId="0" applyNumberFormat="1" applyFont="1" applyBorder="1" applyAlignment="1">
      <alignment horizontal="right" vertical="center" wrapText="1"/>
    </xf>
    <xf numFmtId="2" fontId="4" fillId="0" borderId="54" xfId="0" applyNumberFormat="1" applyFont="1" applyBorder="1" applyAlignment="1">
      <alignment horizontal="right" vertical="center" wrapText="1"/>
    </xf>
    <xf numFmtId="2" fontId="45" fillId="13" borderId="58" xfId="0" applyNumberFormat="1" applyFont="1" applyFill="1" applyBorder="1" applyAlignment="1">
      <alignment horizontal="right" vertical="center" wrapText="1"/>
    </xf>
    <xf numFmtId="2" fontId="39" fillId="13" borderId="40" xfId="0" applyNumberFormat="1" applyFont="1" applyFill="1" applyBorder="1" applyAlignment="1">
      <alignment horizontal="right" vertical="center"/>
    </xf>
    <xf numFmtId="2" fontId="39" fillId="13" borderId="41" xfId="0" applyNumberFormat="1" applyFont="1" applyFill="1" applyBorder="1" applyAlignment="1">
      <alignment horizontal="right" vertical="center"/>
    </xf>
    <xf numFmtId="0" fontId="47" fillId="0" borderId="0" xfId="0" applyFont="1"/>
    <xf numFmtId="2" fontId="56" fillId="0" borderId="0" xfId="0" applyNumberFormat="1" applyFont="1" applyAlignment="1">
      <alignment horizontal="center"/>
    </xf>
    <xf numFmtId="0" fontId="56" fillId="0" borderId="0" xfId="0" applyFont="1" applyAlignment="1">
      <alignment horizontal="left"/>
    </xf>
    <xf numFmtId="3" fontId="3" fillId="0" borderId="54" xfId="0" applyNumberFormat="1" applyFont="1" applyBorder="1"/>
    <xf numFmtId="0" fontId="11" fillId="0" borderId="0" xfId="0" applyFont="1" applyAlignment="1">
      <alignment vertical="center" wrapText="1"/>
    </xf>
    <xf numFmtId="3" fontId="3" fillId="0" borderId="0" xfId="0" applyNumberFormat="1" applyFont="1"/>
    <xf numFmtId="0" fontId="15" fillId="0" borderId="0" xfId="0" applyFont="1" applyAlignment="1">
      <alignment horizontal="left" vertical="top" wrapText="1"/>
    </xf>
    <xf numFmtId="0" fontId="2" fillId="13" borderId="53" xfId="0" applyFont="1" applyFill="1" applyBorder="1"/>
    <xf numFmtId="0" fontId="2" fillId="13" borderId="54" xfId="0" applyFont="1" applyFill="1" applyBorder="1"/>
    <xf numFmtId="3" fontId="2" fillId="13" borderId="7" xfId="0" applyNumberFormat="1" applyFont="1" applyFill="1" applyBorder="1" applyAlignment="1">
      <alignment horizontal="center"/>
    </xf>
    <xf numFmtId="4" fontId="10" fillId="13" borderId="11" xfId="0" applyNumberFormat="1" applyFont="1" applyFill="1" applyBorder="1" applyAlignment="1">
      <alignment horizontal="center"/>
    </xf>
    <xf numFmtId="3" fontId="2" fillId="13" borderId="1" xfId="0" applyNumberFormat="1" applyFont="1" applyFill="1" applyBorder="1"/>
    <xf numFmtId="3" fontId="2" fillId="13" borderId="8" xfId="0" applyNumberFormat="1" applyFont="1" applyFill="1" applyBorder="1"/>
    <xf numFmtId="3" fontId="2" fillId="13" borderId="11" xfId="0" applyNumberFormat="1" applyFont="1" applyFill="1" applyBorder="1" applyAlignment="1">
      <alignment horizontal="center"/>
    </xf>
    <xf numFmtId="3" fontId="10" fillId="13" borderId="11" xfId="0" applyNumberFormat="1" applyFont="1" applyFill="1" applyBorder="1" applyAlignment="1">
      <alignment horizontal="center"/>
    </xf>
    <xf numFmtId="3" fontId="2" fillId="13" borderId="1" xfId="0" applyNumberFormat="1" applyFont="1" applyFill="1" applyBorder="1" applyAlignment="1">
      <alignment horizontal="center"/>
    </xf>
    <xf numFmtId="0" fontId="2" fillId="13" borderId="56" xfId="0" applyFont="1" applyFill="1" applyBorder="1"/>
    <xf numFmtId="0" fontId="2" fillId="13" borderId="0" xfId="0" applyFont="1" applyFill="1" applyBorder="1"/>
    <xf numFmtId="0" fontId="3" fillId="13" borderId="0" xfId="0" applyFont="1" applyFill="1" applyBorder="1"/>
    <xf numFmtId="3" fontId="2" fillId="13" borderId="6" xfId="0" applyNumberFormat="1" applyFont="1" applyFill="1" applyBorder="1" applyAlignment="1">
      <alignment horizontal="center"/>
    </xf>
    <xf numFmtId="4" fontId="10" fillId="13" borderId="3" xfId="0" applyNumberFormat="1" applyFont="1" applyFill="1" applyBorder="1" applyAlignment="1">
      <alignment horizontal="center"/>
    </xf>
    <xf numFmtId="3" fontId="2" fillId="13" borderId="2" xfId="0" applyNumberFormat="1" applyFont="1" applyFill="1" applyBorder="1"/>
    <xf numFmtId="3" fontId="2" fillId="13" borderId="5" xfId="0" applyNumberFormat="1" applyFont="1" applyFill="1" applyBorder="1"/>
    <xf numFmtId="3" fontId="2" fillId="13" borderId="3" xfId="0" applyNumberFormat="1" applyFont="1" applyFill="1" applyBorder="1" applyAlignment="1">
      <alignment horizontal="center"/>
    </xf>
    <xf numFmtId="3" fontId="10" fillId="13" borderId="3" xfId="0" applyNumberFormat="1" applyFont="1" applyFill="1" applyBorder="1" applyAlignment="1">
      <alignment horizontal="center"/>
    </xf>
    <xf numFmtId="3" fontId="2" fillId="13" borderId="2" xfId="0" applyNumberFormat="1" applyFont="1" applyFill="1" applyBorder="1" applyAlignment="1">
      <alignment horizontal="center"/>
    </xf>
    <xf numFmtId="0" fontId="2" fillId="13" borderId="57" xfId="0" applyFont="1" applyFill="1" applyBorder="1"/>
    <xf numFmtId="0" fontId="2" fillId="13" borderId="58" xfId="0" applyFont="1" applyFill="1" applyBorder="1"/>
    <xf numFmtId="3" fontId="2" fillId="13" borderId="72" xfId="0" applyNumberFormat="1" applyFont="1" applyFill="1" applyBorder="1" applyAlignment="1">
      <alignment horizontal="center"/>
    </xf>
    <xf numFmtId="4" fontId="10" fillId="13" borderId="73" xfId="0" applyNumberFormat="1" applyFont="1" applyFill="1" applyBorder="1" applyAlignment="1">
      <alignment horizontal="center"/>
    </xf>
    <xf numFmtId="3" fontId="2" fillId="13" borderId="74" xfId="0" applyNumberFormat="1" applyFont="1" applyFill="1" applyBorder="1"/>
    <xf numFmtId="3" fontId="2" fillId="13" borderId="75" xfId="0" applyNumberFormat="1" applyFont="1" applyFill="1" applyBorder="1"/>
    <xf numFmtId="3" fontId="2" fillId="13" borderId="73" xfId="0" applyNumberFormat="1" applyFont="1" applyFill="1" applyBorder="1" applyAlignment="1">
      <alignment horizontal="center"/>
    </xf>
    <xf numFmtId="3" fontId="10" fillId="13" borderId="73" xfId="0" applyNumberFormat="1" applyFont="1" applyFill="1" applyBorder="1" applyAlignment="1">
      <alignment horizontal="center"/>
    </xf>
    <xf numFmtId="3" fontId="2" fillId="13" borderId="74" xfId="0" applyNumberFormat="1" applyFont="1" applyFill="1" applyBorder="1" applyAlignment="1">
      <alignment horizontal="center"/>
    </xf>
    <xf numFmtId="3" fontId="4" fillId="13" borderId="1" xfId="0" applyNumberFormat="1" applyFont="1" applyFill="1" applyBorder="1"/>
    <xf numFmtId="3" fontId="4" fillId="13" borderId="2" xfId="0" applyNumberFormat="1" applyFont="1" applyFill="1" applyBorder="1"/>
    <xf numFmtId="3" fontId="4" fillId="13" borderId="74" xfId="0" applyNumberFormat="1" applyFont="1" applyFill="1" applyBorder="1"/>
    <xf numFmtId="0" fontId="2" fillId="0" borderId="56" xfId="0" applyFont="1" applyBorder="1" applyAlignment="1">
      <alignment wrapText="1"/>
    </xf>
    <xf numFmtId="0" fontId="2" fillId="0" borderId="0" xfId="0" applyFont="1" applyBorder="1" applyAlignment="1">
      <alignment wrapText="1"/>
    </xf>
    <xf numFmtId="0" fontId="7" fillId="0" borderId="56" xfId="0" applyFont="1" applyBorder="1"/>
    <xf numFmtId="0" fontId="8" fillId="2" borderId="57" xfId="0" applyFont="1" applyFill="1" applyBorder="1"/>
    <xf numFmtId="0" fontId="8" fillId="2" borderId="58" xfId="0" applyFont="1" applyFill="1" applyBorder="1"/>
    <xf numFmtId="3" fontId="8" fillId="2" borderId="4" xfId="0" applyNumberFormat="1" applyFont="1" applyFill="1" applyBorder="1" applyAlignment="1">
      <alignment horizontal="center"/>
    </xf>
    <xf numFmtId="3" fontId="11" fillId="2" borderId="12" xfId="0" applyNumberFormat="1" applyFont="1" applyFill="1" applyBorder="1" applyAlignment="1">
      <alignment horizontal="center"/>
    </xf>
    <xf numFmtId="3" fontId="45" fillId="0" borderId="5" xfId="0" applyNumberFormat="1" applyFont="1" applyBorder="1"/>
    <xf numFmtId="3" fontId="45" fillId="0" borderId="71" xfId="0" applyNumberFormat="1" applyFont="1" applyBorder="1"/>
    <xf numFmtId="3" fontId="45" fillId="13" borderId="8" xfId="0" applyNumberFormat="1" applyFont="1" applyFill="1" applyBorder="1"/>
    <xf numFmtId="3" fontId="45" fillId="13" borderId="5" xfId="0" applyNumberFormat="1" applyFont="1" applyFill="1" applyBorder="1"/>
    <xf numFmtId="3" fontId="45" fillId="13" borderId="10" xfId="0" applyNumberFormat="1" applyFont="1" applyFill="1" applyBorder="1"/>
    <xf numFmtId="3" fontId="45" fillId="0" borderId="18" xfId="0" applyNumberFormat="1" applyFont="1" applyBorder="1"/>
    <xf numFmtId="3" fontId="4" fillId="0" borderId="5" xfId="0" applyNumberFormat="1" applyFont="1" applyBorder="1"/>
    <xf numFmtId="0" fontId="58" fillId="0" borderId="0" xfId="0" applyFont="1" applyAlignment="1">
      <alignment horizontal="right" wrapText="1"/>
    </xf>
    <xf numFmtId="0" fontId="40" fillId="0" borderId="0" xfId="0" applyFont="1" applyAlignment="1">
      <alignment horizontal="center" vertical="center" wrapText="1"/>
    </xf>
    <xf numFmtId="0" fontId="14" fillId="0" borderId="2" xfId="0" applyFont="1" applyBorder="1" applyAlignment="1">
      <alignment horizontal="right" wrapText="1"/>
    </xf>
    <xf numFmtId="0" fontId="14" fillId="0" borderId="0" xfId="0" applyFont="1" applyAlignment="1">
      <alignment horizontal="left" vertical="center" wrapText="1"/>
    </xf>
    <xf numFmtId="3" fontId="3" fillId="2" borderId="26" xfId="0" applyNumberFormat="1" applyFont="1" applyFill="1" applyBorder="1" applyAlignment="1">
      <alignment horizontal="center"/>
    </xf>
    <xf numFmtId="3" fontId="3" fillId="2" borderId="31" xfId="0" applyNumberFormat="1" applyFont="1" applyFill="1" applyBorder="1" applyAlignment="1">
      <alignment horizontal="center"/>
    </xf>
    <xf numFmtId="0" fontId="11" fillId="9" borderId="20" xfId="0" applyFont="1" applyFill="1" applyBorder="1" applyAlignment="1">
      <alignment horizontal="right" vertical="center" wrapText="1"/>
    </xf>
    <xf numFmtId="0" fontId="11" fillId="9" borderId="2" xfId="0" applyFont="1" applyFill="1" applyBorder="1" applyAlignment="1">
      <alignment horizontal="right" vertical="center" wrapText="1"/>
    </xf>
    <xf numFmtId="3" fontId="3" fillId="2" borderId="32" xfId="0" applyNumberFormat="1" applyFont="1" applyFill="1" applyBorder="1" applyAlignment="1">
      <alignment horizontal="center"/>
    </xf>
    <xf numFmtId="3" fontId="3" fillId="2" borderId="42" xfId="0" applyNumberFormat="1" applyFont="1" applyFill="1" applyBorder="1" applyAlignment="1">
      <alignment horizontal="center"/>
    </xf>
    <xf numFmtId="3" fontId="3" fillId="2" borderId="43" xfId="0" applyNumberFormat="1" applyFont="1" applyFill="1" applyBorder="1" applyAlignment="1">
      <alignment horizontal="center"/>
    </xf>
    <xf numFmtId="3" fontId="3" fillId="2" borderId="62" xfId="0" applyNumberFormat="1" applyFont="1" applyFill="1" applyBorder="1" applyAlignment="1">
      <alignment horizontal="center"/>
    </xf>
    <xf numFmtId="0" fontId="20" fillId="0" borderId="2" xfId="0" applyFont="1" applyBorder="1" applyAlignment="1">
      <alignment horizontal="right" wrapText="1"/>
    </xf>
    <xf numFmtId="0" fontId="13" fillId="0" borderId="0" xfId="0" applyFont="1" applyAlignment="1">
      <alignment horizontal="center" wrapText="1"/>
    </xf>
    <xf numFmtId="0" fontId="14" fillId="0" borderId="2" xfId="0" applyFont="1" applyBorder="1" applyAlignment="1">
      <alignment horizontal="center" wrapText="1"/>
    </xf>
    <xf numFmtId="0" fontId="58" fillId="0" borderId="0" xfId="0" applyFont="1" applyAlignment="1">
      <alignment horizontal="right" vertical="top" wrapText="1"/>
    </xf>
    <xf numFmtId="0" fontId="11" fillId="9" borderId="0" xfId="0" applyFont="1" applyFill="1" applyAlignment="1">
      <alignment horizontal="right" vertical="center" wrapText="1"/>
    </xf>
    <xf numFmtId="0" fontId="11" fillId="9" borderId="76" xfId="0" applyFont="1" applyFill="1" applyBorder="1" applyAlignment="1">
      <alignment horizontal="right" vertical="center" wrapText="1"/>
    </xf>
    <xf numFmtId="0" fontId="46" fillId="0" borderId="21" xfId="0" applyFont="1" applyBorder="1" applyAlignment="1">
      <alignment horizontal="left" vertical="top" wrapText="1"/>
    </xf>
    <xf numFmtId="0" fontId="46" fillId="0" borderId="0" xfId="0" applyFont="1" applyBorder="1" applyAlignment="1">
      <alignment horizontal="left" vertical="top" wrapText="1"/>
    </xf>
    <xf numFmtId="165" fontId="43" fillId="11" borderId="0" xfId="0" applyNumberFormat="1" applyFont="1" applyFill="1" applyAlignment="1">
      <alignment horizontal="right" vertical="center" wrapText="1"/>
    </xf>
    <xf numFmtId="0" fontId="13" fillId="2" borderId="7" xfId="0" applyFont="1" applyFill="1" applyBorder="1" applyAlignment="1">
      <alignment horizontal="center" wrapText="1"/>
    </xf>
    <xf numFmtId="0" fontId="13" fillId="2" borderId="11" xfId="0" applyFont="1" applyFill="1" applyBorder="1" applyAlignment="1">
      <alignment horizontal="center" wrapText="1"/>
    </xf>
    <xf numFmtId="0" fontId="13" fillId="2" borderId="1" xfId="0" applyFont="1" applyFill="1" applyBorder="1" applyAlignment="1">
      <alignment horizontal="center" wrapText="1"/>
    </xf>
    <xf numFmtId="0" fontId="13" fillId="2" borderId="8" xfId="0" applyFont="1" applyFill="1" applyBorder="1" applyAlignment="1">
      <alignment horizontal="center" wrapText="1"/>
    </xf>
    <xf numFmtId="0" fontId="14" fillId="2" borderId="11" xfId="0" applyFont="1" applyFill="1" applyBorder="1" applyAlignment="1">
      <alignment horizontal="center" wrapText="1"/>
    </xf>
    <xf numFmtId="0" fontId="14" fillId="2" borderId="1" xfId="0" applyFont="1" applyFill="1" applyBorder="1" applyAlignment="1">
      <alignment horizontal="center" wrapText="1"/>
    </xf>
    <xf numFmtId="0" fontId="14" fillId="2" borderId="8" xfId="0" applyFont="1" applyFill="1" applyBorder="1" applyAlignment="1">
      <alignment horizontal="center" wrapText="1"/>
    </xf>
    <xf numFmtId="0" fontId="14" fillId="2" borderId="2" xfId="0" applyFont="1" applyFill="1" applyBorder="1" applyAlignment="1">
      <alignment horizontal="center" wrapText="1"/>
    </xf>
    <xf numFmtId="0" fontId="3" fillId="0" borderId="0" xfId="0" applyFont="1" applyAlignment="1">
      <alignment horizontal="right" vertical="top" wrapText="1"/>
    </xf>
    <xf numFmtId="0" fontId="2" fillId="0" borderId="0" xfId="0" applyFont="1" applyAlignment="1">
      <alignment horizontal="right"/>
    </xf>
    <xf numFmtId="0" fontId="40" fillId="0" borderId="0" xfId="0" applyFont="1" applyAlignment="1">
      <alignment horizontal="center" vertical="center"/>
    </xf>
    <xf numFmtId="0" fontId="14" fillId="2" borderId="3" xfId="0" applyFont="1" applyFill="1" applyBorder="1" applyAlignment="1">
      <alignment horizontal="center" wrapText="1"/>
    </xf>
    <xf numFmtId="0" fontId="55" fillId="0" borderId="0" xfId="0" applyFont="1" applyAlignment="1">
      <alignment horizontal="right" vertical="center"/>
    </xf>
    <xf numFmtId="0" fontId="55" fillId="0" borderId="13" xfId="0" applyFont="1" applyBorder="1" applyAlignment="1">
      <alignment horizontal="right" vertical="center"/>
    </xf>
    <xf numFmtId="0" fontId="57" fillId="0" borderId="0" xfId="0" applyFont="1" applyAlignment="1">
      <alignment horizontal="right"/>
    </xf>
    <xf numFmtId="3" fontId="3" fillId="0" borderId="0" xfId="0" applyNumberFormat="1" applyFont="1" applyAlignment="1">
      <alignment horizontal="center"/>
    </xf>
    <xf numFmtId="0" fontId="3" fillId="0" borderId="0" xfId="0" applyFont="1" applyAlignment="1">
      <alignment horizontal="center"/>
    </xf>
    <xf numFmtId="0" fontId="2" fillId="0" borderId="0" xfId="0" applyFont="1" applyAlignment="1">
      <alignment horizontal="right" vertical="center"/>
    </xf>
    <xf numFmtId="0" fontId="2" fillId="0" borderId="0" xfId="0" applyFont="1" applyAlignment="1">
      <alignment horizontal="center" vertical="center" wrapText="1"/>
    </xf>
    <xf numFmtId="0" fontId="10" fillId="0" borderId="0" xfId="0" applyFont="1" applyAlignment="1">
      <alignment horizontal="center"/>
    </xf>
    <xf numFmtId="0" fontId="15" fillId="0" borderId="0" xfId="0" applyFont="1" applyAlignment="1">
      <alignment horizontal="left" vertical="top" wrapText="1"/>
    </xf>
    <xf numFmtId="0" fontId="24" fillId="0" borderId="0" xfId="0" applyFont="1" applyAlignment="1">
      <alignment horizontal="left" vertical="center" wrapText="1"/>
    </xf>
    <xf numFmtId="0" fontId="9" fillId="6" borderId="22" xfId="0" applyFont="1" applyFill="1" applyBorder="1" applyAlignment="1">
      <alignment horizontal="right" vertical="center" wrapText="1"/>
    </xf>
    <xf numFmtId="0" fontId="9" fillId="6" borderId="3" xfId="0" applyFont="1" applyFill="1" applyBorder="1" applyAlignment="1">
      <alignment horizontal="right" vertical="center" wrapText="1"/>
    </xf>
    <xf numFmtId="0" fontId="39" fillId="6" borderId="23" xfId="0" applyFont="1" applyFill="1" applyBorder="1" applyAlignment="1">
      <alignment horizontal="right" vertical="center" wrapText="1"/>
    </xf>
    <xf numFmtId="0" fontId="39" fillId="6" borderId="12" xfId="0" applyFont="1" applyFill="1" applyBorder="1" applyAlignment="1">
      <alignment horizontal="right" vertical="center" wrapText="1"/>
    </xf>
    <xf numFmtId="0" fontId="33" fillId="7" borderId="22" xfId="0" applyFont="1" applyFill="1" applyBorder="1" applyAlignment="1">
      <alignment horizontal="right" vertical="center" wrapText="1"/>
    </xf>
    <xf numFmtId="0" fontId="33" fillId="7" borderId="3" xfId="0" applyFont="1" applyFill="1" applyBorder="1" applyAlignment="1">
      <alignment horizontal="right" vertical="center" wrapText="1"/>
    </xf>
    <xf numFmtId="0" fontId="32" fillId="6" borderId="26" xfId="0" applyFont="1" applyFill="1" applyBorder="1" applyAlignment="1">
      <alignment horizontal="right" vertical="center" wrapText="1"/>
    </xf>
    <xf numFmtId="0" fontId="32" fillId="6" borderId="11" xfId="0" applyFont="1" applyFill="1" applyBorder="1" applyAlignment="1">
      <alignment horizontal="right" vertical="center" wrapText="1"/>
    </xf>
    <xf numFmtId="0" fontId="2" fillId="0" borderId="0" xfId="0" applyFont="1" applyBorder="1" applyAlignment="1">
      <alignment horizontal="left" vertical="center" wrapText="1"/>
    </xf>
    <xf numFmtId="0" fontId="16" fillId="0" borderId="53" xfId="0" applyFont="1" applyBorder="1" applyAlignment="1">
      <alignment horizontal="center"/>
    </xf>
    <xf numFmtId="0" fontId="16" fillId="0" borderId="54" xfId="0" applyFont="1" applyBorder="1" applyAlignment="1">
      <alignment horizontal="center"/>
    </xf>
    <xf numFmtId="0" fontId="15" fillId="0" borderId="19" xfId="0" applyFont="1" applyBorder="1" applyAlignment="1">
      <alignment horizontal="center"/>
    </xf>
    <xf numFmtId="0" fontId="15" fillId="0" borderId="17" xfId="0" applyFont="1" applyBorder="1" applyAlignment="1">
      <alignment horizontal="center"/>
    </xf>
    <xf numFmtId="0" fontId="15" fillId="0" borderId="2" xfId="0" applyFont="1" applyBorder="1" applyAlignment="1">
      <alignment horizontal="center" wrapText="1"/>
    </xf>
    <xf numFmtId="0" fontId="14" fillId="0" borderId="0" xfId="0" applyFont="1" applyAlignment="1">
      <alignment horizontal="right"/>
    </xf>
    <xf numFmtId="0" fontId="16" fillId="0" borderId="0" xfId="0" applyFont="1" applyAlignment="1">
      <alignment horizontal="center"/>
    </xf>
    <xf numFmtId="0" fontId="14" fillId="4" borderId="2" xfId="0" applyFont="1" applyFill="1" applyBorder="1" applyAlignment="1">
      <alignment horizontal="center" vertical="center"/>
    </xf>
    <xf numFmtId="0" fontId="13" fillId="0" borderId="2" xfId="0" applyFont="1" applyBorder="1" applyAlignment="1">
      <alignment horizontal="right" vertical="center"/>
    </xf>
    <xf numFmtId="0" fontId="26" fillId="0" borderId="0" xfId="0" applyFont="1" applyAlignment="1">
      <alignment horizontal="right" wrapText="1"/>
    </xf>
  </cellXfs>
  <cellStyles count="2">
    <cellStyle name="Excel Built-in Normal" xfId="1" xr:uid="{D04EB298-92D5-48FD-AB54-8AB7A9E29D78}"/>
    <cellStyle name="Parasts" xfId="0" builtinId="0"/>
  </cellStyles>
  <dxfs count="0"/>
  <tableStyles count="0" defaultTableStyle="TableStyleMedium2" defaultPivotStyle="PivotStyleLight16"/>
  <colors>
    <mruColors>
      <color rgb="FFCCFF66"/>
      <color rgb="FFF5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4C43C-24D1-462A-9BE8-578F9A6BD681}">
  <dimension ref="A1:S45"/>
  <sheetViews>
    <sheetView tabSelected="1" zoomScale="80" zoomScaleNormal="80" workbookViewId="0">
      <selection activeCell="S23" sqref="S23"/>
    </sheetView>
  </sheetViews>
  <sheetFormatPr defaultRowHeight="14" x14ac:dyDescent="0.3"/>
  <cols>
    <col min="1" max="1" width="25" style="117" customWidth="1"/>
    <col min="2" max="2" width="12.90625" style="117" customWidth="1"/>
    <col min="3" max="11" width="10.54296875" style="65" customWidth="1"/>
    <col min="12" max="16384" width="8.7265625" style="65"/>
  </cols>
  <sheetData>
    <row r="1" spans="1:19" ht="15.5" x14ac:dyDescent="0.35">
      <c r="A1" s="414" t="s">
        <v>119</v>
      </c>
      <c r="B1" s="414"/>
      <c r="C1" s="414"/>
      <c r="D1" s="414"/>
      <c r="E1" s="414"/>
      <c r="F1" s="414"/>
      <c r="G1" s="414"/>
      <c r="H1" s="414"/>
      <c r="I1" s="414"/>
      <c r="J1" s="414"/>
      <c r="K1" s="414"/>
      <c r="L1" s="414"/>
      <c r="M1" s="414"/>
      <c r="N1" s="414"/>
      <c r="O1" s="414"/>
      <c r="P1" s="414"/>
      <c r="Q1" s="414"/>
      <c r="R1" s="414"/>
      <c r="S1" s="414"/>
    </row>
    <row r="2" spans="1:19" ht="37" customHeight="1" x14ac:dyDescent="0.3">
      <c r="A2" s="429" t="s">
        <v>120</v>
      </c>
      <c r="B2" s="429"/>
      <c r="C2" s="429"/>
      <c r="D2" s="429"/>
      <c r="E2" s="429"/>
      <c r="F2" s="429"/>
      <c r="G2" s="429"/>
      <c r="H2" s="429"/>
      <c r="I2" s="429"/>
      <c r="J2" s="429"/>
      <c r="K2" s="429"/>
      <c r="L2" s="429"/>
      <c r="M2" s="429"/>
      <c r="N2" s="429"/>
      <c r="O2" s="429"/>
      <c r="P2" s="429"/>
      <c r="Q2" s="429"/>
      <c r="R2" s="429"/>
      <c r="S2" s="429"/>
    </row>
    <row r="3" spans="1:19" ht="59" customHeight="1" thickBot="1" x14ac:dyDescent="0.35">
      <c r="A3" s="415" t="s">
        <v>121</v>
      </c>
      <c r="B3" s="415"/>
      <c r="C3" s="415"/>
      <c r="D3" s="415"/>
      <c r="E3" s="415"/>
      <c r="F3" s="415"/>
      <c r="G3" s="415"/>
      <c r="H3" s="415"/>
      <c r="I3" s="415"/>
      <c r="J3" s="415"/>
      <c r="K3" s="415"/>
      <c r="L3" s="415"/>
      <c r="M3" s="415"/>
      <c r="N3" s="415"/>
      <c r="O3" s="415"/>
      <c r="P3" s="415"/>
      <c r="Q3" s="415"/>
      <c r="R3" s="415"/>
      <c r="S3" s="415"/>
    </row>
    <row r="4" spans="1:19" s="54" customFormat="1" ht="14" customHeight="1" thickTop="1" thickBot="1" x14ac:dyDescent="0.35">
      <c r="A4" s="104"/>
      <c r="B4" s="104"/>
      <c r="C4" s="418" t="s">
        <v>76</v>
      </c>
      <c r="D4" s="419"/>
      <c r="E4" s="422"/>
      <c r="F4" s="418" t="s">
        <v>77</v>
      </c>
      <c r="G4" s="419"/>
      <c r="H4" s="419"/>
      <c r="I4" s="423">
        <v>2026</v>
      </c>
      <c r="J4" s="424"/>
      <c r="K4" s="425"/>
    </row>
    <row r="5" spans="1:19" s="116" customFormat="1" ht="14.5" thickTop="1" x14ac:dyDescent="0.3">
      <c r="A5" s="140"/>
      <c r="B5" s="140"/>
      <c r="C5" s="106" t="s">
        <v>0</v>
      </c>
      <c r="D5" s="141" t="s">
        <v>50</v>
      </c>
      <c r="E5" s="142" t="s">
        <v>51</v>
      </c>
      <c r="F5" s="106" t="s">
        <v>0</v>
      </c>
      <c r="G5" s="141" t="s">
        <v>50</v>
      </c>
      <c r="H5" s="197" t="s">
        <v>51</v>
      </c>
      <c r="I5" s="202" t="s">
        <v>0</v>
      </c>
      <c r="J5" s="197" t="s">
        <v>50</v>
      </c>
      <c r="K5" s="280" t="s">
        <v>51</v>
      </c>
    </row>
    <row r="6" spans="1:19" x14ac:dyDescent="0.3">
      <c r="A6" s="420" t="s">
        <v>90</v>
      </c>
      <c r="B6" s="134" t="s">
        <v>52</v>
      </c>
      <c r="C6" s="135"/>
      <c r="D6" s="136"/>
      <c r="E6" s="137"/>
      <c r="F6" s="138">
        <v>16707946</v>
      </c>
      <c r="G6" s="139">
        <v>3043061</v>
      </c>
      <c r="H6" s="198">
        <v>13664885</v>
      </c>
      <c r="I6" s="203">
        <v>19316275</v>
      </c>
      <c r="J6" s="198">
        <v>3449095</v>
      </c>
      <c r="K6" s="281">
        <v>15867180</v>
      </c>
      <c r="L6" s="55" t="str">
        <f>A6</f>
        <v>Bāze</v>
      </c>
    </row>
    <row r="7" spans="1:19" s="54" customFormat="1" x14ac:dyDescent="0.3">
      <c r="A7" s="421"/>
      <c r="B7" s="193" t="s">
        <v>53</v>
      </c>
      <c r="C7" s="194"/>
      <c r="D7" s="195"/>
      <c r="E7" s="196"/>
      <c r="F7" s="194">
        <v>38985208</v>
      </c>
      <c r="G7" s="195">
        <v>7100476</v>
      </c>
      <c r="H7" s="199">
        <v>31884732</v>
      </c>
      <c r="I7" s="204">
        <v>45071308</v>
      </c>
      <c r="J7" s="199">
        <v>8047888</v>
      </c>
      <c r="K7" s="282">
        <v>37023420</v>
      </c>
      <c r="L7" s="55"/>
    </row>
    <row r="8" spans="1:19" ht="14" customHeight="1" thickBot="1" x14ac:dyDescent="0.35">
      <c r="A8" s="421"/>
      <c r="B8" s="105" t="s">
        <v>0</v>
      </c>
      <c r="C8" s="156"/>
      <c r="D8" s="157"/>
      <c r="E8" s="158"/>
      <c r="F8" s="159">
        <v>55693154</v>
      </c>
      <c r="G8" s="160">
        <v>10143537</v>
      </c>
      <c r="H8" s="200">
        <v>45549617</v>
      </c>
      <c r="I8" s="205">
        <v>64387583</v>
      </c>
      <c r="J8" s="200">
        <v>11496983</v>
      </c>
      <c r="K8" s="283">
        <v>52890600</v>
      </c>
      <c r="L8" s="55"/>
    </row>
    <row r="9" spans="1:19" ht="26" customHeight="1" thickBot="1" x14ac:dyDescent="0.35">
      <c r="A9" s="131"/>
      <c r="B9" s="132"/>
      <c r="C9" s="165" t="str">
        <f>C5</f>
        <v>KOPĀ</v>
      </c>
      <c r="D9" s="165" t="str">
        <f t="shared" ref="D9:K9" si="0">D5</f>
        <v>GMI</v>
      </c>
      <c r="E9" s="274" t="str">
        <f t="shared" si="0"/>
        <v>MP</v>
      </c>
      <c r="F9" s="274" t="str">
        <f t="shared" si="0"/>
        <v>KOPĀ</v>
      </c>
      <c r="G9" s="274" t="str">
        <f t="shared" si="0"/>
        <v>GMI</v>
      </c>
      <c r="H9" s="274" t="str">
        <f t="shared" si="0"/>
        <v>MP</v>
      </c>
      <c r="I9" s="275" t="str">
        <f t="shared" si="0"/>
        <v>KOPĀ</v>
      </c>
      <c r="J9" s="276" t="str">
        <f t="shared" si="0"/>
        <v>GMI</v>
      </c>
      <c r="K9" s="284" t="str">
        <f t="shared" si="0"/>
        <v>MP</v>
      </c>
      <c r="L9" s="55"/>
    </row>
    <row r="10" spans="1:19" x14ac:dyDescent="0.3">
      <c r="A10" s="420" t="s">
        <v>91</v>
      </c>
      <c r="B10" s="134" t="s">
        <v>52</v>
      </c>
      <c r="C10" s="162">
        <f>D10+E10</f>
        <v>14346157.066600002</v>
      </c>
      <c r="D10" s="163">
        <f>GMI!F25</f>
        <v>2564559.2710000002</v>
      </c>
      <c r="E10" s="164">
        <f>758039.234+'MP Faktiskā izpilde_plāns'!H5+'MP Faktiskā izpilde_plāns'!H6+'MP Faktiskā izpilde_plāns'!H7+'MP Faktiskā izpilde_plāns'!H8+'MP Faktiskā izpilde_plāns'!H9+'MP Faktiskā izpilde_plāns'!H10+'MP Faktiskā izpilde_plāns'!H11+'MP Faktiskā izpilde_plāns'!H12+'MP Faktiskā izpilde_plāns'!H13+'MP Faktiskā izpilde_plāns'!H14+'MP Faktiskā izpilde_plāns'!H15</f>
        <v>11781597.795600003</v>
      </c>
      <c r="F10" s="138">
        <f>G10+H10</f>
        <v>14022558.540999997</v>
      </c>
      <c r="G10" s="139">
        <f>GMI!K25</f>
        <v>3043097.3459999999</v>
      </c>
      <c r="H10" s="198">
        <f>'MP Faktiskā izpilde_plāns'!H16+'MP Faktiskā izpilde_plāns'!H21+'MP Faktiskā izpilde_plāns'!H22+'MP Faktiskā izpilde_plāns'!H23+'MP Faktiskā izpilde_plāns'!H24+'MP Faktiskā izpilde_plāns'!H25+'MP Faktiskā izpilde_plāns'!H26+'MP Faktiskā izpilde_plāns'!H27+'MP Faktiskā izpilde_plāns'!H28+'MP Faktiskā izpilde_plāns'!H29+'MP Faktiskā izpilde_plāns'!H30+'MP Faktiskā izpilde_plāns'!H31</f>
        <v>10979461.194999998</v>
      </c>
      <c r="I10" s="203">
        <f>J10+K10</f>
        <v>24330259.446776677</v>
      </c>
      <c r="J10" s="198">
        <f>GMI!P25</f>
        <v>3316306.6319999998</v>
      </c>
      <c r="K10" s="281">
        <f>'MP Faktiskā izpilde_plāns'!H32+'MP Faktiskā izpilde_plāns'!H70+'MP Faktiskā izpilde_plāns'!H71+'MP Faktiskā izpilde_plāns'!H72+'MP Faktiskā izpilde_plāns'!H73+'MP Faktiskā izpilde_plāns'!H74+'MP Faktiskā izpilde_plāns'!H75+'MP Faktiskā izpilde_plāns'!H76+'MP Faktiskā izpilde_plāns'!H77+'MP Faktiskā izpilde_plāns'!H78+'MP Faktiskā izpilde_plāns'!H79+'MP Faktiskā izpilde_plāns'!H80</f>
        <v>21013952.814776678</v>
      </c>
      <c r="L10" s="55" t="str">
        <f>A10</f>
        <v>Precizēts  izdevumu plāns atbilstoši faktsikajiem izdevumiem līdz 31.01.2026.</v>
      </c>
    </row>
    <row r="11" spans="1:19" s="54" customFormat="1" x14ac:dyDescent="0.3">
      <c r="A11" s="421"/>
      <c r="B11" s="277" t="s">
        <v>53</v>
      </c>
      <c r="C11" s="194">
        <f t="shared" ref="C11:C12" si="1">D11+E11</f>
        <v>33474362.65206667</v>
      </c>
      <c r="D11" s="195">
        <f>GMI!E25</f>
        <v>5983970.828999999</v>
      </c>
      <c r="E11" s="278">
        <f>1768758.21266667+'MP Faktiskā izpilde_plāns'!G5+'MP Faktiskā izpilde_plāns'!G6+'MP Faktiskā izpilde_plāns'!G7+'MP Faktiskā izpilde_plāns'!G8+'MP Faktiskā izpilde_plāns'!G9+'MP Faktiskā izpilde_plāns'!G10+'MP Faktiskā izpilde_plāns'!G11+'MP Faktiskā izpilde_plāns'!G12+'MP Faktiskā izpilde_plāns'!G13+'MP Faktiskā izpilde_plāns'!G14+'MP Faktiskā izpilde_plāns'!G15</f>
        <v>27490391.82306667</v>
      </c>
      <c r="F11" s="194">
        <f t="shared" ref="F11:F12" si="2">G11+H11</f>
        <v>32719162.329000007</v>
      </c>
      <c r="G11" s="195">
        <f>GMI!J25</f>
        <v>7100422.7740000002</v>
      </c>
      <c r="H11" s="199">
        <f>'MP Faktiskā izpilde_plāns'!G16+'MP Faktiskā izpilde_plāns'!G21+'MP Faktiskā izpilde_plāns'!G22+'MP Faktiskā izpilde_plāns'!G23+'MP Faktiskā izpilde_plāns'!G24+'MP Faktiskā izpilde_plāns'!G25+'MP Faktiskā izpilde_plāns'!G26+'MP Faktiskā izpilde_plāns'!G27+'MP Faktiskā izpilde_plāns'!G28+'MP Faktiskā izpilde_plāns'!G29+'MP Faktiskā izpilde_plāns'!G30+'MP Faktiskā izpilde_plāns'!G31</f>
        <v>25618739.555000007</v>
      </c>
      <c r="I11" s="204">
        <f t="shared" ref="I11:I12" si="3">J11+K11</f>
        <v>45322919.743648708</v>
      </c>
      <c r="J11" s="199">
        <f>GMI!O25</f>
        <v>7738048.7079999996</v>
      </c>
      <c r="K11" s="282">
        <f>'MP Faktiskā izpilde_plāns'!G32+'MP Faktiskā izpilde_plāns'!G70+'MP Faktiskā izpilde_plāns'!G71+'MP Faktiskā izpilde_plāns'!G72+'MP Faktiskā izpilde_plāns'!G73+'MP Faktiskā izpilde_plāns'!G74+'MP Faktiskā izpilde_plāns'!G75+'MP Faktiskā izpilde_plāns'!G76+'MP Faktiskā izpilde_plāns'!G77+'MP Faktiskā izpilde_plāns'!G78+'MP Faktiskā izpilde_plāns'!G79+'MP Faktiskā izpilde_plāns'!G80</f>
        <v>37584871.035648711</v>
      </c>
    </row>
    <row r="12" spans="1:19" s="54" customFormat="1" ht="14" customHeight="1" thickBot="1" x14ac:dyDescent="0.35">
      <c r="A12" s="421"/>
      <c r="B12" s="105" t="s">
        <v>0</v>
      </c>
      <c r="C12" s="159">
        <f t="shared" si="1"/>
        <v>47820519.718666673</v>
      </c>
      <c r="D12" s="160">
        <f>D10+D11</f>
        <v>8548530.0999999996</v>
      </c>
      <c r="E12" s="161">
        <f>E10+E11</f>
        <v>39271989.618666671</v>
      </c>
      <c r="F12" s="159">
        <f t="shared" si="2"/>
        <v>46741720.870000005</v>
      </c>
      <c r="G12" s="160">
        <f>G10+G11</f>
        <v>10143520.120000001</v>
      </c>
      <c r="H12" s="200">
        <f>H10+H11</f>
        <v>36598200.750000007</v>
      </c>
      <c r="I12" s="205">
        <f t="shared" si="3"/>
        <v>69653179.190425396</v>
      </c>
      <c r="J12" s="200">
        <f>J10+J11</f>
        <v>11054355.34</v>
      </c>
      <c r="K12" s="283">
        <f>K10+K11</f>
        <v>58598823.850425392</v>
      </c>
    </row>
    <row r="13" spans="1:19" ht="26" customHeight="1" thickBot="1" x14ac:dyDescent="0.35">
      <c r="A13" s="131"/>
      <c r="B13" s="132"/>
      <c r="C13" s="365"/>
      <c r="D13" s="365"/>
      <c r="E13" s="365"/>
      <c r="F13" s="365"/>
      <c r="G13" s="365"/>
      <c r="H13" s="365"/>
      <c r="I13" s="206" t="str">
        <f t="shared" ref="I13:K13" si="4">I9</f>
        <v>KOPĀ</v>
      </c>
      <c r="J13" s="207" t="str">
        <f t="shared" si="4"/>
        <v>GMI</v>
      </c>
      <c r="K13" s="285" t="str">
        <f t="shared" si="4"/>
        <v>MP</v>
      </c>
    </row>
    <row r="14" spans="1:19" ht="14" customHeight="1" x14ac:dyDescent="0.3">
      <c r="A14" s="366"/>
      <c r="B14" s="366"/>
      <c r="C14" s="367"/>
      <c r="D14" s="367"/>
      <c r="E14" s="430" t="s">
        <v>92</v>
      </c>
      <c r="F14" s="430"/>
      <c r="G14" s="431"/>
      <c r="H14" s="134" t="s">
        <v>52</v>
      </c>
      <c r="I14" s="208">
        <f>J14+K14</f>
        <v>5013984.4467766769</v>
      </c>
      <c r="J14" s="201">
        <f>J10-J6</f>
        <v>-132788.36800000025</v>
      </c>
      <c r="K14" s="286">
        <f>K10-K6</f>
        <v>5146772.8147766776</v>
      </c>
    </row>
    <row r="15" spans="1:19" s="54" customFormat="1" x14ac:dyDescent="0.3">
      <c r="A15" s="366"/>
      <c r="B15" s="366"/>
      <c r="C15" s="367"/>
      <c r="D15" s="367"/>
      <c r="E15" s="430"/>
      <c r="F15" s="430"/>
      <c r="G15" s="431"/>
      <c r="H15" s="193" t="s">
        <v>53</v>
      </c>
      <c r="I15" s="204">
        <f t="shared" ref="I15:I16" si="5">J15+K15</f>
        <v>251611.74364871066</v>
      </c>
      <c r="J15" s="199">
        <f>J11-J7</f>
        <v>-309839.29200000037</v>
      </c>
      <c r="K15" s="282">
        <f>K11-K7</f>
        <v>561451.03564871103</v>
      </c>
    </row>
    <row r="16" spans="1:19" ht="14" customHeight="1" thickBot="1" x14ac:dyDescent="0.35">
      <c r="A16" s="366"/>
      <c r="B16" s="366"/>
      <c r="C16" s="367"/>
      <c r="D16" s="367"/>
      <c r="E16" s="430"/>
      <c r="F16" s="430"/>
      <c r="G16" s="431"/>
      <c r="H16" s="105" t="s">
        <v>0</v>
      </c>
      <c r="I16" s="209">
        <f t="shared" si="5"/>
        <v>5265596.1904253885</v>
      </c>
      <c r="J16" s="279">
        <f>J14+J15</f>
        <v>-442627.66000000061</v>
      </c>
      <c r="K16" s="287">
        <f>K14+K15</f>
        <v>5708223.8504253887</v>
      </c>
    </row>
    <row r="17" spans="1:11" ht="14" customHeight="1" thickTop="1" x14ac:dyDescent="0.3">
      <c r="A17" s="118"/>
      <c r="B17" s="119"/>
      <c r="C17" s="367"/>
      <c r="D17" s="367"/>
      <c r="E17" s="367"/>
      <c r="F17" s="367"/>
      <c r="G17" s="367"/>
      <c r="H17" s="367"/>
      <c r="I17" s="120"/>
      <c r="J17" s="120"/>
      <c r="K17" s="120"/>
    </row>
    <row r="18" spans="1:11" ht="14" customHeight="1" x14ac:dyDescent="0.3">
      <c r="A18" s="118"/>
      <c r="B18" s="119"/>
      <c r="C18" s="120"/>
      <c r="D18" s="120"/>
      <c r="E18" s="120"/>
      <c r="F18" s="120"/>
      <c r="G18" s="120"/>
      <c r="H18" s="120"/>
      <c r="I18" s="120"/>
      <c r="J18" s="120"/>
      <c r="K18" s="120"/>
    </row>
    <row r="19" spans="1:11" x14ac:dyDescent="0.3">
      <c r="A19" s="427" t="s">
        <v>54</v>
      </c>
      <c r="B19" s="427"/>
      <c r="C19" s="427"/>
      <c r="D19" s="427"/>
      <c r="E19" s="427"/>
      <c r="F19" s="427"/>
      <c r="G19" s="427"/>
      <c r="H19" s="427"/>
      <c r="I19" s="427"/>
      <c r="J19" s="427"/>
      <c r="K19" s="108"/>
    </row>
    <row r="20" spans="1:11" ht="21.5" customHeight="1" x14ac:dyDescent="0.3">
      <c r="A20" s="145" t="s">
        <v>50</v>
      </c>
      <c r="B20" s="145"/>
      <c r="C20" s="145"/>
      <c r="D20" s="143"/>
      <c r="E20" s="143"/>
      <c r="F20" s="143"/>
      <c r="G20" s="272"/>
      <c r="H20" s="272"/>
      <c r="I20" s="144"/>
      <c r="K20" s="108"/>
    </row>
    <row r="21" spans="1:11" s="54" customFormat="1" x14ac:dyDescent="0.3">
      <c r="A21" s="428" t="s">
        <v>30</v>
      </c>
      <c r="B21" s="428"/>
      <c r="C21" s="428"/>
      <c r="D21" s="109">
        <v>2024</v>
      </c>
      <c r="E21" s="109">
        <v>2025</v>
      </c>
      <c r="F21" s="150">
        <v>2026</v>
      </c>
      <c r="G21" s="273"/>
      <c r="H21" s="270"/>
      <c r="I21" s="270"/>
      <c r="K21" s="146"/>
    </row>
    <row r="22" spans="1:11" s="110" customFormat="1" x14ac:dyDescent="0.3">
      <c r="A22" s="416" t="s">
        <v>55</v>
      </c>
      <c r="B22" s="416"/>
      <c r="C22" s="111" t="s">
        <v>56</v>
      </c>
      <c r="D22" s="112">
        <f>GMI!B17</f>
        <v>8293.25</v>
      </c>
      <c r="E22" s="112">
        <f>GMI!G17</f>
        <v>8287.6666666666661</v>
      </c>
      <c r="F22" s="151">
        <f>GMI!L17</f>
        <v>8322</v>
      </c>
      <c r="G22" s="273"/>
      <c r="H22" s="270"/>
      <c r="I22" s="270"/>
      <c r="K22" s="108"/>
    </row>
    <row r="23" spans="1:11" s="110" customFormat="1" x14ac:dyDescent="0.3">
      <c r="A23" s="416" t="s">
        <v>57</v>
      </c>
      <c r="B23" s="416"/>
      <c r="C23" s="111" t="s">
        <v>37</v>
      </c>
      <c r="D23" s="113">
        <f>GMI!C17</f>
        <v>86.12301872004339</v>
      </c>
      <c r="E23" s="113">
        <f>GMI!H17</f>
        <v>103.23128886296909</v>
      </c>
      <c r="F23" s="152">
        <f>GMI!M17</f>
        <v>112.09734318673395</v>
      </c>
      <c r="G23" s="270"/>
      <c r="H23" s="270"/>
      <c r="I23" s="270"/>
      <c r="K23" s="108"/>
    </row>
    <row r="24" spans="1:11" s="110" customFormat="1" x14ac:dyDescent="0.3">
      <c r="A24" s="416" t="s">
        <v>58</v>
      </c>
      <c r="B24" s="416"/>
      <c r="C24" s="111" t="s">
        <v>37</v>
      </c>
      <c r="D24" s="114">
        <f>D25+D26</f>
        <v>8548530.0999999996</v>
      </c>
      <c r="E24" s="114">
        <f>E25+E26</f>
        <v>10143520.120000001</v>
      </c>
      <c r="F24" s="153">
        <f t="shared" ref="F24" si="6">F25+F26</f>
        <v>11054355.34</v>
      </c>
      <c r="G24" s="270"/>
      <c r="H24" s="270"/>
      <c r="I24" s="270"/>
      <c r="K24" s="108"/>
    </row>
    <row r="25" spans="1:11" x14ac:dyDescent="0.3">
      <c r="A25" s="426" t="s">
        <v>59</v>
      </c>
      <c r="B25" s="426"/>
      <c r="C25" s="111" t="s">
        <v>37</v>
      </c>
      <c r="D25" s="123">
        <f>D11</f>
        <v>5983970.828999999</v>
      </c>
      <c r="E25" s="123">
        <f>G11</f>
        <v>7100422.7740000002</v>
      </c>
      <c r="F25" s="154">
        <f>J11</f>
        <v>7738048.7079999996</v>
      </c>
      <c r="G25" s="270"/>
      <c r="H25" s="270"/>
      <c r="I25" s="270"/>
      <c r="J25" s="110"/>
      <c r="K25" s="108"/>
    </row>
    <row r="26" spans="1:11" x14ac:dyDescent="0.3">
      <c r="A26" s="426" t="s">
        <v>60</v>
      </c>
      <c r="B26" s="426"/>
      <c r="C26" s="111" t="s">
        <v>37</v>
      </c>
      <c r="D26" s="123">
        <f>D10</f>
        <v>2564559.2710000002</v>
      </c>
      <c r="E26" s="123">
        <f>G10</f>
        <v>3043097.3459999999</v>
      </c>
      <c r="F26" s="154">
        <f>J10</f>
        <v>3316306.6319999998</v>
      </c>
      <c r="G26" s="270"/>
      <c r="H26" s="270"/>
      <c r="I26" s="270"/>
      <c r="J26" s="110"/>
      <c r="K26" s="108"/>
    </row>
    <row r="27" spans="1:11" ht="32" customHeight="1" thickBot="1" x14ac:dyDescent="0.35">
      <c r="A27" s="145" t="s">
        <v>61</v>
      </c>
      <c r="B27" s="145"/>
      <c r="C27" s="145"/>
      <c r="D27" s="143"/>
      <c r="E27" s="143"/>
      <c r="F27" s="293"/>
      <c r="G27" s="270"/>
      <c r="H27" s="270"/>
      <c r="I27" s="270"/>
      <c r="J27" s="110"/>
      <c r="K27" s="108"/>
    </row>
    <row r="28" spans="1:11" s="54" customFormat="1" x14ac:dyDescent="0.3">
      <c r="A28" s="428" t="s">
        <v>30</v>
      </c>
      <c r="B28" s="428"/>
      <c r="C28" s="428"/>
      <c r="D28" s="109">
        <v>2024</v>
      </c>
      <c r="E28" s="288">
        <v>2025</v>
      </c>
      <c r="F28" s="294">
        <v>2026</v>
      </c>
      <c r="G28" s="270"/>
      <c r="H28" s="270"/>
      <c r="I28" s="270"/>
      <c r="J28" s="116"/>
      <c r="K28" s="122"/>
    </row>
    <row r="29" spans="1:11" s="116" customFormat="1" x14ac:dyDescent="0.3">
      <c r="A29" s="416" t="s">
        <v>55</v>
      </c>
      <c r="B29" s="416"/>
      <c r="C29" s="111" t="s">
        <v>56</v>
      </c>
      <c r="D29" s="112">
        <f>'MP Faktiskā izpilde_plāns'!D17</f>
        <v>31544</v>
      </c>
      <c r="E29" s="289">
        <f>'MP Faktiskā izpilde_plāns'!D33</f>
        <v>29716</v>
      </c>
      <c r="F29" s="295">
        <f>'MP Faktiskā izpilde_plāns'!D49</f>
        <v>32218.870000000006</v>
      </c>
      <c r="G29" s="270"/>
      <c r="H29" s="270"/>
      <c r="I29" s="270"/>
      <c r="K29" s="122"/>
    </row>
    <row r="30" spans="1:11" s="116" customFormat="1" x14ac:dyDescent="0.3">
      <c r="A30" s="416" t="s">
        <v>57</v>
      </c>
      <c r="B30" s="416"/>
      <c r="C30" s="111" t="s">
        <v>37</v>
      </c>
      <c r="D30" s="113">
        <f>'MP Faktiskā izpilde_plāns'!E17</f>
        <v>102.36445304442474</v>
      </c>
      <c r="E30" s="290">
        <f>'MP Faktiskā izpilde_plāns'!E33</f>
        <v>104.01750835688968</v>
      </c>
      <c r="F30" s="296">
        <f>'MP Faktiskā izpilde_plāns'!E49</f>
        <v>153.5189463005311</v>
      </c>
      <c r="G30" s="270"/>
      <c r="H30" s="270"/>
      <c r="I30" s="270"/>
      <c r="K30" s="122"/>
    </row>
    <row r="31" spans="1:11" s="116" customFormat="1" x14ac:dyDescent="0.3">
      <c r="A31" s="416" t="s">
        <v>58</v>
      </c>
      <c r="B31" s="416"/>
      <c r="C31" s="111" t="s">
        <v>37</v>
      </c>
      <c r="D31" s="114">
        <f>D32+D33</f>
        <v>39271989.618666671</v>
      </c>
      <c r="E31" s="291">
        <f>E32+E33</f>
        <v>36598200.750000007</v>
      </c>
      <c r="F31" s="297">
        <f t="shared" ref="F31" si="7">F32+F33</f>
        <v>58598823.850425392</v>
      </c>
      <c r="G31" s="270"/>
      <c r="H31" s="270"/>
      <c r="I31" s="270"/>
      <c r="K31" s="122"/>
    </row>
    <row r="32" spans="1:11" x14ac:dyDescent="0.3">
      <c r="A32" s="426" t="s">
        <v>59</v>
      </c>
      <c r="B32" s="426"/>
      <c r="C32" s="111" t="s">
        <v>37</v>
      </c>
      <c r="D32" s="123">
        <f>E11</f>
        <v>27490391.82306667</v>
      </c>
      <c r="E32" s="292">
        <f>H11</f>
        <v>25618739.555000007</v>
      </c>
      <c r="F32" s="298">
        <f>K11</f>
        <v>37584871.035648711</v>
      </c>
      <c r="G32" s="270"/>
      <c r="H32" s="270"/>
      <c r="I32" s="270"/>
      <c r="K32" s="108"/>
    </row>
    <row r="33" spans="1:11" ht="14.5" thickBot="1" x14ac:dyDescent="0.35">
      <c r="A33" s="426" t="s">
        <v>60</v>
      </c>
      <c r="B33" s="426"/>
      <c r="C33" s="111" t="s">
        <v>37</v>
      </c>
      <c r="D33" s="123">
        <f>E10</f>
        <v>11781597.795600003</v>
      </c>
      <c r="E33" s="292">
        <f>H10</f>
        <v>10979461.194999998</v>
      </c>
      <c r="F33" s="299">
        <f>K10</f>
        <v>21013952.814776678</v>
      </c>
      <c r="G33" s="270"/>
      <c r="H33" s="270"/>
      <c r="I33" s="270"/>
      <c r="K33" s="108"/>
    </row>
    <row r="34" spans="1:11" ht="9.5" customHeight="1" x14ac:dyDescent="0.3">
      <c r="A34" s="432"/>
      <c r="B34" s="432"/>
      <c r="C34" s="432"/>
      <c r="D34" s="432"/>
      <c r="E34" s="432"/>
      <c r="F34" s="433"/>
      <c r="G34" s="433"/>
      <c r="H34" s="433"/>
      <c r="I34" s="433"/>
      <c r="K34" s="108"/>
    </row>
    <row r="35" spans="1:11" ht="33.5" customHeight="1" x14ac:dyDescent="0.3">
      <c r="A35" s="434" t="s">
        <v>73</v>
      </c>
      <c r="B35" s="434"/>
      <c r="C35" s="434"/>
      <c r="D35" s="115">
        <f t="shared" ref="D35:F35" si="8">D26+D33</f>
        <v>14346157.066600002</v>
      </c>
      <c r="E35" s="115">
        <f t="shared" si="8"/>
        <v>14022558.540999997</v>
      </c>
      <c r="F35" s="155">
        <f t="shared" si="8"/>
        <v>24330259.446776677</v>
      </c>
      <c r="G35" s="271"/>
      <c r="H35" s="271"/>
      <c r="I35" s="271"/>
      <c r="K35" s="108"/>
    </row>
    <row r="36" spans="1:11" s="148" customFormat="1" ht="10.5" x14ac:dyDescent="0.25">
      <c r="A36" s="147"/>
      <c r="B36" s="147"/>
      <c r="D36" s="149">
        <f>D35-C10</f>
        <v>0</v>
      </c>
      <c r="E36" s="149">
        <f>E35-F10</f>
        <v>0</v>
      </c>
      <c r="F36" s="149">
        <f>F35-I10</f>
        <v>0</v>
      </c>
      <c r="G36" s="149"/>
      <c r="H36" s="149"/>
      <c r="I36" s="149"/>
    </row>
    <row r="37" spans="1:11" x14ac:dyDescent="0.3">
      <c r="A37" s="107" t="s">
        <v>62</v>
      </c>
      <c r="B37" s="107"/>
      <c r="C37" s="54"/>
      <c r="D37" s="54"/>
      <c r="E37" s="54"/>
      <c r="F37" s="54"/>
      <c r="G37" s="54"/>
      <c r="H37" s="54"/>
      <c r="I37" s="54"/>
      <c r="J37" s="54"/>
      <c r="K37" s="54"/>
    </row>
    <row r="38" spans="1:11" ht="14.5" customHeight="1" x14ac:dyDescent="0.3">
      <c r="A38" s="124" t="s">
        <v>63</v>
      </c>
      <c r="B38" s="417" t="s">
        <v>88</v>
      </c>
      <c r="C38" s="417"/>
      <c r="D38" s="417"/>
      <c r="E38" s="417"/>
      <c r="F38" s="417"/>
      <c r="G38" s="417"/>
      <c r="H38" s="417"/>
      <c r="I38" s="417"/>
      <c r="J38" s="417"/>
      <c r="K38" s="417"/>
    </row>
    <row r="39" spans="1:11" ht="14.5" customHeight="1" x14ac:dyDescent="0.3">
      <c r="A39" s="124" t="s">
        <v>64</v>
      </c>
      <c r="B39" s="417" t="s">
        <v>87</v>
      </c>
      <c r="C39" s="417"/>
      <c r="D39" s="417"/>
      <c r="E39" s="417"/>
      <c r="F39" s="417"/>
      <c r="G39" s="417"/>
      <c r="H39" s="417"/>
      <c r="I39" s="417"/>
      <c r="J39" s="417"/>
      <c r="K39" s="417"/>
    </row>
    <row r="40" spans="1:11" ht="14.5" customHeight="1" x14ac:dyDescent="0.3">
      <c r="A40" s="124" t="s">
        <v>65</v>
      </c>
      <c r="B40" s="417" t="s">
        <v>89</v>
      </c>
      <c r="C40" s="417"/>
      <c r="D40" s="417"/>
      <c r="E40" s="417"/>
      <c r="F40" s="417"/>
      <c r="G40" s="417"/>
      <c r="H40" s="417"/>
      <c r="I40" s="417"/>
      <c r="J40" s="417"/>
      <c r="K40" s="417"/>
    </row>
    <row r="41" spans="1:11" x14ac:dyDescent="0.3">
      <c r="A41" s="107"/>
      <c r="B41" s="107"/>
      <c r="C41" s="54"/>
      <c r="D41" s="54"/>
      <c r="E41" s="54"/>
      <c r="F41" s="54"/>
      <c r="G41" s="54"/>
      <c r="H41" s="54"/>
      <c r="I41" s="54"/>
      <c r="J41" s="54"/>
      <c r="K41" s="54"/>
    </row>
    <row r="45" spans="1:11" x14ac:dyDescent="0.3">
      <c r="D45" s="117"/>
      <c r="E45" s="117"/>
      <c r="G45" s="117"/>
      <c r="H45" s="117"/>
    </row>
  </sheetData>
  <mergeCells count="27">
    <mergeCell ref="E14:G16"/>
    <mergeCell ref="A22:B22"/>
    <mergeCell ref="B40:K40"/>
    <mergeCell ref="A29:B29"/>
    <mergeCell ref="A30:B30"/>
    <mergeCell ref="A31:B31"/>
    <mergeCell ref="A32:B32"/>
    <mergeCell ref="A33:B33"/>
    <mergeCell ref="A34:I34"/>
    <mergeCell ref="A35:C35"/>
    <mergeCell ref="B39:K39"/>
    <mergeCell ref="A1:S1"/>
    <mergeCell ref="A3:S3"/>
    <mergeCell ref="A23:B23"/>
    <mergeCell ref="B38:K38"/>
    <mergeCell ref="F4:H4"/>
    <mergeCell ref="A10:A12"/>
    <mergeCell ref="A6:A8"/>
    <mergeCell ref="C4:E4"/>
    <mergeCell ref="I4:K4"/>
    <mergeCell ref="A24:B24"/>
    <mergeCell ref="A25:B25"/>
    <mergeCell ref="A26:B26"/>
    <mergeCell ref="A19:J19"/>
    <mergeCell ref="A28:C28"/>
    <mergeCell ref="A21:C21"/>
    <mergeCell ref="A2:S2"/>
  </mergeCells>
  <pageMargins left="0.70866141732283472" right="0.70866141732283472" top="0.74803149606299213" bottom="0.74803149606299213" header="0.31496062992125984" footer="0.31496062992125984"/>
  <pageSetup paperSize="9" scale="65" orientation="landscape"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7E913-E900-40A1-8F7C-D93AE39F8F3F}">
  <dimension ref="A1:AN82"/>
  <sheetViews>
    <sheetView topLeftCell="A36" zoomScale="60" zoomScaleNormal="60" workbookViewId="0">
      <selection activeCell="J36" sqref="J36"/>
    </sheetView>
  </sheetViews>
  <sheetFormatPr defaultRowHeight="13" x14ac:dyDescent="0.3"/>
  <cols>
    <col min="1" max="1" width="8.7265625" style="3"/>
    <col min="2" max="2" width="8.1796875" style="3" customWidth="1"/>
    <col min="3" max="3" width="12.1796875" style="3" customWidth="1"/>
    <col min="4" max="5" width="10.26953125" style="3" customWidth="1"/>
    <col min="6" max="6" width="12.08984375" style="3" customWidth="1"/>
    <col min="7" max="9" width="10.26953125" style="3" customWidth="1"/>
    <col min="10" max="10" width="6.54296875" style="3" customWidth="1"/>
    <col min="11" max="11" width="10.26953125" style="3" customWidth="1"/>
    <col min="12" max="12" width="6.54296875" style="3" customWidth="1"/>
    <col min="13" max="14" width="10.26953125" style="3" customWidth="1"/>
    <col min="15" max="18" width="11" style="3" customWidth="1"/>
    <col min="19" max="19" width="6.54296875" style="3" customWidth="1"/>
    <col min="20" max="23" width="10.26953125" style="3" customWidth="1"/>
    <col min="24" max="24" width="6.54296875" style="3" customWidth="1"/>
    <col min="25" max="25" width="10.26953125" style="3" customWidth="1"/>
    <col min="26" max="26" width="6.54296875" style="3" customWidth="1"/>
    <col min="27" max="29" width="10.26953125" style="3" customWidth="1"/>
    <col min="30" max="30" width="10.26953125" style="1" customWidth="1"/>
    <col min="31" max="31" width="6.54296875" style="1" customWidth="1"/>
    <col min="32" max="32" width="10.26953125" style="1" customWidth="1"/>
    <col min="33" max="33" width="6.54296875" style="1" customWidth="1"/>
    <col min="34" max="36" width="10.26953125" style="3" customWidth="1"/>
    <col min="37" max="38" width="24.6328125" style="3" customWidth="1"/>
    <col min="39" max="39" width="13.6328125" style="3" customWidth="1"/>
    <col min="40" max="16384" width="8.7265625" style="3"/>
  </cols>
  <sheetData>
    <row r="1" spans="1:36" x14ac:dyDescent="0.3">
      <c r="A1" s="444" t="s">
        <v>66</v>
      </c>
      <c r="B1" s="444"/>
      <c r="C1" s="444"/>
      <c r="D1" s="444"/>
      <c r="E1" s="444"/>
      <c r="F1" s="444"/>
      <c r="G1" s="444"/>
      <c r="H1" s="444"/>
      <c r="I1" s="444"/>
      <c r="J1" s="444"/>
      <c r="K1" s="444"/>
      <c r="L1" s="444"/>
      <c r="M1" s="444"/>
      <c r="N1" s="444"/>
      <c r="O1" s="444"/>
      <c r="P1" s="444"/>
      <c r="Q1" s="444"/>
      <c r="R1" s="444"/>
      <c r="S1" s="444"/>
      <c r="T1" s="444"/>
      <c r="U1" s="444"/>
      <c r="V1" s="444"/>
      <c r="W1" s="444"/>
      <c r="X1" s="444"/>
      <c r="Y1" s="444"/>
      <c r="Z1" s="444"/>
      <c r="AA1" s="444"/>
      <c r="AB1" s="444"/>
      <c r="AC1" s="444"/>
      <c r="AD1" s="444"/>
      <c r="AE1" s="444"/>
      <c r="AF1" s="444"/>
      <c r="AG1" s="444"/>
      <c r="AH1" s="444"/>
      <c r="AI1" s="444"/>
      <c r="AJ1" s="444"/>
    </row>
    <row r="2" spans="1:36" ht="18" thickBot="1" x14ac:dyDescent="0.35">
      <c r="A2" s="445" t="s">
        <v>88</v>
      </c>
      <c r="B2" s="445"/>
      <c r="C2" s="445"/>
      <c r="D2" s="445"/>
      <c r="E2" s="445"/>
      <c r="F2" s="445"/>
      <c r="G2" s="445"/>
      <c r="H2" s="445"/>
      <c r="I2" s="445"/>
      <c r="J2" s="445"/>
      <c r="K2" s="445"/>
      <c r="L2" s="445"/>
      <c r="M2" s="445"/>
      <c r="N2" s="445"/>
      <c r="O2" s="445"/>
      <c r="P2" s="445"/>
      <c r="Q2" s="445"/>
      <c r="R2" s="445"/>
      <c r="S2" s="445"/>
      <c r="T2" s="445"/>
      <c r="U2" s="445"/>
      <c r="V2" s="445"/>
      <c r="W2" s="445"/>
      <c r="X2" s="445"/>
      <c r="Y2" s="445"/>
      <c r="Z2" s="445"/>
      <c r="AA2" s="445"/>
      <c r="AB2" s="445"/>
      <c r="AC2" s="445"/>
      <c r="AD2" s="445"/>
      <c r="AE2" s="445"/>
      <c r="AF2" s="445"/>
      <c r="AG2" s="445"/>
      <c r="AH2" s="445"/>
      <c r="AI2" s="445"/>
      <c r="AJ2" s="445"/>
    </row>
    <row r="3" spans="1:36" ht="44.5" customHeight="1" x14ac:dyDescent="0.3">
      <c r="D3" s="435" t="s">
        <v>27</v>
      </c>
      <c r="E3" s="436"/>
      <c r="F3" s="437"/>
      <c r="G3" s="437"/>
      <c r="H3" s="438"/>
      <c r="I3" s="446" t="s">
        <v>17</v>
      </c>
      <c r="J3" s="446"/>
      <c r="K3" s="446"/>
      <c r="L3" s="446"/>
      <c r="M3" s="442"/>
      <c r="N3" s="442"/>
      <c r="O3" s="442"/>
      <c r="P3" s="442" t="s">
        <v>18</v>
      </c>
      <c r="Q3" s="442"/>
      <c r="R3" s="442"/>
      <c r="S3" s="442"/>
      <c r="T3" s="442"/>
      <c r="U3" s="442"/>
      <c r="V3" s="442"/>
      <c r="W3" s="442" t="s">
        <v>19</v>
      </c>
      <c r="X3" s="442"/>
      <c r="Y3" s="442"/>
      <c r="Z3" s="442"/>
      <c r="AA3" s="442"/>
      <c r="AB3" s="442"/>
      <c r="AC3" s="442"/>
      <c r="AD3" s="442" t="s">
        <v>20</v>
      </c>
      <c r="AE3" s="442"/>
      <c r="AF3" s="442"/>
      <c r="AG3" s="442"/>
      <c r="AH3" s="442"/>
      <c r="AI3" s="442"/>
      <c r="AJ3" s="442"/>
    </row>
    <row r="4" spans="1:36" s="4" customFormat="1" ht="118" customHeight="1" x14ac:dyDescent="0.3">
      <c r="D4" s="5" t="s">
        <v>13</v>
      </c>
      <c r="E4" s="38" t="s">
        <v>29</v>
      </c>
      <c r="F4" s="6" t="s">
        <v>14</v>
      </c>
      <c r="G4" s="7" t="s">
        <v>16</v>
      </c>
      <c r="H4" s="8" t="s">
        <v>15</v>
      </c>
      <c r="I4" s="9" t="s">
        <v>13</v>
      </c>
      <c r="J4" s="38" t="s">
        <v>31</v>
      </c>
      <c r="K4" s="38" t="s">
        <v>29</v>
      </c>
      <c r="L4" s="38" t="s">
        <v>32</v>
      </c>
      <c r="M4" s="6" t="s">
        <v>14</v>
      </c>
      <c r="N4" s="7" t="s">
        <v>16</v>
      </c>
      <c r="O4" s="7" t="s">
        <v>15</v>
      </c>
      <c r="P4" s="6" t="s">
        <v>13</v>
      </c>
      <c r="Q4" s="38" t="s">
        <v>31</v>
      </c>
      <c r="R4" s="38" t="s">
        <v>29</v>
      </c>
      <c r="S4" s="38" t="s">
        <v>32</v>
      </c>
      <c r="T4" s="6" t="s">
        <v>14</v>
      </c>
      <c r="U4" s="7" t="s">
        <v>16</v>
      </c>
      <c r="V4" s="7" t="s">
        <v>15</v>
      </c>
      <c r="W4" s="6" t="s">
        <v>13</v>
      </c>
      <c r="X4" s="38" t="s">
        <v>31</v>
      </c>
      <c r="Y4" s="38" t="s">
        <v>29</v>
      </c>
      <c r="Z4" s="38" t="s">
        <v>32</v>
      </c>
      <c r="AA4" s="6" t="s">
        <v>14</v>
      </c>
      <c r="AB4" s="7" t="s">
        <v>16</v>
      </c>
      <c r="AC4" s="7" t="s">
        <v>15</v>
      </c>
      <c r="AD4" s="6" t="s">
        <v>13</v>
      </c>
      <c r="AE4" s="38" t="s">
        <v>31</v>
      </c>
      <c r="AF4" s="38" t="s">
        <v>29</v>
      </c>
      <c r="AG4" s="38" t="s">
        <v>32</v>
      </c>
      <c r="AH4" s="6" t="s">
        <v>14</v>
      </c>
      <c r="AI4" s="7" t="s">
        <v>16</v>
      </c>
      <c r="AJ4" s="7" t="s">
        <v>15</v>
      </c>
    </row>
    <row r="5" spans="1:36" ht="13.5" thickBot="1" x14ac:dyDescent="0.35">
      <c r="A5" s="3" t="s">
        <v>25</v>
      </c>
      <c r="B5" s="3">
        <v>2024</v>
      </c>
      <c r="C5" s="3" t="s">
        <v>8</v>
      </c>
      <c r="D5" s="346">
        <f>I5+P5+W5+AD5</f>
        <v>33451</v>
      </c>
      <c r="E5" s="347">
        <f>F5/D5</f>
        <v>110.61058742638488</v>
      </c>
      <c r="F5" s="348">
        <f>M5+T5+AA5+AH5</f>
        <v>3700034.7600000007</v>
      </c>
      <c r="G5" s="349">
        <f>N5+U5+AB5+AI5</f>
        <v>2590024.2520000003</v>
      </c>
      <c r="H5" s="350">
        <f>O5+V5+AC5+AJ5</f>
        <v>1110010.5079999999</v>
      </c>
      <c r="I5" s="351">
        <v>18894</v>
      </c>
      <c r="J5" s="352" t="s">
        <v>30</v>
      </c>
      <c r="K5" s="347">
        <f>M5/I5</f>
        <v>130.0479538477824</v>
      </c>
      <c r="L5" s="352" t="s">
        <v>30</v>
      </c>
      <c r="M5" s="348">
        <v>2457126.0400000005</v>
      </c>
      <c r="N5" s="349">
        <f>M5-O5</f>
        <v>1719988.1880000005</v>
      </c>
      <c r="O5" s="349">
        <v>737137.85199999996</v>
      </c>
      <c r="P5" s="353">
        <v>2125</v>
      </c>
      <c r="Q5" s="352" t="s">
        <v>30</v>
      </c>
      <c r="R5" s="347">
        <f>T5/P5</f>
        <v>84.583162352941173</v>
      </c>
      <c r="S5" s="352" t="s">
        <v>30</v>
      </c>
      <c r="T5" s="348">
        <v>179739.22</v>
      </c>
      <c r="U5" s="349">
        <f>T5-V5</f>
        <v>125817.42399999998</v>
      </c>
      <c r="V5" s="349">
        <v>53921.796000000017</v>
      </c>
      <c r="W5" s="353">
        <v>1292</v>
      </c>
      <c r="X5" s="352" t="s">
        <v>30</v>
      </c>
      <c r="Y5" s="347">
        <f>AA5/W5</f>
        <v>82.146578947368454</v>
      </c>
      <c r="Z5" s="352" t="s">
        <v>30</v>
      </c>
      <c r="AA5" s="348">
        <v>106133.38000000003</v>
      </c>
      <c r="AB5" s="349">
        <f>AA5-AC5</f>
        <v>74293.366000000038</v>
      </c>
      <c r="AC5" s="349">
        <v>31840.013999999999</v>
      </c>
      <c r="AD5" s="353">
        <v>11140</v>
      </c>
      <c r="AE5" s="352" t="s">
        <v>30</v>
      </c>
      <c r="AF5" s="347">
        <f>AH5/AD5</f>
        <v>85.909885098743274</v>
      </c>
      <c r="AG5" s="352" t="s">
        <v>30</v>
      </c>
      <c r="AH5" s="348">
        <v>957036.12</v>
      </c>
      <c r="AI5" s="349">
        <f>AH5-AJ5</f>
        <v>669925.27399999998</v>
      </c>
      <c r="AJ5" s="349">
        <v>287110.84600000002</v>
      </c>
    </row>
    <row r="6" spans="1:36" x14ac:dyDescent="0.3">
      <c r="A6" s="247" t="s">
        <v>25</v>
      </c>
      <c r="B6" s="248">
        <v>2024</v>
      </c>
      <c r="C6" s="248" t="s">
        <v>9</v>
      </c>
      <c r="D6" s="250">
        <f t="shared" ref="D6:D16" si="0">I6+P6+W6+AD6</f>
        <v>36603</v>
      </c>
      <c r="E6" s="251">
        <f t="shared" ref="E6:E16" si="1">F6/D6</f>
        <v>131.89235964265222</v>
      </c>
      <c r="F6" s="252">
        <f t="shared" ref="F6:F16" si="2">M6+T6+AA6+AH6</f>
        <v>4827656.0399999991</v>
      </c>
      <c r="G6" s="253">
        <f t="shared" ref="G6:G16" si="3">N6+U6+AB6+AI6</f>
        <v>3379359.0879999991</v>
      </c>
      <c r="H6" s="254">
        <f t="shared" ref="H6:H16" si="4">O6+V6+AC6+AJ6</f>
        <v>1448296.952</v>
      </c>
      <c r="I6" s="258">
        <v>20707</v>
      </c>
      <c r="J6" s="256">
        <f>I6*100/I5-100</f>
        <v>9.5956388271408883</v>
      </c>
      <c r="K6" s="251">
        <f t="shared" ref="K6:K16" si="5">M6/I6</f>
        <v>156.73647317332299</v>
      </c>
      <c r="L6" s="256">
        <f>K6*100/K5-100</f>
        <v>20.52206016003818</v>
      </c>
      <c r="M6" s="252">
        <v>3245542.1499999994</v>
      </c>
      <c r="N6" s="253">
        <f t="shared" ref="N6:N16" si="6">M6-O6</f>
        <v>2271879.4649999994</v>
      </c>
      <c r="O6" s="253">
        <v>973662.68500000006</v>
      </c>
      <c r="P6" s="255">
        <v>2342</v>
      </c>
      <c r="Q6" s="256">
        <f>P6*100/P5-100</f>
        <v>10.211764705882359</v>
      </c>
      <c r="R6" s="251">
        <f t="shared" ref="R6:R16" si="7">T6/P6</f>
        <v>101.69339026473101</v>
      </c>
      <c r="S6" s="256">
        <f>R6*100/R5-100</f>
        <v>20.228881772466465</v>
      </c>
      <c r="T6" s="252">
        <v>238165.92</v>
      </c>
      <c r="U6" s="253">
        <f t="shared" ref="U6:U16" si="8">T6-V6</f>
        <v>166716.10400000002</v>
      </c>
      <c r="V6" s="253">
        <v>71449.815999999992</v>
      </c>
      <c r="W6" s="255">
        <v>1556</v>
      </c>
      <c r="X6" s="256">
        <f>W6*100/W5-100</f>
        <v>20.433436532507741</v>
      </c>
      <c r="Y6" s="251">
        <f t="shared" ref="Y6:Y16" si="9">AA6/W6</f>
        <v>81.887416452442167</v>
      </c>
      <c r="Z6" s="256">
        <f>Y6*100/Y5-100</f>
        <v>-0.31548787332012296</v>
      </c>
      <c r="AA6" s="252">
        <v>127416.82</v>
      </c>
      <c r="AB6" s="253">
        <f t="shared" ref="AB6:AB16" si="10">AA6-AC6</f>
        <v>89191.76400000001</v>
      </c>
      <c r="AC6" s="253">
        <v>38225.055999999997</v>
      </c>
      <c r="AD6" s="255">
        <v>11998</v>
      </c>
      <c r="AE6" s="256">
        <f>AD6*100/AD5-100</f>
        <v>7.7019748653500955</v>
      </c>
      <c r="AF6" s="251">
        <f t="shared" ref="AF6:AF16" si="11">AH6/AD6</f>
        <v>101.39449491581929</v>
      </c>
      <c r="AG6" s="256">
        <f>AF6*100/AF5-100</f>
        <v>18.024246917893421</v>
      </c>
      <c r="AH6" s="252">
        <v>1216531.1499999999</v>
      </c>
      <c r="AI6" s="253">
        <f t="shared" ref="AI6:AI16" si="12">AH6-AJ6</f>
        <v>851571.75499999989</v>
      </c>
      <c r="AJ6" s="254">
        <v>364959.39499999996</v>
      </c>
    </row>
    <row r="7" spans="1:36" x14ac:dyDescent="0.3">
      <c r="A7" s="259" t="s">
        <v>25</v>
      </c>
      <c r="B7" s="42">
        <v>2024</v>
      </c>
      <c r="C7" s="167" t="s">
        <v>10</v>
      </c>
      <c r="D7" s="10">
        <f t="shared" si="0"/>
        <v>37245</v>
      </c>
      <c r="E7" s="40">
        <f t="shared" si="1"/>
        <v>131.73564934890589</v>
      </c>
      <c r="F7" s="166">
        <f t="shared" si="2"/>
        <v>4906494.26</v>
      </c>
      <c r="G7" s="12">
        <f t="shared" si="3"/>
        <v>3434545.9319999986</v>
      </c>
      <c r="H7" s="13">
        <f t="shared" si="4"/>
        <v>1471948.3280000002</v>
      </c>
      <c r="I7" s="14">
        <v>21284</v>
      </c>
      <c r="J7" s="39">
        <f t="shared" ref="J7:J16" si="13">I7*100/I6-100</f>
        <v>2.7864973197469425</v>
      </c>
      <c r="K7" s="40">
        <f t="shared" si="5"/>
        <v>160.20693243751171</v>
      </c>
      <c r="L7" s="39">
        <f t="shared" ref="L7:L16" si="14">K7*100/K6-100</f>
        <v>2.2142001755717757</v>
      </c>
      <c r="M7" s="11">
        <v>3409844.3499999992</v>
      </c>
      <c r="N7" s="12">
        <f t="shared" si="6"/>
        <v>2386891.024999999</v>
      </c>
      <c r="O7" s="12">
        <v>1022953.3250000002</v>
      </c>
      <c r="P7" s="2">
        <v>2464</v>
      </c>
      <c r="Q7" s="39">
        <f t="shared" ref="Q7:Q16" si="15">P7*100/P6-100</f>
        <v>5.2092228864218555</v>
      </c>
      <c r="R7" s="40">
        <f t="shared" si="7"/>
        <v>100.7238636363636</v>
      </c>
      <c r="S7" s="39">
        <f t="shared" ref="S7:S16" si="16">R7*100/R6-100</f>
        <v>-0.95338214788935716</v>
      </c>
      <c r="T7" s="11">
        <v>248183.59999999992</v>
      </c>
      <c r="U7" s="12">
        <f t="shared" si="8"/>
        <v>173728.50999999995</v>
      </c>
      <c r="V7" s="12">
        <v>74455.089999999982</v>
      </c>
      <c r="W7" s="2">
        <v>1535</v>
      </c>
      <c r="X7" s="39">
        <f t="shared" ref="X7" si="17">W7*100/W6-100</f>
        <v>-1.3496143958868885</v>
      </c>
      <c r="Y7" s="40">
        <f t="shared" si="9"/>
        <v>80.532560260586322</v>
      </c>
      <c r="Z7" s="39">
        <f t="shared" ref="Z7" si="18">Y7*100/Y6-100</f>
        <v>-1.6545352760551424</v>
      </c>
      <c r="AA7" s="11">
        <v>123617.48000000001</v>
      </c>
      <c r="AB7" s="12">
        <f t="shared" si="10"/>
        <v>86532.236000000004</v>
      </c>
      <c r="AC7" s="12">
        <v>37085.244000000006</v>
      </c>
      <c r="AD7" s="2">
        <v>11962</v>
      </c>
      <c r="AE7" s="39">
        <f t="shared" ref="AE7:AG16" si="19">AD7*100/AD6-100</f>
        <v>-0.30005000833472195</v>
      </c>
      <c r="AF7" s="40">
        <f t="shared" si="11"/>
        <v>94.035180571810741</v>
      </c>
      <c r="AG7" s="39">
        <f t="shared" si="19"/>
        <v>-7.2581005015296682</v>
      </c>
      <c r="AH7" s="11">
        <v>1124848.83</v>
      </c>
      <c r="AI7" s="12">
        <f t="shared" si="12"/>
        <v>787394.16099999996</v>
      </c>
      <c r="AJ7" s="13">
        <v>337454.66900000011</v>
      </c>
    </row>
    <row r="8" spans="1:36" x14ac:dyDescent="0.3">
      <c r="A8" s="259" t="s">
        <v>25</v>
      </c>
      <c r="B8" s="42">
        <v>2024</v>
      </c>
      <c r="C8" s="167" t="s">
        <v>11</v>
      </c>
      <c r="D8" s="10">
        <f t="shared" si="0"/>
        <v>36988</v>
      </c>
      <c r="E8" s="40">
        <f t="shared" si="1"/>
        <v>130.5113409754515</v>
      </c>
      <c r="F8" s="166">
        <f t="shared" si="2"/>
        <v>4827353.4800000004</v>
      </c>
      <c r="G8" s="12">
        <f t="shared" si="3"/>
        <v>3379147.3760000002</v>
      </c>
      <c r="H8" s="13">
        <f t="shared" si="4"/>
        <v>1448206.1040000001</v>
      </c>
      <c r="I8" s="14">
        <v>21636</v>
      </c>
      <c r="J8" s="39">
        <f t="shared" si="13"/>
        <v>1.6538244690847534</v>
      </c>
      <c r="K8" s="40">
        <f t="shared" si="5"/>
        <v>158.01932750970605</v>
      </c>
      <c r="L8" s="39">
        <f t="shared" si="14"/>
        <v>-1.3654870575959137</v>
      </c>
      <c r="M8" s="11">
        <v>3418906.17</v>
      </c>
      <c r="N8" s="12">
        <f t="shared" si="6"/>
        <v>2393234.2889999999</v>
      </c>
      <c r="O8" s="12">
        <v>1025671.8809999999</v>
      </c>
      <c r="P8" s="2">
        <v>2420</v>
      </c>
      <c r="Q8" s="39">
        <f t="shared" si="15"/>
        <v>-1.7857142857142918</v>
      </c>
      <c r="R8" s="40">
        <f t="shared" si="7"/>
        <v>98.083004132231409</v>
      </c>
      <c r="S8" s="39">
        <f t="shared" si="16"/>
        <v>-2.6218806634208391</v>
      </c>
      <c r="T8" s="11">
        <v>237360.87000000002</v>
      </c>
      <c r="U8" s="12">
        <f t="shared" si="8"/>
        <v>166152.57900000003</v>
      </c>
      <c r="V8" s="12">
        <v>71208.290999999983</v>
      </c>
      <c r="W8" s="2">
        <v>1545</v>
      </c>
      <c r="X8" s="39">
        <f t="shared" ref="X8" si="20">W8*100/W7-100</f>
        <v>0.65146579804560645</v>
      </c>
      <c r="Y8" s="40">
        <f t="shared" si="9"/>
        <v>81.792006472491906</v>
      </c>
      <c r="Z8" s="39">
        <f t="shared" ref="Z8" si="21">Y8*100/Y7-100</f>
        <v>1.5638968981369459</v>
      </c>
      <c r="AA8" s="11">
        <v>126368.65</v>
      </c>
      <c r="AB8" s="12">
        <f t="shared" si="10"/>
        <v>88458.044999999998</v>
      </c>
      <c r="AC8" s="12">
        <v>37910.604999999996</v>
      </c>
      <c r="AD8" s="2">
        <v>11387</v>
      </c>
      <c r="AE8" s="39">
        <f t="shared" si="19"/>
        <v>-4.8068884801872542</v>
      </c>
      <c r="AF8" s="40">
        <f t="shared" si="11"/>
        <v>91.746534644770378</v>
      </c>
      <c r="AG8" s="39">
        <f t="shared" si="19"/>
        <v>-2.4338188251710875</v>
      </c>
      <c r="AH8" s="11">
        <v>1044717.7900000003</v>
      </c>
      <c r="AI8" s="12">
        <f t="shared" si="12"/>
        <v>731302.46300000022</v>
      </c>
      <c r="AJ8" s="13">
        <v>313415.32700000005</v>
      </c>
    </row>
    <row r="9" spans="1:36" ht="13.5" thickBot="1" x14ac:dyDescent="0.35">
      <c r="A9" s="260" t="s">
        <v>25</v>
      </c>
      <c r="B9" s="261">
        <v>2024</v>
      </c>
      <c r="C9" s="261" t="s">
        <v>12</v>
      </c>
      <c r="D9" s="262">
        <f t="shared" si="0"/>
        <v>34115</v>
      </c>
      <c r="E9" s="263">
        <f t="shared" si="1"/>
        <v>108.44973178953539</v>
      </c>
      <c r="F9" s="268">
        <f t="shared" si="2"/>
        <v>3699762.6</v>
      </c>
      <c r="G9" s="264">
        <f t="shared" si="3"/>
        <v>2589833.7100000004</v>
      </c>
      <c r="H9" s="265">
        <f t="shared" si="4"/>
        <v>1109928.8900000001</v>
      </c>
      <c r="I9" s="266">
        <v>19687</v>
      </c>
      <c r="J9" s="267">
        <f t="shared" si="13"/>
        <v>-9.0081345904973205</v>
      </c>
      <c r="K9" s="263">
        <f t="shared" si="5"/>
        <v>128.89842281708744</v>
      </c>
      <c r="L9" s="267">
        <f t="shared" si="14"/>
        <v>-18.428698027986428</v>
      </c>
      <c r="M9" s="268">
        <v>2537623.2500000005</v>
      </c>
      <c r="N9" s="264">
        <f t="shared" si="6"/>
        <v>1776336.2750000004</v>
      </c>
      <c r="O9" s="264">
        <v>761286.97500000009</v>
      </c>
      <c r="P9" s="269">
        <v>2150</v>
      </c>
      <c r="Q9" s="267">
        <f t="shared" si="15"/>
        <v>-11.15702479338843</v>
      </c>
      <c r="R9" s="263">
        <f t="shared" si="7"/>
        <v>86.484548837209317</v>
      </c>
      <c r="S9" s="267">
        <f t="shared" si="16"/>
        <v>-11.825142793735751</v>
      </c>
      <c r="T9" s="268">
        <v>185941.78000000003</v>
      </c>
      <c r="U9" s="264">
        <f t="shared" si="8"/>
        <v>130159.21600000004</v>
      </c>
      <c r="V9" s="264">
        <v>55782.563999999991</v>
      </c>
      <c r="W9" s="269">
        <v>1578</v>
      </c>
      <c r="X9" s="267">
        <f t="shared" ref="X9" si="22">W9*100/W8-100</f>
        <v>2.1359223300970882</v>
      </c>
      <c r="Y9" s="263">
        <f t="shared" si="9"/>
        <v>76.910139416983483</v>
      </c>
      <c r="Z9" s="267">
        <f t="shared" ref="Z9" si="23">Y9*100/Y8-100</f>
        <v>-5.968635892494305</v>
      </c>
      <c r="AA9" s="268">
        <v>121364.19999999994</v>
      </c>
      <c r="AB9" s="264">
        <f t="shared" si="10"/>
        <v>84954.889999999956</v>
      </c>
      <c r="AC9" s="264">
        <v>36409.30999999999</v>
      </c>
      <c r="AD9" s="269">
        <v>10700</v>
      </c>
      <c r="AE9" s="267">
        <f t="shared" si="19"/>
        <v>-6.0331957495389474</v>
      </c>
      <c r="AF9" s="263">
        <f t="shared" si="11"/>
        <v>79.890969158878519</v>
      </c>
      <c r="AG9" s="267">
        <f t="shared" si="19"/>
        <v>-12.922085321036846</v>
      </c>
      <c r="AH9" s="268">
        <v>854833.37000000011</v>
      </c>
      <c r="AI9" s="264">
        <f t="shared" si="12"/>
        <v>598383.32900000014</v>
      </c>
      <c r="AJ9" s="265">
        <v>256450.04100000003</v>
      </c>
    </row>
    <row r="10" spans="1:36" x14ac:dyDescent="0.3">
      <c r="A10" s="3" t="s">
        <v>25</v>
      </c>
      <c r="B10" s="3">
        <v>2024</v>
      </c>
      <c r="C10" s="3" t="s">
        <v>1</v>
      </c>
      <c r="D10" s="44">
        <f t="shared" si="0"/>
        <v>30865</v>
      </c>
      <c r="E10" s="45">
        <f t="shared" si="1"/>
        <v>93.036526551109674</v>
      </c>
      <c r="F10" s="46">
        <f t="shared" si="2"/>
        <v>2871572.392</v>
      </c>
      <c r="G10" s="47">
        <f t="shared" si="3"/>
        <v>2010100.6143999998</v>
      </c>
      <c r="H10" s="48">
        <f t="shared" si="4"/>
        <v>861471.77759999991</v>
      </c>
      <c r="I10" s="49">
        <v>18125</v>
      </c>
      <c r="J10" s="51">
        <f t="shared" si="13"/>
        <v>-7.9341697566922278</v>
      </c>
      <c r="K10" s="45">
        <f t="shared" si="5"/>
        <v>110.64969931034481</v>
      </c>
      <c r="L10" s="51">
        <f t="shared" si="14"/>
        <v>-14.157445147826493</v>
      </c>
      <c r="M10" s="46">
        <v>2005525.7999999998</v>
      </c>
      <c r="N10" s="47">
        <f t="shared" si="6"/>
        <v>1403868.0499999998</v>
      </c>
      <c r="O10" s="47">
        <v>601657.74999999988</v>
      </c>
      <c r="P10" s="50">
        <v>1883</v>
      </c>
      <c r="Q10" s="51">
        <f t="shared" si="15"/>
        <v>-12.418604651162795</v>
      </c>
      <c r="R10" s="45">
        <f t="shared" si="7"/>
        <v>73.300005310674422</v>
      </c>
      <c r="S10" s="51">
        <f t="shared" si="16"/>
        <v>-15.244970001927499</v>
      </c>
      <c r="T10" s="46">
        <v>138023.90999999995</v>
      </c>
      <c r="U10" s="47">
        <f t="shared" si="8"/>
        <v>96616.726999999955</v>
      </c>
      <c r="V10" s="47">
        <v>41407.182999999997</v>
      </c>
      <c r="W10" s="50">
        <v>1401</v>
      </c>
      <c r="X10" s="51">
        <f t="shared" ref="X10" si="24">W10*100/W9-100</f>
        <v>-11.216730038022817</v>
      </c>
      <c r="Y10" s="45">
        <f t="shared" si="9"/>
        <v>63.327701641684499</v>
      </c>
      <c r="Z10" s="51">
        <f t="shared" ref="Z10" si="25">Y10*100/Y9-100</f>
        <v>-17.660139323970171</v>
      </c>
      <c r="AA10" s="46">
        <v>88722.109999999986</v>
      </c>
      <c r="AB10" s="47">
        <f t="shared" si="10"/>
        <v>62105.456999999988</v>
      </c>
      <c r="AC10" s="47">
        <v>26616.652999999998</v>
      </c>
      <c r="AD10" s="50">
        <v>9456</v>
      </c>
      <c r="AE10" s="51">
        <f t="shared" si="19"/>
        <v>-11.626168224299064</v>
      </c>
      <c r="AF10" s="45">
        <f t="shared" si="11"/>
        <v>67.607928510998335</v>
      </c>
      <c r="AG10" s="51">
        <f t="shared" si="19"/>
        <v>-15.37475484050394</v>
      </c>
      <c r="AH10" s="46">
        <v>639300.57200000028</v>
      </c>
      <c r="AI10" s="47">
        <f t="shared" si="12"/>
        <v>447510.3804000002</v>
      </c>
      <c r="AJ10" s="47">
        <v>191790.19160000008</v>
      </c>
    </row>
    <row r="11" spans="1:36" x14ac:dyDescent="0.3">
      <c r="A11" s="3" t="s">
        <v>25</v>
      </c>
      <c r="B11" s="3">
        <v>2024</v>
      </c>
      <c r="C11" s="3" t="s">
        <v>2</v>
      </c>
      <c r="D11" s="10">
        <f t="shared" si="0"/>
        <v>29802</v>
      </c>
      <c r="E11" s="40">
        <f t="shared" si="1"/>
        <v>88.396262331387192</v>
      </c>
      <c r="F11" s="11">
        <f t="shared" si="2"/>
        <v>2634385.4100000011</v>
      </c>
      <c r="G11" s="12">
        <f t="shared" si="3"/>
        <v>1844069.7070000009</v>
      </c>
      <c r="H11" s="13">
        <f t="shared" si="4"/>
        <v>790315.70299999998</v>
      </c>
      <c r="I11" s="14">
        <v>17540</v>
      </c>
      <c r="J11" s="39">
        <f t="shared" si="13"/>
        <v>-3.2275862068965466</v>
      </c>
      <c r="K11" s="40">
        <f t="shared" si="5"/>
        <v>103.79928050171041</v>
      </c>
      <c r="L11" s="39">
        <f t="shared" si="14"/>
        <v>-6.1910866919038625</v>
      </c>
      <c r="M11" s="11">
        <v>1820639.3800000006</v>
      </c>
      <c r="N11" s="12">
        <f t="shared" si="6"/>
        <v>1274447.5660000006</v>
      </c>
      <c r="O11" s="12">
        <v>546191.8139999999</v>
      </c>
      <c r="P11" s="2">
        <v>1797</v>
      </c>
      <c r="Q11" s="39">
        <f t="shared" si="15"/>
        <v>-4.5671800318640408</v>
      </c>
      <c r="R11" s="40">
        <f t="shared" si="7"/>
        <v>65.649465776293823</v>
      </c>
      <c r="S11" s="39">
        <f t="shared" si="16"/>
        <v>-10.437297380749953</v>
      </c>
      <c r="T11" s="11">
        <v>117972.09000000001</v>
      </c>
      <c r="U11" s="12">
        <f t="shared" si="8"/>
        <v>82580.413000000015</v>
      </c>
      <c r="V11" s="12">
        <v>35391.676999999996</v>
      </c>
      <c r="W11" s="2">
        <v>1133</v>
      </c>
      <c r="X11" s="39">
        <f t="shared" ref="X11" si="26">W11*100/W10-100</f>
        <v>-19.12919343326196</v>
      </c>
      <c r="Y11" s="40">
        <f t="shared" si="9"/>
        <v>63.04729920564872</v>
      </c>
      <c r="Z11" s="39">
        <f t="shared" ref="Z11" si="27">Y11*100/Y10-100</f>
        <v>-0.44278006112131152</v>
      </c>
      <c r="AA11" s="11">
        <v>71432.59</v>
      </c>
      <c r="AB11" s="12">
        <f t="shared" si="10"/>
        <v>50002.793000000005</v>
      </c>
      <c r="AC11" s="12">
        <v>21429.796999999995</v>
      </c>
      <c r="AD11" s="2">
        <v>9332</v>
      </c>
      <c r="AE11" s="39">
        <f t="shared" si="19"/>
        <v>-1.311336717428091</v>
      </c>
      <c r="AF11" s="40">
        <f t="shared" si="11"/>
        <v>66.903273681954587</v>
      </c>
      <c r="AG11" s="39">
        <f t="shared" si="19"/>
        <v>-1.0422665574335923</v>
      </c>
      <c r="AH11" s="11">
        <v>624341.35000000021</v>
      </c>
      <c r="AI11" s="12">
        <f t="shared" si="12"/>
        <v>437038.93500000017</v>
      </c>
      <c r="AJ11" s="12">
        <v>187302.41500000007</v>
      </c>
    </row>
    <row r="12" spans="1:36" x14ac:dyDescent="0.3">
      <c r="A12" s="3" t="s">
        <v>25</v>
      </c>
      <c r="B12" s="3">
        <v>2024</v>
      </c>
      <c r="C12" s="3" t="s">
        <v>3</v>
      </c>
      <c r="D12" s="10">
        <f t="shared" si="0"/>
        <v>28518</v>
      </c>
      <c r="E12" s="40">
        <f t="shared" si="1"/>
        <v>82.945865418332275</v>
      </c>
      <c r="F12" s="11">
        <f t="shared" si="2"/>
        <v>2365450.19</v>
      </c>
      <c r="G12" s="12">
        <f t="shared" si="3"/>
        <v>1655815.003</v>
      </c>
      <c r="H12" s="13">
        <f t="shared" si="4"/>
        <v>709635.18699999992</v>
      </c>
      <c r="I12" s="14">
        <v>16940</v>
      </c>
      <c r="J12" s="39">
        <f t="shared" si="13"/>
        <v>-3.4207525655644275</v>
      </c>
      <c r="K12" s="40">
        <f t="shared" si="5"/>
        <v>96.705978748524203</v>
      </c>
      <c r="L12" s="39">
        <f t="shared" si="14"/>
        <v>-6.8336714078373006</v>
      </c>
      <c r="M12" s="11">
        <v>1638199.28</v>
      </c>
      <c r="N12" s="12">
        <f t="shared" si="6"/>
        <v>1146739.476</v>
      </c>
      <c r="O12" s="12">
        <v>491459.80399999995</v>
      </c>
      <c r="P12" s="2">
        <v>1620</v>
      </c>
      <c r="Q12" s="39">
        <f t="shared" si="15"/>
        <v>-9.8497495826377275</v>
      </c>
      <c r="R12" s="40">
        <f t="shared" si="7"/>
        <v>58.597925925925914</v>
      </c>
      <c r="S12" s="39">
        <f t="shared" si="16"/>
        <v>-10.741199135415116</v>
      </c>
      <c r="T12" s="11">
        <v>94928.639999999985</v>
      </c>
      <c r="U12" s="12">
        <f t="shared" si="8"/>
        <v>66450.007999999987</v>
      </c>
      <c r="V12" s="12">
        <v>28478.632000000001</v>
      </c>
      <c r="W12" s="2">
        <v>1288</v>
      </c>
      <c r="X12" s="39">
        <f t="shared" ref="X12" si="28">W12*100/W11-100</f>
        <v>13.680494263018531</v>
      </c>
      <c r="Y12" s="40">
        <f t="shared" si="9"/>
        <v>61.445240683229827</v>
      </c>
      <c r="Z12" s="39">
        <f t="shared" ref="Z12" si="29">Y12*100/Y11-100</f>
        <v>-2.5410422692227854</v>
      </c>
      <c r="AA12" s="11">
        <v>79141.470000000016</v>
      </c>
      <c r="AB12" s="12">
        <f t="shared" si="10"/>
        <v>55398.979000000021</v>
      </c>
      <c r="AC12" s="12">
        <v>23742.490999999998</v>
      </c>
      <c r="AD12" s="2">
        <v>8670</v>
      </c>
      <c r="AE12" s="39">
        <f t="shared" si="19"/>
        <v>-7.0938705529361386</v>
      </c>
      <c r="AF12" s="40">
        <f t="shared" si="11"/>
        <v>63.804013840830457</v>
      </c>
      <c r="AG12" s="39">
        <f t="shared" si="19"/>
        <v>-4.6324487137317334</v>
      </c>
      <c r="AH12" s="11">
        <v>553180.80000000005</v>
      </c>
      <c r="AI12" s="12">
        <f t="shared" si="12"/>
        <v>387226.54000000004</v>
      </c>
      <c r="AJ12" s="12">
        <v>165954.26</v>
      </c>
    </row>
    <row r="13" spans="1:36" x14ac:dyDescent="0.3">
      <c r="A13" s="3" t="s">
        <v>25</v>
      </c>
      <c r="B13" s="3">
        <v>2024</v>
      </c>
      <c r="C13" s="3" t="s">
        <v>4</v>
      </c>
      <c r="D13" s="10">
        <f t="shared" si="0"/>
        <v>27639</v>
      </c>
      <c r="E13" s="40">
        <f t="shared" si="1"/>
        <v>81.211616194507783</v>
      </c>
      <c r="F13" s="11">
        <f t="shared" si="2"/>
        <v>2244607.8600000008</v>
      </c>
      <c r="G13" s="12">
        <f t="shared" si="3"/>
        <v>1571225.4020000009</v>
      </c>
      <c r="H13" s="13">
        <f t="shared" si="4"/>
        <v>673382.45799999998</v>
      </c>
      <c r="I13" s="14">
        <v>16428</v>
      </c>
      <c r="J13" s="39">
        <f t="shared" si="13"/>
        <v>-3.0224321133412104</v>
      </c>
      <c r="K13" s="40">
        <f t="shared" si="5"/>
        <v>94.781866325785273</v>
      </c>
      <c r="L13" s="39">
        <f t="shared" si="14"/>
        <v>-1.9896519818515372</v>
      </c>
      <c r="M13" s="11">
        <v>1557076.5000000005</v>
      </c>
      <c r="N13" s="12">
        <f t="shared" si="6"/>
        <v>1089953.5100000007</v>
      </c>
      <c r="O13" s="12">
        <v>467122.98999999982</v>
      </c>
      <c r="P13" s="2">
        <v>1524</v>
      </c>
      <c r="Q13" s="39">
        <f t="shared" si="15"/>
        <v>-5.9259259259259238</v>
      </c>
      <c r="R13" s="40">
        <f t="shared" si="7"/>
        <v>55.55221784776905</v>
      </c>
      <c r="S13" s="39">
        <f t="shared" si="16"/>
        <v>-5.1976380222176601</v>
      </c>
      <c r="T13" s="11">
        <v>84661.580000000031</v>
      </c>
      <c r="U13" s="12">
        <f t="shared" si="8"/>
        <v>59263.076000000037</v>
      </c>
      <c r="V13" s="12">
        <v>25398.503999999994</v>
      </c>
      <c r="W13" s="2">
        <v>1070</v>
      </c>
      <c r="X13" s="39">
        <f t="shared" ref="X13" si="30">W13*100/W12-100</f>
        <v>-16.925465838509311</v>
      </c>
      <c r="Y13" s="40">
        <f t="shared" si="9"/>
        <v>56.742364485981312</v>
      </c>
      <c r="Z13" s="39">
        <f t="shared" ref="Z13" si="31">Y13*100/Y12-100</f>
        <v>-7.6537680460775874</v>
      </c>
      <c r="AA13" s="11">
        <v>60714.33</v>
      </c>
      <c r="AB13" s="12">
        <f t="shared" si="10"/>
        <v>42500.010999999999</v>
      </c>
      <c r="AC13" s="12">
        <v>18214.319</v>
      </c>
      <c r="AD13" s="2">
        <v>8617</v>
      </c>
      <c r="AE13" s="39">
        <f t="shared" si="19"/>
        <v>-0.61130334486735194</v>
      </c>
      <c r="AF13" s="40">
        <f t="shared" si="11"/>
        <v>62.916960659162157</v>
      </c>
      <c r="AG13" s="39">
        <f t="shared" si="19"/>
        <v>-1.3902780221338418</v>
      </c>
      <c r="AH13" s="11">
        <v>542155.4500000003</v>
      </c>
      <c r="AI13" s="12">
        <f t="shared" si="12"/>
        <v>379508.80500000017</v>
      </c>
      <c r="AJ13" s="12">
        <v>162646.64500000011</v>
      </c>
    </row>
    <row r="14" spans="1:36" x14ac:dyDescent="0.3">
      <c r="A14" s="3" t="s">
        <v>25</v>
      </c>
      <c r="B14" s="3">
        <v>2024</v>
      </c>
      <c r="C14" s="3" t="s">
        <v>5</v>
      </c>
      <c r="D14" s="10">
        <f t="shared" si="0"/>
        <v>28297</v>
      </c>
      <c r="E14" s="40">
        <f t="shared" si="1"/>
        <v>83.061109658267668</v>
      </c>
      <c r="F14" s="11">
        <f t="shared" si="2"/>
        <v>2350380.2200000002</v>
      </c>
      <c r="G14" s="12">
        <f t="shared" si="3"/>
        <v>1645266.1240000003</v>
      </c>
      <c r="H14" s="13">
        <f t="shared" si="4"/>
        <v>705114.09600000002</v>
      </c>
      <c r="I14" s="14">
        <v>16682</v>
      </c>
      <c r="J14" s="39">
        <f t="shared" si="13"/>
        <v>1.5461407353299279</v>
      </c>
      <c r="K14" s="40">
        <f t="shared" si="5"/>
        <v>97.066076010070731</v>
      </c>
      <c r="L14" s="39">
        <f t="shared" si="14"/>
        <v>2.4099648728525267</v>
      </c>
      <c r="M14" s="11">
        <v>1619256.28</v>
      </c>
      <c r="N14" s="12">
        <f t="shared" si="6"/>
        <v>1133479.3760000002</v>
      </c>
      <c r="O14" s="12">
        <v>485776.90399999992</v>
      </c>
      <c r="P14" s="2">
        <v>1643</v>
      </c>
      <c r="Q14" s="39">
        <f t="shared" si="15"/>
        <v>7.8083989501312345</v>
      </c>
      <c r="R14" s="40">
        <f t="shared" si="7"/>
        <v>57.866293365794256</v>
      </c>
      <c r="S14" s="39">
        <f t="shared" si="16"/>
        <v>4.1655861956160152</v>
      </c>
      <c r="T14" s="11">
        <v>95074.319999999963</v>
      </c>
      <c r="U14" s="12">
        <f t="shared" si="8"/>
        <v>66551.993999999962</v>
      </c>
      <c r="V14" s="12">
        <v>28522.326000000001</v>
      </c>
      <c r="W14" s="2">
        <v>1044</v>
      </c>
      <c r="X14" s="39">
        <f t="shared" ref="X14" si="32">W14*100/W13-100</f>
        <v>-2.4299065420560737</v>
      </c>
      <c r="Y14" s="40">
        <f t="shared" si="9"/>
        <v>61.859703065134113</v>
      </c>
      <c r="Z14" s="39">
        <f t="shared" ref="Z14" si="33">Y14*100/Y13-100</f>
        <v>9.0185501177291911</v>
      </c>
      <c r="AA14" s="11">
        <v>64581.530000000013</v>
      </c>
      <c r="AB14" s="12">
        <f t="shared" si="10"/>
        <v>45207.10100000001</v>
      </c>
      <c r="AC14" s="12">
        <v>19374.429000000004</v>
      </c>
      <c r="AD14" s="2">
        <v>8928</v>
      </c>
      <c r="AE14" s="39">
        <f t="shared" si="19"/>
        <v>3.6091447139375674</v>
      </c>
      <c r="AF14" s="40">
        <f t="shared" si="11"/>
        <v>64.008522625448038</v>
      </c>
      <c r="AG14" s="39">
        <f t="shared" si="19"/>
        <v>1.7349248197146068</v>
      </c>
      <c r="AH14" s="11">
        <v>571468.09000000008</v>
      </c>
      <c r="AI14" s="12">
        <f t="shared" si="12"/>
        <v>400027.65300000005</v>
      </c>
      <c r="AJ14" s="12">
        <v>171440.43700000003</v>
      </c>
    </row>
    <row r="15" spans="1:36" x14ac:dyDescent="0.3">
      <c r="A15" s="3" t="s">
        <v>25</v>
      </c>
      <c r="B15" s="3">
        <v>2024</v>
      </c>
      <c r="C15" s="3" t="s">
        <v>6</v>
      </c>
      <c r="D15" s="10">
        <f t="shared" si="0"/>
        <v>28326</v>
      </c>
      <c r="E15" s="40">
        <f t="shared" si="1"/>
        <v>81.815115441643741</v>
      </c>
      <c r="F15" s="11">
        <f t="shared" si="2"/>
        <v>2317494.9600000004</v>
      </c>
      <c r="G15" s="12">
        <f t="shared" si="3"/>
        <v>1622246.402</v>
      </c>
      <c r="H15" s="13">
        <f t="shared" si="4"/>
        <v>695248.55800000019</v>
      </c>
      <c r="I15" s="14">
        <v>16748</v>
      </c>
      <c r="J15" s="39">
        <f t="shared" si="13"/>
        <v>0.39563601486632649</v>
      </c>
      <c r="K15" s="40">
        <f t="shared" si="5"/>
        <v>94.959494267972303</v>
      </c>
      <c r="L15" s="39">
        <f t="shared" si="14"/>
        <v>-2.1702553854962474</v>
      </c>
      <c r="M15" s="11">
        <v>1590381.61</v>
      </c>
      <c r="N15" s="12">
        <f t="shared" si="6"/>
        <v>1113267.1169999999</v>
      </c>
      <c r="O15" s="12">
        <v>477114.49300000019</v>
      </c>
      <c r="P15" s="2">
        <v>1557</v>
      </c>
      <c r="Q15" s="39">
        <f t="shared" si="15"/>
        <v>-5.2343274497869743</v>
      </c>
      <c r="R15" s="40">
        <f t="shared" si="7"/>
        <v>50.916525369299926</v>
      </c>
      <c r="S15" s="39">
        <f t="shared" si="16"/>
        <v>-12.010045213302803</v>
      </c>
      <c r="T15" s="11">
        <v>79277.029999999984</v>
      </c>
      <c r="U15" s="12">
        <f t="shared" si="8"/>
        <v>55493.890999999989</v>
      </c>
      <c r="V15" s="12">
        <v>23783.138999999992</v>
      </c>
      <c r="W15" s="2">
        <v>1029</v>
      </c>
      <c r="X15" s="39">
        <f t="shared" ref="X15" si="34">W15*100/W14-100</f>
        <v>-1.4367816091954069</v>
      </c>
      <c r="Y15" s="40">
        <f t="shared" si="9"/>
        <v>56.291875607385805</v>
      </c>
      <c r="Z15" s="39">
        <f t="shared" ref="Z15" si="35">Y15*100/Y14-100</f>
        <v>-9.0007342128457282</v>
      </c>
      <c r="AA15" s="11">
        <v>57924.34</v>
      </c>
      <c r="AB15" s="12">
        <f t="shared" si="10"/>
        <v>40547.058000000005</v>
      </c>
      <c r="AC15" s="12">
        <v>17377.281999999992</v>
      </c>
      <c r="AD15" s="2">
        <v>8992</v>
      </c>
      <c r="AE15" s="39">
        <f t="shared" si="19"/>
        <v>0.71684587813619771</v>
      </c>
      <c r="AF15" s="40">
        <f t="shared" si="11"/>
        <v>65.60409030249113</v>
      </c>
      <c r="AG15" s="39">
        <f t="shared" si="19"/>
        <v>2.4927425467694491</v>
      </c>
      <c r="AH15" s="11">
        <v>589911.98000000021</v>
      </c>
      <c r="AI15" s="12">
        <f t="shared" si="12"/>
        <v>412938.33600000013</v>
      </c>
      <c r="AJ15" s="12">
        <v>176973.64400000006</v>
      </c>
    </row>
    <row r="16" spans="1:36" x14ac:dyDescent="0.3">
      <c r="A16" s="3" t="s">
        <v>25</v>
      </c>
      <c r="B16" s="3">
        <v>2024</v>
      </c>
      <c r="C16" s="3" t="s">
        <v>7</v>
      </c>
      <c r="D16" s="10">
        <f t="shared" si="0"/>
        <v>26679</v>
      </c>
      <c r="E16" s="40">
        <f t="shared" si="1"/>
        <v>75.063514749428435</v>
      </c>
      <c r="F16" s="11">
        <f t="shared" si="2"/>
        <v>2002619.5100000012</v>
      </c>
      <c r="G16" s="12">
        <f t="shared" si="3"/>
        <v>1401833.597000001</v>
      </c>
      <c r="H16" s="13">
        <f t="shared" si="4"/>
        <v>600785.91299999994</v>
      </c>
      <c r="I16" s="14">
        <v>15489</v>
      </c>
      <c r="J16" s="39">
        <f t="shared" si="13"/>
        <v>-7.5173155003582508</v>
      </c>
      <c r="K16" s="40">
        <f t="shared" si="5"/>
        <v>85.830484860223436</v>
      </c>
      <c r="L16" s="39">
        <f t="shared" si="14"/>
        <v>-9.6135825892112763</v>
      </c>
      <c r="M16" s="11">
        <v>1329428.3800000008</v>
      </c>
      <c r="N16" s="12">
        <f t="shared" si="6"/>
        <v>930599.83600000083</v>
      </c>
      <c r="O16" s="12">
        <v>398828.54399999994</v>
      </c>
      <c r="P16" s="2">
        <v>1454</v>
      </c>
      <c r="Q16" s="39">
        <f t="shared" si="15"/>
        <v>-6.6152858060372495</v>
      </c>
      <c r="R16" s="40">
        <f t="shared" si="7"/>
        <v>49.874099037138926</v>
      </c>
      <c r="S16" s="39">
        <f t="shared" si="16"/>
        <v>-2.0473241734392502</v>
      </c>
      <c r="T16" s="11">
        <v>72516.94</v>
      </c>
      <c r="U16" s="12">
        <f t="shared" si="8"/>
        <v>50761.817999999999</v>
      </c>
      <c r="V16" s="12">
        <v>21755.121999999999</v>
      </c>
      <c r="W16" s="2">
        <v>988</v>
      </c>
      <c r="X16" s="39">
        <f t="shared" ref="X16" si="36">W16*100/W15-100</f>
        <v>-3.9844509232264329</v>
      </c>
      <c r="Y16" s="40">
        <f t="shared" si="9"/>
        <v>49.54586032388665</v>
      </c>
      <c r="Z16" s="39">
        <f t="shared" ref="Z16" si="37">Y16*100/Y15-100</f>
        <v>-11.983994512014505</v>
      </c>
      <c r="AA16" s="11">
        <v>48951.310000000012</v>
      </c>
      <c r="AB16" s="12">
        <f t="shared" si="10"/>
        <v>34265.927000000011</v>
      </c>
      <c r="AC16" s="12">
        <v>14685.383</v>
      </c>
      <c r="AD16" s="2">
        <v>8748</v>
      </c>
      <c r="AE16" s="39">
        <f t="shared" si="19"/>
        <v>-2.7135231316726021</v>
      </c>
      <c r="AF16" s="40">
        <f t="shared" si="11"/>
        <v>63.068459076360341</v>
      </c>
      <c r="AG16" s="39">
        <f t="shared" si="19"/>
        <v>-3.8650505089535585</v>
      </c>
      <c r="AH16" s="11">
        <v>551722.88000000024</v>
      </c>
      <c r="AI16" s="12">
        <f t="shared" si="12"/>
        <v>386206.01600000018</v>
      </c>
      <c r="AJ16" s="12">
        <v>165516.86400000006</v>
      </c>
    </row>
    <row r="17" spans="1:38" ht="14" thickBot="1" x14ac:dyDescent="0.4">
      <c r="A17" s="15" t="s">
        <v>25</v>
      </c>
      <c r="B17" s="15">
        <v>2024</v>
      </c>
      <c r="C17" s="15" t="s">
        <v>0</v>
      </c>
      <c r="D17" s="16">
        <f>AVERAGE(D5:D16)</f>
        <v>31544</v>
      </c>
      <c r="E17" s="99">
        <f>F17/D17/12</f>
        <v>102.36445304442474</v>
      </c>
      <c r="F17" s="17">
        <f>SUM(F5:F16)</f>
        <v>38747811.682000004</v>
      </c>
      <c r="G17" s="18">
        <f t="shared" ref="G17" si="38">SUM(G5:G16)</f>
        <v>27123467.207400002</v>
      </c>
      <c r="H17" s="19">
        <f t="shared" ref="H17" si="39">SUM(H5:H16)</f>
        <v>11624344.474600002</v>
      </c>
      <c r="I17" s="20">
        <f>AVERAGE(I5:I16)</f>
        <v>18346.666666666668</v>
      </c>
      <c r="J17" s="43" t="s">
        <v>30</v>
      </c>
      <c r="K17" s="100">
        <f>M17/I17/12</f>
        <v>120.95543781795055</v>
      </c>
      <c r="L17" s="43" t="s">
        <v>30</v>
      </c>
      <c r="M17" s="21">
        <f>SUM(M5:M16)</f>
        <v>26629549.189999998</v>
      </c>
      <c r="N17" s="22">
        <f t="shared" ref="N17:O17" si="40">SUM(N5:N16)</f>
        <v>18640684.173</v>
      </c>
      <c r="O17" s="22">
        <f t="shared" si="40"/>
        <v>7988865.017</v>
      </c>
      <c r="P17" s="23">
        <f>AVERAGE(P5:P16)</f>
        <v>1914.9166666666667</v>
      </c>
      <c r="Q17" s="43" t="s">
        <v>30</v>
      </c>
      <c r="R17" s="100">
        <f>T17/P17/12</f>
        <v>77.107180469123989</v>
      </c>
      <c r="S17" s="43" t="s">
        <v>30</v>
      </c>
      <c r="T17" s="21">
        <f>SUM(T5:T16)</f>
        <v>1771845.9000000001</v>
      </c>
      <c r="U17" s="22">
        <f t="shared" ref="U17" si="41">SUM(U5:U16)</f>
        <v>1240291.76</v>
      </c>
      <c r="V17" s="22">
        <f t="shared" ref="V17" si="42">SUM(V5:V16)</f>
        <v>531554.14</v>
      </c>
      <c r="W17" s="23">
        <f>AVERAGE(W5:W16)</f>
        <v>1288.25</v>
      </c>
      <c r="X17" s="43" t="s">
        <v>30</v>
      </c>
      <c r="Y17" s="100">
        <f>AA17/W17/12</f>
        <v>69.627285723526754</v>
      </c>
      <c r="Z17" s="43" t="s">
        <v>30</v>
      </c>
      <c r="AA17" s="21">
        <f>SUM(AA5:AA16)</f>
        <v>1076368.21</v>
      </c>
      <c r="AB17" s="22">
        <f t="shared" ref="AB17" si="43">SUM(AB5:AB16)</f>
        <v>753457.62699999998</v>
      </c>
      <c r="AC17" s="22">
        <f t="shared" ref="AC17" si="44">SUM(AC5:AC16)</f>
        <v>322910.58299999998</v>
      </c>
      <c r="AD17" s="23">
        <f>AVERAGE(AD5:AD16)</f>
        <v>9994.1666666666661</v>
      </c>
      <c r="AE17" s="43" t="s">
        <v>30</v>
      </c>
      <c r="AF17" s="100">
        <f>AH17/AD17/12</f>
        <v>77.295492220461966</v>
      </c>
      <c r="AG17" s="43" t="s">
        <v>30</v>
      </c>
      <c r="AH17" s="21">
        <f>SUM(AH5:AH16)</f>
        <v>9270048.382000003</v>
      </c>
      <c r="AI17" s="22">
        <f t="shared" ref="AI17" si="45">SUM(AI5:AI16)</f>
        <v>6489033.6474000001</v>
      </c>
      <c r="AJ17" s="22">
        <f t="shared" ref="AJ17" si="46">SUM(AJ5:AJ16)</f>
        <v>2781014.7346000001</v>
      </c>
    </row>
    <row r="18" spans="1:38" ht="13.5" thickBot="1" x14ac:dyDescent="0.35"/>
    <row r="19" spans="1:38" ht="44.5" customHeight="1" x14ac:dyDescent="0.3">
      <c r="D19" s="435" t="s">
        <v>28</v>
      </c>
      <c r="E19" s="436"/>
      <c r="F19" s="437"/>
      <c r="G19" s="437"/>
      <c r="H19" s="438"/>
      <c r="I19" s="446" t="s">
        <v>21</v>
      </c>
      <c r="J19" s="446"/>
      <c r="K19" s="446"/>
      <c r="L19" s="446"/>
      <c r="M19" s="442"/>
      <c r="N19" s="442"/>
      <c r="O19" s="442"/>
      <c r="P19" s="442" t="s">
        <v>22</v>
      </c>
      <c r="Q19" s="442"/>
      <c r="R19" s="442"/>
      <c r="S19" s="442"/>
      <c r="T19" s="442"/>
      <c r="U19" s="442"/>
      <c r="V19" s="442"/>
      <c r="W19" s="442" t="s">
        <v>23</v>
      </c>
      <c r="X19" s="442"/>
      <c r="Y19" s="442"/>
      <c r="Z19" s="442"/>
      <c r="AA19" s="442"/>
      <c r="AB19" s="442"/>
      <c r="AC19" s="442"/>
      <c r="AD19" s="442" t="s">
        <v>24</v>
      </c>
      <c r="AE19" s="442"/>
      <c r="AF19" s="442"/>
      <c r="AG19" s="442"/>
      <c r="AH19" s="442"/>
      <c r="AI19" s="442"/>
      <c r="AJ19" s="442"/>
    </row>
    <row r="20" spans="1:38" s="4" customFormat="1" ht="118" customHeight="1" thickBot="1" x14ac:dyDescent="0.35">
      <c r="D20" s="236" t="s">
        <v>13</v>
      </c>
      <c r="E20" s="237" t="s">
        <v>29</v>
      </c>
      <c r="F20" s="238" t="s">
        <v>14</v>
      </c>
      <c r="G20" s="239" t="s">
        <v>16</v>
      </c>
      <c r="H20" s="240" t="s">
        <v>15</v>
      </c>
      <c r="I20" s="257" t="s">
        <v>13</v>
      </c>
      <c r="J20" s="237" t="s">
        <v>31</v>
      </c>
      <c r="K20" s="237" t="s">
        <v>29</v>
      </c>
      <c r="L20" s="237" t="s">
        <v>32</v>
      </c>
      <c r="M20" s="238" t="s">
        <v>14</v>
      </c>
      <c r="N20" s="239" t="s">
        <v>16</v>
      </c>
      <c r="O20" s="239" t="s">
        <v>15</v>
      </c>
      <c r="P20" s="238" t="s">
        <v>13</v>
      </c>
      <c r="Q20" s="237" t="s">
        <v>31</v>
      </c>
      <c r="R20" s="237" t="s">
        <v>29</v>
      </c>
      <c r="S20" s="237" t="s">
        <v>32</v>
      </c>
      <c r="T20" s="238" t="s">
        <v>14</v>
      </c>
      <c r="U20" s="239" t="s">
        <v>16</v>
      </c>
      <c r="V20" s="239" t="s">
        <v>15</v>
      </c>
      <c r="W20" s="238" t="s">
        <v>13</v>
      </c>
      <c r="X20" s="237" t="s">
        <v>31</v>
      </c>
      <c r="Y20" s="237" t="s">
        <v>29</v>
      </c>
      <c r="Z20" s="237" t="s">
        <v>32</v>
      </c>
      <c r="AA20" s="238" t="s">
        <v>14</v>
      </c>
      <c r="AB20" s="239" t="s">
        <v>16</v>
      </c>
      <c r="AC20" s="239" t="s">
        <v>15</v>
      </c>
      <c r="AD20" s="238" t="s">
        <v>13</v>
      </c>
      <c r="AE20" s="237" t="s">
        <v>31</v>
      </c>
      <c r="AF20" s="237" t="s">
        <v>29</v>
      </c>
      <c r="AG20" s="237" t="s">
        <v>32</v>
      </c>
      <c r="AH20" s="238" t="s">
        <v>14</v>
      </c>
      <c r="AI20" s="239" t="s">
        <v>16</v>
      </c>
      <c r="AJ20" s="239" t="s">
        <v>15</v>
      </c>
    </row>
    <row r="21" spans="1:38" ht="13.5" thickBot="1" x14ac:dyDescent="0.35">
      <c r="A21" s="247" t="s">
        <v>25</v>
      </c>
      <c r="B21" s="248">
        <v>2025</v>
      </c>
      <c r="C21" s="248" t="s">
        <v>8</v>
      </c>
      <c r="D21" s="316">
        <f>I21+P21+W21+AD21</f>
        <v>31741</v>
      </c>
      <c r="E21" s="317">
        <f>F21/D21</f>
        <v>118.48892851516968</v>
      </c>
      <c r="F21" s="318">
        <f t="shared" ref="F21:F32" si="47">M21+T21+AA21+AH21</f>
        <v>3760957.0800000005</v>
      </c>
      <c r="G21" s="319">
        <f t="shared" ref="G21:G32" si="48">N21+U21+AB21+AI21</f>
        <v>2632669.9160000002</v>
      </c>
      <c r="H21" s="320">
        <f t="shared" ref="H21:H32" si="49">O21+V21+AC21+AJ21</f>
        <v>1128287.1640000003</v>
      </c>
      <c r="I21" s="345">
        <v>19190</v>
      </c>
      <c r="J21" s="322">
        <f>I21*100/I16-100</f>
        <v>23.894376654399892</v>
      </c>
      <c r="K21" s="317">
        <f>M21/I21</f>
        <v>138.49871287128715</v>
      </c>
      <c r="L21" s="322">
        <f>K21*100/K16-100</f>
        <v>61.363078743915906</v>
      </c>
      <c r="M21" s="318">
        <v>2657790.3000000003</v>
      </c>
      <c r="N21" s="319">
        <f>M21-O21</f>
        <v>1860453.19</v>
      </c>
      <c r="O21" s="319">
        <v>797337.11000000034</v>
      </c>
      <c r="P21" s="321">
        <v>1921</v>
      </c>
      <c r="Q21" s="322">
        <f>P21*100/P16-100</f>
        <v>32.118294360385136</v>
      </c>
      <c r="R21" s="317">
        <f>T21/P21</f>
        <v>86.618219677251417</v>
      </c>
      <c r="S21" s="322">
        <f>R21*100/R16-100</f>
        <v>73.673753209558441</v>
      </c>
      <c r="T21" s="318">
        <v>166393.59999999998</v>
      </c>
      <c r="U21" s="319">
        <f>T21-V21</f>
        <v>116475.50999999997</v>
      </c>
      <c r="V21" s="319">
        <v>49918.090000000011</v>
      </c>
      <c r="W21" s="321">
        <v>1396</v>
      </c>
      <c r="X21" s="322">
        <f>W21*100/W16-100</f>
        <v>41.295546558704444</v>
      </c>
      <c r="Y21" s="317">
        <f>AA21/W21</f>
        <v>89.541088825214885</v>
      </c>
      <c r="Z21" s="322">
        <f>Y21*100/Y16-100</f>
        <v>80.723653277741249</v>
      </c>
      <c r="AA21" s="318">
        <v>124999.35999999999</v>
      </c>
      <c r="AB21" s="319">
        <f>AA21-AC21</f>
        <v>87499.541999999987</v>
      </c>
      <c r="AC21" s="319">
        <v>37499.818000000007</v>
      </c>
      <c r="AD21" s="321">
        <v>9234</v>
      </c>
      <c r="AE21" s="322">
        <f>AD21*100/AD16-100</f>
        <v>5.5555555555555571</v>
      </c>
      <c r="AF21" s="317">
        <f>AH21/AD21</f>
        <v>87.911394845137551</v>
      </c>
      <c r="AG21" s="322">
        <f>AF21*100/AF16-100</f>
        <v>39.390427691754041</v>
      </c>
      <c r="AH21" s="318">
        <v>811773.82000000018</v>
      </c>
      <c r="AI21" s="319">
        <f>AH21-AJ21</f>
        <v>568241.67400000012</v>
      </c>
      <c r="AJ21" s="320">
        <v>243532.14600000004</v>
      </c>
    </row>
    <row r="22" spans="1:38" x14ac:dyDescent="0.3">
      <c r="A22" s="369" t="s">
        <v>25</v>
      </c>
      <c r="B22" s="370">
        <v>2025</v>
      </c>
      <c r="C22" s="370" t="s">
        <v>9</v>
      </c>
      <c r="D22" s="371">
        <f t="shared" ref="D22:D32" si="50">I22+P22+W22+AD22</f>
        <v>32658</v>
      </c>
      <c r="E22" s="372">
        <f t="shared" ref="E22:E32" si="51">F22/D22</f>
        <v>122.28048808867663</v>
      </c>
      <c r="F22" s="397">
        <f t="shared" si="47"/>
        <v>3993436.1800000016</v>
      </c>
      <c r="G22" s="373">
        <f t="shared" si="48"/>
        <v>2795405.296000001</v>
      </c>
      <c r="H22" s="374">
        <f t="shared" si="49"/>
        <v>1198030.8840000001</v>
      </c>
      <c r="I22" s="375">
        <v>19591</v>
      </c>
      <c r="J22" s="376">
        <f>I22*100/I21-100</f>
        <v>2.0896300156331478</v>
      </c>
      <c r="K22" s="372">
        <f t="shared" ref="K22:K32" si="52">M22/I22</f>
        <v>139.53365729161357</v>
      </c>
      <c r="L22" s="376">
        <f>K22*100/K21-100</f>
        <v>0.74725923358452917</v>
      </c>
      <c r="M22" s="397">
        <v>2733603.8800000013</v>
      </c>
      <c r="N22" s="373">
        <f t="shared" ref="N22:N32" si="53">M22-O22</f>
        <v>1913522.7260000012</v>
      </c>
      <c r="O22" s="373">
        <v>820081.15399999998</v>
      </c>
      <c r="P22" s="377">
        <v>1982</v>
      </c>
      <c r="Q22" s="376">
        <f>P22*100/P21-100</f>
        <v>3.1754294638209331</v>
      </c>
      <c r="R22" s="372">
        <f t="shared" ref="R22:R32" si="54">T22/P22</f>
        <v>92.469001009081722</v>
      </c>
      <c r="S22" s="376">
        <f>R22*100/R21-100</f>
        <v>6.7546774265633047</v>
      </c>
      <c r="T22" s="397">
        <v>183273.55999999997</v>
      </c>
      <c r="U22" s="373">
        <f t="shared" ref="U22:U32" si="55">T22-V22</f>
        <v>128291.46199999997</v>
      </c>
      <c r="V22" s="373">
        <v>54982.098000000005</v>
      </c>
      <c r="W22" s="377">
        <v>1190</v>
      </c>
      <c r="X22" s="376">
        <f>W22*100/W21-100</f>
        <v>-14.756446991404005</v>
      </c>
      <c r="Y22" s="372">
        <f t="shared" ref="Y22:Y32" si="56">AA22/W22</f>
        <v>80.284369747899163</v>
      </c>
      <c r="Z22" s="376">
        <f>Y22*100/Y21-100</f>
        <v>-10.337956795884992</v>
      </c>
      <c r="AA22" s="397">
        <v>95538.400000000009</v>
      </c>
      <c r="AB22" s="373">
        <f t="shared" ref="AB22:AB32" si="57">AA22-AC22</f>
        <v>66876.89</v>
      </c>
      <c r="AC22" s="373">
        <v>28661.510000000006</v>
      </c>
      <c r="AD22" s="377">
        <v>9895</v>
      </c>
      <c r="AE22" s="376">
        <f>AD22*100/AD21-100</f>
        <v>7.158327918561838</v>
      </c>
      <c r="AF22" s="372">
        <f t="shared" ref="AF22:AF23" si="58">AH22/AD22</f>
        <v>99.143035876705412</v>
      </c>
      <c r="AG22" s="376">
        <f>AF22*100/AF21-100</f>
        <v>12.776092395477562</v>
      </c>
      <c r="AH22" s="397">
        <v>981020.34000000008</v>
      </c>
      <c r="AI22" s="373">
        <f t="shared" ref="AI22:AI32" si="59">AH22-AJ22</f>
        <v>686714.21800000011</v>
      </c>
      <c r="AJ22" s="374">
        <v>294306.12200000003</v>
      </c>
    </row>
    <row r="23" spans="1:38" x14ac:dyDescent="0.3">
      <c r="A23" s="378" t="s">
        <v>25</v>
      </c>
      <c r="B23" s="379">
        <v>2025</v>
      </c>
      <c r="C23" s="380" t="s">
        <v>10</v>
      </c>
      <c r="D23" s="381">
        <f t="shared" si="50"/>
        <v>34355</v>
      </c>
      <c r="E23" s="382">
        <f t="shared" si="51"/>
        <v>130.26671925483913</v>
      </c>
      <c r="F23" s="398">
        <f t="shared" si="47"/>
        <v>4475313.1399999987</v>
      </c>
      <c r="G23" s="383">
        <f t="shared" si="48"/>
        <v>3132719.1079999995</v>
      </c>
      <c r="H23" s="384">
        <f t="shared" si="49"/>
        <v>1342594.0319999999</v>
      </c>
      <c r="I23" s="385">
        <v>20591</v>
      </c>
      <c r="J23" s="386">
        <f t="shared" ref="J23:J32" si="60">I23*100/I22-100</f>
        <v>5.1043846664284587</v>
      </c>
      <c r="K23" s="382">
        <f t="shared" si="52"/>
        <v>151.37094167354664</v>
      </c>
      <c r="L23" s="386">
        <f t="shared" ref="L23:L31" si="61">K23*100/K22-100</f>
        <v>8.4834617050093897</v>
      </c>
      <c r="M23" s="398">
        <v>3116879.0599999991</v>
      </c>
      <c r="N23" s="383">
        <f t="shared" si="53"/>
        <v>2181815.3219999992</v>
      </c>
      <c r="O23" s="383">
        <v>935063.73799999978</v>
      </c>
      <c r="P23" s="387">
        <v>2048</v>
      </c>
      <c r="Q23" s="386">
        <f t="shared" ref="Q23:Q32" si="62">P23*100/P22-100</f>
        <v>3.3299697275479332</v>
      </c>
      <c r="R23" s="382">
        <f t="shared" si="54"/>
        <v>99.408676757812472</v>
      </c>
      <c r="S23" s="386">
        <f t="shared" ref="S23:S32" si="63">R23*100/R22-100</f>
        <v>7.5048672236106171</v>
      </c>
      <c r="T23" s="398">
        <v>203588.96999999994</v>
      </c>
      <c r="U23" s="383">
        <f t="shared" si="55"/>
        <v>142512.25899999993</v>
      </c>
      <c r="V23" s="383">
        <v>61076.711000000003</v>
      </c>
      <c r="W23" s="387">
        <v>1261</v>
      </c>
      <c r="X23" s="386">
        <f t="shared" ref="X23:X32" si="64">W23*100/W22-100</f>
        <v>5.9663865546218489</v>
      </c>
      <c r="Y23" s="382">
        <f t="shared" si="56"/>
        <v>105.66345757335448</v>
      </c>
      <c r="Z23" s="386">
        <f t="shared" ref="Z23:Z32" si="65">Y23*100/Y22-100</f>
        <v>31.611492878561734</v>
      </c>
      <c r="AA23" s="398">
        <v>133241.62</v>
      </c>
      <c r="AB23" s="383">
        <f t="shared" si="57"/>
        <v>93269.114000000001</v>
      </c>
      <c r="AC23" s="383">
        <v>39972.506000000001</v>
      </c>
      <c r="AD23" s="387">
        <v>10455</v>
      </c>
      <c r="AE23" s="386">
        <f t="shared" ref="AE23:AG23" si="66">AD23*100/AD22-100</f>
        <v>5.6594239514906519</v>
      </c>
      <c r="AF23" s="382">
        <f t="shared" si="58"/>
        <v>97.714346245815406</v>
      </c>
      <c r="AG23" s="386">
        <f t="shared" si="66"/>
        <v>-1.4410388165505879</v>
      </c>
      <c r="AH23" s="398">
        <v>1021603.4900000001</v>
      </c>
      <c r="AI23" s="383">
        <f t="shared" si="59"/>
        <v>715122.41300000006</v>
      </c>
      <c r="AJ23" s="384">
        <v>306481.07700000005</v>
      </c>
    </row>
    <row r="24" spans="1:38" x14ac:dyDescent="0.3">
      <c r="A24" s="378" t="s">
        <v>25</v>
      </c>
      <c r="B24" s="379">
        <v>2025</v>
      </c>
      <c r="C24" s="380" t="s">
        <v>11</v>
      </c>
      <c r="D24" s="381">
        <f t="shared" si="50"/>
        <v>33826</v>
      </c>
      <c r="E24" s="382">
        <f t="shared" si="51"/>
        <v>125.50372790161416</v>
      </c>
      <c r="F24" s="398">
        <f t="shared" si="47"/>
        <v>4245289.1000000006</v>
      </c>
      <c r="G24" s="383">
        <f t="shared" si="48"/>
        <v>2971702.2200000007</v>
      </c>
      <c r="H24" s="384">
        <f t="shared" si="49"/>
        <v>1273586.8799999999</v>
      </c>
      <c r="I24" s="385">
        <v>20243</v>
      </c>
      <c r="J24" s="386">
        <f t="shared" si="60"/>
        <v>-1.6900587635374649</v>
      </c>
      <c r="K24" s="382">
        <f t="shared" si="52"/>
        <v>147.81578767969177</v>
      </c>
      <c r="L24" s="386">
        <f t="shared" si="61"/>
        <v>-2.3486370333363453</v>
      </c>
      <c r="M24" s="398">
        <v>2992234.9900000007</v>
      </c>
      <c r="N24" s="383">
        <f t="shared" si="53"/>
        <v>2094564.4430000009</v>
      </c>
      <c r="O24" s="383">
        <v>897670.54699999979</v>
      </c>
      <c r="P24" s="387">
        <v>2145</v>
      </c>
      <c r="Q24" s="386">
        <f t="shared" si="62"/>
        <v>4.736328125</v>
      </c>
      <c r="R24" s="382">
        <f t="shared" si="54"/>
        <v>97.560484848484876</v>
      </c>
      <c r="S24" s="386">
        <f t="shared" si="63"/>
        <v>-1.8591857065257074</v>
      </c>
      <c r="T24" s="398">
        <v>209267.24000000005</v>
      </c>
      <c r="U24" s="383">
        <f t="shared" si="55"/>
        <v>146487.03800000003</v>
      </c>
      <c r="V24" s="383">
        <v>62780.202000000012</v>
      </c>
      <c r="W24" s="387">
        <v>1218</v>
      </c>
      <c r="X24" s="386">
        <f t="shared" si="64"/>
        <v>-3.4099920697858863</v>
      </c>
      <c r="Y24" s="382">
        <f t="shared" si="56"/>
        <v>76.984646962233171</v>
      </c>
      <c r="Z24" s="386">
        <f t="shared" si="65"/>
        <v>-27.141654522531297</v>
      </c>
      <c r="AA24" s="398">
        <v>93767.3</v>
      </c>
      <c r="AB24" s="383">
        <f t="shared" si="57"/>
        <v>65637.070000000007</v>
      </c>
      <c r="AC24" s="383">
        <v>28130.229999999996</v>
      </c>
      <c r="AD24" s="387">
        <v>10220</v>
      </c>
      <c r="AE24" s="386">
        <f t="shared" ref="AE24:AE32" si="67">AD24*100/AD23-100</f>
        <v>-2.2477283596365396</v>
      </c>
      <c r="AF24" s="382">
        <f t="shared" ref="AF24:AF32" si="68">AH24/AD24</f>
        <v>92.956905088062626</v>
      </c>
      <c r="AG24" s="386">
        <f t="shared" ref="AG24:AG32" si="69">AF24*100/AF23-100</f>
        <v>-4.8687233149825317</v>
      </c>
      <c r="AH24" s="398">
        <v>950019.57000000007</v>
      </c>
      <c r="AI24" s="383">
        <f t="shared" si="59"/>
        <v>665013.66899999999</v>
      </c>
      <c r="AJ24" s="384">
        <v>285005.90100000001</v>
      </c>
    </row>
    <row r="25" spans="1:38" ht="13.5" thickBot="1" x14ac:dyDescent="0.35">
      <c r="A25" s="388" t="s">
        <v>25</v>
      </c>
      <c r="B25" s="389">
        <v>2025</v>
      </c>
      <c r="C25" s="389" t="s">
        <v>12</v>
      </c>
      <c r="D25" s="390">
        <f t="shared" si="50"/>
        <v>31320</v>
      </c>
      <c r="E25" s="391">
        <f t="shared" si="51"/>
        <v>107.91396168582376</v>
      </c>
      <c r="F25" s="399">
        <f t="shared" si="47"/>
        <v>3379865.2800000003</v>
      </c>
      <c r="G25" s="392">
        <f t="shared" si="48"/>
        <v>2365905.5660000001</v>
      </c>
      <c r="H25" s="393">
        <f t="shared" si="49"/>
        <v>1013959.7139999999</v>
      </c>
      <c r="I25" s="394">
        <v>18603</v>
      </c>
      <c r="J25" s="395">
        <f t="shared" si="60"/>
        <v>-8.1015659734229075</v>
      </c>
      <c r="K25" s="391">
        <f t="shared" si="52"/>
        <v>128.04694404128367</v>
      </c>
      <c r="L25" s="395">
        <f t="shared" si="61"/>
        <v>-13.373973070620877</v>
      </c>
      <c r="M25" s="399">
        <v>2382057.3000000003</v>
      </c>
      <c r="N25" s="392">
        <f t="shared" si="53"/>
        <v>1667440.0900000003</v>
      </c>
      <c r="O25" s="392">
        <v>714617.21</v>
      </c>
      <c r="P25" s="396">
        <v>1877</v>
      </c>
      <c r="Q25" s="395">
        <f t="shared" si="62"/>
        <v>-12.494172494172489</v>
      </c>
      <c r="R25" s="391">
        <f t="shared" si="54"/>
        <v>82.873281832711768</v>
      </c>
      <c r="S25" s="395">
        <f t="shared" si="63"/>
        <v>-15.054458819657256</v>
      </c>
      <c r="T25" s="399">
        <v>155553.15</v>
      </c>
      <c r="U25" s="392">
        <f t="shared" si="55"/>
        <v>108887.16499999998</v>
      </c>
      <c r="V25" s="392">
        <v>46665.985000000008</v>
      </c>
      <c r="W25" s="396">
        <v>1208</v>
      </c>
      <c r="X25" s="395">
        <f t="shared" si="64"/>
        <v>-0.8210180623973713</v>
      </c>
      <c r="Y25" s="391">
        <f t="shared" si="56"/>
        <v>70.108923841059593</v>
      </c>
      <c r="Z25" s="395">
        <f t="shared" si="65"/>
        <v>-8.931291358063433</v>
      </c>
      <c r="AA25" s="399">
        <v>84691.579999999987</v>
      </c>
      <c r="AB25" s="392">
        <f t="shared" si="57"/>
        <v>59284.085999999996</v>
      </c>
      <c r="AC25" s="392">
        <v>25407.493999999995</v>
      </c>
      <c r="AD25" s="396">
        <v>9632</v>
      </c>
      <c r="AE25" s="395">
        <f t="shared" si="67"/>
        <v>-5.7534246575342536</v>
      </c>
      <c r="AF25" s="391">
        <f t="shared" si="68"/>
        <v>78.650669642857139</v>
      </c>
      <c r="AG25" s="395">
        <f t="shared" si="69"/>
        <v>-15.390180462282487</v>
      </c>
      <c r="AH25" s="399">
        <v>757563.25</v>
      </c>
      <c r="AI25" s="392">
        <f t="shared" si="59"/>
        <v>530294.22499999998</v>
      </c>
      <c r="AJ25" s="393">
        <v>227269.02499999999</v>
      </c>
    </row>
    <row r="26" spans="1:38" x14ac:dyDescent="0.3">
      <c r="A26" s="42" t="s">
        <v>25</v>
      </c>
      <c r="B26" s="42">
        <v>2025</v>
      </c>
      <c r="C26" s="42" t="s">
        <v>1</v>
      </c>
      <c r="D26" s="44">
        <f>I26+P26+W26+AD26</f>
        <v>29418</v>
      </c>
      <c r="E26" s="45">
        <f>F26/D26</f>
        <v>94.365605751580674</v>
      </c>
      <c r="F26" s="46">
        <f t="shared" si="47"/>
        <v>2776047.39</v>
      </c>
      <c r="G26" s="47">
        <f t="shared" si="48"/>
        <v>1943233.0630000003</v>
      </c>
      <c r="H26" s="48">
        <f t="shared" si="49"/>
        <v>832814.32700000005</v>
      </c>
      <c r="I26" s="50">
        <v>17618</v>
      </c>
      <c r="J26" s="51">
        <f t="shared" si="60"/>
        <v>-5.2948449174864294</v>
      </c>
      <c r="K26" s="45">
        <f t="shared" si="52"/>
        <v>111.27686627312977</v>
      </c>
      <c r="L26" s="51">
        <f t="shared" si="61"/>
        <v>-13.096819993413547</v>
      </c>
      <c r="M26" s="46">
        <v>1960475.8300000003</v>
      </c>
      <c r="N26" s="47">
        <f t="shared" si="53"/>
        <v>1372333.0510000004</v>
      </c>
      <c r="O26" s="47">
        <v>588142.77899999998</v>
      </c>
      <c r="P26" s="50">
        <v>1772</v>
      </c>
      <c r="Q26" s="51">
        <f t="shared" si="62"/>
        <v>-5.5940330314331419</v>
      </c>
      <c r="R26" s="45">
        <f t="shared" si="54"/>
        <v>72.733521444695256</v>
      </c>
      <c r="S26" s="51">
        <f t="shared" si="63"/>
        <v>-12.23525865487585</v>
      </c>
      <c r="T26" s="46">
        <v>128883.8</v>
      </c>
      <c r="U26" s="47">
        <f t="shared" si="55"/>
        <v>90218.65</v>
      </c>
      <c r="V26" s="47">
        <v>38665.150000000009</v>
      </c>
      <c r="W26" s="50">
        <v>1110</v>
      </c>
      <c r="X26" s="51">
        <f t="shared" si="64"/>
        <v>-8.1125827814569504</v>
      </c>
      <c r="Y26" s="45">
        <f t="shared" si="56"/>
        <v>60.285891891891886</v>
      </c>
      <c r="Z26" s="51">
        <f t="shared" si="65"/>
        <v>-14.01110074294823</v>
      </c>
      <c r="AA26" s="46">
        <v>66917.34</v>
      </c>
      <c r="AB26" s="47">
        <f t="shared" si="57"/>
        <v>46842.088000000003</v>
      </c>
      <c r="AC26" s="47">
        <v>20075.251999999993</v>
      </c>
      <c r="AD26" s="50">
        <v>8918</v>
      </c>
      <c r="AE26" s="51">
        <f t="shared" si="67"/>
        <v>-7.4127906976744242</v>
      </c>
      <c r="AF26" s="45">
        <f t="shared" si="68"/>
        <v>69.496570980040374</v>
      </c>
      <c r="AG26" s="51">
        <f t="shared" si="69"/>
        <v>-11.63893289705527</v>
      </c>
      <c r="AH26" s="46">
        <v>619770.42000000004</v>
      </c>
      <c r="AI26" s="47">
        <f t="shared" si="59"/>
        <v>433839.27400000003</v>
      </c>
      <c r="AJ26" s="47">
        <v>185931.14600000001</v>
      </c>
    </row>
    <row r="27" spans="1:38" x14ac:dyDescent="0.3">
      <c r="A27" s="42" t="s">
        <v>25</v>
      </c>
      <c r="B27" s="42">
        <v>2025</v>
      </c>
      <c r="C27" s="42" t="s">
        <v>2</v>
      </c>
      <c r="D27" s="10">
        <f t="shared" si="50"/>
        <v>28441</v>
      </c>
      <c r="E27" s="40">
        <f t="shared" si="51"/>
        <v>92.037191027038432</v>
      </c>
      <c r="F27" s="11">
        <f t="shared" si="47"/>
        <v>2617629.75</v>
      </c>
      <c r="G27" s="12">
        <f t="shared" si="48"/>
        <v>1832340.7650000001</v>
      </c>
      <c r="H27" s="13">
        <f t="shared" si="49"/>
        <v>785288.98499999987</v>
      </c>
      <c r="I27" s="2">
        <v>17185</v>
      </c>
      <c r="J27" s="39">
        <f t="shared" si="60"/>
        <v>-2.4577137018957842</v>
      </c>
      <c r="K27" s="40">
        <f t="shared" si="52"/>
        <v>107.37796741344194</v>
      </c>
      <c r="L27" s="39">
        <f t="shared" si="61"/>
        <v>-3.503782044075507</v>
      </c>
      <c r="M27" s="11">
        <v>1845290.3699999996</v>
      </c>
      <c r="N27" s="12">
        <f t="shared" si="53"/>
        <v>1291703.2489999998</v>
      </c>
      <c r="O27" s="12">
        <v>553587.12099999981</v>
      </c>
      <c r="P27" s="2">
        <v>1674</v>
      </c>
      <c r="Q27" s="39">
        <f t="shared" si="62"/>
        <v>-5.5304740406320576</v>
      </c>
      <c r="R27" s="40">
        <f t="shared" si="54"/>
        <v>66.915645161290328</v>
      </c>
      <c r="S27" s="39">
        <f t="shared" si="63"/>
        <v>-7.9988926259107274</v>
      </c>
      <c r="T27" s="11">
        <v>112016.79000000001</v>
      </c>
      <c r="U27" s="12">
        <f t="shared" si="55"/>
        <v>78411.733000000007</v>
      </c>
      <c r="V27" s="12">
        <v>33605.057000000001</v>
      </c>
      <c r="W27" s="2">
        <v>1044</v>
      </c>
      <c r="X27" s="39">
        <f t="shared" si="64"/>
        <v>-5.9459459459459509</v>
      </c>
      <c r="Y27" s="40">
        <f t="shared" si="56"/>
        <v>63.624913793103467</v>
      </c>
      <c r="Z27" s="39">
        <f t="shared" si="65"/>
        <v>5.5386456041809993</v>
      </c>
      <c r="AA27" s="11">
        <v>66424.410000000018</v>
      </c>
      <c r="AB27" s="12">
        <f t="shared" si="57"/>
        <v>46497.077000000019</v>
      </c>
      <c r="AC27" s="12">
        <v>19927.333000000002</v>
      </c>
      <c r="AD27" s="2">
        <v>8538</v>
      </c>
      <c r="AE27" s="39">
        <f t="shared" si="67"/>
        <v>-4.2610450773716053</v>
      </c>
      <c r="AF27" s="40">
        <f t="shared" si="68"/>
        <v>69.559402670414642</v>
      </c>
      <c r="AG27" s="39">
        <f t="shared" si="69"/>
        <v>9.0409770565955228E-2</v>
      </c>
      <c r="AH27" s="11">
        <v>593898.18000000017</v>
      </c>
      <c r="AI27" s="12">
        <f t="shared" si="59"/>
        <v>415728.70600000012</v>
      </c>
      <c r="AJ27" s="12">
        <v>178169.47400000005</v>
      </c>
    </row>
    <row r="28" spans="1:38" x14ac:dyDescent="0.3">
      <c r="A28" s="42" t="s">
        <v>25</v>
      </c>
      <c r="B28" s="42">
        <v>2025</v>
      </c>
      <c r="C28" s="42" t="s">
        <v>3</v>
      </c>
      <c r="D28" s="10">
        <f t="shared" si="50"/>
        <v>27244</v>
      </c>
      <c r="E28" s="40">
        <f t="shared" si="51"/>
        <v>89.491174203494353</v>
      </c>
      <c r="F28" s="11">
        <f t="shared" si="47"/>
        <v>2438097.5500000003</v>
      </c>
      <c r="G28" s="12">
        <f t="shared" si="48"/>
        <v>1706668.2249999999</v>
      </c>
      <c r="H28" s="13">
        <f t="shared" si="49"/>
        <v>731429.32500000019</v>
      </c>
      <c r="I28" s="2">
        <v>16532</v>
      </c>
      <c r="J28" s="39">
        <f t="shared" si="60"/>
        <v>-3.79982542915333</v>
      </c>
      <c r="K28" s="40">
        <f t="shared" si="52"/>
        <v>103.85949431405761</v>
      </c>
      <c r="L28" s="39">
        <f t="shared" si="61"/>
        <v>-3.2767179190839073</v>
      </c>
      <c r="M28" s="11">
        <v>1717005.1600000004</v>
      </c>
      <c r="N28" s="12">
        <f t="shared" si="53"/>
        <v>1201903.5920000002</v>
      </c>
      <c r="O28" s="12">
        <v>515101.56800000014</v>
      </c>
      <c r="P28" s="2">
        <v>1595</v>
      </c>
      <c r="Q28" s="39">
        <f t="shared" si="62"/>
        <v>-4.7192353643966527</v>
      </c>
      <c r="R28" s="40">
        <f t="shared" si="54"/>
        <v>62.83067084639498</v>
      </c>
      <c r="S28" s="39">
        <f t="shared" si="63"/>
        <v>-6.1046625270504649</v>
      </c>
      <c r="T28" s="11">
        <v>100214.92</v>
      </c>
      <c r="U28" s="12">
        <f t="shared" si="55"/>
        <v>70150.434000000008</v>
      </c>
      <c r="V28" s="12">
        <v>30064.48599999999</v>
      </c>
      <c r="W28" s="2">
        <v>976</v>
      </c>
      <c r="X28" s="39">
        <f t="shared" si="64"/>
        <v>-6.5134099616858236</v>
      </c>
      <c r="Y28" s="40">
        <f t="shared" si="56"/>
        <v>66.108852459016418</v>
      </c>
      <c r="Z28" s="39">
        <f t="shared" si="65"/>
        <v>3.9040346270491852</v>
      </c>
      <c r="AA28" s="11">
        <v>64522.240000000027</v>
      </c>
      <c r="AB28" s="12">
        <f t="shared" si="57"/>
        <v>45165.548000000024</v>
      </c>
      <c r="AC28" s="12">
        <v>19356.692000000006</v>
      </c>
      <c r="AD28" s="2">
        <v>8141</v>
      </c>
      <c r="AE28" s="39">
        <f t="shared" si="67"/>
        <v>-4.6498008901382093</v>
      </c>
      <c r="AF28" s="40">
        <f t="shared" si="68"/>
        <v>68.339912787126877</v>
      </c>
      <c r="AG28" s="39">
        <f t="shared" si="69"/>
        <v>-1.753163248203748</v>
      </c>
      <c r="AH28" s="11">
        <v>556355.22999999986</v>
      </c>
      <c r="AI28" s="12">
        <f t="shared" si="59"/>
        <v>389448.6509999999</v>
      </c>
      <c r="AJ28" s="12">
        <v>166906.57899999997</v>
      </c>
    </row>
    <row r="29" spans="1:38" x14ac:dyDescent="0.3">
      <c r="A29" s="42" t="s">
        <v>25</v>
      </c>
      <c r="B29" s="42">
        <v>2025</v>
      </c>
      <c r="C29" s="42" t="s">
        <v>4</v>
      </c>
      <c r="D29" s="10">
        <f t="shared" si="50"/>
        <v>27275</v>
      </c>
      <c r="E29" s="40">
        <f t="shared" si="51"/>
        <v>88.006210082493126</v>
      </c>
      <c r="F29" s="11">
        <f t="shared" si="47"/>
        <v>2400369.38</v>
      </c>
      <c r="G29" s="12">
        <f t="shared" si="48"/>
        <v>1680258.5060000005</v>
      </c>
      <c r="H29" s="13">
        <f t="shared" si="49"/>
        <v>720110.87399999984</v>
      </c>
      <c r="I29" s="2">
        <v>16522</v>
      </c>
      <c r="J29" s="39">
        <f t="shared" si="60"/>
        <v>-6.0488749092669991E-2</v>
      </c>
      <c r="K29" s="40">
        <f t="shared" si="52"/>
        <v>101.94998184239198</v>
      </c>
      <c r="L29" s="39">
        <f t="shared" si="61"/>
        <v>-1.8385536000122613</v>
      </c>
      <c r="M29" s="11">
        <v>1684417.6000000003</v>
      </c>
      <c r="N29" s="12">
        <f t="shared" si="53"/>
        <v>1179092.3300000005</v>
      </c>
      <c r="O29" s="12">
        <v>505325.26999999973</v>
      </c>
      <c r="P29" s="2">
        <v>1529</v>
      </c>
      <c r="Q29" s="39">
        <f t="shared" si="62"/>
        <v>-4.1379310344827616</v>
      </c>
      <c r="R29" s="40">
        <f t="shared" si="54"/>
        <v>57.166062786134752</v>
      </c>
      <c r="S29" s="39">
        <f t="shared" si="63"/>
        <v>-9.0156733709063133</v>
      </c>
      <c r="T29" s="11">
        <v>87406.910000000033</v>
      </c>
      <c r="U29" s="12">
        <f t="shared" si="55"/>
        <v>61184.817000000025</v>
      </c>
      <c r="V29" s="12">
        <v>26222.093000000008</v>
      </c>
      <c r="W29" s="2">
        <v>971</v>
      </c>
      <c r="X29" s="39">
        <f t="shared" si="64"/>
        <v>-0.51229508196720985</v>
      </c>
      <c r="Y29" s="40">
        <f t="shared" si="56"/>
        <v>66.566045314109147</v>
      </c>
      <c r="Z29" s="39">
        <f t="shared" si="65"/>
        <v>0.69157584512022652</v>
      </c>
      <c r="AA29" s="11">
        <v>64635.629999999983</v>
      </c>
      <c r="AB29" s="12">
        <f t="shared" si="57"/>
        <v>45244.900999999983</v>
      </c>
      <c r="AC29" s="12">
        <v>19390.729000000003</v>
      </c>
      <c r="AD29" s="2">
        <v>8253</v>
      </c>
      <c r="AE29" s="39">
        <f t="shared" si="67"/>
        <v>1.3757523645743817</v>
      </c>
      <c r="AF29" s="40">
        <f t="shared" si="68"/>
        <v>68.32778868290319</v>
      </c>
      <c r="AG29" s="39">
        <f t="shared" si="69"/>
        <v>-1.774088337140256E-2</v>
      </c>
      <c r="AH29" s="11">
        <v>563909.24</v>
      </c>
      <c r="AI29" s="12">
        <f t="shared" si="59"/>
        <v>394736.45799999998</v>
      </c>
      <c r="AJ29" s="12">
        <v>169172.78200000001</v>
      </c>
    </row>
    <row r="30" spans="1:38" x14ac:dyDescent="0.3">
      <c r="A30" s="42" t="s">
        <v>25</v>
      </c>
      <c r="B30" s="42">
        <v>2025</v>
      </c>
      <c r="C30" s="42" t="s">
        <v>5</v>
      </c>
      <c r="D30" s="10">
        <f t="shared" si="50"/>
        <v>26770</v>
      </c>
      <c r="E30" s="40">
        <f t="shared" si="51"/>
        <v>86.181465072842741</v>
      </c>
      <c r="F30" s="11">
        <f t="shared" si="47"/>
        <v>2307077.8200000003</v>
      </c>
      <c r="G30" s="12">
        <f t="shared" si="48"/>
        <v>1614954.3440000005</v>
      </c>
      <c r="H30" s="13">
        <f t="shared" si="49"/>
        <v>692123.47600000002</v>
      </c>
      <c r="I30" s="2">
        <v>15965</v>
      </c>
      <c r="J30" s="39">
        <f t="shared" si="60"/>
        <v>-3.3712625590122229</v>
      </c>
      <c r="K30" s="40">
        <f t="shared" si="52"/>
        <v>99.773800814281273</v>
      </c>
      <c r="L30" s="39">
        <f t="shared" si="61"/>
        <v>-2.1345575435951929</v>
      </c>
      <c r="M30" s="11">
        <v>1592888.7300000004</v>
      </c>
      <c r="N30" s="12">
        <f t="shared" si="53"/>
        <v>1115022.0910000005</v>
      </c>
      <c r="O30" s="12">
        <v>477866.63900000002</v>
      </c>
      <c r="P30" s="2">
        <v>1449</v>
      </c>
      <c r="Q30" s="39">
        <f t="shared" si="62"/>
        <v>-5.232177894048391</v>
      </c>
      <c r="R30" s="40">
        <f t="shared" si="54"/>
        <v>61.180455486542442</v>
      </c>
      <c r="S30" s="39">
        <f t="shared" si="63"/>
        <v>7.0223354640077673</v>
      </c>
      <c r="T30" s="11">
        <v>88650.48</v>
      </c>
      <c r="U30" s="12">
        <f t="shared" si="55"/>
        <v>62055.285999999993</v>
      </c>
      <c r="V30" s="12">
        <v>26595.194</v>
      </c>
      <c r="W30" s="2">
        <v>987</v>
      </c>
      <c r="X30" s="39">
        <f t="shared" si="64"/>
        <v>1.6477857878475817</v>
      </c>
      <c r="Y30" s="40">
        <f t="shared" si="56"/>
        <v>66.752765957446798</v>
      </c>
      <c r="Z30" s="39">
        <f t="shared" si="65"/>
        <v>0.28050433589162083</v>
      </c>
      <c r="AA30" s="11">
        <v>65884.98</v>
      </c>
      <c r="AB30" s="12">
        <f t="shared" si="57"/>
        <v>46119.455999999991</v>
      </c>
      <c r="AC30" s="12">
        <v>19765.524000000005</v>
      </c>
      <c r="AD30" s="2">
        <v>8369</v>
      </c>
      <c r="AE30" s="39">
        <f t="shared" si="67"/>
        <v>1.4055494971525491</v>
      </c>
      <c r="AF30" s="40">
        <f t="shared" si="68"/>
        <v>66.872222487752424</v>
      </c>
      <c r="AG30" s="39">
        <f t="shared" si="69"/>
        <v>-2.1302697236490218</v>
      </c>
      <c r="AH30" s="11">
        <v>559653.63</v>
      </c>
      <c r="AI30" s="12">
        <f t="shared" si="59"/>
        <v>391757.511</v>
      </c>
      <c r="AJ30" s="12">
        <v>167896.11900000001</v>
      </c>
    </row>
    <row r="31" spans="1:38" x14ac:dyDescent="0.3">
      <c r="A31" s="42" t="s">
        <v>25</v>
      </c>
      <c r="B31" s="42">
        <v>2025</v>
      </c>
      <c r="C31" s="42" t="s">
        <v>6</v>
      </c>
      <c r="D31" s="10">
        <f t="shared" si="50"/>
        <v>26226</v>
      </c>
      <c r="E31" s="40">
        <f t="shared" si="51"/>
        <v>83.943360405704269</v>
      </c>
      <c r="F31" s="11">
        <f t="shared" si="47"/>
        <v>2201498.5700000003</v>
      </c>
      <c r="G31" s="12">
        <f t="shared" si="48"/>
        <v>1541048.9490000005</v>
      </c>
      <c r="H31" s="13">
        <f t="shared" si="49"/>
        <v>660449.62099999981</v>
      </c>
      <c r="I31" s="2">
        <v>15807</v>
      </c>
      <c r="J31" s="39">
        <f t="shared" si="60"/>
        <v>-0.98966489195113638</v>
      </c>
      <c r="K31" s="40">
        <f t="shared" si="52"/>
        <v>95.006208641741026</v>
      </c>
      <c r="L31" s="39">
        <f t="shared" si="61"/>
        <v>-4.778400876413059</v>
      </c>
      <c r="M31" s="11">
        <v>1501763.1400000004</v>
      </c>
      <c r="N31" s="12">
        <f t="shared" si="53"/>
        <v>1051234.1780000005</v>
      </c>
      <c r="O31" s="12">
        <v>450528.96199999982</v>
      </c>
      <c r="P31" s="2">
        <v>1327</v>
      </c>
      <c r="Q31" s="39">
        <f t="shared" si="62"/>
        <v>-8.419599723947556</v>
      </c>
      <c r="R31" s="40">
        <f t="shared" si="54"/>
        <v>54.069276563677477</v>
      </c>
      <c r="S31" s="39">
        <f t="shared" si="63"/>
        <v>-11.623285355286669</v>
      </c>
      <c r="T31" s="11">
        <v>71749.930000000008</v>
      </c>
      <c r="U31" s="12">
        <f t="shared" si="55"/>
        <v>50224.931000000011</v>
      </c>
      <c r="V31" s="12">
        <v>21524.998999999996</v>
      </c>
      <c r="W31" s="2">
        <v>985</v>
      </c>
      <c r="X31" s="39">
        <f t="shared" si="64"/>
        <v>-0.20263424518743989</v>
      </c>
      <c r="Y31" s="40">
        <f t="shared" si="56"/>
        <v>62.027137055837549</v>
      </c>
      <c r="Z31" s="39">
        <f t="shared" si="65"/>
        <v>-7.079300511115477</v>
      </c>
      <c r="AA31" s="11">
        <v>61096.729999999989</v>
      </c>
      <c r="AB31" s="12">
        <f t="shared" si="57"/>
        <v>42767.72099999999</v>
      </c>
      <c r="AC31" s="12">
        <v>18329.008999999995</v>
      </c>
      <c r="AD31" s="2">
        <v>8107</v>
      </c>
      <c r="AE31" s="39">
        <f t="shared" si="67"/>
        <v>-3.1306010276018696</v>
      </c>
      <c r="AF31" s="40">
        <f t="shared" si="68"/>
        <v>69.925838164549162</v>
      </c>
      <c r="AG31" s="39">
        <f t="shared" si="69"/>
        <v>4.5663439365365832</v>
      </c>
      <c r="AH31" s="11">
        <v>566888.77</v>
      </c>
      <c r="AI31" s="12">
        <f t="shared" si="59"/>
        <v>396822.11900000006</v>
      </c>
      <c r="AJ31" s="12">
        <v>170066.65099999998</v>
      </c>
    </row>
    <row r="32" spans="1:38" x14ac:dyDescent="0.3">
      <c r="A32" s="42" t="s">
        <v>25</v>
      </c>
      <c r="B32" s="42">
        <v>2025</v>
      </c>
      <c r="C32" s="42" t="s">
        <v>7</v>
      </c>
      <c r="D32" s="10">
        <f t="shared" si="50"/>
        <v>27318</v>
      </c>
      <c r="E32" s="40">
        <f t="shared" si="51"/>
        <v>91.376751592356698</v>
      </c>
      <c r="F32" s="11">
        <f t="shared" si="47"/>
        <v>2496230.1</v>
      </c>
      <c r="G32" s="12">
        <f t="shared" si="48"/>
        <v>1746997.0990000004</v>
      </c>
      <c r="H32" s="413">
        <f t="shared" si="49"/>
        <v>749233.00099999958</v>
      </c>
      <c r="I32" s="2">
        <v>16562</v>
      </c>
      <c r="J32" s="39">
        <f t="shared" si="60"/>
        <v>4.7763649016258682</v>
      </c>
      <c r="K32" s="40">
        <f t="shared" si="52"/>
        <v>104.85149981886248</v>
      </c>
      <c r="L32" s="39">
        <f>K32*100/K31-100</f>
        <v>10.362787146098071</v>
      </c>
      <c r="M32" s="11">
        <v>1736550.5400000003</v>
      </c>
      <c r="N32" s="12">
        <f t="shared" si="53"/>
        <v>1215585.3680000005</v>
      </c>
      <c r="O32" s="12">
        <v>520965.17199999973</v>
      </c>
      <c r="P32" s="2">
        <v>1384</v>
      </c>
      <c r="Q32" s="39">
        <f t="shared" si="62"/>
        <v>4.2954031650339175</v>
      </c>
      <c r="R32" s="40">
        <f t="shared" si="54"/>
        <v>55.403945086705193</v>
      </c>
      <c r="S32" s="39">
        <f t="shared" si="63"/>
        <v>2.4684416138911587</v>
      </c>
      <c r="T32" s="11">
        <v>76679.059999999983</v>
      </c>
      <c r="U32" s="12">
        <f t="shared" si="55"/>
        <v>53675.321999999978</v>
      </c>
      <c r="V32" s="12">
        <v>23003.738000000005</v>
      </c>
      <c r="W32" s="2">
        <v>1032</v>
      </c>
      <c r="X32" s="39">
        <f t="shared" si="64"/>
        <v>4.7715736040609187</v>
      </c>
      <c r="Y32" s="40">
        <f t="shared" si="56"/>
        <v>70.157393410852748</v>
      </c>
      <c r="Z32" s="39">
        <f t="shared" si="65"/>
        <v>13.107579586812534</v>
      </c>
      <c r="AA32" s="11">
        <v>72402.430000000037</v>
      </c>
      <c r="AB32" s="12">
        <f t="shared" si="57"/>
        <v>50681.721000000034</v>
      </c>
      <c r="AC32" s="12">
        <v>21720.709000000003</v>
      </c>
      <c r="AD32" s="2">
        <v>8340</v>
      </c>
      <c r="AE32" s="39">
        <f t="shared" si="67"/>
        <v>2.8740594547921603</v>
      </c>
      <c r="AF32" s="40">
        <f t="shared" si="68"/>
        <v>73.213197841726583</v>
      </c>
      <c r="AG32" s="39">
        <f t="shared" si="69"/>
        <v>4.7012088284756999</v>
      </c>
      <c r="AH32" s="11">
        <v>610598.06999999972</v>
      </c>
      <c r="AI32" s="12">
        <f t="shared" si="59"/>
        <v>427054.68799999985</v>
      </c>
      <c r="AJ32" s="12">
        <v>183543.3819999999</v>
      </c>
      <c r="AL32" s="4" t="s">
        <v>100</v>
      </c>
    </row>
    <row r="33" spans="1:40" ht="14" thickBot="1" x14ac:dyDescent="0.4">
      <c r="A33" s="15" t="s">
        <v>25</v>
      </c>
      <c r="B33" s="15">
        <v>2025</v>
      </c>
      <c r="C33" s="15" t="s">
        <v>0</v>
      </c>
      <c r="D33" s="16">
        <f>AVERAGE(D21:D32)</f>
        <v>29716</v>
      </c>
      <c r="E33" s="99">
        <f>F33/D33/12</f>
        <v>104.01750835688968</v>
      </c>
      <c r="F33" s="17">
        <f>SUM(F21:F32)</f>
        <v>37091811.340000004</v>
      </c>
      <c r="G33" s="18">
        <f t="shared" ref="G33" si="70">SUM(G21:G32)</f>
        <v>25963903.057000004</v>
      </c>
      <c r="H33" s="19">
        <f t="shared" ref="H33" si="71">SUM(H21:H32)</f>
        <v>11127908.282999998</v>
      </c>
      <c r="I33" s="23">
        <f>AVERAGE(I21:I32)</f>
        <v>17867.416666666668</v>
      </c>
      <c r="J33" s="43" t="s">
        <v>30</v>
      </c>
      <c r="K33" s="100">
        <f>M33/I33/12</f>
        <v>120.89491066139948</v>
      </c>
      <c r="L33" s="43" t="s">
        <v>30</v>
      </c>
      <c r="M33" s="21">
        <f>SUM(M21:M32)</f>
        <v>25920956.900000002</v>
      </c>
      <c r="N33" s="22">
        <f t="shared" ref="N33:O33" si="72">SUM(N21:N32)</f>
        <v>18144669.630000003</v>
      </c>
      <c r="O33" s="22">
        <f t="shared" si="72"/>
        <v>7776287.2699999986</v>
      </c>
      <c r="P33" s="23">
        <f>AVERAGE(P21:P32)</f>
        <v>1725.25</v>
      </c>
      <c r="Q33" s="43" t="s">
        <v>30</v>
      </c>
      <c r="R33" s="100">
        <f>T33/P33/12</f>
        <v>76.495117132782681</v>
      </c>
      <c r="S33" s="43" t="s">
        <v>30</v>
      </c>
      <c r="T33" s="21">
        <f>SUM(T21:T32)</f>
        <v>1583678.41</v>
      </c>
      <c r="U33" s="22">
        <f t="shared" ref="U33:V33" si="73">SUM(U21:U32)</f>
        <v>1108574.6069999998</v>
      </c>
      <c r="V33" s="22">
        <f t="shared" si="73"/>
        <v>475103.80300000007</v>
      </c>
      <c r="W33" s="23">
        <f>AVERAGE(W21:W32)</f>
        <v>1114.8333333333333</v>
      </c>
      <c r="X33" s="43" t="s">
        <v>30</v>
      </c>
      <c r="Y33" s="100">
        <f>AA33/W33/12</f>
        <v>74.310212288832417</v>
      </c>
      <c r="Z33" s="43" t="s">
        <v>30</v>
      </c>
      <c r="AA33" s="21">
        <f>SUM(AA21:AA32)</f>
        <v>994122.02</v>
      </c>
      <c r="AB33" s="22">
        <f t="shared" ref="AB33:AC33" si="74">SUM(AB21:AB32)</f>
        <v>695885.21400000004</v>
      </c>
      <c r="AC33" s="22">
        <f t="shared" si="74"/>
        <v>298236.80599999998</v>
      </c>
      <c r="AD33" s="23">
        <f>AVERAGE(AD21:AD32)</f>
        <v>9008.5</v>
      </c>
      <c r="AE33" s="43" t="s">
        <v>30</v>
      </c>
      <c r="AF33" s="100">
        <f>AH33/AD33/12</f>
        <v>79.490240791104696</v>
      </c>
      <c r="AG33" s="43" t="s">
        <v>30</v>
      </c>
      <c r="AH33" s="21">
        <f>SUM(AH21:AH32)</f>
        <v>8593054.0099999998</v>
      </c>
      <c r="AI33" s="22">
        <f t="shared" ref="AI33:AJ33" si="75">SUM(AI21:AI32)</f>
        <v>6014773.6060000006</v>
      </c>
      <c r="AJ33" s="22">
        <f t="shared" si="75"/>
        <v>2578280.4039999996</v>
      </c>
    </row>
    <row r="34" spans="1:40" ht="13.5" thickBot="1" x14ac:dyDescent="0.35">
      <c r="F34" s="121">
        <f>F16+F21+F22+F23+F24+F25+F26+F27+F28+F29+F30+F31-Kopsavilkums!H12</f>
        <v>0</v>
      </c>
      <c r="T34" s="130"/>
      <c r="V34" s="130"/>
      <c r="AH34" s="1"/>
      <c r="AI34" s="1"/>
      <c r="AJ34" s="1"/>
      <c r="AK34" s="1"/>
      <c r="AL34" s="1"/>
      <c r="AM34" s="1"/>
    </row>
    <row r="35" spans="1:40" ht="64" customHeight="1" x14ac:dyDescent="0.3">
      <c r="D35" s="435" t="s">
        <v>49</v>
      </c>
      <c r="E35" s="436"/>
      <c r="F35" s="437"/>
      <c r="G35" s="437"/>
      <c r="H35" s="438"/>
      <c r="I35" s="446" t="s">
        <v>93</v>
      </c>
      <c r="J35" s="446"/>
      <c r="K35" s="446"/>
      <c r="L35" s="446"/>
      <c r="M35" s="442"/>
      <c r="N35" s="442"/>
      <c r="O35" s="442"/>
      <c r="P35" s="442" t="s">
        <v>94</v>
      </c>
      <c r="Q35" s="442"/>
      <c r="R35" s="442"/>
      <c r="S35" s="442"/>
      <c r="T35" s="442"/>
      <c r="U35" s="442"/>
      <c r="V35" s="442"/>
      <c r="W35" s="442" t="s">
        <v>113</v>
      </c>
      <c r="X35" s="442"/>
      <c r="Y35" s="442"/>
      <c r="Z35" s="442"/>
      <c r="AA35" s="442"/>
      <c r="AB35" s="442"/>
      <c r="AC35" s="442"/>
      <c r="AD35" s="442" t="s">
        <v>114</v>
      </c>
      <c r="AE35" s="442"/>
      <c r="AF35" s="442"/>
      <c r="AG35" s="442"/>
      <c r="AH35" s="442"/>
      <c r="AI35" s="442"/>
      <c r="AJ35" s="442"/>
    </row>
    <row r="36" spans="1:40" s="4" customFormat="1" ht="118" customHeight="1" thickBot="1" x14ac:dyDescent="0.35">
      <c r="D36" s="236" t="s">
        <v>13</v>
      </c>
      <c r="E36" s="237" t="s">
        <v>29</v>
      </c>
      <c r="F36" s="238" t="s">
        <v>14</v>
      </c>
      <c r="G36" s="239" t="s">
        <v>16</v>
      </c>
      <c r="H36" s="240" t="s">
        <v>15</v>
      </c>
      <c r="I36" s="238" t="s">
        <v>13</v>
      </c>
      <c r="J36" s="237" t="s">
        <v>31</v>
      </c>
      <c r="K36" s="237" t="s">
        <v>29</v>
      </c>
      <c r="L36" s="237" t="s">
        <v>32</v>
      </c>
      <c r="M36" s="238" t="s">
        <v>14</v>
      </c>
      <c r="N36" s="239" t="s">
        <v>16</v>
      </c>
      <c r="O36" s="239" t="s">
        <v>15</v>
      </c>
      <c r="P36" s="238" t="s">
        <v>13</v>
      </c>
      <c r="Q36" s="237" t="s">
        <v>31</v>
      </c>
      <c r="R36" s="237" t="s">
        <v>29</v>
      </c>
      <c r="S36" s="237" t="s">
        <v>32</v>
      </c>
      <c r="T36" s="238" t="s">
        <v>14</v>
      </c>
      <c r="U36" s="239" t="s">
        <v>16</v>
      </c>
      <c r="V36" s="239" t="s">
        <v>15</v>
      </c>
      <c r="W36" s="238" t="s">
        <v>13</v>
      </c>
      <c r="X36" s="237" t="s">
        <v>31</v>
      </c>
      <c r="Y36" s="237" t="s">
        <v>29</v>
      </c>
      <c r="Z36" s="237" t="s">
        <v>32</v>
      </c>
      <c r="AA36" s="238" t="s">
        <v>14</v>
      </c>
      <c r="AB36" s="239" t="s">
        <v>16</v>
      </c>
      <c r="AC36" s="239" t="s">
        <v>15</v>
      </c>
      <c r="AD36" s="238" t="s">
        <v>13</v>
      </c>
      <c r="AE36" s="237" t="s">
        <v>31</v>
      </c>
      <c r="AF36" s="237" t="s">
        <v>29</v>
      </c>
      <c r="AG36" s="237" t="s">
        <v>32</v>
      </c>
      <c r="AH36" s="238" t="s">
        <v>14</v>
      </c>
      <c r="AI36" s="239" t="s">
        <v>16</v>
      </c>
      <c r="AJ36" s="239" t="s">
        <v>15</v>
      </c>
    </row>
    <row r="37" spans="1:40" ht="13.5" thickBot="1" x14ac:dyDescent="0.35">
      <c r="A37" s="247" t="s">
        <v>25</v>
      </c>
      <c r="B37" s="248">
        <v>2026</v>
      </c>
      <c r="C37" s="249" t="s">
        <v>8</v>
      </c>
      <c r="D37" s="316">
        <f t="shared" ref="D37:D48" si="76">I37+P37+W37+AD37</f>
        <v>30606</v>
      </c>
      <c r="E37" s="317">
        <f>F37/D37</f>
        <v>115.3476344507613</v>
      </c>
      <c r="F37" s="318">
        <f t="shared" ref="F37:F48" si="77">M37+T37+AA37+AH37</f>
        <v>3530329.7000000007</v>
      </c>
      <c r="G37" s="319">
        <f t="shared" ref="G37:G48" si="78">N37+U37+AB37+AI37</f>
        <v>2471230.7900000005</v>
      </c>
      <c r="H37" s="408">
        <f t="shared" ref="H37:H48" si="79">O37+V37+AC37+AJ37</f>
        <v>1059098.9100000001</v>
      </c>
      <c r="I37" s="321">
        <v>18926</v>
      </c>
      <c r="J37" s="322">
        <f>I37*100/I32-100</f>
        <v>14.273638449462624</v>
      </c>
      <c r="K37" s="317">
        <f>M37/I37</f>
        <v>130.58204322096589</v>
      </c>
      <c r="L37" s="322">
        <f>K37*100/K32-100</f>
        <v>24.5399860245724</v>
      </c>
      <c r="M37" s="318">
        <v>2471395.7500000005</v>
      </c>
      <c r="N37" s="319">
        <f>M37-O37</f>
        <v>1729977.0250000004</v>
      </c>
      <c r="O37" s="319">
        <f>M37*0.3</f>
        <v>741418.72500000009</v>
      </c>
      <c r="P37" s="321">
        <v>1790</v>
      </c>
      <c r="Q37" s="322">
        <f>P37*100/P32-100</f>
        <v>29.335260115606928</v>
      </c>
      <c r="R37" s="317">
        <f t="shared" ref="R37" si="80">T37/P37</f>
        <v>84.59629608938549</v>
      </c>
      <c r="S37" s="322">
        <f>R37*100/R32-100</f>
        <v>52.690022266456481</v>
      </c>
      <c r="T37" s="318">
        <v>151427.37000000002</v>
      </c>
      <c r="U37" s="319">
        <f>T37-V37</f>
        <v>105999.15900000001</v>
      </c>
      <c r="V37" s="319">
        <f>T37*0.3</f>
        <v>45428.211000000003</v>
      </c>
      <c r="W37" s="321">
        <v>1061</v>
      </c>
      <c r="X37" s="322">
        <f>W37*100/W32-100</f>
        <v>2.8100775193798455</v>
      </c>
      <c r="Y37" s="317">
        <f t="shared" ref="Y37" si="81">AA37/W37</f>
        <v>89.246965127238468</v>
      </c>
      <c r="Z37" s="322">
        <f>Y37*100/Y32-100</f>
        <v>27.209636487767128</v>
      </c>
      <c r="AA37" s="318">
        <v>94691.030000000013</v>
      </c>
      <c r="AB37" s="319">
        <f>AA37-AC37</f>
        <v>66283.721000000005</v>
      </c>
      <c r="AC37" s="319">
        <f>AA37*0.3</f>
        <v>28407.309000000005</v>
      </c>
      <c r="AD37" s="321">
        <v>8829</v>
      </c>
      <c r="AE37" s="322">
        <f>AD37*100/AD32-100</f>
        <v>5.8633093525179873</v>
      </c>
      <c r="AF37" s="317">
        <f>AH37/AD37</f>
        <v>92.062017215992768</v>
      </c>
      <c r="AG37" s="322">
        <f>AF37*100/AF32-100</f>
        <v>25.745111441537972</v>
      </c>
      <c r="AH37" s="318">
        <v>812815.55000000016</v>
      </c>
      <c r="AI37" s="319">
        <f>AH37-AJ37</f>
        <v>568970.88500000013</v>
      </c>
      <c r="AJ37" s="320">
        <f>AH37*0.3</f>
        <v>243844.66500000004</v>
      </c>
      <c r="AK37" s="4" t="s">
        <v>95</v>
      </c>
      <c r="AL37" s="4" t="s">
        <v>102</v>
      </c>
      <c r="AM37" s="4"/>
      <c r="AN37" s="4"/>
    </row>
    <row r="38" spans="1:40" x14ac:dyDescent="0.3">
      <c r="A38" s="336" t="s">
        <v>26</v>
      </c>
      <c r="B38" s="337">
        <v>2026</v>
      </c>
      <c r="C38" s="338" t="s">
        <v>9</v>
      </c>
      <c r="D38" s="325">
        <f t="shared" si="76"/>
        <v>41971.8</v>
      </c>
      <c r="E38" s="326">
        <f>F38/D38</f>
        <v>212.99683260797642</v>
      </c>
      <c r="F38" s="397">
        <f t="shared" si="77"/>
        <v>8939860.4588554651</v>
      </c>
      <c r="G38" s="327">
        <f t="shared" si="78"/>
        <v>6257902.3211988267</v>
      </c>
      <c r="H38" s="409">
        <f t="shared" si="79"/>
        <v>2681958.1376566393</v>
      </c>
      <c r="I38" s="329">
        <f>I55+I61</f>
        <v>22666.100000000002</v>
      </c>
      <c r="J38" s="330">
        <f>I38*100/I37-100</f>
        <v>19.761703476698727</v>
      </c>
      <c r="K38" s="331">
        <f>$K$54+K55</f>
        <v>246.70048593742035</v>
      </c>
      <c r="L38" s="330">
        <f>K38*100/K37-100</f>
        <v>88.923744683611147</v>
      </c>
      <c r="M38" s="397">
        <f t="shared" ref="M38:M48" si="82">I38*K38</f>
        <v>5591737.8843061645</v>
      </c>
      <c r="N38" s="327">
        <f t="shared" ref="N38:N48" si="83">M38-O38</f>
        <v>3914216.5190143152</v>
      </c>
      <c r="O38" s="327">
        <f t="shared" ref="O38:O48" si="84">M38*0.3</f>
        <v>1677521.3652918492</v>
      </c>
      <c r="P38" s="329">
        <f>P55+P61</f>
        <v>2540.2000000000003</v>
      </c>
      <c r="Q38" s="330">
        <f>P38*100/P37-100</f>
        <v>41.910614525139692</v>
      </c>
      <c r="R38" s="331">
        <f>$R$54+R55</f>
        <v>162.55350151362259</v>
      </c>
      <c r="S38" s="330">
        <f>R38*100/R37-100</f>
        <v>92.152031504862293</v>
      </c>
      <c r="T38" s="397">
        <f t="shared" ref="T38:T48" si="85">P38*R38</f>
        <v>412918.40454490413</v>
      </c>
      <c r="U38" s="327">
        <f t="shared" ref="U38:U48" si="86">T38-V38</f>
        <v>289042.8831814329</v>
      </c>
      <c r="V38" s="327">
        <f t="shared" ref="V38:V48" si="87">T38*0.3</f>
        <v>123875.52136347123</v>
      </c>
      <c r="W38" s="329">
        <f>W55+W61</f>
        <v>1675</v>
      </c>
      <c r="X38" s="330">
        <f>W38*100/W37-100</f>
        <v>57.86993402450517</v>
      </c>
      <c r="Y38" s="331">
        <f>$Y$54+Y55</f>
        <v>142.87655462184875</v>
      </c>
      <c r="Z38" s="330">
        <f>Y38*100/Y37-100</f>
        <v>60.091219256756943</v>
      </c>
      <c r="AA38" s="397">
        <f t="shared" ref="AA38:AA48" si="88">W38*Y38</f>
        <v>239318.22899159667</v>
      </c>
      <c r="AB38" s="327">
        <f t="shared" ref="AB38:AB48" si="89">AA38-AC38</f>
        <v>167522.76029411767</v>
      </c>
      <c r="AC38" s="327">
        <f t="shared" ref="AC38:AC48" si="90">AA38*0.3</f>
        <v>71795.468697478995</v>
      </c>
      <c r="AD38" s="329">
        <f>AD55+AD61</f>
        <v>15090.5</v>
      </c>
      <c r="AE38" s="330">
        <f>AD38*100/AD37-100</f>
        <v>70.919696454864663</v>
      </c>
      <c r="AF38" s="331">
        <f>$AF$54+AF55</f>
        <v>178.64788714839142</v>
      </c>
      <c r="AG38" s="330">
        <f>AF38*100/AF37-100</f>
        <v>94.051675762495876</v>
      </c>
      <c r="AH38" s="397">
        <f t="shared" ref="AH38:AH48" si="91">AD38*AF38</f>
        <v>2695885.9410128007</v>
      </c>
      <c r="AI38" s="327">
        <f t="shared" ref="AI38:AI48" si="92">AH38-AJ38</f>
        <v>1887120.1587089605</v>
      </c>
      <c r="AJ38" s="328">
        <f t="shared" ref="AJ38:AJ48" si="93">AH38*0.3</f>
        <v>808765.78230384015</v>
      </c>
      <c r="AK38" s="334" t="s">
        <v>96</v>
      </c>
      <c r="AL38" s="4" t="s">
        <v>103</v>
      </c>
      <c r="AM38" s="4"/>
      <c r="AN38" s="4"/>
    </row>
    <row r="39" spans="1:40" x14ac:dyDescent="0.3">
      <c r="A39" s="336" t="s">
        <v>26</v>
      </c>
      <c r="B39" s="336">
        <v>2026</v>
      </c>
      <c r="C39" s="339" t="s">
        <v>10</v>
      </c>
      <c r="D39" s="301">
        <f t="shared" si="76"/>
        <v>42187.5</v>
      </c>
      <c r="E39" s="302">
        <f t="shared" ref="E39:E48" si="94">F39/D39</f>
        <v>225.12080382277153</v>
      </c>
      <c r="F39" s="398">
        <f t="shared" si="77"/>
        <v>9497283.911273174</v>
      </c>
      <c r="G39" s="303">
        <f t="shared" si="78"/>
        <v>6648098.7378912214</v>
      </c>
      <c r="H39" s="410">
        <f t="shared" si="79"/>
        <v>2849185.1733819516</v>
      </c>
      <c r="I39" s="305">
        <f>I56+I62</f>
        <v>23343.100000000002</v>
      </c>
      <c r="J39" s="306">
        <f t="shared" ref="J39:J40" si="95">I39*100/I38-100</f>
        <v>2.9868393768667687</v>
      </c>
      <c r="K39" s="307">
        <f t="shared" ref="K39:K41" si="96">$K$54+K56</f>
        <v>264.45641251031998</v>
      </c>
      <c r="L39" s="306">
        <f t="shared" ref="L39:L48" si="97">K39*100/K38-100</f>
        <v>7.1973618152514263</v>
      </c>
      <c r="M39" s="398">
        <f t="shared" si="82"/>
        <v>6173232.4828696512</v>
      </c>
      <c r="N39" s="303">
        <f t="shared" si="83"/>
        <v>4321262.7380087562</v>
      </c>
      <c r="O39" s="303">
        <f t="shared" si="84"/>
        <v>1851969.7448608952</v>
      </c>
      <c r="P39" s="305">
        <f t="shared" ref="P39:P41" si="98">P56+P62</f>
        <v>2668.8</v>
      </c>
      <c r="Q39" s="306">
        <f t="shared" ref="Q39:Q40" si="99">P39*100/P38-100</f>
        <v>5.0625934965750616</v>
      </c>
      <c r="R39" s="307">
        <f t="shared" ref="R39:R40" si="100">$R$54+R56</f>
        <v>172.9630151367187</v>
      </c>
      <c r="S39" s="306">
        <f t="shared" ref="S39:S48" si="101">R39*100/R38-100</f>
        <v>6.4037461673649148</v>
      </c>
      <c r="T39" s="398">
        <f t="shared" si="85"/>
        <v>461603.69479687489</v>
      </c>
      <c r="U39" s="303">
        <f t="shared" si="86"/>
        <v>323122.5863578124</v>
      </c>
      <c r="V39" s="303">
        <f t="shared" si="87"/>
        <v>138481.10843906246</v>
      </c>
      <c r="W39" s="305">
        <f t="shared" ref="W39:W41" si="102">W56+W62</f>
        <v>1661.1000000000001</v>
      </c>
      <c r="X39" s="306">
        <f t="shared" ref="X39:X40" si="103">W39*100/W38-100</f>
        <v>-0.82985074626866151</v>
      </c>
      <c r="Y39" s="307">
        <f t="shared" ref="Y39:Y41" si="104">$Y$54+Y56</f>
        <v>180.9451863600317</v>
      </c>
      <c r="Z39" s="306">
        <f t="shared" ref="Z39:Z48" si="105">Y39*100/Y38-100</f>
        <v>26.644421710013347</v>
      </c>
      <c r="AA39" s="398">
        <f t="shared" si="88"/>
        <v>300568.04906264867</v>
      </c>
      <c r="AB39" s="303">
        <f t="shared" si="89"/>
        <v>210397.63434385409</v>
      </c>
      <c r="AC39" s="303">
        <f t="shared" si="90"/>
        <v>90170.414718794593</v>
      </c>
      <c r="AD39" s="305">
        <f t="shared" ref="AD39:AD41" si="106">AD56+AD62</f>
        <v>14514.500000000002</v>
      </c>
      <c r="AE39" s="306">
        <f t="shared" ref="AE39" si="107">AD39*100/AD38-100</f>
        <v>-3.8169709419833566</v>
      </c>
      <c r="AF39" s="307">
        <f t="shared" ref="AF39:AF40" si="108">$AF$54+AF56</f>
        <v>176.50485270205641</v>
      </c>
      <c r="AG39" s="306">
        <f t="shared" ref="AG39:AG48" si="109">AF39*100/AF38-100</f>
        <v>-1.1995856657151052</v>
      </c>
      <c r="AH39" s="398">
        <f t="shared" si="91"/>
        <v>2561879.684543998</v>
      </c>
      <c r="AI39" s="303">
        <f t="shared" si="92"/>
        <v>1793315.7791807987</v>
      </c>
      <c r="AJ39" s="304">
        <f t="shared" si="93"/>
        <v>768563.90536319942</v>
      </c>
      <c r="AK39" s="334" t="s">
        <v>97</v>
      </c>
      <c r="AL39" s="4" t="s">
        <v>104</v>
      </c>
      <c r="AM39" s="4"/>
      <c r="AN39" s="4"/>
    </row>
    <row r="40" spans="1:40" x14ac:dyDescent="0.3">
      <c r="A40" s="340" t="s">
        <v>26</v>
      </c>
      <c r="B40" s="336">
        <v>2026</v>
      </c>
      <c r="C40" s="339" t="s">
        <v>11</v>
      </c>
      <c r="D40" s="301">
        <f t="shared" si="76"/>
        <v>41537.600000000006</v>
      </c>
      <c r="E40" s="302">
        <f t="shared" si="94"/>
        <v>219.28463694913361</v>
      </c>
      <c r="F40" s="398">
        <f t="shared" si="77"/>
        <v>9108557.5357383341</v>
      </c>
      <c r="G40" s="303">
        <f t="shared" si="78"/>
        <v>6375990.2750168331</v>
      </c>
      <c r="H40" s="410">
        <f t="shared" si="79"/>
        <v>2732567.2607215</v>
      </c>
      <c r="I40" s="305">
        <f>I57+I63</f>
        <v>23660.300000000003</v>
      </c>
      <c r="J40" s="306">
        <f t="shared" si="95"/>
        <v>1.3588597915444041</v>
      </c>
      <c r="K40" s="307">
        <f t="shared" si="96"/>
        <v>259.12368151953763</v>
      </c>
      <c r="L40" s="306">
        <f t="shared" si="97"/>
        <v>-2.0164876851205946</v>
      </c>
      <c r="M40" s="398">
        <f t="shared" si="82"/>
        <v>6130944.0418567173</v>
      </c>
      <c r="N40" s="303">
        <f t="shared" si="83"/>
        <v>4291660.8292997023</v>
      </c>
      <c r="O40" s="303">
        <f t="shared" si="84"/>
        <v>1839283.2125570152</v>
      </c>
      <c r="P40" s="305">
        <f t="shared" si="98"/>
        <v>2634.5</v>
      </c>
      <c r="Q40" s="306">
        <f t="shared" si="99"/>
        <v>-1.2852218225419705</v>
      </c>
      <c r="R40" s="307">
        <f t="shared" si="100"/>
        <v>170.19072727272732</v>
      </c>
      <c r="S40" s="306">
        <f t="shared" si="101"/>
        <v>-1.6028211937679515</v>
      </c>
      <c r="T40" s="398">
        <f t="shared" si="85"/>
        <v>448367.47100000014</v>
      </c>
      <c r="U40" s="303">
        <f t="shared" si="86"/>
        <v>313857.22970000014</v>
      </c>
      <c r="V40" s="303">
        <f t="shared" si="87"/>
        <v>134510.24130000002</v>
      </c>
      <c r="W40" s="305">
        <f t="shared" si="102"/>
        <v>1666.8000000000002</v>
      </c>
      <c r="X40" s="306">
        <f t="shared" si="103"/>
        <v>0.34314610800073808</v>
      </c>
      <c r="Y40" s="307">
        <f t="shared" si="104"/>
        <v>137.92697044334977</v>
      </c>
      <c r="Z40" s="306">
        <f t="shared" si="105"/>
        <v>-23.774169836763363</v>
      </c>
      <c r="AA40" s="398">
        <f t="shared" si="88"/>
        <v>229896.67433497543</v>
      </c>
      <c r="AB40" s="303">
        <f t="shared" si="89"/>
        <v>160927.67203448282</v>
      </c>
      <c r="AC40" s="303">
        <f t="shared" si="90"/>
        <v>68969.002300492619</v>
      </c>
      <c r="AD40" s="305">
        <f t="shared" si="106"/>
        <v>13576</v>
      </c>
      <c r="AE40" s="306">
        <f t="shared" ref="AE40" si="110">AD40*100/AD39-100</f>
        <v>-6.4659478452581993</v>
      </c>
      <c r="AF40" s="307">
        <f t="shared" si="108"/>
        <v>169.36869096542725</v>
      </c>
      <c r="AG40" s="306">
        <f t="shared" si="109"/>
        <v>-4.0430399659748559</v>
      </c>
      <c r="AH40" s="398">
        <f t="shared" si="91"/>
        <v>2299349.3485466405</v>
      </c>
      <c r="AI40" s="303">
        <f t="shared" si="92"/>
        <v>1609544.5439826483</v>
      </c>
      <c r="AJ40" s="304">
        <f t="shared" si="93"/>
        <v>689804.80456399207</v>
      </c>
      <c r="AK40" s="334" t="s">
        <v>98</v>
      </c>
      <c r="AL40" s="4" t="s">
        <v>105</v>
      </c>
      <c r="AM40" s="4"/>
      <c r="AN40" s="4"/>
    </row>
    <row r="41" spans="1:40" ht="13.5" thickBot="1" x14ac:dyDescent="0.35">
      <c r="A41" s="341" t="s">
        <v>26</v>
      </c>
      <c r="B41" s="342">
        <v>2026</v>
      </c>
      <c r="C41" s="343" t="s">
        <v>12</v>
      </c>
      <c r="D41" s="309">
        <f t="shared" si="76"/>
        <v>36749</v>
      </c>
      <c r="E41" s="310">
        <f t="shared" si="94"/>
        <v>155.59357363134586</v>
      </c>
      <c r="F41" s="399">
        <f t="shared" si="77"/>
        <v>5717908.237378329</v>
      </c>
      <c r="G41" s="311">
        <f t="shared" si="78"/>
        <v>4002535.76616483</v>
      </c>
      <c r="H41" s="411">
        <f t="shared" si="79"/>
        <v>1715372.4712134986</v>
      </c>
      <c r="I41" s="313">
        <f>I58+I64</f>
        <v>20617.150000000001</v>
      </c>
      <c r="J41" s="314">
        <f>I41*100/I40-100</f>
        <v>-12.861840297882949</v>
      </c>
      <c r="K41" s="315">
        <f t="shared" si="96"/>
        <v>184.65398564747622</v>
      </c>
      <c r="L41" s="314">
        <f t="shared" si="97"/>
        <v>-28.739054429668741</v>
      </c>
      <c r="M41" s="399">
        <f>I41*K41</f>
        <v>3807038.9201918645</v>
      </c>
      <c r="N41" s="311">
        <f t="shared" si="83"/>
        <v>2664927.244134305</v>
      </c>
      <c r="O41" s="311">
        <f t="shared" si="84"/>
        <v>1142111.6760575592</v>
      </c>
      <c r="P41" s="313">
        <f t="shared" si="98"/>
        <v>2243.8500000000004</v>
      </c>
      <c r="Q41" s="314">
        <f>P41*100/P40-100</f>
        <v>-14.828240652875294</v>
      </c>
      <c r="R41" s="315">
        <f>$R$54+R58</f>
        <v>119.15427410761852</v>
      </c>
      <c r="S41" s="314">
        <f t="shared" si="101"/>
        <v>-29.987798972927521</v>
      </c>
      <c r="T41" s="399">
        <f t="shared" si="85"/>
        <v>267364.31795637985</v>
      </c>
      <c r="U41" s="311">
        <f t="shared" si="86"/>
        <v>187155.02256946592</v>
      </c>
      <c r="V41" s="311">
        <f t="shared" si="87"/>
        <v>80209.295386913946</v>
      </c>
      <c r="W41" s="313">
        <f t="shared" si="102"/>
        <v>1638.4</v>
      </c>
      <c r="X41" s="314">
        <f>W41*100/W40-100</f>
        <v>-1.7038636909047398</v>
      </c>
      <c r="Y41" s="315">
        <f t="shared" si="104"/>
        <v>103.07526241721853</v>
      </c>
      <c r="Z41" s="314">
        <f t="shared" si="105"/>
        <v>-25.268232829376728</v>
      </c>
      <c r="AA41" s="399">
        <f t="shared" si="88"/>
        <v>168878.50994437083</v>
      </c>
      <c r="AB41" s="311">
        <f t="shared" si="89"/>
        <v>118214.95696105959</v>
      </c>
      <c r="AC41" s="311">
        <f t="shared" si="90"/>
        <v>50663.552983311245</v>
      </c>
      <c r="AD41" s="313">
        <f t="shared" si="106"/>
        <v>12249.6</v>
      </c>
      <c r="AE41" s="314">
        <f>AD41*100/AD40-100</f>
        <v>-9.7701826753093712</v>
      </c>
      <c r="AF41" s="315">
        <f>$AF$54+AF58</f>
        <v>120.38160342261901</v>
      </c>
      <c r="AG41" s="314">
        <f t="shared" si="109"/>
        <v>-28.923343071009413</v>
      </c>
      <c r="AH41" s="399">
        <f t="shared" si="91"/>
        <v>1474626.4892857138</v>
      </c>
      <c r="AI41" s="311">
        <f t="shared" si="92"/>
        <v>1032238.5424999996</v>
      </c>
      <c r="AJ41" s="312">
        <f t="shared" si="93"/>
        <v>442387.94678571413</v>
      </c>
      <c r="AK41" s="334" t="s">
        <v>99</v>
      </c>
      <c r="AL41" s="4" t="s">
        <v>106</v>
      </c>
    </row>
    <row r="42" spans="1:40" x14ac:dyDescent="0.3">
      <c r="A42" s="24" t="s">
        <v>26</v>
      </c>
      <c r="B42" s="94">
        <v>2026</v>
      </c>
      <c r="C42" s="95" t="s">
        <v>1</v>
      </c>
      <c r="D42" s="241">
        <f t="shared" si="76"/>
        <v>30300.54</v>
      </c>
      <c r="E42" s="242">
        <f t="shared" si="94"/>
        <v>122.9438954332354</v>
      </c>
      <c r="F42" s="243">
        <f t="shared" si="77"/>
        <v>3725266.4213305665</v>
      </c>
      <c r="G42" s="244">
        <f t="shared" si="78"/>
        <v>2607686.4949313966</v>
      </c>
      <c r="H42" s="412">
        <f t="shared" si="79"/>
        <v>1117579.92639917</v>
      </c>
      <c r="I42" s="246">
        <v>18146.54</v>
      </c>
      <c r="J42" s="97">
        <f t="shared" ref="J42:J48" si="111">I42*100/I41-100</f>
        <v>-11.983276059009128</v>
      </c>
      <c r="K42" s="242">
        <v>146.04030781730864</v>
      </c>
      <c r="L42" s="97">
        <f t="shared" si="97"/>
        <v>-20.91136982219551</v>
      </c>
      <c r="M42" s="243">
        <f t="shared" si="82"/>
        <v>2650126.287419104</v>
      </c>
      <c r="N42" s="244">
        <f t="shared" si="83"/>
        <v>1855088.4011933729</v>
      </c>
      <c r="O42" s="244">
        <f t="shared" si="84"/>
        <v>795037.88622573123</v>
      </c>
      <c r="P42" s="246">
        <v>1825.16</v>
      </c>
      <c r="Q42" s="97">
        <f t="shared" ref="Q42:Q48" si="112">P42*100/P41-100</f>
        <v>-18.659446932727249</v>
      </c>
      <c r="R42" s="242">
        <v>94.55018664859486</v>
      </c>
      <c r="S42" s="97">
        <f t="shared" si="101"/>
        <v>-20.648934033874085</v>
      </c>
      <c r="T42" s="243">
        <f t="shared" si="85"/>
        <v>172569.2186635494</v>
      </c>
      <c r="U42" s="244">
        <f t="shared" si="86"/>
        <v>120798.45306448458</v>
      </c>
      <c r="V42" s="244">
        <f t="shared" si="87"/>
        <v>51770.76559906482</v>
      </c>
      <c r="W42" s="246">
        <v>1143.3</v>
      </c>
      <c r="X42" s="97">
        <f t="shared" ref="X42:X48" si="113">W42*100/W41-100</f>
        <v>-30.218505859375</v>
      </c>
      <c r="Y42" s="242">
        <v>82.488457222463452</v>
      </c>
      <c r="Z42" s="97">
        <f t="shared" si="105"/>
        <v>-19.972595472447793</v>
      </c>
      <c r="AA42" s="243">
        <f t="shared" si="88"/>
        <v>94309.053142442455</v>
      </c>
      <c r="AB42" s="244">
        <f t="shared" si="89"/>
        <v>66016.337199709727</v>
      </c>
      <c r="AC42" s="244">
        <f t="shared" si="90"/>
        <v>28292.715942732735</v>
      </c>
      <c r="AD42" s="246">
        <v>9185.5400000000009</v>
      </c>
      <c r="AE42" s="97">
        <f t="shared" ref="AE42" si="114">AD42*100/AD41-100</f>
        <v>-25.0135514629049</v>
      </c>
      <c r="AF42" s="242">
        <v>87.992852037601551</v>
      </c>
      <c r="AG42" s="97">
        <f t="shared" si="109"/>
        <v>-26.905067272871861</v>
      </c>
      <c r="AH42" s="243">
        <f t="shared" si="91"/>
        <v>808261.86210547062</v>
      </c>
      <c r="AI42" s="244">
        <f t="shared" si="92"/>
        <v>565783.30347382941</v>
      </c>
      <c r="AJ42" s="244">
        <f t="shared" si="93"/>
        <v>242478.55863164118</v>
      </c>
      <c r="AL42" s="4" t="s">
        <v>107</v>
      </c>
    </row>
    <row r="43" spans="1:40" x14ac:dyDescent="0.3">
      <c r="A43" s="24" t="s">
        <v>26</v>
      </c>
      <c r="B43" s="94">
        <v>2026</v>
      </c>
      <c r="C43" s="95" t="s">
        <v>2</v>
      </c>
      <c r="D43" s="25">
        <f t="shared" si="76"/>
        <v>28441</v>
      </c>
      <c r="E43" s="41">
        <f t="shared" si="94"/>
        <v>119.90558359655004</v>
      </c>
      <c r="F43" s="26">
        <f t="shared" si="77"/>
        <v>3410234.7030694797</v>
      </c>
      <c r="G43" s="27">
        <f t="shared" si="78"/>
        <v>2387164.2921486357</v>
      </c>
      <c r="H43" s="407">
        <f t="shared" si="79"/>
        <v>1023070.4109208439</v>
      </c>
      <c r="I43" s="29">
        <v>17185</v>
      </c>
      <c r="J43" s="96">
        <f t="shared" si="111"/>
        <v>-5.2987511668891187</v>
      </c>
      <c r="K43" s="41">
        <v>140.9233737348932</v>
      </c>
      <c r="L43" s="96">
        <f t="shared" si="97"/>
        <v>-3.5037820440754928</v>
      </c>
      <c r="M43" s="26">
        <f t="shared" si="82"/>
        <v>2421768.1776341395</v>
      </c>
      <c r="N43" s="27">
        <f t="shared" si="83"/>
        <v>1695237.7243438978</v>
      </c>
      <c r="O43" s="27">
        <f t="shared" si="84"/>
        <v>726530.45329024189</v>
      </c>
      <c r="P43" s="29">
        <v>1674</v>
      </c>
      <c r="Q43" s="96">
        <f t="shared" si="112"/>
        <v>-8.2820136316816075</v>
      </c>
      <c r="R43" s="41">
        <v>86.987218740975592</v>
      </c>
      <c r="S43" s="96">
        <f t="shared" si="101"/>
        <v>-7.9988926259107132</v>
      </c>
      <c r="T43" s="26">
        <f t="shared" si="85"/>
        <v>145616.60417239316</v>
      </c>
      <c r="U43" s="27">
        <f t="shared" si="86"/>
        <v>101931.6229206752</v>
      </c>
      <c r="V43" s="27">
        <f t="shared" si="87"/>
        <v>43684.981251717945</v>
      </c>
      <c r="W43" s="29">
        <v>1044</v>
      </c>
      <c r="X43" s="96">
        <f t="shared" si="113"/>
        <v>-8.6853844135397509</v>
      </c>
      <c r="Y43" s="41">
        <v>87.057200532372178</v>
      </c>
      <c r="Z43" s="96">
        <f t="shared" si="105"/>
        <v>5.5386456041810277</v>
      </c>
      <c r="AA43" s="26">
        <f t="shared" si="88"/>
        <v>90887.717355796558</v>
      </c>
      <c r="AB43" s="27">
        <f t="shared" si="89"/>
        <v>63621.402149057591</v>
      </c>
      <c r="AC43" s="27">
        <f t="shared" si="90"/>
        <v>27266.315206738967</v>
      </c>
      <c r="AD43" s="29">
        <v>8538</v>
      </c>
      <c r="AE43" s="96">
        <f t="shared" ref="AE43" si="115">AD43*100/AD42-100</f>
        <v>-7.049558327545256</v>
      </c>
      <c r="AF43" s="41">
        <v>88.072406173243195</v>
      </c>
      <c r="AG43" s="96">
        <f t="shared" si="109"/>
        <v>9.0409770565969438E-2</v>
      </c>
      <c r="AH43" s="26">
        <f t="shared" si="91"/>
        <v>751962.20390715043</v>
      </c>
      <c r="AI43" s="27">
        <f t="shared" si="92"/>
        <v>526373.54273500526</v>
      </c>
      <c r="AJ43" s="27">
        <f t="shared" si="93"/>
        <v>225588.66117214513</v>
      </c>
      <c r="AL43" s="4" t="s">
        <v>108</v>
      </c>
    </row>
    <row r="44" spans="1:40" x14ac:dyDescent="0.3">
      <c r="A44" s="24" t="s">
        <v>26</v>
      </c>
      <c r="B44" s="94">
        <v>2026</v>
      </c>
      <c r="C44" s="24" t="s">
        <v>3</v>
      </c>
      <c r="D44" s="25">
        <f t="shared" si="76"/>
        <v>27244</v>
      </c>
      <c r="E44" s="41">
        <f t="shared" si="94"/>
        <v>116.59055509343391</v>
      </c>
      <c r="F44" s="26">
        <f t="shared" si="77"/>
        <v>3176393.0829655132</v>
      </c>
      <c r="G44" s="27">
        <f t="shared" si="78"/>
        <v>2223475.1580758598</v>
      </c>
      <c r="H44" s="407">
        <f t="shared" si="79"/>
        <v>952917.92488965404</v>
      </c>
      <c r="I44" s="29">
        <v>16532</v>
      </c>
      <c r="J44" s="96">
        <f t="shared" si="111"/>
        <v>-3.79982542915333</v>
      </c>
      <c r="K44" s="41">
        <v>136.3057122955444</v>
      </c>
      <c r="L44" s="96">
        <f t="shared" si="97"/>
        <v>-3.2767179190838931</v>
      </c>
      <c r="M44" s="26">
        <f t="shared" si="82"/>
        <v>2253406.0356699401</v>
      </c>
      <c r="N44" s="27">
        <f t="shared" si="83"/>
        <v>1577384.2249689582</v>
      </c>
      <c r="O44" s="27">
        <f t="shared" si="84"/>
        <v>676021.81070098199</v>
      </c>
      <c r="P44" s="29">
        <v>1595</v>
      </c>
      <c r="Q44" s="96">
        <f t="shared" si="112"/>
        <v>-4.7192353643966527</v>
      </c>
      <c r="R44" s="41">
        <v>81.676942595171838</v>
      </c>
      <c r="S44" s="96">
        <f t="shared" si="101"/>
        <v>-6.1046625270504649</v>
      </c>
      <c r="T44" s="26">
        <f t="shared" si="85"/>
        <v>130274.72343929908</v>
      </c>
      <c r="U44" s="27">
        <f t="shared" si="86"/>
        <v>91192.306407509357</v>
      </c>
      <c r="V44" s="27">
        <f t="shared" si="87"/>
        <v>39082.417031789722</v>
      </c>
      <c r="W44" s="29">
        <v>976</v>
      </c>
      <c r="X44" s="96">
        <f t="shared" si="113"/>
        <v>-6.5134099616858236</v>
      </c>
      <c r="Y44" s="41">
        <v>90.455943786495624</v>
      </c>
      <c r="Z44" s="96">
        <f t="shared" si="105"/>
        <v>3.904034627049171</v>
      </c>
      <c r="AA44" s="26">
        <f t="shared" si="88"/>
        <v>88285.001135619736</v>
      </c>
      <c r="AB44" s="27">
        <f t="shared" si="89"/>
        <v>61799.500794933818</v>
      </c>
      <c r="AC44" s="27">
        <f t="shared" si="90"/>
        <v>26485.500340685921</v>
      </c>
      <c r="AD44" s="29">
        <v>8141</v>
      </c>
      <c r="AE44" s="96">
        <f t="shared" ref="AE44" si="116">AD44*100/AD43-100</f>
        <v>-4.6498008901382093</v>
      </c>
      <c r="AF44" s="41">
        <v>86.528353116405157</v>
      </c>
      <c r="AG44" s="96">
        <f t="shared" si="109"/>
        <v>-1.753163248203748</v>
      </c>
      <c r="AH44" s="26">
        <f t="shared" si="91"/>
        <v>704427.32272065443</v>
      </c>
      <c r="AI44" s="27">
        <f t="shared" si="92"/>
        <v>493099.12590445811</v>
      </c>
      <c r="AJ44" s="27">
        <f t="shared" si="93"/>
        <v>211328.19681619632</v>
      </c>
      <c r="AL44" s="4" t="s">
        <v>109</v>
      </c>
    </row>
    <row r="45" spans="1:40" x14ac:dyDescent="0.3">
      <c r="A45" s="24" t="s">
        <v>26</v>
      </c>
      <c r="B45" s="94">
        <v>2026</v>
      </c>
      <c r="C45" s="24" t="s">
        <v>4</v>
      </c>
      <c r="D45" s="25">
        <f t="shared" si="76"/>
        <v>27275</v>
      </c>
      <c r="E45" s="41">
        <f t="shared" si="94"/>
        <v>114.63592401653041</v>
      </c>
      <c r="F45" s="26">
        <f t="shared" si="77"/>
        <v>3126694.8275508671</v>
      </c>
      <c r="G45" s="27">
        <f t="shared" si="78"/>
        <v>2188686.3792856066</v>
      </c>
      <c r="H45" s="407">
        <f t="shared" si="79"/>
        <v>938008.44826526009</v>
      </c>
      <c r="I45" s="29">
        <v>16522</v>
      </c>
      <c r="J45" s="96">
        <f t="shared" si="111"/>
        <v>-6.0488749092669991E-2</v>
      </c>
      <c r="K45" s="41">
        <v>133.79965871511232</v>
      </c>
      <c r="L45" s="96">
        <f t="shared" si="97"/>
        <v>-1.8385536000122613</v>
      </c>
      <c r="M45" s="26">
        <f t="shared" si="82"/>
        <v>2210637.9612910855</v>
      </c>
      <c r="N45" s="27">
        <f t="shared" si="83"/>
        <v>1547446.5729037598</v>
      </c>
      <c r="O45" s="27">
        <f t="shared" si="84"/>
        <v>663191.38838732557</v>
      </c>
      <c r="P45" s="29">
        <v>1529</v>
      </c>
      <c r="Q45" s="96">
        <f t="shared" si="112"/>
        <v>-4.1379310344827616</v>
      </c>
      <c r="R45" s="41">
        <v>74.313216231448493</v>
      </c>
      <c r="S45" s="96">
        <f t="shared" si="101"/>
        <v>-9.0156733709063133</v>
      </c>
      <c r="T45" s="26">
        <f t="shared" si="85"/>
        <v>113624.90761788475</v>
      </c>
      <c r="U45" s="27">
        <f t="shared" si="86"/>
        <v>79537.435332519322</v>
      </c>
      <c r="V45" s="27">
        <f t="shared" si="87"/>
        <v>34087.472285365424</v>
      </c>
      <c r="W45" s="29">
        <v>971</v>
      </c>
      <c r="X45" s="96">
        <f t="shared" si="113"/>
        <v>-0.51229508196720985</v>
      </c>
      <c r="Y45" s="41">
        <v>91.081515244198556</v>
      </c>
      <c r="Z45" s="96">
        <f t="shared" si="105"/>
        <v>0.69157584512022652</v>
      </c>
      <c r="AA45" s="26">
        <f t="shared" si="88"/>
        <v>88440.151302116792</v>
      </c>
      <c r="AB45" s="27">
        <f t="shared" si="89"/>
        <v>61908.105911481754</v>
      </c>
      <c r="AC45" s="27">
        <f t="shared" si="90"/>
        <v>26532.045390635038</v>
      </c>
      <c r="AD45" s="29">
        <v>8253</v>
      </c>
      <c r="AE45" s="96">
        <f t="shared" ref="AE45" si="117">AD45*100/AD44-100</f>
        <v>1.3757523645743817</v>
      </c>
      <c r="AF45" s="41">
        <v>86.513002222195567</v>
      </c>
      <c r="AG45" s="96">
        <f t="shared" si="109"/>
        <v>-1.7740883371416771E-2</v>
      </c>
      <c r="AH45" s="26">
        <f t="shared" si="91"/>
        <v>713991.80733978003</v>
      </c>
      <c r="AI45" s="27">
        <f t="shared" si="92"/>
        <v>499794.265137846</v>
      </c>
      <c r="AJ45" s="27">
        <f t="shared" si="93"/>
        <v>214197.542201934</v>
      </c>
      <c r="AL45" s="4" t="s">
        <v>101</v>
      </c>
    </row>
    <row r="46" spans="1:40" x14ac:dyDescent="0.3">
      <c r="A46" s="24" t="s">
        <v>26</v>
      </c>
      <c r="B46" s="94">
        <v>2026</v>
      </c>
      <c r="C46" s="24" t="s">
        <v>5</v>
      </c>
      <c r="D46" s="25">
        <f t="shared" si="76"/>
        <v>26770</v>
      </c>
      <c r="E46" s="41">
        <f t="shared" si="94"/>
        <v>112.23420674157968</v>
      </c>
      <c r="F46" s="26">
        <f t="shared" si="77"/>
        <v>3004509.714472088</v>
      </c>
      <c r="G46" s="27">
        <f t="shared" si="78"/>
        <v>2103156.8001304618</v>
      </c>
      <c r="H46" s="407">
        <f t="shared" si="79"/>
        <v>901352.91434162646</v>
      </c>
      <c r="I46" s="29">
        <v>15965</v>
      </c>
      <c r="J46" s="96">
        <f t="shared" si="111"/>
        <v>-3.3712625590122229</v>
      </c>
      <c r="K46" s="41">
        <v>130.94362800670427</v>
      </c>
      <c r="L46" s="96">
        <f t="shared" si="97"/>
        <v>-2.1345575435951787</v>
      </c>
      <c r="M46" s="26">
        <f t="shared" si="82"/>
        <v>2090515.0211270337</v>
      </c>
      <c r="N46" s="27">
        <f t="shared" si="83"/>
        <v>1463360.5147889238</v>
      </c>
      <c r="O46" s="27">
        <f t="shared" si="84"/>
        <v>627154.50633811008</v>
      </c>
      <c r="P46" s="29">
        <v>1449</v>
      </c>
      <c r="Q46" s="96">
        <f t="shared" si="112"/>
        <v>-5.232177894048391</v>
      </c>
      <c r="R46" s="41">
        <v>79.531739569314269</v>
      </c>
      <c r="S46" s="96">
        <f t="shared" si="101"/>
        <v>7.0223354640077531</v>
      </c>
      <c r="T46" s="26">
        <f t="shared" si="85"/>
        <v>115241.49063593638</v>
      </c>
      <c r="U46" s="27">
        <f t="shared" si="86"/>
        <v>80669.043445155461</v>
      </c>
      <c r="V46" s="27">
        <f t="shared" si="87"/>
        <v>34572.447190780913</v>
      </c>
      <c r="W46" s="29">
        <v>987</v>
      </c>
      <c r="X46" s="96">
        <f t="shared" si="113"/>
        <v>1.6477857878475817</v>
      </c>
      <c r="Y46" s="41">
        <v>91.337002843654318</v>
      </c>
      <c r="Z46" s="96">
        <f t="shared" si="105"/>
        <v>0.28050433589162083</v>
      </c>
      <c r="AA46" s="26">
        <f t="shared" si="88"/>
        <v>90149.621806686817</v>
      </c>
      <c r="AB46" s="27">
        <f t="shared" si="89"/>
        <v>63104.73526468077</v>
      </c>
      <c r="AC46" s="27">
        <f t="shared" si="90"/>
        <v>27044.886542006043</v>
      </c>
      <c r="AD46" s="29">
        <v>8369</v>
      </c>
      <c r="AE46" s="96">
        <f t="shared" ref="AE46" si="118">AD46*100/AD45-100</f>
        <v>1.4055494971525491</v>
      </c>
      <c r="AF46" s="41">
        <v>84.670041928836341</v>
      </c>
      <c r="AG46" s="96">
        <f t="shared" si="109"/>
        <v>-2.1302697236490076</v>
      </c>
      <c r="AH46" s="26">
        <f t="shared" si="91"/>
        <v>708603.58090243128</v>
      </c>
      <c r="AI46" s="27">
        <f t="shared" si="92"/>
        <v>496022.50663170189</v>
      </c>
      <c r="AJ46" s="27">
        <f t="shared" si="93"/>
        <v>212581.07427072938</v>
      </c>
      <c r="AL46" s="4" t="s">
        <v>110</v>
      </c>
    </row>
    <row r="47" spans="1:40" x14ac:dyDescent="0.3">
      <c r="A47" s="24" t="s">
        <v>26</v>
      </c>
      <c r="B47" s="94">
        <v>2026</v>
      </c>
      <c r="C47" s="24" t="s">
        <v>6</v>
      </c>
      <c r="D47" s="25">
        <f t="shared" si="76"/>
        <v>26226</v>
      </c>
      <c r="E47" s="41">
        <f t="shared" si="94"/>
        <v>109.26390443802228</v>
      </c>
      <c r="F47" s="26">
        <f t="shared" si="77"/>
        <v>2865555.1577915722</v>
      </c>
      <c r="G47" s="27">
        <f t="shared" si="78"/>
        <v>2005888.6104541006</v>
      </c>
      <c r="H47" s="407">
        <f t="shared" si="79"/>
        <v>859666.54733747162</v>
      </c>
      <c r="I47" s="29">
        <v>15807</v>
      </c>
      <c r="J47" s="96">
        <f t="shared" si="111"/>
        <v>-0.98966489195113638</v>
      </c>
      <c r="K47" s="41">
        <v>124.68661653842484</v>
      </c>
      <c r="L47" s="96">
        <f t="shared" si="97"/>
        <v>-4.7784008764130732</v>
      </c>
      <c r="M47" s="26">
        <f t="shared" si="82"/>
        <v>1970921.3476228814</v>
      </c>
      <c r="N47" s="27">
        <f t="shared" si="83"/>
        <v>1379644.943336017</v>
      </c>
      <c r="O47" s="27">
        <f t="shared" si="84"/>
        <v>591276.40428686445</v>
      </c>
      <c r="P47" s="29">
        <v>1327</v>
      </c>
      <c r="Q47" s="96">
        <f t="shared" si="112"/>
        <v>-8.419599723947556</v>
      </c>
      <c r="R47" s="41">
        <v>70.287538531149437</v>
      </c>
      <c r="S47" s="96">
        <f t="shared" si="101"/>
        <v>-11.623285355286654</v>
      </c>
      <c r="T47" s="26">
        <f t="shared" si="85"/>
        <v>93271.563630835299</v>
      </c>
      <c r="U47" s="27">
        <f t="shared" si="86"/>
        <v>65290.094541584709</v>
      </c>
      <c r="V47" s="27">
        <f t="shared" si="87"/>
        <v>27981.46908925059</v>
      </c>
      <c r="W47" s="29">
        <v>985</v>
      </c>
      <c r="X47" s="96">
        <f t="shared" si="113"/>
        <v>-0.20263424518743989</v>
      </c>
      <c r="Y47" s="41">
        <v>84.87098193450592</v>
      </c>
      <c r="Z47" s="96">
        <f t="shared" si="105"/>
        <v>-7.0793005111154912</v>
      </c>
      <c r="AA47" s="26">
        <f t="shared" si="88"/>
        <v>83597.917205488338</v>
      </c>
      <c r="AB47" s="27">
        <f t="shared" si="89"/>
        <v>58518.542043841837</v>
      </c>
      <c r="AC47" s="27">
        <f t="shared" si="90"/>
        <v>25079.375161646502</v>
      </c>
      <c r="AD47" s="29">
        <v>8107</v>
      </c>
      <c r="AE47" s="96">
        <f t="shared" ref="AE47" si="119">AD47*100/AD46-100</f>
        <v>-3.1306010276018696</v>
      </c>
      <c r="AF47" s="41">
        <v>88.536367254516733</v>
      </c>
      <c r="AG47" s="96">
        <f t="shared" si="109"/>
        <v>4.5663439365365832</v>
      </c>
      <c r="AH47" s="26">
        <f t="shared" si="91"/>
        <v>717764.32933236717</v>
      </c>
      <c r="AI47" s="27">
        <f t="shared" si="92"/>
        <v>502435.03053265705</v>
      </c>
      <c r="AJ47" s="27">
        <f t="shared" si="93"/>
        <v>215329.29879971014</v>
      </c>
      <c r="AL47" s="4" t="s">
        <v>111</v>
      </c>
    </row>
    <row r="48" spans="1:40" x14ac:dyDescent="0.3">
      <c r="A48" s="24" t="s">
        <v>26</v>
      </c>
      <c r="B48" s="94">
        <v>2026</v>
      </c>
      <c r="C48" s="24" t="s">
        <v>7</v>
      </c>
      <c r="D48" s="25">
        <f t="shared" si="76"/>
        <v>27318</v>
      </c>
      <c r="E48" s="41">
        <f t="shared" si="94"/>
        <v>119.0383604326867</v>
      </c>
      <c r="F48" s="26">
        <f t="shared" si="77"/>
        <v>3251889.9303001352</v>
      </c>
      <c r="G48" s="27">
        <f t="shared" si="78"/>
        <v>2276322.9512100946</v>
      </c>
      <c r="H48" s="28">
        <f t="shared" si="79"/>
        <v>975566.97909004055</v>
      </c>
      <c r="I48" s="29">
        <v>16562</v>
      </c>
      <c r="J48" s="96">
        <f t="shared" si="111"/>
        <v>4.7763649016258682</v>
      </c>
      <c r="K48" s="41">
        <v>137.60762520997329</v>
      </c>
      <c r="L48" s="96">
        <f t="shared" si="97"/>
        <v>10.362787146098043</v>
      </c>
      <c r="M48" s="26">
        <f t="shared" si="82"/>
        <v>2279057.4887275775</v>
      </c>
      <c r="N48" s="27">
        <f t="shared" si="83"/>
        <v>1595340.2421093043</v>
      </c>
      <c r="O48" s="27">
        <f t="shared" si="84"/>
        <v>683717.2466182732</v>
      </c>
      <c r="P48" s="29">
        <v>1384</v>
      </c>
      <c r="Q48" s="96">
        <f t="shared" si="112"/>
        <v>4.2954031650339175</v>
      </c>
      <c r="R48" s="41">
        <v>72.022545381632114</v>
      </c>
      <c r="S48" s="96">
        <f t="shared" si="101"/>
        <v>2.4684416138911587</v>
      </c>
      <c r="T48" s="26">
        <f t="shared" si="85"/>
        <v>99679.202808178845</v>
      </c>
      <c r="U48" s="27">
        <f t="shared" si="86"/>
        <v>69775.441965725186</v>
      </c>
      <c r="V48" s="27">
        <f t="shared" si="87"/>
        <v>29903.760842453652</v>
      </c>
      <c r="W48" s="29">
        <v>1032</v>
      </c>
      <c r="X48" s="96">
        <f t="shared" si="113"/>
        <v>4.7715736040609187</v>
      </c>
      <c r="Y48" s="41">
        <v>95.9955134376806</v>
      </c>
      <c r="Z48" s="96">
        <f t="shared" si="105"/>
        <v>13.107579586812562</v>
      </c>
      <c r="AA48" s="26">
        <f t="shared" si="88"/>
        <v>99067.369867686386</v>
      </c>
      <c r="AB48" s="27">
        <f t="shared" si="89"/>
        <v>69347.158907380479</v>
      </c>
      <c r="AC48" s="27">
        <f t="shared" si="90"/>
        <v>29720.210960305914</v>
      </c>
      <c r="AD48" s="29">
        <v>8340</v>
      </c>
      <c r="AE48" s="96">
        <f t="shared" ref="AE48" si="120">AD48*100/AD47-100</f>
        <v>2.8740594547921603</v>
      </c>
      <c r="AF48" s="41">
        <v>92.816051426461925</v>
      </c>
      <c r="AG48" s="96">
        <f t="shared" si="109"/>
        <v>4.8338149674046633</v>
      </c>
      <c r="AH48" s="26">
        <f t="shared" si="91"/>
        <v>774085.86889669241</v>
      </c>
      <c r="AI48" s="27">
        <f t="shared" si="92"/>
        <v>541860.10822768463</v>
      </c>
      <c r="AJ48" s="27">
        <f t="shared" si="93"/>
        <v>232225.76066900772</v>
      </c>
      <c r="AL48" s="3" t="s">
        <v>112</v>
      </c>
    </row>
    <row r="49" spans="1:37" s="98" customFormat="1" ht="14" thickBot="1" x14ac:dyDescent="0.4">
      <c r="A49" s="30" t="s">
        <v>26</v>
      </c>
      <c r="B49" s="30">
        <v>2026</v>
      </c>
      <c r="C49" s="30" t="s">
        <v>0</v>
      </c>
      <c r="D49" s="31">
        <f>AVERAGE(D37:D48)</f>
        <v>32218.870000000006</v>
      </c>
      <c r="E49" s="99">
        <f>F49/D49/12</f>
        <v>153.5189463005311</v>
      </c>
      <c r="F49" s="32">
        <f>SUM(F37:F48)</f>
        <v>59354483.680725515</v>
      </c>
      <c r="G49" s="33">
        <f t="shared" ref="G49:H49" si="121">SUM(G37:G48)</f>
        <v>41548138.576507866</v>
      </c>
      <c r="H49" s="34">
        <f t="shared" si="121"/>
        <v>17806345.104217656</v>
      </c>
      <c r="I49" s="37">
        <f>AVERAGE(I37:I48)</f>
        <v>18827.682500000003</v>
      </c>
      <c r="J49" s="43" t="s">
        <v>30</v>
      </c>
      <c r="K49" s="100">
        <f>M49/I49/12</f>
        <v>177.26903545137213</v>
      </c>
      <c r="L49" s="43" t="s">
        <v>30</v>
      </c>
      <c r="M49" s="35">
        <f>SUM(M37:M48)</f>
        <v>40050781.398716152</v>
      </c>
      <c r="N49" s="36">
        <f t="shared" ref="N49:O49" si="122">SUM(N37:N48)</f>
        <v>28035546.979101315</v>
      </c>
      <c r="O49" s="36">
        <f t="shared" si="122"/>
        <v>12015234.41961485</v>
      </c>
      <c r="P49" s="37">
        <f>AVERAGE(P37:P48)</f>
        <v>1888.3758333333335</v>
      </c>
      <c r="Q49" s="43" t="s">
        <v>30</v>
      </c>
      <c r="R49" s="100">
        <f>T49/P49/12</f>
        <v>115.26479188977811</v>
      </c>
      <c r="S49" s="43" t="s">
        <v>30</v>
      </c>
      <c r="T49" s="35">
        <f>SUM(T37:T48)</f>
        <v>2611958.9692662358</v>
      </c>
      <c r="U49" s="36">
        <f t="shared" ref="U49:V49" si="123">SUM(U37:U48)</f>
        <v>1828371.2784863652</v>
      </c>
      <c r="V49" s="36">
        <f t="shared" si="123"/>
        <v>783587.69077987061</v>
      </c>
      <c r="W49" s="37">
        <f>AVERAGE(W37:W48)</f>
        <v>1236.7166666666667</v>
      </c>
      <c r="X49" s="43" t="s">
        <v>30</v>
      </c>
      <c r="Y49" s="100">
        <f>AA49/W49/12</f>
        <v>112.4003964899956</v>
      </c>
      <c r="Z49" s="43" t="s">
        <v>30</v>
      </c>
      <c r="AA49" s="35">
        <f>SUM(AA37:AA48)</f>
        <v>1668089.3241494286</v>
      </c>
      <c r="AB49" s="36">
        <f t="shared" ref="AB49:AC49" si="124">SUM(AB37:AB48)</f>
        <v>1167662.5269046002</v>
      </c>
      <c r="AC49" s="36">
        <f t="shared" si="124"/>
        <v>500426.7972448286</v>
      </c>
      <c r="AD49" s="37">
        <f>AVERAGE(AD37:AD48)</f>
        <v>10266.094999999999</v>
      </c>
      <c r="AE49" s="43" t="s">
        <v>30</v>
      </c>
      <c r="AF49" s="100">
        <f>AH49/AD49/12</f>
        <v>121.95203392488982</v>
      </c>
      <c r="AG49" s="43" t="s">
        <v>30</v>
      </c>
      <c r="AH49" s="35">
        <f>SUM(AH37:AH48)</f>
        <v>15023653.988593699</v>
      </c>
      <c r="AI49" s="36">
        <f t="shared" ref="AI49:AJ49" si="125">SUM(AI37:AI48)</f>
        <v>10516557.792015588</v>
      </c>
      <c r="AJ49" s="36">
        <f t="shared" si="125"/>
        <v>4507096.1965781096</v>
      </c>
    </row>
    <row r="50" spans="1:37" hidden="1" x14ac:dyDescent="0.3">
      <c r="K50" s="127"/>
      <c r="R50" s="127"/>
      <c r="Y50" s="127"/>
      <c r="AF50" s="235"/>
    </row>
    <row r="51" spans="1:37" ht="64.5" hidden="1" customHeight="1" x14ac:dyDescent="0.3">
      <c r="A51" s="443" t="s">
        <v>115</v>
      </c>
      <c r="B51" s="443"/>
      <c r="C51" s="443"/>
      <c r="D51" s="443"/>
      <c r="E51" s="443"/>
      <c r="F51" s="443"/>
      <c r="G51" s="443"/>
      <c r="H51" s="443"/>
      <c r="I51" s="443"/>
      <c r="J51" s="443"/>
      <c r="K51" s="443"/>
      <c r="L51" s="443"/>
      <c r="M51" s="443"/>
      <c r="N51" s="443"/>
      <c r="O51" s="234"/>
    </row>
    <row r="52" spans="1:37" s="335" customFormat="1" hidden="1" x14ac:dyDescent="0.3">
      <c r="AD52" s="1"/>
      <c r="AE52" s="1"/>
      <c r="AF52" s="1"/>
      <c r="AG52" s="1"/>
    </row>
    <row r="53" spans="1:37" s="335" customFormat="1" hidden="1" x14ac:dyDescent="0.3">
      <c r="AD53" s="1"/>
      <c r="AE53" s="1"/>
      <c r="AF53" s="1"/>
      <c r="AG53" s="1"/>
    </row>
    <row r="54" spans="1:37" s="362" customFormat="1" ht="18.5" hidden="1" thickBot="1" x14ac:dyDescent="0.45">
      <c r="A54" s="449" t="s">
        <v>117</v>
      </c>
      <c r="B54" s="449"/>
      <c r="C54" s="449"/>
      <c r="D54" s="449"/>
      <c r="E54" s="449"/>
      <c r="F54" s="449"/>
      <c r="G54" s="449"/>
      <c r="H54" s="449"/>
      <c r="I54" s="449"/>
      <c r="J54" s="449"/>
      <c r="K54" s="363">
        <f>'GMI apmēri janv.-aprīl.'!J19/2</f>
        <v>37.400000000000006</v>
      </c>
      <c r="R54" s="363">
        <f>'GMI apmēri janv.-aprīl.'!J23/2</f>
        <v>23.849999999999994</v>
      </c>
      <c r="Y54" s="363">
        <f>'GMI apmēri janv.-aprīl.'!J27/2</f>
        <v>22.450000000000003</v>
      </c>
      <c r="AD54" s="364"/>
      <c r="AE54" s="364"/>
      <c r="AF54" s="363">
        <f>'GMI apmēri janv.-aprīl.'!J31/2</f>
        <v>29.933333333333309</v>
      </c>
      <c r="AG54" s="364"/>
    </row>
    <row r="55" spans="1:37" hidden="1" x14ac:dyDescent="0.3">
      <c r="C55" s="447" t="s">
        <v>118</v>
      </c>
      <c r="D55" s="447"/>
      <c r="E55" s="447"/>
      <c r="F55" s="448"/>
      <c r="G55" s="323">
        <v>2026</v>
      </c>
      <c r="H55" s="324" t="s">
        <v>9</v>
      </c>
      <c r="I55" s="329">
        <v>21550.100000000002</v>
      </c>
      <c r="J55" s="330">
        <v>13.865053365740252</v>
      </c>
      <c r="K55" s="331">
        <v>209.30048593742035</v>
      </c>
      <c r="L55" s="330">
        <v>60.282746980187881</v>
      </c>
      <c r="M55" s="327">
        <v>4510446.4020000026</v>
      </c>
      <c r="N55" s="327">
        <v>3157312.4814000018</v>
      </c>
      <c r="O55" s="327">
        <v>1353133.9206000008</v>
      </c>
      <c r="P55" s="329">
        <v>2180.2000000000003</v>
      </c>
      <c r="Q55" s="330">
        <v>21.798882681564265</v>
      </c>
      <c r="R55" s="331">
        <v>138.7035015136226</v>
      </c>
      <c r="S55" s="330">
        <v>63.959307824856495</v>
      </c>
      <c r="T55" s="327">
        <v>302401.37400000001</v>
      </c>
      <c r="U55" s="327">
        <v>211680.96179999999</v>
      </c>
      <c r="V55" s="327">
        <v>90720.412200000006</v>
      </c>
      <c r="W55" s="329">
        <v>1309</v>
      </c>
      <c r="X55" s="330">
        <v>23.374175306314797</v>
      </c>
      <c r="Y55" s="331">
        <v>120.42655462184874</v>
      </c>
      <c r="Z55" s="330">
        <v>34.936302259867148</v>
      </c>
      <c r="AA55" s="327">
        <v>157638.35999999999</v>
      </c>
      <c r="AB55" s="327">
        <v>110346.85199999998</v>
      </c>
      <c r="AC55" s="327">
        <v>47291.507999999994</v>
      </c>
      <c r="AD55" s="329">
        <v>10884.5</v>
      </c>
      <c r="AE55" s="330">
        <v>23.281232302639026</v>
      </c>
      <c r="AF55" s="331">
        <v>148.71455381505811</v>
      </c>
      <c r="AG55" s="330">
        <v>61.537361783143524</v>
      </c>
      <c r="AH55" s="327">
        <v>1618683.561</v>
      </c>
      <c r="AI55" s="327">
        <v>1133078.4927000001</v>
      </c>
      <c r="AJ55" s="328">
        <v>485605.06829999998</v>
      </c>
      <c r="AK55" s="334" t="s">
        <v>96</v>
      </c>
    </row>
    <row r="56" spans="1:37" hidden="1" x14ac:dyDescent="0.3">
      <c r="C56" s="447"/>
      <c r="D56" s="447"/>
      <c r="E56" s="447"/>
      <c r="F56" s="448"/>
      <c r="G56" s="332">
        <v>2026</v>
      </c>
      <c r="H56" s="300" t="s">
        <v>10</v>
      </c>
      <c r="I56" s="305">
        <v>22650.100000000002</v>
      </c>
      <c r="J56" s="306">
        <v>5.1043846664284445</v>
      </c>
      <c r="K56" s="307">
        <v>227.05641251031994</v>
      </c>
      <c r="L56" s="306">
        <v>8.4834617050093755</v>
      </c>
      <c r="M56" s="303">
        <v>5142850.4489999982</v>
      </c>
      <c r="N56" s="303">
        <v>3599995.3142999988</v>
      </c>
      <c r="O56" s="303">
        <v>1542855.1346999994</v>
      </c>
      <c r="P56" s="305">
        <v>2252.8000000000002</v>
      </c>
      <c r="Q56" s="306">
        <v>3.3299697275479332</v>
      </c>
      <c r="R56" s="307">
        <v>149.1130151367187</v>
      </c>
      <c r="S56" s="306">
        <v>7.5048672236106029</v>
      </c>
      <c r="T56" s="303">
        <v>335921.8004999999</v>
      </c>
      <c r="U56" s="303">
        <v>235145.26034999994</v>
      </c>
      <c r="V56" s="303">
        <v>100776.54014999997</v>
      </c>
      <c r="W56" s="305">
        <v>1387.1000000000001</v>
      </c>
      <c r="X56" s="306">
        <v>5.9663865546218489</v>
      </c>
      <c r="Y56" s="307">
        <v>158.49518636003171</v>
      </c>
      <c r="Z56" s="306">
        <v>31.611492878561734</v>
      </c>
      <c r="AA56" s="303">
        <v>219848.67300000001</v>
      </c>
      <c r="AB56" s="303">
        <v>153894.0711</v>
      </c>
      <c r="AC56" s="303">
        <v>65954.601899999994</v>
      </c>
      <c r="AD56" s="305">
        <v>11500.500000000002</v>
      </c>
      <c r="AE56" s="306">
        <v>5.6594239514906803</v>
      </c>
      <c r="AF56" s="307">
        <v>146.5715193687231</v>
      </c>
      <c r="AG56" s="306">
        <v>-1.4410388165506021</v>
      </c>
      <c r="AH56" s="303">
        <v>1685645.7585000002</v>
      </c>
      <c r="AI56" s="303">
        <v>1179952.03095</v>
      </c>
      <c r="AJ56" s="304">
        <v>505693.72755000007</v>
      </c>
      <c r="AK56" s="334" t="s">
        <v>97</v>
      </c>
    </row>
    <row r="57" spans="1:37" hidden="1" x14ac:dyDescent="0.3">
      <c r="C57" s="447"/>
      <c r="D57" s="447"/>
      <c r="E57" s="447"/>
      <c r="F57" s="448"/>
      <c r="G57" s="332">
        <v>2026</v>
      </c>
      <c r="H57" s="300" t="s">
        <v>11</v>
      </c>
      <c r="I57" s="305">
        <v>22267.300000000003</v>
      </c>
      <c r="J57" s="306">
        <v>-1.6900587635374507</v>
      </c>
      <c r="K57" s="307">
        <v>221.72368151953765</v>
      </c>
      <c r="L57" s="306">
        <v>-2.3486370333363453</v>
      </c>
      <c r="M57" s="303">
        <v>4937187.733500001</v>
      </c>
      <c r="N57" s="303">
        <v>3456031.4134500008</v>
      </c>
      <c r="O57" s="303">
        <v>1481156.3200500002</v>
      </c>
      <c r="P57" s="305">
        <v>2359.5</v>
      </c>
      <c r="Q57" s="306">
        <v>4.7363281249999858</v>
      </c>
      <c r="R57" s="307">
        <v>146.34072727272732</v>
      </c>
      <c r="S57" s="306">
        <v>-1.8591857065256931</v>
      </c>
      <c r="T57" s="303">
        <v>345290.94600000011</v>
      </c>
      <c r="U57" s="303">
        <v>241703.66220000008</v>
      </c>
      <c r="V57" s="303">
        <v>103587.28380000003</v>
      </c>
      <c r="W57" s="305">
        <v>1339.8000000000002</v>
      </c>
      <c r="X57" s="306">
        <v>-3.4099920697858721</v>
      </c>
      <c r="Y57" s="307">
        <v>115.47697044334976</v>
      </c>
      <c r="Z57" s="306">
        <v>-27.141654522531297</v>
      </c>
      <c r="AA57" s="303">
        <v>154716.04500000001</v>
      </c>
      <c r="AB57" s="303">
        <v>108301.23150000001</v>
      </c>
      <c r="AC57" s="303">
        <v>46414.813500000004</v>
      </c>
      <c r="AD57" s="305">
        <v>11242</v>
      </c>
      <c r="AE57" s="306">
        <v>-2.2477283596365538</v>
      </c>
      <c r="AF57" s="307">
        <v>139.43535763209394</v>
      </c>
      <c r="AG57" s="306">
        <v>-4.8687233149825317</v>
      </c>
      <c r="AH57" s="303">
        <v>1567532.2905000001</v>
      </c>
      <c r="AI57" s="303">
        <v>1097272.60335</v>
      </c>
      <c r="AJ57" s="304">
        <v>470259.68715000001</v>
      </c>
      <c r="AK57" s="334" t="s">
        <v>98</v>
      </c>
    </row>
    <row r="58" spans="1:37" ht="13.5" hidden="1" thickBot="1" x14ac:dyDescent="0.35">
      <c r="C58" s="447"/>
      <c r="D58" s="447"/>
      <c r="E58" s="447"/>
      <c r="F58" s="448"/>
      <c r="G58" s="333">
        <v>2026</v>
      </c>
      <c r="H58" s="308" t="s">
        <v>12</v>
      </c>
      <c r="I58" s="313">
        <v>19533.150000000001</v>
      </c>
      <c r="J58" s="314">
        <v>-12.278767520085509</v>
      </c>
      <c r="K58" s="315">
        <v>147.25398564747621</v>
      </c>
      <c r="L58" s="314">
        <v>-33.586712687475995</v>
      </c>
      <c r="M58" s="311">
        <v>2876334.1897500004</v>
      </c>
      <c r="N58" s="311">
        <v>2013433.9328250003</v>
      </c>
      <c r="O58" s="311">
        <v>862900.25692500011</v>
      </c>
      <c r="P58" s="313">
        <v>1970.8500000000001</v>
      </c>
      <c r="Q58" s="314">
        <v>-16.471710108073751</v>
      </c>
      <c r="R58" s="315">
        <v>95.304274107618525</v>
      </c>
      <c r="S58" s="314">
        <v>-34.87508509507056</v>
      </c>
      <c r="T58" s="311">
        <v>187830.42862499997</v>
      </c>
      <c r="U58" s="311">
        <v>131481.30003749998</v>
      </c>
      <c r="V58" s="311">
        <v>56349.128587499988</v>
      </c>
      <c r="W58" s="313">
        <v>1268.4000000000001</v>
      </c>
      <c r="X58" s="314">
        <v>-5.3291536050156765</v>
      </c>
      <c r="Y58" s="315">
        <v>80.625262417218522</v>
      </c>
      <c r="Z58" s="314">
        <v>-30.180656707848641</v>
      </c>
      <c r="AA58" s="311">
        <v>102265.08284999998</v>
      </c>
      <c r="AB58" s="311">
        <v>71585.557994999981</v>
      </c>
      <c r="AC58" s="311">
        <v>30679.524854999992</v>
      </c>
      <c r="AD58" s="313">
        <v>10113.6</v>
      </c>
      <c r="AE58" s="314">
        <v>-10.037359900373602</v>
      </c>
      <c r="AF58" s="315">
        <v>90.4482700892857</v>
      </c>
      <c r="AG58" s="314">
        <v>-35.132471687749913</v>
      </c>
      <c r="AH58" s="311">
        <v>914757.6243749999</v>
      </c>
      <c r="AI58" s="311">
        <v>640330.33706249995</v>
      </c>
      <c r="AJ58" s="312">
        <v>274427.28731249995</v>
      </c>
      <c r="AK58" s="334" t="s">
        <v>99</v>
      </c>
    </row>
    <row r="59" spans="1:37" hidden="1" x14ac:dyDescent="0.3"/>
    <row r="60" spans="1:37" hidden="1" x14ac:dyDescent="0.3"/>
    <row r="61" spans="1:37" hidden="1" x14ac:dyDescent="0.3">
      <c r="I61" s="344">
        <f>I6-I22</f>
        <v>1116</v>
      </c>
      <c r="P61" s="344">
        <f>P6-P22</f>
        <v>360</v>
      </c>
      <c r="W61" s="344">
        <f>W6-W22</f>
        <v>366</v>
      </c>
      <c r="AD61" s="344">
        <f>(AD6-AD22)*2</f>
        <v>4206</v>
      </c>
    </row>
    <row r="62" spans="1:37" hidden="1" x14ac:dyDescent="0.3">
      <c r="I62" s="344">
        <f>I7-I23</f>
        <v>693</v>
      </c>
      <c r="P62" s="344">
        <f>P7-P23</f>
        <v>416</v>
      </c>
      <c r="W62" s="344">
        <f>W7-W23</f>
        <v>274</v>
      </c>
      <c r="AD62" s="344">
        <f>(AD7-AD23)*2</f>
        <v>3014</v>
      </c>
    </row>
    <row r="63" spans="1:37" hidden="1" x14ac:dyDescent="0.3">
      <c r="I63" s="344">
        <f>I8-I24</f>
        <v>1393</v>
      </c>
      <c r="P63" s="344">
        <f>P8-P24</f>
        <v>275</v>
      </c>
      <c r="W63" s="344">
        <f>W8-W24</f>
        <v>327</v>
      </c>
      <c r="AD63" s="344">
        <f>(AD8-AD24)*2</f>
        <v>2334</v>
      </c>
    </row>
    <row r="64" spans="1:37" hidden="1" x14ac:dyDescent="0.3">
      <c r="I64" s="344">
        <f>I9-I25</f>
        <v>1084</v>
      </c>
      <c r="P64" s="344">
        <f>P9-P25</f>
        <v>273</v>
      </c>
      <c r="W64" s="344">
        <f>W9-W25</f>
        <v>370</v>
      </c>
      <c r="AD64" s="344">
        <f>(AD9-AD25)*2</f>
        <v>2136</v>
      </c>
    </row>
    <row r="67" spans="1:38" ht="13.5" thickBot="1" x14ac:dyDescent="0.35"/>
    <row r="68" spans="1:38" ht="63" customHeight="1" x14ac:dyDescent="0.3">
      <c r="A68" s="247"/>
      <c r="B68" s="248"/>
      <c r="C68" s="248"/>
      <c r="D68" s="435" t="s">
        <v>49</v>
      </c>
      <c r="E68" s="436"/>
      <c r="F68" s="437"/>
      <c r="G68" s="437"/>
      <c r="H68" s="438"/>
      <c r="I68" s="439" t="s">
        <v>93</v>
      </c>
      <c r="J68" s="439"/>
      <c r="K68" s="439"/>
      <c r="L68" s="439"/>
      <c r="M68" s="440"/>
      <c r="N68" s="440"/>
      <c r="O68" s="440"/>
      <c r="P68" s="440" t="s">
        <v>94</v>
      </c>
      <c r="Q68" s="440"/>
      <c r="R68" s="440"/>
      <c r="S68" s="440"/>
      <c r="T68" s="440"/>
      <c r="U68" s="440"/>
      <c r="V68" s="440"/>
      <c r="W68" s="440" t="s">
        <v>113</v>
      </c>
      <c r="X68" s="440"/>
      <c r="Y68" s="440"/>
      <c r="Z68" s="440"/>
      <c r="AA68" s="440"/>
      <c r="AB68" s="440"/>
      <c r="AC68" s="440"/>
      <c r="AD68" s="440" t="s">
        <v>114</v>
      </c>
      <c r="AE68" s="440"/>
      <c r="AF68" s="440"/>
      <c r="AG68" s="440"/>
      <c r="AH68" s="440"/>
      <c r="AI68" s="440"/>
      <c r="AJ68" s="441"/>
    </row>
    <row r="69" spans="1:38" ht="104.5" thickBot="1" x14ac:dyDescent="0.35">
      <c r="A69" s="400"/>
      <c r="B69" s="401"/>
      <c r="C69" s="401"/>
      <c r="D69" s="236" t="s">
        <v>13</v>
      </c>
      <c r="E69" s="237" t="s">
        <v>29</v>
      </c>
      <c r="F69" s="238" t="s">
        <v>14</v>
      </c>
      <c r="G69" s="239" t="s">
        <v>16</v>
      </c>
      <c r="H69" s="240" t="s">
        <v>15</v>
      </c>
      <c r="I69" s="238" t="s">
        <v>13</v>
      </c>
      <c r="J69" s="237" t="s">
        <v>31</v>
      </c>
      <c r="K69" s="237" t="s">
        <v>29</v>
      </c>
      <c r="L69" s="237" t="s">
        <v>32</v>
      </c>
      <c r="M69" s="238" t="s">
        <v>14</v>
      </c>
      <c r="N69" s="239" t="s">
        <v>16</v>
      </c>
      <c r="O69" s="239" t="s">
        <v>15</v>
      </c>
      <c r="P69" s="238" t="s">
        <v>13</v>
      </c>
      <c r="Q69" s="237" t="s">
        <v>31</v>
      </c>
      <c r="R69" s="237" t="s">
        <v>29</v>
      </c>
      <c r="S69" s="237" t="s">
        <v>32</v>
      </c>
      <c r="T69" s="238" t="s">
        <v>14</v>
      </c>
      <c r="U69" s="239" t="s">
        <v>16</v>
      </c>
      <c r="V69" s="239" t="s">
        <v>15</v>
      </c>
      <c r="W69" s="238" t="s">
        <v>13</v>
      </c>
      <c r="X69" s="237" t="s">
        <v>31</v>
      </c>
      <c r="Y69" s="237" t="s">
        <v>29</v>
      </c>
      <c r="Z69" s="237" t="s">
        <v>32</v>
      </c>
      <c r="AA69" s="238" t="s">
        <v>14</v>
      </c>
      <c r="AB69" s="239" t="s">
        <v>16</v>
      </c>
      <c r="AC69" s="239" t="s">
        <v>15</v>
      </c>
      <c r="AD69" s="238" t="s">
        <v>13</v>
      </c>
      <c r="AE69" s="237" t="s">
        <v>31</v>
      </c>
      <c r="AF69" s="237" t="s">
        <v>29</v>
      </c>
      <c r="AG69" s="237" t="s">
        <v>32</v>
      </c>
      <c r="AH69" s="238" t="s">
        <v>14</v>
      </c>
      <c r="AI69" s="239" t="s">
        <v>16</v>
      </c>
      <c r="AJ69" s="240" t="s">
        <v>15</v>
      </c>
      <c r="AK69" s="4"/>
      <c r="AL69" s="4"/>
    </row>
    <row r="70" spans="1:38" ht="13.5" thickBot="1" x14ac:dyDescent="0.35">
      <c r="A70" s="247" t="s">
        <v>25</v>
      </c>
      <c r="B70" s="248">
        <v>2026</v>
      </c>
      <c r="C70" s="249" t="s">
        <v>8</v>
      </c>
      <c r="D70" s="316">
        <f t="shared" ref="D70:D81" si="126">I70+P70+W70+AD70</f>
        <v>30606</v>
      </c>
      <c r="E70" s="317">
        <f>F70/D70</f>
        <v>115.3476344507613</v>
      </c>
      <c r="F70" s="318">
        <f t="shared" ref="F70:F81" si="127">M70+T70+AA70+AH70</f>
        <v>3530329.7000000007</v>
      </c>
      <c r="G70" s="319">
        <f t="shared" ref="G70:G81" si="128">N70+U70+AB70+AI70</f>
        <v>2471230.7900000005</v>
      </c>
      <c r="H70" s="320">
        <f t="shared" ref="H70:H81" si="129">O70+V70+AC70+AJ70</f>
        <v>1059098.9100000001</v>
      </c>
      <c r="I70" s="321">
        <f>I37</f>
        <v>18926</v>
      </c>
      <c r="J70" s="322">
        <f>J37</f>
        <v>14.273638449462624</v>
      </c>
      <c r="K70" s="317">
        <f>M70/I70</f>
        <v>130.58204322096589</v>
      </c>
      <c r="L70" s="322">
        <f t="shared" ref="L70:Q70" si="130">L37</f>
        <v>24.5399860245724</v>
      </c>
      <c r="M70" s="318">
        <f t="shared" si="130"/>
        <v>2471395.7500000005</v>
      </c>
      <c r="N70" s="319">
        <f t="shared" si="130"/>
        <v>1729977.0250000004</v>
      </c>
      <c r="O70" s="319">
        <f t="shared" si="130"/>
        <v>741418.72500000009</v>
      </c>
      <c r="P70" s="321">
        <f t="shared" si="130"/>
        <v>1790</v>
      </c>
      <c r="Q70" s="322">
        <f t="shared" si="130"/>
        <v>29.335260115606928</v>
      </c>
      <c r="R70" s="317">
        <f>T70/P70</f>
        <v>84.59629608938549</v>
      </c>
      <c r="S70" s="322">
        <f t="shared" ref="S70:X70" si="131">S37</f>
        <v>52.690022266456481</v>
      </c>
      <c r="T70" s="318">
        <f t="shared" si="131"/>
        <v>151427.37000000002</v>
      </c>
      <c r="U70" s="319">
        <f t="shared" si="131"/>
        <v>105999.15900000001</v>
      </c>
      <c r="V70" s="319">
        <f t="shared" si="131"/>
        <v>45428.211000000003</v>
      </c>
      <c r="W70" s="321">
        <f t="shared" si="131"/>
        <v>1061</v>
      </c>
      <c r="X70" s="322">
        <f t="shared" si="131"/>
        <v>2.8100775193798455</v>
      </c>
      <c r="Y70" s="317">
        <f>AA70/W70</f>
        <v>89.246965127238468</v>
      </c>
      <c r="Z70" s="322">
        <f t="shared" ref="Z70:AE70" si="132">Z37</f>
        <v>27.209636487767128</v>
      </c>
      <c r="AA70" s="318">
        <f t="shared" si="132"/>
        <v>94691.030000000013</v>
      </c>
      <c r="AB70" s="319">
        <f t="shared" si="132"/>
        <v>66283.721000000005</v>
      </c>
      <c r="AC70" s="319">
        <f t="shared" si="132"/>
        <v>28407.309000000005</v>
      </c>
      <c r="AD70" s="321">
        <f t="shared" si="132"/>
        <v>8829</v>
      </c>
      <c r="AE70" s="322">
        <f t="shared" si="132"/>
        <v>5.8633093525179873</v>
      </c>
      <c r="AF70" s="317">
        <f>AH70/AD70</f>
        <v>92.062017215992768</v>
      </c>
      <c r="AG70" s="322">
        <f>AG37</f>
        <v>25.745111441537972</v>
      </c>
      <c r="AH70" s="318">
        <f>AH37</f>
        <v>812815.55000000016</v>
      </c>
      <c r="AI70" s="319">
        <f>AI37</f>
        <v>568970.88500000013</v>
      </c>
      <c r="AJ70" s="320">
        <f>AJ37</f>
        <v>243844.66500000004</v>
      </c>
      <c r="AK70" s="4" t="s">
        <v>95</v>
      </c>
      <c r="AL70" s="4" t="s">
        <v>102</v>
      </c>
    </row>
    <row r="71" spans="1:38" x14ac:dyDescent="0.3">
      <c r="A71" s="336" t="s">
        <v>26</v>
      </c>
      <c r="B71" s="337">
        <v>2026</v>
      </c>
      <c r="C71" s="338" t="s">
        <v>9</v>
      </c>
      <c r="D71" s="325">
        <f t="shared" si="126"/>
        <v>41971.8</v>
      </c>
      <c r="E71" s="326">
        <f>F71/D71</f>
        <v>212.99683260797642</v>
      </c>
      <c r="F71" s="327">
        <f t="shared" si="127"/>
        <v>8939860.4588554651</v>
      </c>
      <c r="G71" s="327">
        <f t="shared" si="128"/>
        <v>5268617.4354277337</v>
      </c>
      <c r="H71" s="328">
        <f t="shared" si="129"/>
        <v>3671243.0234277323</v>
      </c>
      <c r="I71" s="329">
        <f t="shared" ref="I71:J71" si="133">I38</f>
        <v>22666.100000000002</v>
      </c>
      <c r="J71" s="330">
        <f t="shared" si="133"/>
        <v>19.761703476698727</v>
      </c>
      <c r="K71" s="331">
        <f t="shared" ref="K71:K81" si="134">M71/I71</f>
        <v>246.70048593742038</v>
      </c>
      <c r="L71" s="330">
        <f t="shared" ref="L71:M71" si="135">L38</f>
        <v>88.923744683611147</v>
      </c>
      <c r="M71" s="327">
        <f t="shared" si="135"/>
        <v>5591737.8843061645</v>
      </c>
      <c r="N71" s="327">
        <f>M71-O71</f>
        <v>3342589.728153083</v>
      </c>
      <c r="O71" s="327">
        <f>(M38-M22)*0.5-(O38-O22)+O38</f>
        <v>2249148.1561530815</v>
      </c>
      <c r="P71" s="329">
        <f t="shared" ref="P71:Q71" si="136">P38</f>
        <v>2540.2000000000003</v>
      </c>
      <c r="Q71" s="330">
        <f t="shared" si="136"/>
        <v>41.910614525139692</v>
      </c>
      <c r="R71" s="331">
        <f t="shared" ref="R71:R81" si="137">T71/P71</f>
        <v>162.55350151362259</v>
      </c>
      <c r="S71" s="330">
        <f t="shared" ref="S71:T71" si="138">S38</f>
        <v>92.152031504862293</v>
      </c>
      <c r="T71" s="327">
        <f t="shared" si="138"/>
        <v>412918.40454490413</v>
      </c>
      <c r="U71" s="327">
        <f>T71-V71</f>
        <v>243113.88427245204</v>
      </c>
      <c r="V71" s="327">
        <f>(T38-T22)*0.5-(V38-V22)+V38</f>
        <v>169804.52027245209</v>
      </c>
      <c r="W71" s="329">
        <f t="shared" ref="W71:X71" si="139">W38</f>
        <v>1675</v>
      </c>
      <c r="X71" s="330">
        <f t="shared" si="139"/>
        <v>57.86993402450517</v>
      </c>
      <c r="Y71" s="331">
        <f t="shared" ref="Y71:Y81" si="140">AA71/W71</f>
        <v>142.87655462184875</v>
      </c>
      <c r="Z71" s="330">
        <f t="shared" ref="Z71:AC81" si="141">Z38</f>
        <v>60.091219256756943</v>
      </c>
      <c r="AA71" s="327">
        <f t="shared" si="141"/>
        <v>239318.22899159667</v>
      </c>
      <c r="AB71" s="327">
        <f>AA71-AC71</f>
        <v>138766.80449579834</v>
      </c>
      <c r="AC71" s="327">
        <f>(AA38-AA22)*0.5-(AC38-AC22)+AC38</f>
        <v>100551.42449579833</v>
      </c>
      <c r="AD71" s="329">
        <f t="shared" ref="AD71:AE81" si="142">AD38</f>
        <v>15090.5</v>
      </c>
      <c r="AE71" s="330">
        <f t="shared" si="142"/>
        <v>70.919696454864663</v>
      </c>
      <c r="AF71" s="331">
        <f t="shared" ref="AF71:AF81" si="143">AH71/AD71</f>
        <v>178.64788714839142</v>
      </c>
      <c r="AG71" s="330">
        <f t="shared" ref="AG71:AG81" si="144">AG38</f>
        <v>94.051675762495876</v>
      </c>
      <c r="AH71" s="327">
        <f t="shared" ref="AH71:AJ81" si="145">AH38</f>
        <v>2695885.9410128007</v>
      </c>
      <c r="AI71" s="327">
        <f>AH71-AJ71</f>
        <v>1544147.0185064003</v>
      </c>
      <c r="AJ71" s="328">
        <f>(AH38-AH22)*0.5-(AJ38-AJ22)+AJ38</f>
        <v>1151738.9225064004</v>
      </c>
      <c r="AK71" s="334" t="s">
        <v>96</v>
      </c>
      <c r="AL71" s="4" t="s">
        <v>103</v>
      </c>
    </row>
    <row r="72" spans="1:38" x14ac:dyDescent="0.3">
      <c r="A72" s="336" t="s">
        <v>26</v>
      </c>
      <c r="B72" s="336">
        <v>2026</v>
      </c>
      <c r="C72" s="339" t="s">
        <v>10</v>
      </c>
      <c r="D72" s="301">
        <f t="shared" si="126"/>
        <v>42187.5</v>
      </c>
      <c r="E72" s="302">
        <f t="shared" ref="E72:E81" si="146">F72/D72</f>
        <v>225.12080382277153</v>
      </c>
      <c r="F72" s="303">
        <f t="shared" si="127"/>
        <v>9497283.911273174</v>
      </c>
      <c r="G72" s="303">
        <f t="shared" si="128"/>
        <v>5643704.4936365858</v>
      </c>
      <c r="H72" s="304">
        <f t="shared" si="129"/>
        <v>3853579.4176365864</v>
      </c>
      <c r="I72" s="305">
        <f t="shared" ref="I72:J72" si="147">I39</f>
        <v>23343.100000000002</v>
      </c>
      <c r="J72" s="306">
        <f t="shared" si="147"/>
        <v>2.9868393768667687</v>
      </c>
      <c r="K72" s="307">
        <f t="shared" si="134"/>
        <v>264.45641251031998</v>
      </c>
      <c r="L72" s="306">
        <f t="shared" ref="L72:M72" si="148">L39</f>
        <v>7.1973618152514263</v>
      </c>
      <c r="M72" s="303">
        <f t="shared" si="148"/>
        <v>6173232.4828696512</v>
      </c>
      <c r="N72" s="303">
        <f t="shared" ref="N72:N74" si="149">M72-O72</f>
        <v>3709992.0334348255</v>
      </c>
      <c r="O72" s="303">
        <f t="shared" ref="O72:O73" si="150">(M39-M23)*0.5-(O39-O23)+O39</f>
        <v>2463240.4494348257</v>
      </c>
      <c r="P72" s="305">
        <f t="shared" ref="P72:Q72" si="151">P39</f>
        <v>2668.8</v>
      </c>
      <c r="Q72" s="306">
        <f t="shared" si="151"/>
        <v>5.0625934965750616</v>
      </c>
      <c r="R72" s="307">
        <f t="shared" si="137"/>
        <v>172.9630151367187</v>
      </c>
      <c r="S72" s="306">
        <f t="shared" ref="S72:T72" si="152">S39</f>
        <v>6.4037461673649148</v>
      </c>
      <c r="T72" s="303">
        <f t="shared" si="152"/>
        <v>461603.69479687489</v>
      </c>
      <c r="U72" s="303">
        <f t="shared" ref="U72:U74" si="153">T72-V72</f>
        <v>271519.62139843742</v>
      </c>
      <c r="V72" s="303">
        <f t="shared" ref="V72:V73" si="154">(T39-T23)*0.5-(V39-V23)+V39</f>
        <v>190084.07339843747</v>
      </c>
      <c r="W72" s="305">
        <f t="shared" ref="W72:X72" si="155">W39</f>
        <v>1661.1000000000001</v>
      </c>
      <c r="X72" s="306">
        <f t="shared" si="155"/>
        <v>-0.82985074626866151</v>
      </c>
      <c r="Y72" s="307">
        <f t="shared" si="140"/>
        <v>180.9451863600317</v>
      </c>
      <c r="Z72" s="306">
        <f t="shared" si="141"/>
        <v>26.644421710013347</v>
      </c>
      <c r="AA72" s="303">
        <f t="shared" si="141"/>
        <v>300568.04906264867</v>
      </c>
      <c r="AB72" s="303">
        <f t="shared" ref="AB72:AB74" si="156">AA72-AC72</f>
        <v>176932.32853132434</v>
      </c>
      <c r="AC72" s="303">
        <f t="shared" ref="AC72:AC73" si="157">(AA39-AA23)*0.5-(AC39-AC23)+AC39</f>
        <v>123635.72053132433</v>
      </c>
      <c r="AD72" s="305">
        <f t="shared" si="142"/>
        <v>14514.500000000002</v>
      </c>
      <c r="AE72" s="306">
        <f t="shared" si="142"/>
        <v>-3.8169709419833566</v>
      </c>
      <c r="AF72" s="307">
        <f t="shared" si="143"/>
        <v>176.50485270205641</v>
      </c>
      <c r="AG72" s="306">
        <f t="shared" si="144"/>
        <v>-1.1995856657151052</v>
      </c>
      <c r="AH72" s="303">
        <f t="shared" si="145"/>
        <v>2561879.684543998</v>
      </c>
      <c r="AI72" s="303">
        <f t="shared" ref="AI72:AI74" si="158">AH72-AJ72</f>
        <v>1485260.5102719991</v>
      </c>
      <c r="AJ72" s="304">
        <f t="shared" ref="AJ72:AJ73" si="159">(AH39-AH23)*0.5-(AJ39-AJ23)+AJ39</f>
        <v>1076619.1742719989</v>
      </c>
      <c r="AK72" s="334" t="s">
        <v>97</v>
      </c>
      <c r="AL72" s="4" t="s">
        <v>104</v>
      </c>
    </row>
    <row r="73" spans="1:38" x14ac:dyDescent="0.3">
      <c r="A73" s="340" t="s">
        <v>26</v>
      </c>
      <c r="B73" s="336">
        <v>2026</v>
      </c>
      <c r="C73" s="339" t="s">
        <v>11</v>
      </c>
      <c r="D73" s="301">
        <f t="shared" si="126"/>
        <v>41537.600000000006</v>
      </c>
      <c r="E73" s="302">
        <f t="shared" si="146"/>
        <v>219.28463694913361</v>
      </c>
      <c r="F73" s="303">
        <f t="shared" si="127"/>
        <v>9108557.5357383341</v>
      </c>
      <c r="G73" s="303">
        <f t="shared" si="128"/>
        <v>5403336.4378691679</v>
      </c>
      <c r="H73" s="304">
        <f t="shared" si="129"/>
        <v>3705221.0978691652</v>
      </c>
      <c r="I73" s="305">
        <f t="shared" ref="I73:J73" si="160">I40</f>
        <v>23660.300000000003</v>
      </c>
      <c r="J73" s="306">
        <f t="shared" si="160"/>
        <v>1.3588597915444041</v>
      </c>
      <c r="K73" s="307">
        <f t="shared" si="134"/>
        <v>259.12368151953763</v>
      </c>
      <c r="L73" s="306">
        <f t="shared" ref="L73:M73" si="161">L40</f>
        <v>-2.0164876851205946</v>
      </c>
      <c r="M73" s="303">
        <f t="shared" si="161"/>
        <v>6130944.0418567173</v>
      </c>
      <c r="N73" s="303">
        <f t="shared" si="149"/>
        <v>3663918.9689283594</v>
      </c>
      <c r="O73" s="303">
        <f t="shared" si="150"/>
        <v>2467025.0729283579</v>
      </c>
      <c r="P73" s="305">
        <f t="shared" ref="P73:Q73" si="162">P40</f>
        <v>2634.5</v>
      </c>
      <c r="Q73" s="306">
        <f t="shared" si="162"/>
        <v>-1.2852218225419705</v>
      </c>
      <c r="R73" s="307">
        <f t="shared" si="137"/>
        <v>170.19072727272732</v>
      </c>
      <c r="S73" s="306">
        <f t="shared" ref="S73:T73" si="163">S40</f>
        <v>-1.6028211937679515</v>
      </c>
      <c r="T73" s="303">
        <f t="shared" si="163"/>
        <v>448367.47100000014</v>
      </c>
      <c r="U73" s="303">
        <f t="shared" si="153"/>
        <v>266037.15350000007</v>
      </c>
      <c r="V73" s="303">
        <f t="shared" si="154"/>
        <v>182330.31750000006</v>
      </c>
      <c r="W73" s="305">
        <f t="shared" ref="W73:X73" si="164">W40</f>
        <v>1666.8000000000002</v>
      </c>
      <c r="X73" s="306">
        <f t="shared" si="164"/>
        <v>0.34314610800073808</v>
      </c>
      <c r="Y73" s="307">
        <f t="shared" si="140"/>
        <v>137.92697044334977</v>
      </c>
      <c r="Z73" s="306">
        <f t="shared" si="141"/>
        <v>-23.774169836763363</v>
      </c>
      <c r="AA73" s="303">
        <f t="shared" si="141"/>
        <v>229896.67433497543</v>
      </c>
      <c r="AB73" s="303">
        <f t="shared" si="156"/>
        <v>133701.7571674877</v>
      </c>
      <c r="AC73" s="303">
        <f t="shared" si="157"/>
        <v>96194.917167487714</v>
      </c>
      <c r="AD73" s="305">
        <f t="shared" si="142"/>
        <v>13576</v>
      </c>
      <c r="AE73" s="306">
        <f t="shared" si="142"/>
        <v>-6.4659478452581993</v>
      </c>
      <c r="AF73" s="307">
        <f t="shared" si="143"/>
        <v>169.36869096542725</v>
      </c>
      <c r="AG73" s="306">
        <f t="shared" si="144"/>
        <v>-4.0430399659748559</v>
      </c>
      <c r="AH73" s="303">
        <f t="shared" si="145"/>
        <v>2299349.3485466405</v>
      </c>
      <c r="AI73" s="303">
        <f t="shared" si="158"/>
        <v>1339678.5582733203</v>
      </c>
      <c r="AJ73" s="304">
        <f t="shared" si="159"/>
        <v>959670.79027332016</v>
      </c>
      <c r="AK73" s="334" t="s">
        <v>98</v>
      </c>
      <c r="AL73" s="4" t="s">
        <v>105</v>
      </c>
    </row>
    <row r="74" spans="1:38" ht="13.5" thickBot="1" x14ac:dyDescent="0.35">
      <c r="A74" s="336" t="s">
        <v>26</v>
      </c>
      <c r="B74" s="342">
        <v>2026</v>
      </c>
      <c r="C74" s="343" t="s">
        <v>12</v>
      </c>
      <c r="D74" s="309">
        <f t="shared" si="126"/>
        <v>36749</v>
      </c>
      <c r="E74" s="310">
        <f t="shared" si="146"/>
        <v>155.59357363134586</v>
      </c>
      <c r="F74" s="311">
        <f t="shared" si="127"/>
        <v>5717908.237378329</v>
      </c>
      <c r="G74" s="311">
        <f t="shared" si="128"/>
        <v>3534927.0446891645</v>
      </c>
      <c r="H74" s="312">
        <f t="shared" si="129"/>
        <v>2182981.1926891645</v>
      </c>
      <c r="I74" s="313">
        <f t="shared" ref="I74:J74" si="165">I41</f>
        <v>20617.150000000001</v>
      </c>
      <c r="J74" s="314">
        <f t="shared" si="165"/>
        <v>-12.861840297882949</v>
      </c>
      <c r="K74" s="315">
        <f t="shared" si="134"/>
        <v>184.65398564747622</v>
      </c>
      <c r="L74" s="314">
        <f t="shared" ref="L74:M74" si="166">L41</f>
        <v>-28.739054429668741</v>
      </c>
      <c r="M74" s="311">
        <f t="shared" si="166"/>
        <v>3807038.9201918645</v>
      </c>
      <c r="N74" s="311">
        <f t="shared" si="149"/>
        <v>2379930.9000959322</v>
      </c>
      <c r="O74" s="311">
        <f>(M41-M25)*0.5-(O41-O25)+O41</f>
        <v>1427108.0200959321</v>
      </c>
      <c r="P74" s="313">
        <f t="shared" ref="P74:Q74" si="167">P41</f>
        <v>2243.8500000000004</v>
      </c>
      <c r="Q74" s="314">
        <f t="shared" si="167"/>
        <v>-14.828240652875294</v>
      </c>
      <c r="R74" s="315">
        <f t="shared" si="137"/>
        <v>119.15427410761852</v>
      </c>
      <c r="S74" s="314">
        <f t="shared" ref="S74:T74" si="168">S41</f>
        <v>-29.987798972927521</v>
      </c>
      <c r="T74" s="311">
        <f t="shared" si="168"/>
        <v>267364.31795637985</v>
      </c>
      <c r="U74" s="311">
        <f t="shared" si="153"/>
        <v>164792.74897818992</v>
      </c>
      <c r="V74" s="311">
        <f>(T41-T25)*0.5-(V41-V25)+V41</f>
        <v>102571.56897818993</v>
      </c>
      <c r="W74" s="313">
        <f t="shared" ref="W74:X74" si="169">W41</f>
        <v>1638.4</v>
      </c>
      <c r="X74" s="314">
        <f t="shared" si="169"/>
        <v>-1.7038636909047398</v>
      </c>
      <c r="Y74" s="315">
        <f t="shared" si="140"/>
        <v>103.07526241721853</v>
      </c>
      <c r="Z74" s="314">
        <f t="shared" si="141"/>
        <v>-25.268232829376728</v>
      </c>
      <c r="AA74" s="311">
        <f t="shared" si="141"/>
        <v>168878.50994437083</v>
      </c>
      <c r="AB74" s="311">
        <f t="shared" si="156"/>
        <v>101377.55097218542</v>
      </c>
      <c r="AC74" s="311">
        <f>(AA41-AA25)*0.5-(AC41-AC25)+AC41</f>
        <v>67500.958972185414</v>
      </c>
      <c r="AD74" s="313">
        <f t="shared" si="142"/>
        <v>12249.6</v>
      </c>
      <c r="AE74" s="314">
        <f t="shared" si="142"/>
        <v>-9.7701826753093712</v>
      </c>
      <c r="AF74" s="315">
        <f t="shared" si="143"/>
        <v>120.38160342261899</v>
      </c>
      <c r="AG74" s="314">
        <f t="shared" si="144"/>
        <v>-28.923343071009413</v>
      </c>
      <c r="AH74" s="311">
        <f t="shared" si="145"/>
        <v>1474626.4892857138</v>
      </c>
      <c r="AI74" s="311">
        <f t="shared" si="158"/>
        <v>888825.84464285686</v>
      </c>
      <c r="AJ74" s="312">
        <f>(AH41-AH25)*0.5-(AJ41-AJ25)+AJ41</f>
        <v>585800.6446428569</v>
      </c>
      <c r="AK74" s="334" t="s">
        <v>99</v>
      </c>
      <c r="AL74" s="4" t="s">
        <v>106</v>
      </c>
    </row>
    <row r="75" spans="1:38" x14ac:dyDescent="0.3">
      <c r="A75" s="402" t="s">
        <v>26</v>
      </c>
      <c r="B75" s="94">
        <v>2026</v>
      </c>
      <c r="C75" s="95" t="s">
        <v>1</v>
      </c>
      <c r="D75" s="241">
        <f t="shared" si="126"/>
        <v>30300.54</v>
      </c>
      <c r="E75" s="242">
        <f t="shared" si="146"/>
        <v>122.9438954332354</v>
      </c>
      <c r="F75" s="243">
        <f t="shared" si="127"/>
        <v>3725266.4213305665</v>
      </c>
      <c r="G75" s="244">
        <f t="shared" si="128"/>
        <v>2607686.4949313966</v>
      </c>
      <c r="H75" s="245">
        <f t="shared" si="129"/>
        <v>1117579.92639917</v>
      </c>
      <c r="I75" s="246">
        <f t="shared" ref="I75:J75" si="170">I42</f>
        <v>18146.54</v>
      </c>
      <c r="J75" s="97">
        <f t="shared" si="170"/>
        <v>-11.983276059009128</v>
      </c>
      <c r="K75" s="242">
        <f t="shared" si="134"/>
        <v>146.04030781730864</v>
      </c>
      <c r="L75" s="97">
        <f t="shared" ref="L75:M75" si="171">L42</f>
        <v>-20.91136982219551</v>
      </c>
      <c r="M75" s="243">
        <f t="shared" si="171"/>
        <v>2650126.287419104</v>
      </c>
      <c r="N75" s="244">
        <f>N42</f>
        <v>1855088.4011933729</v>
      </c>
      <c r="O75" s="244">
        <f>O42</f>
        <v>795037.88622573123</v>
      </c>
      <c r="P75" s="246">
        <f t="shared" ref="P75:Q75" si="172">P42</f>
        <v>1825.16</v>
      </c>
      <c r="Q75" s="97">
        <f t="shared" si="172"/>
        <v>-18.659446932727249</v>
      </c>
      <c r="R75" s="242">
        <f t="shared" si="137"/>
        <v>94.55018664859486</v>
      </c>
      <c r="S75" s="97">
        <f t="shared" ref="S75:T75" si="173">S42</f>
        <v>-20.648934033874085</v>
      </c>
      <c r="T75" s="243">
        <f t="shared" si="173"/>
        <v>172569.2186635494</v>
      </c>
      <c r="U75" s="244">
        <f>U42</f>
        <v>120798.45306448458</v>
      </c>
      <c r="V75" s="244">
        <f>V42</f>
        <v>51770.76559906482</v>
      </c>
      <c r="W75" s="246">
        <f t="shared" ref="W75:X75" si="174">W42</f>
        <v>1143.3</v>
      </c>
      <c r="X75" s="97">
        <f t="shared" si="174"/>
        <v>-30.218505859375</v>
      </c>
      <c r="Y75" s="242">
        <f t="shared" si="140"/>
        <v>82.488457222463452</v>
      </c>
      <c r="Z75" s="97">
        <f t="shared" si="141"/>
        <v>-19.972595472447793</v>
      </c>
      <c r="AA75" s="243">
        <f t="shared" si="141"/>
        <v>94309.053142442455</v>
      </c>
      <c r="AB75" s="244">
        <f>AB42</f>
        <v>66016.337199709727</v>
      </c>
      <c r="AC75" s="244">
        <f>AC42</f>
        <v>28292.715942732735</v>
      </c>
      <c r="AD75" s="246">
        <f t="shared" si="142"/>
        <v>9185.5400000000009</v>
      </c>
      <c r="AE75" s="97">
        <f t="shared" si="142"/>
        <v>-25.0135514629049</v>
      </c>
      <c r="AF75" s="242">
        <f t="shared" si="143"/>
        <v>87.992852037601551</v>
      </c>
      <c r="AG75" s="97">
        <f t="shared" si="144"/>
        <v>-26.905067272871861</v>
      </c>
      <c r="AH75" s="243">
        <f t="shared" si="145"/>
        <v>808261.86210547062</v>
      </c>
      <c r="AI75" s="244">
        <f>AI42</f>
        <v>565783.30347382941</v>
      </c>
      <c r="AJ75" s="245">
        <f>AJ42</f>
        <v>242478.55863164118</v>
      </c>
      <c r="AL75" s="4" t="s">
        <v>107</v>
      </c>
    </row>
    <row r="76" spans="1:38" x14ac:dyDescent="0.3">
      <c r="A76" s="402" t="s">
        <v>26</v>
      </c>
      <c r="B76" s="94">
        <v>2026</v>
      </c>
      <c r="C76" s="95" t="s">
        <v>2</v>
      </c>
      <c r="D76" s="25">
        <f t="shared" si="126"/>
        <v>28441</v>
      </c>
      <c r="E76" s="41">
        <f t="shared" si="146"/>
        <v>119.90558359655004</v>
      </c>
      <c r="F76" s="26">
        <f t="shared" si="127"/>
        <v>3410234.7030694797</v>
      </c>
      <c r="G76" s="27">
        <f t="shared" si="128"/>
        <v>2387164.2921486357</v>
      </c>
      <c r="H76" s="28">
        <f t="shared" si="129"/>
        <v>1023070.4109208439</v>
      </c>
      <c r="I76" s="29">
        <f t="shared" ref="I76:J76" si="175">I43</f>
        <v>17185</v>
      </c>
      <c r="J76" s="96">
        <f t="shared" si="175"/>
        <v>-5.2987511668891187</v>
      </c>
      <c r="K76" s="41">
        <f t="shared" si="134"/>
        <v>140.9233737348932</v>
      </c>
      <c r="L76" s="96">
        <f t="shared" ref="L76:O76" si="176">L43</f>
        <v>-3.5037820440754928</v>
      </c>
      <c r="M76" s="26">
        <f t="shared" si="176"/>
        <v>2421768.1776341395</v>
      </c>
      <c r="N76" s="27">
        <f t="shared" si="176"/>
        <v>1695237.7243438978</v>
      </c>
      <c r="O76" s="27">
        <f t="shared" si="176"/>
        <v>726530.45329024189</v>
      </c>
      <c r="P76" s="29">
        <f t="shared" ref="P76:Q76" si="177">P43</f>
        <v>1674</v>
      </c>
      <c r="Q76" s="96">
        <f t="shared" si="177"/>
        <v>-8.2820136316816075</v>
      </c>
      <c r="R76" s="41">
        <f t="shared" si="137"/>
        <v>86.987218740975607</v>
      </c>
      <c r="S76" s="96">
        <f t="shared" ref="S76:V76" si="178">S43</f>
        <v>-7.9988926259107132</v>
      </c>
      <c r="T76" s="26">
        <f t="shared" si="178"/>
        <v>145616.60417239316</v>
      </c>
      <c r="U76" s="27">
        <f t="shared" si="178"/>
        <v>101931.6229206752</v>
      </c>
      <c r="V76" s="27">
        <f t="shared" si="178"/>
        <v>43684.981251717945</v>
      </c>
      <c r="W76" s="29">
        <f t="shared" ref="W76:X76" si="179">W43</f>
        <v>1044</v>
      </c>
      <c r="X76" s="96">
        <f t="shared" si="179"/>
        <v>-8.6853844135397509</v>
      </c>
      <c r="Y76" s="41">
        <f t="shared" si="140"/>
        <v>87.057200532372178</v>
      </c>
      <c r="Z76" s="96">
        <f t="shared" si="141"/>
        <v>5.5386456041810277</v>
      </c>
      <c r="AA76" s="26">
        <f t="shared" si="141"/>
        <v>90887.717355796558</v>
      </c>
      <c r="AB76" s="27">
        <f t="shared" si="141"/>
        <v>63621.402149057591</v>
      </c>
      <c r="AC76" s="27">
        <f t="shared" si="141"/>
        <v>27266.315206738967</v>
      </c>
      <c r="AD76" s="29">
        <f t="shared" si="142"/>
        <v>8538</v>
      </c>
      <c r="AE76" s="96">
        <f t="shared" si="142"/>
        <v>-7.049558327545256</v>
      </c>
      <c r="AF76" s="41">
        <f t="shared" si="143"/>
        <v>88.072406173243195</v>
      </c>
      <c r="AG76" s="96">
        <f t="shared" si="144"/>
        <v>9.0409770565969438E-2</v>
      </c>
      <c r="AH76" s="26">
        <f t="shared" si="145"/>
        <v>751962.20390715043</v>
      </c>
      <c r="AI76" s="27">
        <f t="shared" si="145"/>
        <v>526373.54273500526</v>
      </c>
      <c r="AJ76" s="28">
        <f t="shared" si="145"/>
        <v>225588.66117214513</v>
      </c>
      <c r="AL76" s="4" t="s">
        <v>108</v>
      </c>
    </row>
    <row r="77" spans="1:38" x14ac:dyDescent="0.3">
      <c r="A77" s="402" t="s">
        <v>26</v>
      </c>
      <c r="B77" s="94">
        <v>2026</v>
      </c>
      <c r="C77" s="94" t="s">
        <v>3</v>
      </c>
      <c r="D77" s="25">
        <f t="shared" si="126"/>
        <v>27244</v>
      </c>
      <c r="E77" s="41">
        <f t="shared" si="146"/>
        <v>116.59055509343391</v>
      </c>
      <c r="F77" s="26">
        <f t="shared" si="127"/>
        <v>3176393.0829655132</v>
      </c>
      <c r="G77" s="27">
        <f t="shared" si="128"/>
        <v>2223475.1580758598</v>
      </c>
      <c r="H77" s="28">
        <f t="shared" si="129"/>
        <v>952917.92488965404</v>
      </c>
      <c r="I77" s="29">
        <f t="shared" ref="I77:J77" si="180">I44</f>
        <v>16532</v>
      </c>
      <c r="J77" s="96">
        <f t="shared" si="180"/>
        <v>-3.79982542915333</v>
      </c>
      <c r="K77" s="41">
        <f t="shared" si="134"/>
        <v>136.3057122955444</v>
      </c>
      <c r="L77" s="96">
        <f t="shared" ref="L77:O77" si="181">L44</f>
        <v>-3.2767179190838931</v>
      </c>
      <c r="M77" s="26">
        <f t="shared" si="181"/>
        <v>2253406.0356699401</v>
      </c>
      <c r="N77" s="27">
        <f t="shared" si="181"/>
        <v>1577384.2249689582</v>
      </c>
      <c r="O77" s="27">
        <f t="shared" si="181"/>
        <v>676021.81070098199</v>
      </c>
      <c r="P77" s="29">
        <f t="shared" ref="P77:Q77" si="182">P44</f>
        <v>1595</v>
      </c>
      <c r="Q77" s="96">
        <f t="shared" si="182"/>
        <v>-4.7192353643966527</v>
      </c>
      <c r="R77" s="41">
        <f t="shared" si="137"/>
        <v>81.676942595171838</v>
      </c>
      <c r="S77" s="96">
        <f t="shared" ref="S77:V77" si="183">S44</f>
        <v>-6.1046625270504649</v>
      </c>
      <c r="T77" s="26">
        <f t="shared" si="183"/>
        <v>130274.72343929908</v>
      </c>
      <c r="U77" s="27">
        <f t="shared" si="183"/>
        <v>91192.306407509357</v>
      </c>
      <c r="V77" s="27">
        <f t="shared" si="183"/>
        <v>39082.417031789722</v>
      </c>
      <c r="W77" s="29">
        <f t="shared" ref="W77:X77" si="184">W44</f>
        <v>976</v>
      </c>
      <c r="X77" s="96">
        <f t="shared" si="184"/>
        <v>-6.5134099616858236</v>
      </c>
      <c r="Y77" s="41">
        <f t="shared" si="140"/>
        <v>90.455943786495624</v>
      </c>
      <c r="Z77" s="96">
        <f t="shared" si="141"/>
        <v>3.904034627049171</v>
      </c>
      <c r="AA77" s="26">
        <f t="shared" si="141"/>
        <v>88285.001135619736</v>
      </c>
      <c r="AB77" s="27">
        <f t="shared" si="141"/>
        <v>61799.500794933818</v>
      </c>
      <c r="AC77" s="27">
        <f t="shared" si="141"/>
        <v>26485.500340685921</v>
      </c>
      <c r="AD77" s="29">
        <f t="shared" si="142"/>
        <v>8141</v>
      </c>
      <c r="AE77" s="96">
        <f t="shared" si="142"/>
        <v>-4.6498008901382093</v>
      </c>
      <c r="AF77" s="41">
        <f t="shared" si="143"/>
        <v>86.528353116405157</v>
      </c>
      <c r="AG77" s="96">
        <f t="shared" si="144"/>
        <v>-1.753163248203748</v>
      </c>
      <c r="AH77" s="26">
        <f t="shared" si="145"/>
        <v>704427.32272065443</v>
      </c>
      <c r="AI77" s="27">
        <f t="shared" si="145"/>
        <v>493099.12590445811</v>
      </c>
      <c r="AJ77" s="28">
        <f t="shared" si="145"/>
        <v>211328.19681619632</v>
      </c>
      <c r="AL77" s="4" t="s">
        <v>109</v>
      </c>
    </row>
    <row r="78" spans="1:38" x14ac:dyDescent="0.3">
      <c r="A78" s="402" t="s">
        <v>26</v>
      </c>
      <c r="B78" s="94">
        <v>2026</v>
      </c>
      <c r="C78" s="94" t="s">
        <v>4</v>
      </c>
      <c r="D78" s="25">
        <f t="shared" si="126"/>
        <v>27275</v>
      </c>
      <c r="E78" s="41">
        <f t="shared" si="146"/>
        <v>114.63592401653041</v>
      </c>
      <c r="F78" s="26">
        <f t="shared" si="127"/>
        <v>3126694.8275508671</v>
      </c>
      <c r="G78" s="27">
        <f t="shared" si="128"/>
        <v>2188686.3792856066</v>
      </c>
      <c r="H78" s="28">
        <f t="shared" si="129"/>
        <v>938008.44826526009</v>
      </c>
      <c r="I78" s="29">
        <f t="shared" ref="I78:J78" si="185">I45</f>
        <v>16522</v>
      </c>
      <c r="J78" s="96">
        <f t="shared" si="185"/>
        <v>-6.0488749092669991E-2</v>
      </c>
      <c r="K78" s="41">
        <f t="shared" si="134"/>
        <v>133.79965871511232</v>
      </c>
      <c r="L78" s="96">
        <f t="shared" ref="L78:O78" si="186">L45</f>
        <v>-1.8385536000122613</v>
      </c>
      <c r="M78" s="26">
        <f t="shared" si="186"/>
        <v>2210637.9612910855</v>
      </c>
      <c r="N78" s="27">
        <f t="shared" si="186"/>
        <v>1547446.5729037598</v>
      </c>
      <c r="O78" s="27">
        <f t="shared" si="186"/>
        <v>663191.38838732557</v>
      </c>
      <c r="P78" s="29">
        <f t="shared" ref="P78:Q78" si="187">P45</f>
        <v>1529</v>
      </c>
      <c r="Q78" s="96">
        <f t="shared" si="187"/>
        <v>-4.1379310344827616</v>
      </c>
      <c r="R78" s="41">
        <f t="shared" si="137"/>
        <v>74.313216231448493</v>
      </c>
      <c r="S78" s="96">
        <f t="shared" ref="S78:V78" si="188">S45</f>
        <v>-9.0156733709063133</v>
      </c>
      <c r="T78" s="26">
        <f t="shared" si="188"/>
        <v>113624.90761788475</v>
      </c>
      <c r="U78" s="27">
        <f t="shared" si="188"/>
        <v>79537.435332519322</v>
      </c>
      <c r="V78" s="27">
        <f t="shared" si="188"/>
        <v>34087.472285365424</v>
      </c>
      <c r="W78" s="29">
        <f t="shared" ref="W78:X78" si="189">W45</f>
        <v>971</v>
      </c>
      <c r="X78" s="96">
        <f t="shared" si="189"/>
        <v>-0.51229508196720985</v>
      </c>
      <c r="Y78" s="41">
        <f t="shared" si="140"/>
        <v>91.081515244198556</v>
      </c>
      <c r="Z78" s="96">
        <f t="shared" si="141"/>
        <v>0.69157584512022652</v>
      </c>
      <c r="AA78" s="26">
        <f t="shared" si="141"/>
        <v>88440.151302116792</v>
      </c>
      <c r="AB78" s="27">
        <f t="shared" si="141"/>
        <v>61908.105911481754</v>
      </c>
      <c r="AC78" s="27">
        <f t="shared" si="141"/>
        <v>26532.045390635038</v>
      </c>
      <c r="AD78" s="29">
        <f t="shared" si="142"/>
        <v>8253</v>
      </c>
      <c r="AE78" s="96">
        <f t="shared" si="142"/>
        <v>1.3757523645743817</v>
      </c>
      <c r="AF78" s="41">
        <f t="shared" si="143"/>
        <v>86.513002222195567</v>
      </c>
      <c r="AG78" s="96">
        <f t="shared" si="144"/>
        <v>-1.7740883371416771E-2</v>
      </c>
      <c r="AH78" s="26">
        <f t="shared" si="145"/>
        <v>713991.80733978003</v>
      </c>
      <c r="AI78" s="27">
        <f t="shared" si="145"/>
        <v>499794.265137846</v>
      </c>
      <c r="AJ78" s="28">
        <f t="shared" si="145"/>
        <v>214197.542201934</v>
      </c>
      <c r="AL78" s="4" t="s">
        <v>101</v>
      </c>
    </row>
    <row r="79" spans="1:38" x14ac:dyDescent="0.3">
      <c r="A79" s="402" t="s">
        <v>26</v>
      </c>
      <c r="B79" s="94">
        <v>2026</v>
      </c>
      <c r="C79" s="94" t="s">
        <v>5</v>
      </c>
      <c r="D79" s="25">
        <f t="shared" si="126"/>
        <v>26770</v>
      </c>
      <c r="E79" s="41">
        <f t="shared" si="146"/>
        <v>112.23420674157968</v>
      </c>
      <c r="F79" s="26">
        <f t="shared" si="127"/>
        <v>3004509.714472088</v>
      </c>
      <c r="G79" s="27">
        <f t="shared" si="128"/>
        <v>2103156.8001304618</v>
      </c>
      <c r="H79" s="28">
        <f t="shared" si="129"/>
        <v>901352.91434162646</v>
      </c>
      <c r="I79" s="29">
        <f t="shared" ref="I79:J79" si="190">I46</f>
        <v>15965</v>
      </c>
      <c r="J79" s="96">
        <f t="shared" si="190"/>
        <v>-3.3712625590122229</v>
      </c>
      <c r="K79" s="41">
        <f t="shared" si="134"/>
        <v>130.94362800670427</v>
      </c>
      <c r="L79" s="96">
        <f t="shared" ref="L79:O79" si="191">L46</f>
        <v>-2.1345575435951787</v>
      </c>
      <c r="M79" s="26">
        <f t="shared" si="191"/>
        <v>2090515.0211270337</v>
      </c>
      <c r="N79" s="27">
        <f t="shared" si="191"/>
        <v>1463360.5147889238</v>
      </c>
      <c r="O79" s="27">
        <f t="shared" si="191"/>
        <v>627154.50633811008</v>
      </c>
      <c r="P79" s="29">
        <f t="shared" ref="P79:Q79" si="192">P46</f>
        <v>1449</v>
      </c>
      <c r="Q79" s="96">
        <f t="shared" si="192"/>
        <v>-5.232177894048391</v>
      </c>
      <c r="R79" s="41">
        <f t="shared" si="137"/>
        <v>79.531739569314269</v>
      </c>
      <c r="S79" s="96">
        <f t="shared" ref="S79:V79" si="193">S46</f>
        <v>7.0223354640077531</v>
      </c>
      <c r="T79" s="26">
        <f t="shared" si="193"/>
        <v>115241.49063593638</v>
      </c>
      <c r="U79" s="27">
        <f t="shared" si="193"/>
        <v>80669.043445155461</v>
      </c>
      <c r="V79" s="27">
        <f t="shared" si="193"/>
        <v>34572.447190780913</v>
      </c>
      <c r="W79" s="29">
        <f t="shared" ref="W79:X79" si="194">W46</f>
        <v>987</v>
      </c>
      <c r="X79" s="96">
        <f t="shared" si="194"/>
        <v>1.6477857878475817</v>
      </c>
      <c r="Y79" s="41">
        <f t="shared" si="140"/>
        <v>91.337002843654318</v>
      </c>
      <c r="Z79" s="96">
        <f t="shared" si="141"/>
        <v>0.28050433589162083</v>
      </c>
      <c r="AA79" s="26">
        <f t="shared" si="141"/>
        <v>90149.621806686817</v>
      </c>
      <c r="AB79" s="27">
        <f t="shared" si="141"/>
        <v>63104.73526468077</v>
      </c>
      <c r="AC79" s="27">
        <f t="shared" si="141"/>
        <v>27044.886542006043</v>
      </c>
      <c r="AD79" s="29">
        <f t="shared" si="142"/>
        <v>8369</v>
      </c>
      <c r="AE79" s="96">
        <f t="shared" si="142"/>
        <v>1.4055494971525491</v>
      </c>
      <c r="AF79" s="41">
        <f t="shared" si="143"/>
        <v>84.670041928836341</v>
      </c>
      <c r="AG79" s="96">
        <f t="shared" si="144"/>
        <v>-2.1302697236490076</v>
      </c>
      <c r="AH79" s="26">
        <f t="shared" si="145"/>
        <v>708603.58090243128</v>
      </c>
      <c r="AI79" s="27">
        <f t="shared" si="145"/>
        <v>496022.50663170189</v>
      </c>
      <c r="AJ79" s="28">
        <f t="shared" si="145"/>
        <v>212581.07427072938</v>
      </c>
      <c r="AL79" s="4" t="s">
        <v>110</v>
      </c>
    </row>
    <row r="80" spans="1:38" x14ac:dyDescent="0.3">
      <c r="A80" s="402" t="s">
        <v>26</v>
      </c>
      <c r="B80" s="94">
        <v>2026</v>
      </c>
      <c r="C80" s="94" t="s">
        <v>6</v>
      </c>
      <c r="D80" s="25">
        <f t="shared" si="126"/>
        <v>26226</v>
      </c>
      <c r="E80" s="41">
        <f t="shared" si="146"/>
        <v>109.26390443802228</v>
      </c>
      <c r="F80" s="26">
        <f t="shared" si="127"/>
        <v>2865555.1577915722</v>
      </c>
      <c r="G80" s="27">
        <f t="shared" si="128"/>
        <v>2005888.6104541006</v>
      </c>
      <c r="H80" s="28">
        <f t="shared" si="129"/>
        <v>859666.54733747162</v>
      </c>
      <c r="I80" s="29">
        <f t="shared" ref="I80:J80" si="195">I47</f>
        <v>15807</v>
      </c>
      <c r="J80" s="96">
        <f t="shared" si="195"/>
        <v>-0.98966489195113638</v>
      </c>
      <c r="K80" s="41">
        <f t="shared" si="134"/>
        <v>124.68661653842484</v>
      </c>
      <c r="L80" s="96">
        <f t="shared" ref="L80:O80" si="196">L47</f>
        <v>-4.7784008764130732</v>
      </c>
      <c r="M80" s="26">
        <f t="shared" si="196"/>
        <v>1970921.3476228814</v>
      </c>
      <c r="N80" s="27">
        <f t="shared" si="196"/>
        <v>1379644.943336017</v>
      </c>
      <c r="O80" s="27">
        <f t="shared" si="196"/>
        <v>591276.40428686445</v>
      </c>
      <c r="P80" s="29">
        <f t="shared" ref="P80:Q80" si="197">P47</f>
        <v>1327</v>
      </c>
      <c r="Q80" s="96">
        <f t="shared" si="197"/>
        <v>-8.419599723947556</v>
      </c>
      <c r="R80" s="41">
        <f t="shared" si="137"/>
        <v>70.287538531149437</v>
      </c>
      <c r="S80" s="96">
        <f t="shared" ref="S80:V80" si="198">S47</f>
        <v>-11.623285355286654</v>
      </c>
      <c r="T80" s="26">
        <f t="shared" si="198"/>
        <v>93271.563630835299</v>
      </c>
      <c r="U80" s="27">
        <f t="shared" si="198"/>
        <v>65290.094541584709</v>
      </c>
      <c r="V80" s="27">
        <f t="shared" si="198"/>
        <v>27981.46908925059</v>
      </c>
      <c r="W80" s="29">
        <f t="shared" ref="W80:X80" si="199">W47</f>
        <v>985</v>
      </c>
      <c r="X80" s="96">
        <f t="shared" si="199"/>
        <v>-0.20263424518743989</v>
      </c>
      <c r="Y80" s="41">
        <f t="shared" si="140"/>
        <v>84.87098193450592</v>
      </c>
      <c r="Z80" s="96">
        <f t="shared" si="141"/>
        <v>-7.0793005111154912</v>
      </c>
      <c r="AA80" s="26">
        <f t="shared" si="141"/>
        <v>83597.917205488338</v>
      </c>
      <c r="AB80" s="27">
        <f t="shared" si="141"/>
        <v>58518.542043841837</v>
      </c>
      <c r="AC80" s="27">
        <f t="shared" si="141"/>
        <v>25079.375161646502</v>
      </c>
      <c r="AD80" s="29">
        <f t="shared" si="142"/>
        <v>8107</v>
      </c>
      <c r="AE80" s="96">
        <f t="shared" si="142"/>
        <v>-3.1306010276018696</v>
      </c>
      <c r="AF80" s="41">
        <f t="shared" si="143"/>
        <v>88.536367254516733</v>
      </c>
      <c r="AG80" s="96">
        <f t="shared" si="144"/>
        <v>4.5663439365365832</v>
      </c>
      <c r="AH80" s="26">
        <f t="shared" si="145"/>
        <v>717764.32933236717</v>
      </c>
      <c r="AI80" s="27">
        <f t="shared" si="145"/>
        <v>502435.03053265705</v>
      </c>
      <c r="AJ80" s="28">
        <f t="shared" si="145"/>
        <v>215329.29879971014</v>
      </c>
      <c r="AL80" s="4" t="s">
        <v>111</v>
      </c>
    </row>
    <row r="81" spans="1:38" x14ac:dyDescent="0.3">
      <c r="A81" s="402" t="s">
        <v>26</v>
      </c>
      <c r="B81" s="94">
        <v>2026</v>
      </c>
      <c r="C81" s="94" t="s">
        <v>7</v>
      </c>
      <c r="D81" s="25">
        <f t="shared" si="126"/>
        <v>27318</v>
      </c>
      <c r="E81" s="41">
        <f t="shared" si="146"/>
        <v>119.0383604326867</v>
      </c>
      <c r="F81" s="26">
        <f t="shared" si="127"/>
        <v>3251889.9303001352</v>
      </c>
      <c r="G81" s="27">
        <f t="shared" si="128"/>
        <v>2276322.9512100946</v>
      </c>
      <c r="H81" s="28">
        <f t="shared" si="129"/>
        <v>975566.97909004055</v>
      </c>
      <c r="I81" s="29">
        <f t="shared" ref="I81:J81" si="200">I48</f>
        <v>16562</v>
      </c>
      <c r="J81" s="96">
        <f t="shared" si="200"/>
        <v>4.7763649016258682</v>
      </c>
      <c r="K81" s="41">
        <f t="shared" si="134"/>
        <v>137.60762520997329</v>
      </c>
      <c r="L81" s="96">
        <f t="shared" ref="L81:O81" si="201">L48</f>
        <v>10.362787146098043</v>
      </c>
      <c r="M81" s="26">
        <f t="shared" si="201"/>
        <v>2279057.4887275775</v>
      </c>
      <c r="N81" s="27">
        <f t="shared" si="201"/>
        <v>1595340.2421093043</v>
      </c>
      <c r="O81" s="27">
        <f t="shared" si="201"/>
        <v>683717.2466182732</v>
      </c>
      <c r="P81" s="29">
        <f t="shared" ref="P81:Q81" si="202">P48</f>
        <v>1384</v>
      </c>
      <c r="Q81" s="96">
        <f t="shared" si="202"/>
        <v>4.2954031650339175</v>
      </c>
      <c r="R81" s="41">
        <f t="shared" si="137"/>
        <v>72.022545381632114</v>
      </c>
      <c r="S81" s="96">
        <f t="shared" ref="S81:V81" si="203">S48</f>
        <v>2.4684416138911587</v>
      </c>
      <c r="T81" s="26">
        <f t="shared" si="203"/>
        <v>99679.202808178845</v>
      </c>
      <c r="U81" s="27">
        <f t="shared" si="203"/>
        <v>69775.441965725186</v>
      </c>
      <c r="V81" s="27">
        <f t="shared" si="203"/>
        <v>29903.760842453652</v>
      </c>
      <c r="W81" s="29">
        <f t="shared" ref="W81:X81" si="204">W48</f>
        <v>1032</v>
      </c>
      <c r="X81" s="96">
        <f t="shared" si="204"/>
        <v>4.7715736040609187</v>
      </c>
      <c r="Y81" s="41">
        <f t="shared" si="140"/>
        <v>95.9955134376806</v>
      </c>
      <c r="Z81" s="96">
        <f t="shared" si="141"/>
        <v>13.107579586812562</v>
      </c>
      <c r="AA81" s="26">
        <f t="shared" si="141"/>
        <v>99067.369867686386</v>
      </c>
      <c r="AB81" s="27">
        <f t="shared" si="141"/>
        <v>69347.158907380479</v>
      </c>
      <c r="AC81" s="27">
        <f t="shared" si="141"/>
        <v>29720.210960305914</v>
      </c>
      <c r="AD81" s="29">
        <f t="shared" si="142"/>
        <v>8340</v>
      </c>
      <c r="AE81" s="96">
        <f t="shared" si="142"/>
        <v>2.8740594547921603</v>
      </c>
      <c r="AF81" s="41">
        <f t="shared" si="143"/>
        <v>92.816051426461925</v>
      </c>
      <c r="AG81" s="96">
        <f t="shared" si="144"/>
        <v>4.8338149674046633</v>
      </c>
      <c r="AH81" s="26">
        <f t="shared" si="145"/>
        <v>774085.86889669241</v>
      </c>
      <c r="AI81" s="27">
        <f t="shared" si="145"/>
        <v>541860.10822768463</v>
      </c>
      <c r="AJ81" s="28">
        <f t="shared" si="145"/>
        <v>232225.76066900772</v>
      </c>
      <c r="AL81" s="3" t="s">
        <v>112</v>
      </c>
    </row>
    <row r="82" spans="1:38" ht="14" thickBot="1" x14ac:dyDescent="0.4">
      <c r="A82" s="403" t="s">
        <v>26</v>
      </c>
      <c r="B82" s="404">
        <v>2026</v>
      </c>
      <c r="C82" s="404" t="s">
        <v>0</v>
      </c>
      <c r="D82" s="31">
        <f>AVERAGE(D70:D81)</f>
        <v>32218.870000000006</v>
      </c>
      <c r="E82" s="99">
        <f>F82/D82/12</f>
        <v>153.5189463005311</v>
      </c>
      <c r="F82" s="32">
        <f>SUM(F70:F81)</f>
        <v>59354483.680725515</v>
      </c>
      <c r="G82" s="33">
        <f t="shared" ref="G82:H82" si="205">SUM(G70:G81)</f>
        <v>38114196.887858801</v>
      </c>
      <c r="H82" s="34">
        <f t="shared" si="205"/>
        <v>21240286.792866714</v>
      </c>
      <c r="I82" s="405">
        <f>AVERAGE(I70:I81)</f>
        <v>18827.682500000003</v>
      </c>
      <c r="J82" s="406" t="s">
        <v>30</v>
      </c>
      <c r="K82" s="99">
        <f>M82/I82/12</f>
        <v>177.26903545137213</v>
      </c>
      <c r="L82" s="406" t="s">
        <v>30</v>
      </c>
      <c r="M82" s="32">
        <f>SUM(M70:M81)</f>
        <v>40050781.398716152</v>
      </c>
      <c r="N82" s="33">
        <f t="shared" ref="N82:O82" si="206">SUM(N70:N81)</f>
        <v>25939911.279256433</v>
      </c>
      <c r="O82" s="33">
        <f t="shared" si="206"/>
        <v>14110870.119459728</v>
      </c>
      <c r="P82" s="405">
        <f>AVERAGE(P70:P81)</f>
        <v>1888.3758333333335</v>
      </c>
      <c r="Q82" s="406" t="s">
        <v>30</v>
      </c>
      <c r="R82" s="99">
        <f>T82/P82/12</f>
        <v>115.26479188977811</v>
      </c>
      <c r="S82" s="406" t="s">
        <v>30</v>
      </c>
      <c r="T82" s="32">
        <f>SUM(T70:T81)</f>
        <v>2611958.9692662358</v>
      </c>
      <c r="U82" s="33">
        <f t="shared" ref="U82:V82" si="207">SUM(U70:U81)</f>
        <v>1660656.9648267331</v>
      </c>
      <c r="V82" s="33">
        <f t="shared" si="207"/>
        <v>951302.00443950272</v>
      </c>
      <c r="W82" s="405">
        <f>AVERAGE(W70:W81)</f>
        <v>1236.7166666666667</v>
      </c>
      <c r="X82" s="406" t="s">
        <v>30</v>
      </c>
      <c r="Y82" s="99">
        <f>AA82/W82/12</f>
        <v>112.4003964899956</v>
      </c>
      <c r="Z82" s="406" t="s">
        <v>30</v>
      </c>
      <c r="AA82" s="32">
        <f>SUM(AA70:AA81)</f>
        <v>1668089.3241494286</v>
      </c>
      <c r="AB82" s="33">
        <f t="shared" ref="AB82:AC82" si="208">SUM(AB70:AB81)</f>
        <v>1061377.9444378817</v>
      </c>
      <c r="AC82" s="33">
        <f t="shared" si="208"/>
        <v>606711.37971154694</v>
      </c>
      <c r="AD82" s="405">
        <f>AVERAGE(AD70:AD81)</f>
        <v>10266.094999999999</v>
      </c>
      <c r="AE82" s="406" t="s">
        <v>30</v>
      </c>
      <c r="AF82" s="99">
        <f>AH82/AD82/12</f>
        <v>121.95203392488982</v>
      </c>
      <c r="AG82" s="406" t="s">
        <v>30</v>
      </c>
      <c r="AH82" s="32">
        <f>SUM(AH70:AH81)</f>
        <v>15023653.988593699</v>
      </c>
      <c r="AI82" s="33">
        <f t="shared" ref="AI82:AJ82" si="209">SUM(AI70:AI81)</f>
        <v>9452250.6993377581</v>
      </c>
      <c r="AJ82" s="34">
        <f t="shared" si="209"/>
        <v>5571403.2892559404</v>
      </c>
      <c r="AK82" s="98"/>
      <c r="AL82" s="98"/>
    </row>
  </sheetData>
  <mergeCells count="25">
    <mergeCell ref="C55:F58"/>
    <mergeCell ref="A54:J54"/>
    <mergeCell ref="D19:H19"/>
    <mergeCell ref="I19:O19"/>
    <mergeCell ref="P19:V19"/>
    <mergeCell ref="W19:AC19"/>
    <mergeCell ref="AD19:AJ19"/>
    <mergeCell ref="A51:N51"/>
    <mergeCell ref="A1:AJ1"/>
    <mergeCell ref="A2:AJ2"/>
    <mergeCell ref="D35:H35"/>
    <mergeCell ref="I35:O35"/>
    <mergeCell ref="P35:V35"/>
    <mergeCell ref="W35:AC35"/>
    <mergeCell ref="AD35:AJ35"/>
    <mergeCell ref="I3:O3"/>
    <mergeCell ref="P3:V3"/>
    <mergeCell ref="W3:AC3"/>
    <mergeCell ref="AD3:AJ3"/>
    <mergeCell ref="D3:H3"/>
    <mergeCell ref="D68:H68"/>
    <mergeCell ref="I68:O68"/>
    <mergeCell ref="P68:V68"/>
    <mergeCell ref="W68:AC68"/>
    <mergeCell ref="AD68:AJ68"/>
  </mergeCells>
  <phoneticPr fontId="5" type="noConversion"/>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3CF-5D71-46EC-A62C-9F98E9B5713C}">
  <dimension ref="A1:P26"/>
  <sheetViews>
    <sheetView zoomScale="70" zoomScaleNormal="70" workbookViewId="0">
      <selection activeCell="T26" sqref="T26"/>
    </sheetView>
  </sheetViews>
  <sheetFormatPr defaultRowHeight="13" x14ac:dyDescent="0.3"/>
  <cols>
    <col min="1" max="1" width="11.36328125" style="3" customWidth="1"/>
    <col min="2" max="5" width="9.90625" style="3" customWidth="1"/>
    <col min="6" max="6" width="9.08984375" style="3" customWidth="1"/>
    <col min="7" max="8" width="9.90625" style="3" customWidth="1"/>
    <col min="9" max="9" width="10.90625" style="3" customWidth="1"/>
    <col min="10" max="10" width="9.90625" style="3" customWidth="1"/>
    <col min="11" max="11" width="9.453125" style="3" customWidth="1"/>
    <col min="12" max="13" width="9.90625" style="24" customWidth="1"/>
    <col min="14" max="14" width="11.1796875" style="24" customWidth="1"/>
    <col min="15" max="16" width="9.90625" style="24" customWidth="1"/>
    <col min="17" max="16384" width="8.7265625" style="3"/>
  </cols>
  <sheetData>
    <row r="1" spans="1:16" s="125" customFormat="1" ht="21" customHeight="1" x14ac:dyDescent="0.25">
      <c r="A1" s="452" t="s">
        <v>74</v>
      </c>
      <c r="B1" s="452"/>
      <c r="C1" s="452"/>
      <c r="D1" s="452"/>
      <c r="E1" s="452"/>
      <c r="F1" s="452"/>
      <c r="G1" s="452"/>
      <c r="H1" s="452"/>
      <c r="I1" s="452"/>
      <c r="J1" s="452"/>
      <c r="K1" s="452"/>
      <c r="L1" s="452"/>
      <c r="M1" s="452"/>
      <c r="N1" s="452"/>
      <c r="O1" s="452"/>
      <c r="P1" s="452"/>
    </row>
    <row r="2" spans="1:16" s="125" customFormat="1" ht="21" customHeight="1" thickBot="1" x14ac:dyDescent="0.3">
      <c r="A2" s="445" t="s">
        <v>87</v>
      </c>
      <c r="B2" s="445"/>
      <c r="C2" s="445"/>
      <c r="D2" s="445"/>
      <c r="E2" s="445"/>
      <c r="F2" s="445"/>
      <c r="G2" s="445"/>
      <c r="H2" s="445"/>
      <c r="I2" s="445"/>
      <c r="J2" s="445"/>
      <c r="K2" s="445"/>
      <c r="L2" s="445"/>
      <c r="M2" s="445"/>
      <c r="N2" s="445"/>
      <c r="O2" s="445"/>
      <c r="P2" s="445"/>
    </row>
    <row r="3" spans="1:16" ht="31.5" customHeight="1" x14ac:dyDescent="0.3">
      <c r="B3" s="435" t="s">
        <v>67</v>
      </c>
      <c r="C3" s="436"/>
      <c r="D3" s="437"/>
      <c r="E3" s="437"/>
      <c r="F3" s="438"/>
      <c r="G3" s="435" t="s">
        <v>68</v>
      </c>
      <c r="H3" s="436"/>
      <c r="I3" s="437"/>
      <c r="J3" s="437"/>
      <c r="K3" s="438"/>
      <c r="L3" s="435" t="s">
        <v>69</v>
      </c>
      <c r="M3" s="436"/>
      <c r="N3" s="437"/>
      <c r="O3" s="437"/>
      <c r="P3" s="438"/>
    </row>
    <row r="4" spans="1:16" ht="50.5" customHeight="1" x14ac:dyDescent="0.3">
      <c r="B4" s="5" t="s">
        <v>13</v>
      </c>
      <c r="C4" s="38" t="s">
        <v>29</v>
      </c>
      <c r="D4" s="6" t="s">
        <v>14</v>
      </c>
      <c r="E4" s="7" t="s">
        <v>16</v>
      </c>
      <c r="F4" s="8" t="s">
        <v>15</v>
      </c>
      <c r="G4" s="5" t="s">
        <v>13</v>
      </c>
      <c r="H4" s="38" t="s">
        <v>29</v>
      </c>
      <c r="I4" s="6" t="s">
        <v>14</v>
      </c>
      <c r="J4" s="7" t="s">
        <v>16</v>
      </c>
      <c r="K4" s="8" t="s">
        <v>15</v>
      </c>
      <c r="L4" s="5" t="s">
        <v>13</v>
      </c>
      <c r="M4" s="38" t="s">
        <v>29</v>
      </c>
      <c r="N4" s="6" t="s">
        <v>14</v>
      </c>
      <c r="O4" s="7" t="s">
        <v>16</v>
      </c>
      <c r="P4" s="8" t="s">
        <v>15</v>
      </c>
    </row>
    <row r="5" spans="1:16" x14ac:dyDescent="0.3">
      <c r="A5" s="3" t="s">
        <v>8</v>
      </c>
      <c r="B5" s="10">
        <v>8912</v>
      </c>
      <c r="C5" s="40">
        <f>D5/B5</f>
        <v>84.218496409335714</v>
      </c>
      <c r="D5" s="11">
        <v>750555.23999999987</v>
      </c>
      <c r="E5" s="12">
        <f>D5-F5</f>
        <v>525388.62799999979</v>
      </c>
      <c r="F5" s="13">
        <v>225166.61200000008</v>
      </c>
      <c r="G5" s="10">
        <v>8247</v>
      </c>
      <c r="H5" s="40">
        <f>I5/G5</f>
        <v>102.85644961804294</v>
      </c>
      <c r="I5" s="11">
        <v>848257.14000000013</v>
      </c>
      <c r="J5" s="12">
        <f>I5-K5</f>
        <v>593779.99800000014</v>
      </c>
      <c r="K5" s="13">
        <v>254477.14199999996</v>
      </c>
      <c r="L5" s="10">
        <v>8322</v>
      </c>
      <c r="M5" s="40">
        <f>N5/L5</f>
        <v>112.09734318673397</v>
      </c>
      <c r="N5" s="11">
        <v>932874.09000000008</v>
      </c>
      <c r="O5" s="12">
        <f>N5-P5</f>
        <v>653011.86300000013</v>
      </c>
      <c r="P5" s="13">
        <f>N5*0.3</f>
        <v>279862.22700000001</v>
      </c>
    </row>
    <row r="6" spans="1:16" x14ac:dyDescent="0.3">
      <c r="A6" s="3" t="s">
        <v>9</v>
      </c>
      <c r="B6" s="10">
        <v>9378</v>
      </c>
      <c r="C6" s="40">
        <f t="shared" ref="C6:C16" si="0">D6/B6</f>
        <v>86.45089891234808</v>
      </c>
      <c r="D6" s="11">
        <v>810736.53000000026</v>
      </c>
      <c r="E6" s="12">
        <f t="shared" ref="E6:E16" si="1">D6-F6</f>
        <v>567515.55100000021</v>
      </c>
      <c r="F6" s="13">
        <v>243220.97900000002</v>
      </c>
      <c r="G6" s="10">
        <v>8789</v>
      </c>
      <c r="H6" s="40">
        <f t="shared" ref="H6:H16" si="2">I6/G6</f>
        <v>101.23545113209693</v>
      </c>
      <c r="I6" s="11">
        <v>889758.37999999989</v>
      </c>
      <c r="J6" s="12">
        <f t="shared" ref="J6:J16" si="3">I6-K6</f>
        <v>622830.85599999991</v>
      </c>
      <c r="K6" s="13">
        <v>266927.52399999998</v>
      </c>
      <c r="L6" s="25">
        <f>L5</f>
        <v>8322</v>
      </c>
      <c r="M6" s="41">
        <f>M5</f>
        <v>112.09734318673397</v>
      </c>
      <c r="N6" s="26">
        <f t="shared" ref="N6:N16" si="4">M6*L6</f>
        <v>932874.09000000008</v>
      </c>
      <c r="O6" s="27">
        <f t="shared" ref="O6:O16" si="5">N6-P6</f>
        <v>653011.86300000013</v>
      </c>
      <c r="P6" s="28">
        <f t="shared" ref="P6:P16" si="6">N6*0.3</f>
        <v>279862.22700000001</v>
      </c>
    </row>
    <row r="7" spans="1:16" x14ac:dyDescent="0.3">
      <c r="A7" s="3" t="s">
        <v>10</v>
      </c>
      <c r="B7" s="10">
        <v>9380</v>
      </c>
      <c r="C7" s="40">
        <f t="shared" si="0"/>
        <v>84.520364605543719</v>
      </c>
      <c r="D7" s="11">
        <v>792801.02000000014</v>
      </c>
      <c r="E7" s="12">
        <f t="shared" si="1"/>
        <v>554960.70400000014</v>
      </c>
      <c r="F7" s="13">
        <v>237840.31599999999</v>
      </c>
      <c r="G7" s="10">
        <v>9086</v>
      </c>
      <c r="H7" s="40">
        <f t="shared" si="2"/>
        <v>100.94676535329076</v>
      </c>
      <c r="I7" s="11">
        <v>917202.30999999982</v>
      </c>
      <c r="J7" s="12">
        <f t="shared" si="3"/>
        <v>642041.58699999982</v>
      </c>
      <c r="K7" s="13">
        <v>275160.72300000006</v>
      </c>
      <c r="L7" s="25">
        <f t="shared" ref="L7:L16" si="7">L6</f>
        <v>8322</v>
      </c>
      <c r="M7" s="41">
        <f t="shared" ref="M7:M16" si="8">M6</f>
        <v>112.09734318673397</v>
      </c>
      <c r="N7" s="26">
        <f t="shared" si="4"/>
        <v>932874.09000000008</v>
      </c>
      <c r="O7" s="27">
        <f t="shared" si="5"/>
        <v>653011.86300000013</v>
      </c>
      <c r="P7" s="28">
        <f t="shared" si="6"/>
        <v>279862.22700000001</v>
      </c>
    </row>
    <row r="8" spans="1:16" x14ac:dyDescent="0.3">
      <c r="A8" s="3" t="s">
        <v>11</v>
      </c>
      <c r="B8" s="10">
        <v>9369</v>
      </c>
      <c r="C8" s="40">
        <f t="shared" si="0"/>
        <v>84.658921976731804</v>
      </c>
      <c r="D8" s="11">
        <v>793169.44000000029</v>
      </c>
      <c r="E8" s="12">
        <f t="shared" si="1"/>
        <v>555259.68800000031</v>
      </c>
      <c r="F8" s="13">
        <v>237909.75199999995</v>
      </c>
      <c r="G8" s="10">
        <v>9279</v>
      </c>
      <c r="H8" s="40">
        <f t="shared" si="2"/>
        <v>99.409731652117699</v>
      </c>
      <c r="I8" s="11">
        <v>922422.90000000014</v>
      </c>
      <c r="J8" s="12">
        <f t="shared" si="3"/>
        <v>645696.03000000026</v>
      </c>
      <c r="K8" s="13">
        <v>276726.86999999994</v>
      </c>
      <c r="L8" s="25">
        <f t="shared" si="7"/>
        <v>8322</v>
      </c>
      <c r="M8" s="41">
        <f t="shared" si="8"/>
        <v>112.09734318673397</v>
      </c>
      <c r="N8" s="26">
        <f t="shared" si="4"/>
        <v>932874.09000000008</v>
      </c>
      <c r="O8" s="27">
        <f t="shared" si="5"/>
        <v>653011.86300000013</v>
      </c>
      <c r="P8" s="28">
        <f t="shared" si="6"/>
        <v>279862.22700000001</v>
      </c>
    </row>
    <row r="9" spans="1:16" x14ac:dyDescent="0.3">
      <c r="A9" s="3" t="s">
        <v>12</v>
      </c>
      <c r="B9" s="10">
        <v>8859</v>
      </c>
      <c r="C9" s="40">
        <f t="shared" si="0"/>
        <v>83.1801580313805</v>
      </c>
      <c r="D9" s="11">
        <v>736893.0199999999</v>
      </c>
      <c r="E9" s="12">
        <f t="shared" si="1"/>
        <v>515825.08400000003</v>
      </c>
      <c r="F9" s="13">
        <v>221067.9359999999</v>
      </c>
      <c r="G9" s="10">
        <v>8879</v>
      </c>
      <c r="H9" s="40">
        <f t="shared" si="2"/>
        <v>98.914050005631282</v>
      </c>
      <c r="I9" s="11">
        <v>878257.85000000009</v>
      </c>
      <c r="J9" s="12">
        <f t="shared" si="3"/>
        <v>614780.49500000011</v>
      </c>
      <c r="K9" s="13">
        <v>263477.35499999998</v>
      </c>
      <c r="L9" s="25">
        <f t="shared" si="7"/>
        <v>8322</v>
      </c>
      <c r="M9" s="41">
        <f t="shared" si="8"/>
        <v>112.09734318673397</v>
      </c>
      <c r="N9" s="26">
        <f t="shared" si="4"/>
        <v>932874.09000000008</v>
      </c>
      <c r="O9" s="27">
        <f t="shared" si="5"/>
        <v>653011.86300000013</v>
      </c>
      <c r="P9" s="28">
        <f t="shared" si="6"/>
        <v>279862.22700000001</v>
      </c>
    </row>
    <row r="10" spans="1:16" x14ac:dyDescent="0.3">
      <c r="A10" s="3" t="s">
        <v>1</v>
      </c>
      <c r="B10" s="44">
        <v>8335</v>
      </c>
      <c r="C10" s="45">
        <f t="shared" si="0"/>
        <v>84.194743851229745</v>
      </c>
      <c r="D10" s="46">
        <v>701763.19</v>
      </c>
      <c r="E10" s="12">
        <f t="shared" si="1"/>
        <v>491234.22299999988</v>
      </c>
      <c r="F10" s="48">
        <v>210528.96700000006</v>
      </c>
      <c r="G10" s="44">
        <v>8615</v>
      </c>
      <c r="H10" s="40">
        <f t="shared" si="2"/>
        <v>101.28067904817181</v>
      </c>
      <c r="I10" s="46">
        <v>872533.05</v>
      </c>
      <c r="J10" s="12">
        <f t="shared" si="3"/>
        <v>610773.125</v>
      </c>
      <c r="K10" s="48">
        <v>261759.9250000001</v>
      </c>
      <c r="L10" s="25">
        <f t="shared" si="7"/>
        <v>8322</v>
      </c>
      <c r="M10" s="41">
        <f t="shared" si="8"/>
        <v>112.09734318673397</v>
      </c>
      <c r="N10" s="26">
        <f t="shared" si="4"/>
        <v>932874.09000000008</v>
      </c>
      <c r="O10" s="27">
        <f t="shared" si="5"/>
        <v>653011.86300000013</v>
      </c>
      <c r="P10" s="28">
        <f t="shared" si="6"/>
        <v>279862.22700000001</v>
      </c>
    </row>
    <row r="11" spans="1:16" x14ac:dyDescent="0.3">
      <c r="A11" s="3" t="s">
        <v>2</v>
      </c>
      <c r="B11" s="10">
        <v>7843</v>
      </c>
      <c r="C11" s="40">
        <f t="shared" si="0"/>
        <v>88.569956649241334</v>
      </c>
      <c r="D11" s="11">
        <v>694654.16999999981</v>
      </c>
      <c r="E11" s="12">
        <f t="shared" si="1"/>
        <v>486257.87899999972</v>
      </c>
      <c r="F11" s="13">
        <v>208396.29100000006</v>
      </c>
      <c r="G11" s="10">
        <v>8266</v>
      </c>
      <c r="H11" s="40">
        <f t="shared" si="2"/>
        <v>103.01815751270266</v>
      </c>
      <c r="I11" s="46">
        <v>851548.0900000002</v>
      </c>
      <c r="J11" s="12">
        <f t="shared" si="3"/>
        <v>596083.61300000024</v>
      </c>
      <c r="K11" s="48">
        <v>255464.47699999998</v>
      </c>
      <c r="L11" s="25">
        <f t="shared" si="7"/>
        <v>8322</v>
      </c>
      <c r="M11" s="41">
        <f t="shared" si="8"/>
        <v>112.09734318673397</v>
      </c>
      <c r="N11" s="26">
        <f t="shared" si="4"/>
        <v>932874.09000000008</v>
      </c>
      <c r="O11" s="27">
        <f t="shared" si="5"/>
        <v>653011.86300000013</v>
      </c>
      <c r="P11" s="28">
        <f t="shared" si="6"/>
        <v>279862.22700000001</v>
      </c>
    </row>
    <row r="12" spans="1:16" x14ac:dyDescent="0.3">
      <c r="A12" s="3" t="s">
        <v>3</v>
      </c>
      <c r="B12" s="10">
        <v>7602</v>
      </c>
      <c r="C12" s="40">
        <f t="shared" si="0"/>
        <v>85.96145224940804</v>
      </c>
      <c r="D12" s="11">
        <v>653478.96</v>
      </c>
      <c r="E12" s="12">
        <f t="shared" si="1"/>
        <v>457435.26199999999</v>
      </c>
      <c r="F12" s="13">
        <v>196043.698</v>
      </c>
      <c r="G12" s="10">
        <v>7999</v>
      </c>
      <c r="H12" s="40">
        <f t="shared" si="2"/>
        <v>105.48167145893238</v>
      </c>
      <c r="I12" s="46">
        <v>843747.89000000013</v>
      </c>
      <c r="J12" s="12">
        <f t="shared" si="3"/>
        <v>590623.49300000013</v>
      </c>
      <c r="K12" s="48">
        <v>253124.39699999997</v>
      </c>
      <c r="L12" s="25">
        <f t="shared" si="7"/>
        <v>8322</v>
      </c>
      <c r="M12" s="41">
        <f t="shared" si="8"/>
        <v>112.09734318673397</v>
      </c>
      <c r="N12" s="26">
        <f t="shared" si="4"/>
        <v>932874.09000000008</v>
      </c>
      <c r="O12" s="27">
        <f t="shared" si="5"/>
        <v>653011.86300000013</v>
      </c>
      <c r="P12" s="28">
        <f t="shared" si="6"/>
        <v>279862.22700000001</v>
      </c>
    </row>
    <row r="13" spans="1:16" x14ac:dyDescent="0.3">
      <c r="A13" s="3" t="s">
        <v>4</v>
      </c>
      <c r="B13" s="10">
        <v>7448</v>
      </c>
      <c r="C13" s="40">
        <f t="shared" si="0"/>
        <v>87.489904672395269</v>
      </c>
      <c r="D13" s="11">
        <v>651624.80999999994</v>
      </c>
      <c r="E13" s="12">
        <f t="shared" si="1"/>
        <v>456137.32699999993</v>
      </c>
      <c r="F13" s="13">
        <v>195487.48299999998</v>
      </c>
      <c r="G13" s="10">
        <v>8020</v>
      </c>
      <c r="H13" s="40">
        <f t="shared" si="2"/>
        <v>107.02205486284289</v>
      </c>
      <c r="I13" s="46">
        <v>858316.88</v>
      </c>
      <c r="J13" s="12">
        <f t="shared" si="3"/>
        <v>600821.77600000007</v>
      </c>
      <c r="K13" s="48">
        <v>257495.10399999999</v>
      </c>
      <c r="L13" s="25">
        <f t="shared" si="7"/>
        <v>8322</v>
      </c>
      <c r="M13" s="41">
        <f t="shared" si="8"/>
        <v>112.09734318673397</v>
      </c>
      <c r="N13" s="26">
        <f t="shared" si="4"/>
        <v>932874.09000000008</v>
      </c>
      <c r="O13" s="27">
        <f t="shared" si="5"/>
        <v>653011.86300000013</v>
      </c>
      <c r="P13" s="28">
        <f t="shared" si="6"/>
        <v>279862.22700000001</v>
      </c>
    </row>
    <row r="14" spans="1:16" x14ac:dyDescent="0.3">
      <c r="A14" s="3" t="s">
        <v>5</v>
      </c>
      <c r="B14" s="10">
        <v>7477</v>
      </c>
      <c r="C14" s="40">
        <f t="shared" si="0"/>
        <v>87.860492176006431</v>
      </c>
      <c r="D14" s="11">
        <v>656932.90000000014</v>
      </c>
      <c r="E14" s="12">
        <f t="shared" si="1"/>
        <v>459853.03000000014</v>
      </c>
      <c r="F14" s="13">
        <v>197079.87000000002</v>
      </c>
      <c r="G14" s="10">
        <v>7583</v>
      </c>
      <c r="H14" s="40">
        <f t="shared" si="2"/>
        <v>106.68592113939074</v>
      </c>
      <c r="I14" s="46">
        <v>808999.34</v>
      </c>
      <c r="J14" s="12">
        <f t="shared" si="3"/>
        <v>566299.55799999996</v>
      </c>
      <c r="K14" s="48">
        <v>242699.78200000001</v>
      </c>
      <c r="L14" s="25">
        <f t="shared" si="7"/>
        <v>8322</v>
      </c>
      <c r="M14" s="41">
        <f t="shared" si="8"/>
        <v>112.09734318673397</v>
      </c>
      <c r="N14" s="26">
        <f t="shared" si="4"/>
        <v>932874.09000000008</v>
      </c>
      <c r="O14" s="27">
        <f t="shared" si="5"/>
        <v>653011.86300000013</v>
      </c>
      <c r="P14" s="28">
        <f t="shared" si="6"/>
        <v>279862.22700000001</v>
      </c>
    </row>
    <row r="15" spans="1:16" x14ac:dyDescent="0.3">
      <c r="A15" s="3" t="s">
        <v>6</v>
      </c>
      <c r="B15" s="10">
        <v>7371</v>
      </c>
      <c r="C15" s="40">
        <f t="shared" si="0"/>
        <v>89.345419888753185</v>
      </c>
      <c r="D15" s="11">
        <v>658565.08999999973</v>
      </c>
      <c r="E15" s="12">
        <f t="shared" si="1"/>
        <v>460954.44299999985</v>
      </c>
      <c r="F15" s="13">
        <v>197610.64699999991</v>
      </c>
      <c r="G15" s="10">
        <v>7336</v>
      </c>
      <c r="H15" s="40">
        <f t="shared" si="2"/>
        <v>106.70310250817886</v>
      </c>
      <c r="I15" s="46">
        <v>782773.96000000008</v>
      </c>
      <c r="J15" s="12">
        <f t="shared" si="3"/>
        <v>547941.75200000009</v>
      </c>
      <c r="K15" s="48">
        <v>234832.20800000001</v>
      </c>
      <c r="L15" s="25">
        <f t="shared" si="7"/>
        <v>8322</v>
      </c>
      <c r="M15" s="41">
        <f t="shared" si="8"/>
        <v>112.09734318673397</v>
      </c>
      <c r="N15" s="26">
        <f t="shared" si="4"/>
        <v>932874.09000000008</v>
      </c>
      <c r="O15" s="27">
        <f t="shared" si="5"/>
        <v>653011.86300000013</v>
      </c>
      <c r="P15" s="28">
        <f t="shared" si="6"/>
        <v>279862.22700000001</v>
      </c>
    </row>
    <row r="16" spans="1:16" x14ac:dyDescent="0.3">
      <c r="A16" s="3" t="s">
        <v>7</v>
      </c>
      <c r="B16" s="10">
        <v>7545</v>
      </c>
      <c r="C16" s="40">
        <f t="shared" si="0"/>
        <v>88.761077534791212</v>
      </c>
      <c r="D16" s="11">
        <v>669702.32999999973</v>
      </c>
      <c r="E16" s="12">
        <f t="shared" si="1"/>
        <v>468750.49099999975</v>
      </c>
      <c r="F16" s="13">
        <v>200951.83899999998</v>
      </c>
      <c r="G16" s="10">
        <v>7353</v>
      </c>
      <c r="H16" s="40">
        <f t="shared" si="2"/>
        <v>107.81182510539918</v>
      </c>
      <c r="I16" s="46">
        <v>792740.35000000021</v>
      </c>
      <c r="J16" s="12">
        <f t="shared" si="3"/>
        <v>554918.2150000002</v>
      </c>
      <c r="K16" s="48">
        <v>237822.13500000001</v>
      </c>
      <c r="L16" s="25">
        <f t="shared" si="7"/>
        <v>8322</v>
      </c>
      <c r="M16" s="41">
        <f t="shared" si="8"/>
        <v>112.09734318673397</v>
      </c>
      <c r="N16" s="26">
        <f t="shared" si="4"/>
        <v>932874.09000000008</v>
      </c>
      <c r="O16" s="27">
        <f t="shared" si="5"/>
        <v>653011.86300000013</v>
      </c>
      <c r="P16" s="28">
        <f t="shared" si="6"/>
        <v>279862.22700000001</v>
      </c>
    </row>
    <row r="17" spans="1:16" ht="14" thickBot="1" x14ac:dyDescent="0.4">
      <c r="A17" s="3" t="s">
        <v>0</v>
      </c>
      <c r="B17" s="16">
        <f>AVERAGE(B5:B16)</f>
        <v>8293.25</v>
      </c>
      <c r="C17" s="99">
        <f>D17/B17/12</f>
        <v>86.12301872004339</v>
      </c>
      <c r="D17" s="17">
        <f>SUM(D5:D16)</f>
        <v>8570876.6999999993</v>
      </c>
      <c r="E17" s="18">
        <f t="shared" ref="E17:F17" si="9">SUM(E5:E16)</f>
        <v>5999572.3099999996</v>
      </c>
      <c r="F17" s="19">
        <f t="shared" si="9"/>
        <v>2571304.39</v>
      </c>
      <c r="G17" s="16">
        <f>AVERAGE(G5:G16)</f>
        <v>8287.6666666666661</v>
      </c>
      <c r="H17" s="99">
        <f>I17/G17/12</f>
        <v>103.23128886296909</v>
      </c>
      <c r="I17" s="17">
        <f>SUM(I5:I16)</f>
        <v>10266558.140000001</v>
      </c>
      <c r="J17" s="18">
        <f t="shared" ref="J17:K17" si="10">SUM(J5:J16)</f>
        <v>7186590.4979999997</v>
      </c>
      <c r="K17" s="19">
        <f t="shared" si="10"/>
        <v>3079967.642</v>
      </c>
      <c r="L17" s="31">
        <f>AVERAGE(L5:L16)</f>
        <v>8322</v>
      </c>
      <c r="M17" s="99">
        <f>N17/L17/12</f>
        <v>112.09734318673395</v>
      </c>
      <c r="N17" s="32">
        <f>SUM(N5:N16)</f>
        <v>11194489.08</v>
      </c>
      <c r="O17" s="33">
        <f t="shared" ref="O17:P17" si="11">SUM(O5:O16)</f>
        <v>7836142.3559999997</v>
      </c>
      <c r="P17" s="34">
        <f t="shared" si="11"/>
        <v>3358346.7239999999</v>
      </c>
    </row>
    <row r="18" spans="1:16" x14ac:dyDescent="0.3">
      <c r="A18" s="126"/>
      <c r="B18" s="126"/>
      <c r="C18" s="127">
        <f>('GMI apmēri'!E11+'GMI apmēri'!E12)/2</f>
        <v>116.5</v>
      </c>
      <c r="H18" s="127">
        <f>('GMI apmēri'!F11+'GMI apmēri'!F12)/2</f>
        <v>141</v>
      </c>
      <c r="M18" s="127">
        <f>('GMI apmēri'!G11+'GMI apmēri'!G12)/2</f>
        <v>159</v>
      </c>
    </row>
    <row r="19" spans="1:16" x14ac:dyDescent="0.3">
      <c r="C19" s="128">
        <f>C17*100/C18</f>
        <v>73.925337957118785</v>
      </c>
      <c r="H19" s="128">
        <f>H17*100/H18</f>
        <v>73.213680044658929</v>
      </c>
      <c r="M19" s="128">
        <f>M17*100/M18</f>
        <v>70.501473702348406</v>
      </c>
    </row>
    <row r="22" spans="1:16" ht="34" customHeight="1" x14ac:dyDescent="0.3">
      <c r="A22" s="453" t="s">
        <v>71</v>
      </c>
      <c r="B22" s="453"/>
      <c r="C22" s="129">
        <f>AVERAGE(C5:C9)</f>
        <v>84.605767987067949</v>
      </c>
      <c r="H22" s="129">
        <f>AVERAGE(H5:H9)</f>
        <v>100.67248955223592</v>
      </c>
    </row>
    <row r="23" spans="1:16" ht="34" customHeight="1" x14ac:dyDescent="0.3">
      <c r="A23" s="453" t="s">
        <v>72</v>
      </c>
      <c r="B23" s="453"/>
      <c r="C23" s="129">
        <f>AVERAGE(C10:C16)</f>
        <v>87.454721003117896</v>
      </c>
      <c r="H23" s="129">
        <f>AVERAGE(H10:H16)</f>
        <v>105.42905880508836</v>
      </c>
    </row>
    <row r="24" spans="1:16" ht="14" customHeight="1" x14ac:dyDescent="0.3">
      <c r="A24" s="454" t="s">
        <v>70</v>
      </c>
      <c r="B24" s="454"/>
      <c r="C24" s="128">
        <f>C23*100/C22</f>
        <v>103.36732717382273</v>
      </c>
      <c r="H24" s="128">
        <f>H23*100/H22</f>
        <v>104.72479549677213</v>
      </c>
    </row>
    <row r="25" spans="1:16" x14ac:dyDescent="0.3">
      <c r="E25" s="133">
        <f>453149.01+E5+E6+E7+E8+E9+E10+E11+E12+E13+E14+E15</f>
        <v>5983970.828999999</v>
      </c>
      <c r="F25" s="133">
        <f>194206.72+F5+F6+F7+F8+F9+F10+F11+F12+F13+F14+F15</f>
        <v>2564559.2710000002</v>
      </c>
      <c r="J25" s="133">
        <f>E16+J5+J6+J7+J8+J9+J10+J11+J12+J13+J14+J15</f>
        <v>7100422.7740000002</v>
      </c>
      <c r="K25" s="133">
        <f>F16+K5+K6+K7+K8+K9+K10+K11+K12+K13+K14+K15</f>
        <v>3043097.3459999999</v>
      </c>
      <c r="O25" s="133">
        <f>J16+O5+O6+O7+O8+O9+O10+O11+O12+O13+O14+O15</f>
        <v>7738048.7079999996</v>
      </c>
      <c r="P25" s="133">
        <f>K16+P5+P6+P7+P8+P9+P10+P11+P12+P13+P14+P15</f>
        <v>3316306.6319999998</v>
      </c>
    </row>
    <row r="26" spans="1:16" x14ac:dyDescent="0.3">
      <c r="E26" s="450">
        <f>E25+F25</f>
        <v>8548530.0999999996</v>
      </c>
      <c r="F26" s="451"/>
      <c r="J26" s="450">
        <f>J25+K25</f>
        <v>10143520.120000001</v>
      </c>
      <c r="K26" s="451"/>
      <c r="O26" s="450">
        <f>O25+P25</f>
        <v>11054355.34</v>
      </c>
      <c r="P26" s="451"/>
    </row>
  </sheetData>
  <mergeCells count="11">
    <mergeCell ref="O26:P26"/>
    <mergeCell ref="A1:P1"/>
    <mergeCell ref="A2:P2"/>
    <mergeCell ref="B3:F3"/>
    <mergeCell ref="G3:K3"/>
    <mergeCell ref="L3:P3"/>
    <mergeCell ref="A22:B22"/>
    <mergeCell ref="A23:B23"/>
    <mergeCell ref="A24:B24"/>
    <mergeCell ref="E26:F26"/>
    <mergeCell ref="J26:K26"/>
  </mergeCells>
  <phoneticPr fontId="5" type="noConversion"/>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71924-EE75-4281-9DF0-C5E1E4B59404}">
  <dimension ref="B1:S42"/>
  <sheetViews>
    <sheetView topLeftCell="B19" zoomScale="80" zoomScaleNormal="80" workbookViewId="0">
      <selection activeCell="G48" sqref="G48"/>
    </sheetView>
  </sheetViews>
  <sheetFormatPr defaultRowHeight="14" x14ac:dyDescent="0.3"/>
  <cols>
    <col min="1" max="1" width="0" style="52" hidden="1" customWidth="1"/>
    <col min="2" max="2" width="52.1796875" style="52" customWidth="1"/>
    <col min="3" max="3" width="6.81640625" style="56" customWidth="1"/>
    <col min="4" max="4" width="9.81640625" style="56" hidden="1" customWidth="1"/>
    <col min="5" max="7" width="10.81640625" style="52" customWidth="1"/>
    <col min="8" max="8" width="10.81640625" style="65" hidden="1" customWidth="1"/>
    <col min="9" max="9" width="15.81640625" style="52" customWidth="1"/>
    <col min="10" max="10" width="29.6328125" style="53" customWidth="1"/>
    <col min="11" max="11" width="8.7265625" style="52"/>
    <col min="12" max="12" width="8.7265625" style="231"/>
    <col min="13" max="16384" width="8.7265625" style="52"/>
  </cols>
  <sheetData>
    <row r="1" spans="2:15" x14ac:dyDescent="0.3">
      <c r="B1" s="471" t="s">
        <v>33</v>
      </c>
      <c r="C1" s="471"/>
      <c r="D1" s="471"/>
      <c r="E1" s="471"/>
      <c r="F1" s="471"/>
      <c r="G1" s="471"/>
      <c r="H1" s="471"/>
      <c r="I1" s="471"/>
      <c r="J1" s="471"/>
    </row>
    <row r="2" spans="2:15" x14ac:dyDescent="0.3">
      <c r="B2" s="472" t="s">
        <v>89</v>
      </c>
      <c r="C2" s="472"/>
      <c r="D2" s="472"/>
      <c r="E2" s="472"/>
      <c r="F2" s="472"/>
      <c r="G2" s="472"/>
      <c r="H2" s="472"/>
      <c r="I2" s="472"/>
    </row>
    <row r="3" spans="2:15" ht="14.5" thickBot="1" x14ac:dyDescent="0.35"/>
    <row r="4" spans="2:15" ht="14.5" thickTop="1" x14ac:dyDescent="0.3">
      <c r="B4" s="473"/>
      <c r="C4" s="473"/>
      <c r="D4" s="473"/>
      <c r="E4" s="473"/>
      <c r="F4" s="168" t="s">
        <v>46</v>
      </c>
      <c r="G4" s="177" t="s">
        <v>75</v>
      </c>
      <c r="H4" s="86"/>
    </row>
    <row r="5" spans="2:15" s="54" customFormat="1" x14ac:dyDescent="0.3">
      <c r="B5" s="474" t="s">
        <v>34</v>
      </c>
      <c r="C5" s="474"/>
      <c r="D5" s="474"/>
      <c r="E5" s="474"/>
      <c r="F5" s="169">
        <v>2022</v>
      </c>
      <c r="G5" s="178">
        <v>2023</v>
      </c>
      <c r="H5" s="87"/>
      <c r="J5" s="55"/>
      <c r="L5" s="231"/>
    </row>
    <row r="6" spans="2:15" x14ac:dyDescent="0.3">
      <c r="B6" s="474" t="s">
        <v>35</v>
      </c>
      <c r="C6" s="474"/>
      <c r="D6" s="474"/>
      <c r="E6" s="474"/>
      <c r="F6" s="170">
        <v>754.74</v>
      </c>
      <c r="G6" s="179">
        <v>850.02</v>
      </c>
      <c r="H6" s="88"/>
    </row>
    <row r="7" spans="2:15" x14ac:dyDescent="0.3">
      <c r="F7" s="66">
        <f>ROUND(F6*0.22,0)</f>
        <v>166</v>
      </c>
      <c r="G7" s="180">
        <f>ROUND(G6*0.22,0)</f>
        <v>187</v>
      </c>
      <c r="H7" s="75"/>
      <c r="I7" s="57"/>
    </row>
    <row r="8" spans="2:15" x14ac:dyDescent="0.3">
      <c r="F8" s="54"/>
      <c r="G8" s="181"/>
    </row>
    <row r="9" spans="2:15" x14ac:dyDescent="0.3">
      <c r="B9" s="468"/>
      <c r="C9" s="470" t="s">
        <v>36</v>
      </c>
      <c r="D9" s="59">
        <v>2023</v>
      </c>
      <c r="E9" s="58">
        <v>2024</v>
      </c>
      <c r="F9" s="59">
        <v>2025</v>
      </c>
      <c r="G9" s="182">
        <v>2026</v>
      </c>
      <c r="H9" s="67"/>
    </row>
    <row r="10" spans="2:15" x14ac:dyDescent="0.3">
      <c r="B10" s="469"/>
      <c r="C10" s="470"/>
      <c r="D10" s="61" t="s">
        <v>37</v>
      </c>
      <c r="E10" s="60" t="s">
        <v>37</v>
      </c>
      <c r="F10" s="61" t="s">
        <v>37</v>
      </c>
      <c r="G10" s="183" t="s">
        <v>37</v>
      </c>
      <c r="H10" s="68"/>
    </row>
    <row r="11" spans="2:15" x14ac:dyDescent="0.3">
      <c r="B11" s="62" t="s">
        <v>38</v>
      </c>
      <c r="C11" s="63">
        <v>1</v>
      </c>
      <c r="D11" s="70">
        <v>125</v>
      </c>
      <c r="E11" s="72">
        <v>137</v>
      </c>
      <c r="F11" s="171">
        <f>F7</f>
        <v>166</v>
      </c>
      <c r="G11" s="184">
        <f>G7</f>
        <v>187</v>
      </c>
      <c r="H11" s="69"/>
    </row>
    <row r="12" spans="2:15" ht="14.5" thickBot="1" x14ac:dyDescent="0.35">
      <c r="B12" s="62" t="s">
        <v>39</v>
      </c>
      <c r="C12" s="63">
        <v>0.7</v>
      </c>
      <c r="D12" s="71">
        <v>87.5</v>
      </c>
      <c r="E12" s="72">
        <f>ROUND(E11*C12,0)</f>
        <v>96</v>
      </c>
      <c r="F12" s="171">
        <f>ROUND(F11*C12,0)</f>
        <v>116</v>
      </c>
      <c r="G12" s="184">
        <f>ROUND(G11*C12,0)</f>
        <v>131</v>
      </c>
      <c r="H12" s="69"/>
    </row>
    <row r="13" spans="2:15" ht="14.5" thickBot="1" x14ac:dyDescent="0.35">
      <c r="E13" s="73"/>
      <c r="F13" s="172"/>
      <c r="G13" s="185"/>
      <c r="H13" s="89"/>
      <c r="K13" s="466" t="s">
        <v>84</v>
      </c>
      <c r="L13" s="467"/>
      <c r="M13" s="467"/>
      <c r="N13" s="467"/>
      <c r="O13" s="467"/>
    </row>
    <row r="14" spans="2:15" x14ac:dyDescent="0.3">
      <c r="D14" s="59">
        <v>2023</v>
      </c>
      <c r="E14" s="58">
        <v>2024</v>
      </c>
      <c r="F14" s="59">
        <v>2025</v>
      </c>
      <c r="G14" s="186">
        <v>2026</v>
      </c>
      <c r="H14" s="67"/>
      <c r="K14" s="212">
        <v>2024</v>
      </c>
      <c r="L14" s="232" t="s">
        <v>70</v>
      </c>
      <c r="M14" s="213">
        <v>2025</v>
      </c>
      <c r="N14" s="232" t="s">
        <v>70</v>
      </c>
      <c r="O14" s="223">
        <v>2026</v>
      </c>
    </row>
    <row r="15" spans="2:15" ht="14.5" thickBot="1" x14ac:dyDescent="0.35">
      <c r="D15" s="79" t="s">
        <v>37</v>
      </c>
      <c r="E15" s="80" t="s">
        <v>37</v>
      </c>
      <c r="F15" s="79" t="s">
        <v>37</v>
      </c>
      <c r="G15" s="187" t="s">
        <v>37</v>
      </c>
      <c r="H15" s="90"/>
      <c r="I15" s="74"/>
      <c r="J15" s="211" t="s">
        <v>40</v>
      </c>
      <c r="K15" s="214"/>
      <c r="L15" s="233"/>
      <c r="M15" s="215"/>
      <c r="N15" s="89"/>
      <c r="O15" s="224"/>
    </row>
    <row r="16" spans="2:15" ht="26" customHeight="1" x14ac:dyDescent="0.3">
      <c r="B16" s="463" t="s">
        <v>41</v>
      </c>
      <c r="C16" s="464"/>
      <c r="D16" s="81">
        <f>D11*2.5</f>
        <v>312.5</v>
      </c>
      <c r="E16" s="82">
        <f>E11*2.5</f>
        <v>342.5</v>
      </c>
      <c r="F16" s="173">
        <f>F11*2.1</f>
        <v>348.6</v>
      </c>
      <c r="G16" s="188">
        <f>G11*2.1</f>
        <v>392.7</v>
      </c>
      <c r="H16" s="91"/>
      <c r="I16" s="465" t="s">
        <v>42</v>
      </c>
      <c r="J16" s="456" t="s">
        <v>80</v>
      </c>
      <c r="K16" s="214"/>
      <c r="L16" s="233"/>
      <c r="M16" s="215"/>
      <c r="N16" s="89"/>
      <c r="O16" s="224"/>
    </row>
    <row r="17" spans="2:16" ht="26" customHeight="1" x14ac:dyDescent="0.3">
      <c r="B17" s="461" t="s">
        <v>47</v>
      </c>
      <c r="C17" s="462"/>
      <c r="D17" s="83"/>
      <c r="E17" s="84">
        <f>E16/1</f>
        <v>342.5</v>
      </c>
      <c r="F17" s="174">
        <f t="shared" ref="F17:G17" si="0">F16/1</f>
        <v>348.6</v>
      </c>
      <c r="G17" s="189">
        <f t="shared" si="0"/>
        <v>392.7</v>
      </c>
      <c r="H17" s="92"/>
      <c r="I17" s="465"/>
      <c r="J17" s="456"/>
      <c r="K17" s="214"/>
      <c r="L17" s="233"/>
      <c r="M17" s="215"/>
      <c r="N17" s="89"/>
      <c r="O17" s="224"/>
    </row>
    <row r="18" spans="2:16" ht="26" customHeight="1" x14ac:dyDescent="0.3">
      <c r="B18" s="457" t="s">
        <v>78</v>
      </c>
      <c r="C18" s="458"/>
      <c r="D18" s="76"/>
      <c r="E18" s="77">
        <f>E17-E19</f>
        <v>221.54456218204945</v>
      </c>
      <c r="F18" s="175">
        <f>F17-F19</f>
        <v>227.70508933860054</v>
      </c>
      <c r="G18" s="190">
        <f>F18*$H$18/100</f>
        <v>234.0369233170064</v>
      </c>
      <c r="H18" s="93">
        <f>F18*100/E18</f>
        <v>102.78071693381887</v>
      </c>
      <c r="I18" s="465"/>
      <c r="J18" s="456"/>
      <c r="K18" s="216">
        <f>E18</f>
        <v>221.54456218204945</v>
      </c>
      <c r="L18" s="217">
        <f>M18-K18</f>
        <v>6.1605271565510975</v>
      </c>
      <c r="M18" s="217">
        <f>F18</f>
        <v>227.70508933860054</v>
      </c>
      <c r="N18" s="217">
        <f>O18-M18</f>
        <v>6.3318339784058537</v>
      </c>
      <c r="O18" s="225">
        <f>G18</f>
        <v>234.0369233170064</v>
      </c>
      <c r="P18" s="210" t="s">
        <v>85</v>
      </c>
    </row>
    <row r="19" spans="2:16" ht="26" customHeight="1" thickBot="1" x14ac:dyDescent="0.35">
      <c r="B19" s="459" t="s">
        <v>48</v>
      </c>
      <c r="C19" s="460"/>
      <c r="D19" s="101"/>
      <c r="E19" s="102">
        <f>'MP Faktiskā izpilde_plāns'!K17</f>
        <v>120.95543781795055</v>
      </c>
      <c r="F19" s="176">
        <f>'MP Faktiskā izpilde_plāns'!K33</f>
        <v>120.89491066139948</v>
      </c>
      <c r="G19" s="191">
        <f>G17-G18</f>
        <v>158.66307668299359</v>
      </c>
      <c r="H19" s="93"/>
      <c r="I19" s="465"/>
      <c r="J19" s="456"/>
      <c r="K19" s="218">
        <f>E19</f>
        <v>120.95543781795055</v>
      </c>
      <c r="L19" s="229">
        <f>M19-K19</f>
        <v>-6.0527156551074768E-2</v>
      </c>
      <c r="M19" s="219">
        <f>F19</f>
        <v>120.89491066139948</v>
      </c>
      <c r="N19" s="229">
        <f t="shared" ref="L19:N31" si="1">O19-M19</f>
        <v>37.768166021594112</v>
      </c>
      <c r="O19" s="226">
        <f>G19</f>
        <v>158.66307668299359</v>
      </c>
      <c r="P19" s="52" t="s">
        <v>84</v>
      </c>
    </row>
    <row r="20" spans="2:16" s="65" customFormat="1" ht="26" customHeight="1" x14ac:dyDescent="0.3">
      <c r="B20" s="463" t="s">
        <v>43</v>
      </c>
      <c r="C20" s="464"/>
      <c r="D20" s="81">
        <f>(D11+D12)*2</f>
        <v>425</v>
      </c>
      <c r="E20" s="82">
        <f>(E11+E12)*2</f>
        <v>466</v>
      </c>
      <c r="F20" s="173">
        <f>(F11+F12)*1.7</f>
        <v>479.4</v>
      </c>
      <c r="G20" s="188">
        <f>(G11+G12)*1.7</f>
        <v>540.6</v>
      </c>
      <c r="H20" s="91"/>
      <c r="I20" s="465"/>
      <c r="J20" s="456" t="s">
        <v>81</v>
      </c>
      <c r="K20" s="220"/>
      <c r="L20" s="89"/>
      <c r="M20" s="89"/>
      <c r="N20" s="89"/>
      <c r="O20" s="227"/>
      <c r="P20" s="52"/>
    </row>
    <row r="21" spans="2:16" s="65" customFormat="1" ht="26" customHeight="1" x14ac:dyDescent="0.3">
      <c r="B21" s="461" t="s">
        <v>47</v>
      </c>
      <c r="C21" s="462"/>
      <c r="D21" s="64"/>
      <c r="E21" s="84">
        <f>E20/2</f>
        <v>233</v>
      </c>
      <c r="F21" s="174">
        <f>F20/2</f>
        <v>239.7</v>
      </c>
      <c r="G21" s="189">
        <f t="shared" ref="G21" si="2">G20/2</f>
        <v>270.3</v>
      </c>
      <c r="H21" s="92"/>
      <c r="I21" s="465"/>
      <c r="J21" s="456"/>
      <c r="K21" s="220"/>
      <c r="L21" s="89"/>
      <c r="M21" s="89"/>
      <c r="N21" s="89"/>
      <c r="O21" s="227"/>
    </row>
    <row r="22" spans="2:16" s="65" customFormat="1" ht="26" customHeight="1" x14ac:dyDescent="0.3">
      <c r="B22" s="457" t="s">
        <v>78</v>
      </c>
      <c r="C22" s="458"/>
      <c r="D22" s="64"/>
      <c r="E22" s="77">
        <f>E21-E23</f>
        <v>155.89281953087601</v>
      </c>
      <c r="F22" s="175">
        <f>F21-F23</f>
        <v>163.20488286721729</v>
      </c>
      <c r="G22" s="190">
        <f>F22*$H$22/100</f>
        <v>170.85991434279396</v>
      </c>
      <c r="H22" s="93">
        <f>F22*100/E22</f>
        <v>104.69044267615742</v>
      </c>
      <c r="I22" s="465"/>
      <c r="J22" s="456"/>
      <c r="K22" s="216">
        <f>E22*2</f>
        <v>311.78563906175202</v>
      </c>
      <c r="L22" s="217">
        <f t="shared" si="1"/>
        <v>14.624126672682564</v>
      </c>
      <c r="M22" s="217">
        <f>F22*2</f>
        <v>326.40976573443459</v>
      </c>
      <c r="N22" s="217">
        <f t="shared" si="1"/>
        <v>15.310062951153327</v>
      </c>
      <c r="O22" s="225">
        <f>G22*2</f>
        <v>341.71982868558791</v>
      </c>
      <c r="P22" s="210" t="s">
        <v>85</v>
      </c>
    </row>
    <row r="23" spans="2:16" s="65" customFormat="1" ht="26" customHeight="1" thickBot="1" x14ac:dyDescent="0.35">
      <c r="B23" s="459" t="s">
        <v>48</v>
      </c>
      <c r="C23" s="460"/>
      <c r="D23" s="103"/>
      <c r="E23" s="102">
        <f>'MP Faktiskā izpilde_plāns'!R17</f>
        <v>77.107180469123989</v>
      </c>
      <c r="F23" s="176">
        <f>'MP Faktiskā izpilde_plāns'!R33</f>
        <v>76.495117132782681</v>
      </c>
      <c r="G23" s="191">
        <f>G21-G22</f>
        <v>99.440085657206055</v>
      </c>
      <c r="H23" s="93"/>
      <c r="I23" s="465"/>
      <c r="J23" s="456"/>
      <c r="K23" s="218">
        <f>E23*2</f>
        <v>154.21436093824798</v>
      </c>
      <c r="L23" s="229">
        <f t="shared" si="1"/>
        <v>-1.2241266726826154</v>
      </c>
      <c r="M23" s="219">
        <f>F23*2</f>
        <v>152.99023426556536</v>
      </c>
      <c r="N23" s="229">
        <f t="shared" si="1"/>
        <v>45.889937048846747</v>
      </c>
      <c r="O23" s="226">
        <f>G23*2</f>
        <v>198.88017131441211</v>
      </c>
      <c r="P23" s="52" t="s">
        <v>84</v>
      </c>
    </row>
    <row r="24" spans="2:16" ht="26" customHeight="1" x14ac:dyDescent="0.3">
      <c r="B24" s="463" t="s">
        <v>44</v>
      </c>
      <c r="C24" s="464"/>
      <c r="D24" s="81">
        <f>(D11+D12+D12)*2</f>
        <v>600</v>
      </c>
      <c r="E24" s="82">
        <f>(E11+E12+E12)*2</f>
        <v>658</v>
      </c>
      <c r="F24" s="173">
        <f>(F11+F12+F12)*1.7</f>
        <v>676.6</v>
      </c>
      <c r="G24" s="188">
        <f>(G11+G12+G12)*1.7</f>
        <v>763.3</v>
      </c>
      <c r="H24" s="91"/>
      <c r="I24" s="465"/>
      <c r="J24" s="456" t="s">
        <v>82</v>
      </c>
      <c r="K24" s="214"/>
      <c r="L24" s="89"/>
      <c r="M24" s="215"/>
      <c r="N24" s="89"/>
      <c r="O24" s="224"/>
    </row>
    <row r="25" spans="2:16" ht="26" customHeight="1" x14ac:dyDescent="0.3">
      <c r="B25" s="461" t="s">
        <v>47</v>
      </c>
      <c r="C25" s="462"/>
      <c r="D25" s="64"/>
      <c r="E25" s="84">
        <f>E24/3</f>
        <v>219.33333333333334</v>
      </c>
      <c r="F25" s="174">
        <f t="shared" ref="F25:G25" si="3">F24/3</f>
        <v>225.53333333333333</v>
      </c>
      <c r="G25" s="189">
        <f t="shared" si="3"/>
        <v>254.43333333333331</v>
      </c>
      <c r="H25" s="92"/>
      <c r="I25" s="465"/>
      <c r="J25" s="456"/>
      <c r="K25" s="214"/>
      <c r="L25" s="89"/>
      <c r="M25" s="215"/>
      <c r="N25" s="89"/>
      <c r="O25" s="224"/>
    </row>
    <row r="26" spans="2:16" ht="26" customHeight="1" x14ac:dyDescent="0.3">
      <c r="B26" s="457" t="s">
        <v>78</v>
      </c>
      <c r="C26" s="458"/>
      <c r="D26" s="64"/>
      <c r="E26" s="77">
        <f>E25-E27</f>
        <v>149.7060476098066</v>
      </c>
      <c r="F26" s="175">
        <f>F25-F27</f>
        <v>151.22312104450091</v>
      </c>
      <c r="G26" s="190">
        <f>F26*$H$26/100</f>
        <v>152.75556801849442</v>
      </c>
      <c r="H26" s="93">
        <f>F26*100/E26</f>
        <v>101.0133681697672</v>
      </c>
      <c r="I26" s="465"/>
      <c r="J26" s="456"/>
      <c r="K26" s="216">
        <f>E26*3</f>
        <v>449.11814282941981</v>
      </c>
      <c r="L26" s="217">
        <f t="shared" si="1"/>
        <v>4.5512203040829604</v>
      </c>
      <c r="M26" s="217">
        <f>F26*3</f>
        <v>453.66936313350277</v>
      </c>
      <c r="N26" s="217">
        <f t="shared" si="1"/>
        <v>4.5973409219805035</v>
      </c>
      <c r="O26" s="225">
        <f>G26*3</f>
        <v>458.26670405548327</v>
      </c>
      <c r="P26" s="210" t="s">
        <v>85</v>
      </c>
    </row>
    <row r="27" spans="2:16" ht="26" customHeight="1" thickBot="1" x14ac:dyDescent="0.35">
      <c r="B27" s="459" t="s">
        <v>48</v>
      </c>
      <c r="C27" s="460"/>
      <c r="D27" s="103"/>
      <c r="E27" s="102">
        <f>'MP Faktiskā izpilde_plāns'!Y17</f>
        <v>69.627285723526754</v>
      </c>
      <c r="F27" s="176">
        <f>'MP Faktiskā izpilde_plāns'!Y33</f>
        <v>74.310212288832417</v>
      </c>
      <c r="G27" s="191">
        <f>G25-G26</f>
        <v>101.67776531483889</v>
      </c>
      <c r="H27" s="93"/>
      <c r="I27" s="465"/>
      <c r="J27" s="456"/>
      <c r="K27" s="218">
        <f>E27*3</f>
        <v>208.88185717058025</v>
      </c>
      <c r="L27" s="229">
        <f t="shared" si="1"/>
        <v>14.048779695917005</v>
      </c>
      <c r="M27" s="219">
        <f>F27*3</f>
        <v>222.93063686649725</v>
      </c>
      <c r="N27" s="229">
        <f t="shared" si="1"/>
        <v>82.102659078019428</v>
      </c>
      <c r="O27" s="226">
        <f>G27*3</f>
        <v>305.03329594451668</v>
      </c>
      <c r="P27" s="52" t="s">
        <v>84</v>
      </c>
    </row>
    <row r="28" spans="2:16" ht="26" customHeight="1" x14ac:dyDescent="0.3">
      <c r="B28" s="463" t="s">
        <v>45</v>
      </c>
      <c r="C28" s="464"/>
      <c r="D28" s="81">
        <f>(D11+D12+D12)*1.5</f>
        <v>450</v>
      </c>
      <c r="E28" s="82">
        <f>(E11+E12+E12)*1.5</f>
        <v>493.5</v>
      </c>
      <c r="F28" s="173">
        <f>(F11+F12+F12)*1.3</f>
        <v>517.4</v>
      </c>
      <c r="G28" s="188">
        <f>(G11+G12+G12)*1.3</f>
        <v>583.70000000000005</v>
      </c>
      <c r="H28" s="91"/>
      <c r="I28" s="465"/>
      <c r="J28" s="456" t="s">
        <v>83</v>
      </c>
      <c r="K28" s="214"/>
      <c r="L28" s="89"/>
      <c r="M28" s="215"/>
      <c r="N28" s="89"/>
      <c r="O28" s="224"/>
    </row>
    <row r="29" spans="2:16" ht="26" customHeight="1" x14ac:dyDescent="0.3">
      <c r="B29" s="461" t="s">
        <v>47</v>
      </c>
      <c r="C29" s="462"/>
      <c r="D29" s="64"/>
      <c r="E29" s="84">
        <f>E28/3</f>
        <v>164.5</v>
      </c>
      <c r="F29" s="174">
        <f t="shared" ref="F29:G29" si="4">F28/3</f>
        <v>172.46666666666667</v>
      </c>
      <c r="G29" s="189">
        <f t="shared" si="4"/>
        <v>194.56666666666669</v>
      </c>
      <c r="H29" s="92"/>
      <c r="J29" s="456"/>
      <c r="K29" s="214"/>
      <c r="L29" s="89"/>
      <c r="M29" s="215"/>
      <c r="N29" s="89"/>
      <c r="O29" s="224"/>
    </row>
    <row r="30" spans="2:16" ht="26" customHeight="1" x14ac:dyDescent="0.3">
      <c r="B30" s="457" t="s">
        <v>78</v>
      </c>
      <c r="C30" s="458"/>
      <c r="D30" s="64"/>
      <c r="E30" s="77">
        <f>E29-E31</f>
        <v>87.204507779538034</v>
      </c>
      <c r="F30" s="175">
        <f>F29-F31</f>
        <v>92.976425875561972</v>
      </c>
      <c r="G30" s="190">
        <f>F30*$H$26/100</f>
        <v>93.918619380772128</v>
      </c>
      <c r="H30" s="93">
        <f>F30*100/E30</f>
        <v>106.6188299699093</v>
      </c>
      <c r="J30" s="456"/>
      <c r="K30" s="216">
        <f>E30*3</f>
        <v>261.61352333861407</v>
      </c>
      <c r="L30" s="217">
        <f t="shared" si="1"/>
        <v>17.315754288071844</v>
      </c>
      <c r="M30" s="217">
        <f>F30*3</f>
        <v>278.92927762668592</v>
      </c>
      <c r="N30" s="217">
        <f t="shared" si="1"/>
        <v>2.8265805156304395</v>
      </c>
      <c r="O30" s="225">
        <f>G30*3</f>
        <v>281.75585814231636</v>
      </c>
      <c r="P30" s="210" t="s">
        <v>85</v>
      </c>
    </row>
    <row r="31" spans="2:16" ht="26" customHeight="1" thickBot="1" x14ac:dyDescent="0.35">
      <c r="B31" s="459" t="s">
        <v>48</v>
      </c>
      <c r="C31" s="460"/>
      <c r="D31" s="103"/>
      <c r="E31" s="102">
        <f>'MP Faktiskā izpilde_plāns'!AF17</f>
        <v>77.295492220461966</v>
      </c>
      <c r="F31" s="176">
        <f>'MP Faktiskā izpilde_plāns'!AF33</f>
        <v>79.490240791104696</v>
      </c>
      <c r="G31" s="192">
        <f>G29-G30</f>
        <v>100.64804728589456</v>
      </c>
      <c r="H31" s="93"/>
      <c r="J31" s="456"/>
      <c r="K31" s="221">
        <f>E31*3</f>
        <v>231.8864766613859</v>
      </c>
      <c r="L31" s="230">
        <f t="shared" si="1"/>
        <v>6.5842457119281903</v>
      </c>
      <c r="M31" s="222">
        <f>F31*3</f>
        <v>238.47072237331409</v>
      </c>
      <c r="N31" s="230">
        <f t="shared" si="1"/>
        <v>63.4734194843696</v>
      </c>
      <c r="O31" s="228">
        <f>G31*3</f>
        <v>301.94414185768369</v>
      </c>
      <c r="P31" s="52" t="s">
        <v>84</v>
      </c>
    </row>
    <row r="32" spans="2:16" x14ac:dyDescent="0.3">
      <c r="E32" s="85">
        <f>E17-E18-E19</f>
        <v>0</v>
      </c>
      <c r="F32" s="85">
        <f t="shared" ref="F32:G32" si="5">F17-F18-F19</f>
        <v>0</v>
      </c>
      <c r="G32" s="85">
        <f t="shared" si="5"/>
        <v>0</v>
      </c>
      <c r="H32" s="85"/>
    </row>
    <row r="33" spans="2:19" ht="14" customHeight="1" x14ac:dyDescent="0.3">
      <c r="B33" s="455" t="s">
        <v>79</v>
      </c>
      <c r="C33" s="455"/>
      <c r="E33" s="85">
        <f>E21-E22-E23</f>
        <v>0</v>
      </c>
      <c r="F33" s="85">
        <f t="shared" ref="F33:G33" si="6">F21-F22-F23</f>
        <v>0</v>
      </c>
      <c r="G33" s="85">
        <f t="shared" si="6"/>
        <v>0</v>
      </c>
      <c r="H33" s="85"/>
      <c r="J33" s="455" t="s">
        <v>86</v>
      </c>
      <c r="K33" s="455"/>
      <c r="L33" s="455"/>
      <c r="M33" s="455"/>
      <c r="N33" s="455"/>
      <c r="O33" s="455"/>
      <c r="P33" s="455"/>
      <c r="Q33" s="455"/>
      <c r="R33" s="455"/>
      <c r="S33" s="455"/>
    </row>
    <row r="34" spans="2:19" x14ac:dyDescent="0.3">
      <c r="B34" s="455"/>
      <c r="C34" s="455"/>
      <c r="E34" s="85">
        <f>E25-E26-E27</f>
        <v>0</v>
      </c>
      <c r="F34" s="85">
        <f t="shared" ref="F34:G34" si="7">F25-F26-F27</f>
        <v>0</v>
      </c>
      <c r="G34" s="85">
        <f t="shared" si="7"/>
        <v>0</v>
      </c>
      <c r="H34" s="85"/>
      <c r="J34" s="455"/>
      <c r="K34" s="455"/>
      <c r="L34" s="455"/>
      <c r="M34" s="455"/>
      <c r="N34" s="455"/>
      <c r="O34" s="455"/>
      <c r="P34" s="455"/>
      <c r="Q34" s="455"/>
      <c r="R34" s="455"/>
      <c r="S34" s="455"/>
    </row>
    <row r="35" spans="2:19" x14ac:dyDescent="0.3">
      <c r="B35" s="455"/>
      <c r="C35" s="455"/>
      <c r="E35" s="85">
        <f>E29-E30-E31</f>
        <v>0</v>
      </c>
      <c r="F35" s="85">
        <f t="shared" ref="F35:G35" si="8">F29-F30-F31</f>
        <v>0</v>
      </c>
      <c r="G35" s="85">
        <f t="shared" si="8"/>
        <v>0</v>
      </c>
      <c r="H35" s="85"/>
      <c r="J35" s="455"/>
      <c r="K35" s="455"/>
      <c r="L35" s="455"/>
      <c r="M35" s="455"/>
      <c r="N35" s="455"/>
      <c r="O35" s="455"/>
      <c r="P35" s="455"/>
      <c r="Q35" s="455"/>
      <c r="R35" s="455"/>
      <c r="S35" s="455"/>
    </row>
    <row r="36" spans="2:19" x14ac:dyDescent="0.3">
      <c r="E36" s="85">
        <f>SUM(E32:E35)</f>
        <v>0</v>
      </c>
      <c r="F36" s="85">
        <f t="shared" ref="F36:G36" si="9">SUM(F32:F35)</f>
        <v>0</v>
      </c>
      <c r="G36" s="85">
        <f t="shared" si="9"/>
        <v>0</v>
      </c>
      <c r="H36" s="78">
        <f>SUM(H32:H35)</f>
        <v>0</v>
      </c>
      <c r="J36" s="455"/>
      <c r="K36" s="455"/>
      <c r="L36" s="455"/>
      <c r="M36" s="455"/>
      <c r="N36" s="455"/>
      <c r="O36" s="455"/>
      <c r="P36" s="455"/>
      <c r="Q36" s="455"/>
      <c r="R36" s="455"/>
      <c r="S36" s="455"/>
    </row>
    <row r="37" spans="2:19" x14ac:dyDescent="0.3">
      <c r="J37" s="455"/>
      <c r="K37" s="455"/>
      <c r="L37" s="455"/>
      <c r="M37" s="455"/>
      <c r="N37" s="455"/>
      <c r="O37" s="455"/>
      <c r="P37" s="455"/>
      <c r="Q37" s="455"/>
      <c r="R37" s="455"/>
      <c r="S37" s="455"/>
    </row>
    <row r="38" spans="2:19" x14ac:dyDescent="0.3">
      <c r="J38" s="455"/>
      <c r="K38" s="455"/>
      <c r="L38" s="455"/>
      <c r="M38" s="455"/>
      <c r="N38" s="455"/>
      <c r="O38" s="455"/>
      <c r="P38" s="455"/>
      <c r="Q38" s="455"/>
      <c r="R38" s="455"/>
      <c r="S38" s="455"/>
    </row>
    <row r="39" spans="2:19" x14ac:dyDescent="0.3">
      <c r="J39" s="455"/>
      <c r="K39" s="455"/>
      <c r="L39" s="455"/>
      <c r="M39" s="455"/>
      <c r="N39" s="455"/>
      <c r="O39" s="455"/>
      <c r="P39" s="455"/>
      <c r="Q39" s="455"/>
      <c r="R39" s="455"/>
      <c r="S39" s="455"/>
    </row>
    <row r="40" spans="2:19" x14ac:dyDescent="0.3">
      <c r="J40" s="455"/>
      <c r="K40" s="455"/>
      <c r="L40" s="455"/>
      <c r="M40" s="455"/>
      <c r="N40" s="455"/>
      <c r="O40" s="455"/>
      <c r="P40" s="455"/>
      <c r="Q40" s="455"/>
      <c r="R40" s="455"/>
      <c r="S40" s="455"/>
    </row>
    <row r="41" spans="2:19" x14ac:dyDescent="0.3">
      <c r="J41" s="455"/>
      <c r="K41" s="455"/>
      <c r="L41" s="455"/>
      <c r="M41" s="455"/>
      <c r="N41" s="455"/>
      <c r="O41" s="455"/>
      <c r="P41" s="455"/>
      <c r="Q41" s="455"/>
      <c r="R41" s="455"/>
      <c r="S41" s="455"/>
    </row>
    <row r="42" spans="2:19" x14ac:dyDescent="0.3">
      <c r="J42" s="455"/>
      <c r="K42" s="455"/>
      <c r="L42" s="455"/>
      <c r="M42" s="455"/>
      <c r="N42" s="455"/>
      <c r="O42" s="455"/>
      <c r="P42" s="455"/>
      <c r="Q42" s="455"/>
      <c r="R42" s="455"/>
      <c r="S42" s="455"/>
    </row>
  </sheetData>
  <mergeCells count="31">
    <mergeCell ref="K13:O13"/>
    <mergeCell ref="B9:B10"/>
    <mergeCell ref="C9:C10"/>
    <mergeCell ref="B1:J1"/>
    <mergeCell ref="B2:I2"/>
    <mergeCell ref="B4:E4"/>
    <mergeCell ref="B5:E5"/>
    <mergeCell ref="B6:E6"/>
    <mergeCell ref="B22:C22"/>
    <mergeCell ref="B16:C16"/>
    <mergeCell ref="I16:I28"/>
    <mergeCell ref="B20:C20"/>
    <mergeCell ref="B24:C24"/>
    <mergeCell ref="B28:C28"/>
    <mergeCell ref="B23:C23"/>
    <mergeCell ref="J33:S42"/>
    <mergeCell ref="B33:C35"/>
    <mergeCell ref="J16:J19"/>
    <mergeCell ref="J20:J23"/>
    <mergeCell ref="J24:J27"/>
    <mergeCell ref="J28:J31"/>
    <mergeCell ref="B26:C26"/>
    <mergeCell ref="B27:C27"/>
    <mergeCell ref="B29:C29"/>
    <mergeCell ref="B30:C30"/>
    <mergeCell ref="B31:C31"/>
    <mergeCell ref="B25:C25"/>
    <mergeCell ref="B17:C17"/>
    <mergeCell ref="B18:C18"/>
    <mergeCell ref="B19:C19"/>
    <mergeCell ref="B21:C21"/>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3039F-26FB-41A4-9464-156BC5E8DE71}">
  <dimension ref="B1:K51"/>
  <sheetViews>
    <sheetView topLeftCell="B1" zoomScale="80" zoomScaleNormal="80" workbookViewId="0">
      <selection activeCell="N11" sqref="N11"/>
    </sheetView>
  </sheetViews>
  <sheetFormatPr defaultRowHeight="14" x14ac:dyDescent="0.3"/>
  <cols>
    <col min="1" max="1" width="0" style="52" hidden="1" customWidth="1"/>
    <col min="2" max="2" width="52.1796875" style="52" customWidth="1"/>
    <col min="3" max="3" width="6.81640625" style="56" customWidth="1"/>
    <col min="4" max="4" width="9.81640625" style="56" hidden="1" customWidth="1"/>
    <col min="5" max="7" width="10.81640625" style="52" customWidth="1"/>
    <col min="8" max="8" width="10.81640625" style="65" hidden="1" customWidth="1"/>
    <col min="9" max="9" width="15.81640625" style="52" hidden="1" customWidth="1"/>
    <col min="10" max="10" width="15.81640625" style="355" customWidth="1"/>
    <col min="11" max="11" width="4.1796875" style="53" customWidth="1"/>
    <col min="12" max="16384" width="8.7265625" style="52"/>
  </cols>
  <sheetData>
    <row r="1" spans="2:11" x14ac:dyDescent="0.3">
      <c r="B1" s="471" t="s">
        <v>33</v>
      </c>
      <c r="C1" s="471"/>
      <c r="D1" s="471"/>
      <c r="E1" s="471"/>
      <c r="F1" s="471"/>
      <c r="G1" s="471"/>
      <c r="H1" s="471"/>
      <c r="I1" s="471"/>
      <c r="J1" s="471"/>
      <c r="K1" s="471"/>
    </row>
    <row r="2" spans="2:11" x14ac:dyDescent="0.3">
      <c r="B2" s="472" t="s">
        <v>89</v>
      </c>
      <c r="C2" s="472"/>
      <c r="D2" s="472"/>
      <c r="E2" s="472"/>
      <c r="F2" s="472"/>
      <c r="G2" s="472"/>
      <c r="H2" s="472"/>
      <c r="I2" s="472"/>
      <c r="J2" s="354"/>
    </row>
    <row r="3" spans="2:11" ht="14.5" thickBot="1" x14ac:dyDescent="0.35"/>
    <row r="4" spans="2:11" ht="14.5" thickTop="1" x14ac:dyDescent="0.3">
      <c r="B4" s="473"/>
      <c r="C4" s="473"/>
      <c r="D4" s="473"/>
      <c r="E4" s="473"/>
      <c r="F4" s="168" t="s">
        <v>46</v>
      </c>
      <c r="G4" s="177" t="s">
        <v>75</v>
      </c>
      <c r="H4" s="86"/>
    </row>
    <row r="5" spans="2:11" s="54" customFormat="1" x14ac:dyDescent="0.3">
      <c r="B5" s="474" t="s">
        <v>34</v>
      </c>
      <c r="C5" s="474"/>
      <c r="D5" s="474"/>
      <c r="E5" s="474"/>
      <c r="F5" s="169">
        <v>2022</v>
      </c>
      <c r="G5" s="178">
        <v>2023</v>
      </c>
      <c r="H5" s="87"/>
      <c r="J5" s="355"/>
      <c r="K5" s="55"/>
    </row>
    <row r="6" spans="2:11" x14ac:dyDescent="0.3">
      <c r="B6" s="474" t="s">
        <v>35</v>
      </c>
      <c r="C6" s="474"/>
      <c r="D6" s="474"/>
      <c r="E6" s="474"/>
      <c r="F6" s="170">
        <v>754.74</v>
      </c>
      <c r="G6" s="179">
        <v>850.02</v>
      </c>
      <c r="H6" s="88"/>
    </row>
    <row r="7" spans="2:11" x14ac:dyDescent="0.3">
      <c r="F7" s="66">
        <f>ROUND(F6*0.22,0)</f>
        <v>166</v>
      </c>
      <c r="G7" s="180">
        <f>ROUND(G6*0.22,0)</f>
        <v>187</v>
      </c>
      <c r="H7" s="75"/>
      <c r="I7" s="57"/>
      <c r="J7" s="356"/>
    </row>
    <row r="8" spans="2:11" x14ac:dyDescent="0.3">
      <c r="F8" s="54"/>
      <c r="G8" s="181"/>
      <c r="J8" s="475" t="s">
        <v>116</v>
      </c>
    </row>
    <row r="9" spans="2:11" x14ac:dyDescent="0.3">
      <c r="B9" s="468"/>
      <c r="C9" s="470" t="s">
        <v>36</v>
      </c>
      <c r="D9" s="59">
        <v>2023</v>
      </c>
      <c r="E9" s="58">
        <v>2024</v>
      </c>
      <c r="F9" s="59">
        <v>2025</v>
      </c>
      <c r="G9" s="182">
        <v>2026</v>
      </c>
      <c r="H9" s="67"/>
      <c r="J9" s="475"/>
    </row>
    <row r="10" spans="2:11" x14ac:dyDescent="0.3">
      <c r="B10" s="469"/>
      <c r="C10" s="470"/>
      <c r="D10" s="61" t="s">
        <v>37</v>
      </c>
      <c r="E10" s="60" t="s">
        <v>37</v>
      </c>
      <c r="F10" s="61" t="s">
        <v>37</v>
      </c>
      <c r="G10" s="183" t="s">
        <v>37</v>
      </c>
      <c r="H10" s="68"/>
      <c r="J10" s="475"/>
    </row>
    <row r="11" spans="2:11" x14ac:dyDescent="0.3">
      <c r="B11" s="62" t="s">
        <v>38</v>
      </c>
      <c r="C11" s="63">
        <v>1</v>
      </c>
      <c r="D11" s="70">
        <v>125</v>
      </c>
      <c r="E11" s="72">
        <v>137</v>
      </c>
      <c r="F11" s="171">
        <f>F7</f>
        <v>166</v>
      </c>
      <c r="G11" s="184">
        <f>G7</f>
        <v>187</v>
      </c>
      <c r="H11" s="69"/>
      <c r="J11" s="475"/>
    </row>
    <row r="12" spans="2:11" x14ac:dyDescent="0.3">
      <c r="B12" s="62" t="s">
        <v>39</v>
      </c>
      <c r="C12" s="63">
        <v>0.7</v>
      </c>
      <c r="D12" s="71">
        <v>87.5</v>
      </c>
      <c r="E12" s="72">
        <f>ROUND(E11*C12,0)</f>
        <v>96</v>
      </c>
      <c r="F12" s="171">
        <f>ROUND(F11*C12,0)</f>
        <v>116</v>
      </c>
      <c r="G12" s="184">
        <f>ROUND(G11*C12,0)</f>
        <v>131</v>
      </c>
      <c r="H12" s="69"/>
      <c r="J12" s="475"/>
    </row>
    <row r="13" spans="2:11" x14ac:dyDescent="0.3">
      <c r="E13" s="73"/>
      <c r="F13" s="172"/>
      <c r="G13" s="185"/>
      <c r="H13" s="89"/>
      <c r="J13" s="475"/>
    </row>
    <row r="14" spans="2:11" x14ac:dyDescent="0.3">
      <c r="D14" s="59">
        <v>2023</v>
      </c>
      <c r="E14" s="58">
        <v>2024</v>
      </c>
      <c r="F14" s="59">
        <v>2025</v>
      </c>
      <c r="G14" s="186">
        <v>2026</v>
      </c>
      <c r="H14" s="67"/>
      <c r="J14" s="475"/>
    </row>
    <row r="15" spans="2:11" ht="14.5" thickBot="1" x14ac:dyDescent="0.35">
      <c r="D15" s="79" t="s">
        <v>37</v>
      </c>
      <c r="E15" s="80" t="s">
        <v>37</v>
      </c>
      <c r="F15" s="79" t="s">
        <v>37</v>
      </c>
      <c r="G15" s="187" t="s">
        <v>37</v>
      </c>
      <c r="H15" s="90"/>
      <c r="I15" s="74"/>
      <c r="J15" s="475"/>
      <c r="K15" s="211"/>
    </row>
    <row r="16" spans="2:11" ht="26" customHeight="1" x14ac:dyDescent="0.3">
      <c r="B16" s="463" t="s">
        <v>41</v>
      </c>
      <c r="C16" s="464"/>
      <c r="D16" s="81">
        <f>D11*2.5</f>
        <v>312.5</v>
      </c>
      <c r="E16" s="82">
        <f>E11*2.5</f>
        <v>342.5</v>
      </c>
      <c r="F16" s="173">
        <f>F11*2.1</f>
        <v>348.6</v>
      </c>
      <c r="G16" s="188">
        <f>G11*2.5</f>
        <v>467.5</v>
      </c>
      <c r="H16" s="91"/>
      <c r="I16" s="465" t="s">
        <v>42</v>
      </c>
      <c r="J16" s="358">
        <f>G16-'GMI apmēri'!G16</f>
        <v>74.800000000000011</v>
      </c>
      <c r="K16" s="456"/>
    </row>
    <row r="17" spans="2:11" ht="26" customHeight="1" x14ac:dyDescent="0.3">
      <c r="B17" s="461" t="s">
        <v>47</v>
      </c>
      <c r="C17" s="462"/>
      <c r="D17" s="83"/>
      <c r="E17" s="84">
        <f>E16/1</f>
        <v>342.5</v>
      </c>
      <c r="F17" s="174">
        <f t="shared" ref="F17:G17" si="0">F16/1</f>
        <v>348.6</v>
      </c>
      <c r="G17" s="189">
        <f t="shared" si="0"/>
        <v>467.5</v>
      </c>
      <c r="H17" s="92"/>
      <c r="I17" s="465"/>
      <c r="J17" s="357">
        <f>G17-'GMI apmēri'!G17</f>
        <v>74.800000000000011</v>
      </c>
      <c r="K17" s="456"/>
    </row>
    <row r="18" spans="2:11" ht="26" customHeight="1" x14ac:dyDescent="0.3">
      <c r="B18" s="457" t="s">
        <v>78</v>
      </c>
      <c r="C18" s="458"/>
      <c r="D18" s="76"/>
      <c r="E18" s="77">
        <f>E17-E19</f>
        <v>221.54456218204945</v>
      </c>
      <c r="F18" s="175">
        <f>F17-F19</f>
        <v>227.70508933860054</v>
      </c>
      <c r="G18" s="190">
        <f>F18*$H$18/100</f>
        <v>234.0369233170064</v>
      </c>
      <c r="H18" s="93">
        <f>F18*100/E18</f>
        <v>102.78071693381887</v>
      </c>
      <c r="I18" s="465"/>
      <c r="J18" s="357"/>
      <c r="K18" s="456"/>
    </row>
    <row r="19" spans="2:11" ht="26" customHeight="1" thickBot="1" x14ac:dyDescent="0.35">
      <c r="B19" s="459" t="s">
        <v>48</v>
      </c>
      <c r="C19" s="460"/>
      <c r="D19" s="101"/>
      <c r="E19" s="102">
        <f>'MP Faktiskā izpilde_plāns'!K17</f>
        <v>120.95543781795055</v>
      </c>
      <c r="F19" s="176">
        <f>'MP Faktiskā izpilde_plāns'!K33</f>
        <v>120.89491066139948</v>
      </c>
      <c r="G19" s="360">
        <f>G17-G18</f>
        <v>233.4630766829936</v>
      </c>
      <c r="H19" s="93"/>
      <c r="I19" s="465"/>
      <c r="J19" s="359">
        <f>G19-'GMI apmēri'!G19</f>
        <v>74.800000000000011</v>
      </c>
      <c r="K19" s="456"/>
    </row>
    <row r="20" spans="2:11" s="65" customFormat="1" ht="26" customHeight="1" x14ac:dyDescent="0.3">
      <c r="B20" s="463" t="s">
        <v>43</v>
      </c>
      <c r="C20" s="464"/>
      <c r="D20" s="81">
        <f>(D11+D12)*2</f>
        <v>425</v>
      </c>
      <c r="E20" s="82">
        <f>(E11+E12)*2</f>
        <v>466</v>
      </c>
      <c r="F20" s="173">
        <f>(F11+F12)*1.7</f>
        <v>479.4</v>
      </c>
      <c r="G20" s="188">
        <f>(G11+G12)*2</f>
        <v>636</v>
      </c>
      <c r="H20" s="91"/>
      <c r="I20" s="465"/>
      <c r="J20" s="358">
        <f>G20-'GMI apmēri'!G20</f>
        <v>95.399999999999977</v>
      </c>
      <c r="K20" s="456"/>
    </row>
    <row r="21" spans="2:11" s="65" customFormat="1" ht="26" customHeight="1" x14ac:dyDescent="0.3">
      <c r="B21" s="461" t="s">
        <v>47</v>
      </c>
      <c r="C21" s="462"/>
      <c r="D21" s="64"/>
      <c r="E21" s="84">
        <f>E20/2</f>
        <v>233</v>
      </c>
      <c r="F21" s="174">
        <f>F20/2</f>
        <v>239.7</v>
      </c>
      <c r="G21" s="189">
        <f t="shared" ref="G21" si="1">G20/2</f>
        <v>318</v>
      </c>
      <c r="H21" s="92"/>
      <c r="I21" s="465"/>
      <c r="J21" s="357">
        <f>G21-'GMI apmēri'!G21</f>
        <v>47.699999999999989</v>
      </c>
      <c r="K21" s="456"/>
    </row>
    <row r="22" spans="2:11" s="65" customFormat="1" ht="26" customHeight="1" x14ac:dyDescent="0.3">
      <c r="B22" s="457" t="s">
        <v>78</v>
      </c>
      <c r="C22" s="458"/>
      <c r="D22" s="64"/>
      <c r="E22" s="77">
        <f>E21-E23</f>
        <v>155.89281953087601</v>
      </c>
      <c r="F22" s="175">
        <f>F21-F23</f>
        <v>163.20488286721729</v>
      </c>
      <c r="G22" s="190">
        <f>F22*$H$22/100</f>
        <v>170.85991434279396</v>
      </c>
      <c r="H22" s="93">
        <f>F22*100/E22</f>
        <v>104.69044267615742</v>
      </c>
      <c r="I22" s="465"/>
      <c r="J22" s="357"/>
      <c r="K22" s="456"/>
    </row>
    <row r="23" spans="2:11" s="65" customFormat="1" ht="26" customHeight="1" thickBot="1" x14ac:dyDescent="0.35">
      <c r="B23" s="459" t="s">
        <v>48</v>
      </c>
      <c r="C23" s="460"/>
      <c r="D23" s="103"/>
      <c r="E23" s="102">
        <f>'MP Faktiskā izpilde_plāns'!R17</f>
        <v>77.107180469123989</v>
      </c>
      <c r="F23" s="176">
        <f>'MP Faktiskā izpilde_plāns'!R33</f>
        <v>76.495117132782681</v>
      </c>
      <c r="G23" s="360">
        <f>G21-G22</f>
        <v>147.14008565720604</v>
      </c>
      <c r="H23" s="93"/>
      <c r="I23" s="465"/>
      <c r="J23" s="359">
        <f>G23-'GMI apmēri'!G23</f>
        <v>47.699999999999989</v>
      </c>
      <c r="K23" s="456"/>
    </row>
    <row r="24" spans="2:11" ht="26" customHeight="1" x14ac:dyDescent="0.3">
      <c r="B24" s="463" t="s">
        <v>44</v>
      </c>
      <c r="C24" s="464"/>
      <c r="D24" s="81">
        <f>(D11+D12+D12)*2</f>
        <v>600</v>
      </c>
      <c r="E24" s="82">
        <f>(E11+E12+E12)*2</f>
        <v>658</v>
      </c>
      <c r="F24" s="173">
        <f>(F11+F12+F12)*1.7</f>
        <v>676.6</v>
      </c>
      <c r="G24" s="188">
        <f>(G11+G12+G12)*2</f>
        <v>898</v>
      </c>
      <c r="H24" s="91"/>
      <c r="I24" s="465"/>
      <c r="J24" s="358">
        <f>G24-'GMI apmēri'!G24</f>
        <v>134.70000000000005</v>
      </c>
      <c r="K24" s="456"/>
    </row>
    <row r="25" spans="2:11" ht="26" customHeight="1" x14ac:dyDescent="0.3">
      <c r="B25" s="461" t="s">
        <v>47</v>
      </c>
      <c r="C25" s="462"/>
      <c r="D25" s="64"/>
      <c r="E25" s="84">
        <f>E24/3</f>
        <v>219.33333333333334</v>
      </c>
      <c r="F25" s="174">
        <f t="shared" ref="F25:G25" si="2">F24/3</f>
        <v>225.53333333333333</v>
      </c>
      <c r="G25" s="189">
        <f t="shared" si="2"/>
        <v>299.33333333333331</v>
      </c>
      <c r="H25" s="92"/>
      <c r="I25" s="465"/>
      <c r="J25" s="357">
        <f>G25-'GMI apmēri'!G25</f>
        <v>44.900000000000006</v>
      </c>
      <c r="K25" s="456"/>
    </row>
    <row r="26" spans="2:11" ht="26" customHeight="1" x14ac:dyDescent="0.3">
      <c r="B26" s="457" t="s">
        <v>78</v>
      </c>
      <c r="C26" s="458"/>
      <c r="D26" s="64"/>
      <c r="E26" s="77">
        <f>E25-E27</f>
        <v>149.7060476098066</v>
      </c>
      <c r="F26" s="175">
        <f>F25-F27</f>
        <v>151.22312104450091</v>
      </c>
      <c r="G26" s="190">
        <f>F26*$H$26/100</f>
        <v>152.75556801849442</v>
      </c>
      <c r="H26" s="93">
        <f>F26*100/E26</f>
        <v>101.0133681697672</v>
      </c>
      <c r="I26" s="465"/>
      <c r="J26" s="357"/>
      <c r="K26" s="456"/>
    </row>
    <row r="27" spans="2:11" ht="26" customHeight="1" thickBot="1" x14ac:dyDescent="0.35">
      <c r="B27" s="459" t="s">
        <v>48</v>
      </c>
      <c r="C27" s="460"/>
      <c r="D27" s="103"/>
      <c r="E27" s="102">
        <f>'MP Faktiskā izpilde_plāns'!Y17</f>
        <v>69.627285723526754</v>
      </c>
      <c r="F27" s="176">
        <f>'MP Faktiskā izpilde_plāns'!Y33</f>
        <v>74.310212288832417</v>
      </c>
      <c r="G27" s="360">
        <f>G25-G26</f>
        <v>146.5777653148389</v>
      </c>
      <c r="H27" s="93"/>
      <c r="I27" s="465"/>
      <c r="J27" s="359">
        <f>G27-'GMI apmēri'!G27</f>
        <v>44.900000000000006</v>
      </c>
      <c r="K27" s="456"/>
    </row>
    <row r="28" spans="2:11" ht="26" customHeight="1" x14ac:dyDescent="0.3">
      <c r="B28" s="463" t="s">
        <v>45</v>
      </c>
      <c r="C28" s="464"/>
      <c r="D28" s="81">
        <f>(D11+D12+D12)*1.5</f>
        <v>450</v>
      </c>
      <c r="E28" s="82">
        <f>(E11+E12+E12)*1.5</f>
        <v>493.5</v>
      </c>
      <c r="F28" s="173">
        <f>(F11+F12+F12)*1.3</f>
        <v>517.4</v>
      </c>
      <c r="G28" s="188">
        <f>(G11+G12+G12)*1.7</f>
        <v>763.3</v>
      </c>
      <c r="H28" s="91"/>
      <c r="I28" s="465"/>
      <c r="J28" s="358">
        <f>G28-'GMI apmēri'!G28</f>
        <v>179.59999999999991</v>
      </c>
      <c r="K28" s="456"/>
    </row>
    <row r="29" spans="2:11" ht="26" customHeight="1" x14ac:dyDescent="0.3">
      <c r="B29" s="461" t="s">
        <v>47</v>
      </c>
      <c r="C29" s="462"/>
      <c r="D29" s="64"/>
      <c r="E29" s="84">
        <f>E28/3</f>
        <v>164.5</v>
      </c>
      <c r="F29" s="174">
        <f t="shared" ref="F29:G29" si="3">F28/3</f>
        <v>172.46666666666667</v>
      </c>
      <c r="G29" s="189">
        <f t="shared" si="3"/>
        <v>254.43333333333331</v>
      </c>
      <c r="H29" s="92"/>
      <c r="J29" s="357">
        <f>G29-'GMI apmēri'!G29</f>
        <v>59.866666666666617</v>
      </c>
      <c r="K29" s="456"/>
    </row>
    <row r="30" spans="2:11" ht="26" customHeight="1" x14ac:dyDescent="0.3">
      <c r="B30" s="457" t="s">
        <v>78</v>
      </c>
      <c r="C30" s="458"/>
      <c r="D30" s="64"/>
      <c r="E30" s="77">
        <f>E29-E31</f>
        <v>87.204507779538034</v>
      </c>
      <c r="F30" s="175">
        <f>F29-F31</f>
        <v>92.976425875561972</v>
      </c>
      <c r="G30" s="190">
        <f>F30*$H$26/100</f>
        <v>93.918619380772128</v>
      </c>
      <c r="H30" s="93">
        <f>F30*100/E30</f>
        <v>106.6188299699093</v>
      </c>
      <c r="J30" s="357"/>
      <c r="K30" s="456"/>
    </row>
    <row r="31" spans="2:11" ht="26" customHeight="1" thickBot="1" x14ac:dyDescent="0.35">
      <c r="B31" s="459" t="s">
        <v>48</v>
      </c>
      <c r="C31" s="460"/>
      <c r="D31" s="103"/>
      <c r="E31" s="102">
        <f>'MP Faktiskā izpilde_plāns'!AF17</f>
        <v>77.295492220461966</v>
      </c>
      <c r="F31" s="176">
        <f>'MP Faktiskā izpilde_plāns'!AF33</f>
        <v>79.490240791104696</v>
      </c>
      <c r="G31" s="361">
        <f>G29-G30</f>
        <v>160.51471395256118</v>
      </c>
      <c r="H31" s="93"/>
      <c r="J31" s="359">
        <f>G31-'GMI apmēri'!G31</f>
        <v>59.866666666666617</v>
      </c>
      <c r="K31" s="456"/>
    </row>
    <row r="32" spans="2:11" x14ac:dyDescent="0.3">
      <c r="E32" s="85">
        <f>E17-E18-E19</f>
        <v>0</v>
      </c>
      <c r="F32" s="85">
        <f t="shared" ref="F32:G32" si="4">F17-F18-F19</f>
        <v>0</v>
      </c>
      <c r="G32" s="85">
        <f t="shared" si="4"/>
        <v>0</v>
      </c>
      <c r="H32" s="85"/>
    </row>
    <row r="33" spans="2:11" ht="14" customHeight="1" x14ac:dyDescent="0.3">
      <c r="B33" s="368" t="s">
        <v>79</v>
      </c>
      <c r="C33" s="368"/>
      <c r="E33" s="85">
        <f>E21-E22-E23</f>
        <v>0</v>
      </c>
      <c r="F33" s="85">
        <f t="shared" ref="F33:G33" si="5">F21-F22-F23</f>
        <v>0</v>
      </c>
      <c r="G33" s="85">
        <f t="shared" si="5"/>
        <v>0</v>
      </c>
      <c r="H33" s="85"/>
    </row>
    <row r="34" spans="2:11" x14ac:dyDescent="0.3">
      <c r="B34" s="368"/>
      <c r="C34" s="368"/>
      <c r="E34" s="85">
        <f>E25-E26-E27</f>
        <v>0</v>
      </c>
      <c r="F34" s="85">
        <f t="shared" ref="F34:G34" si="6">F25-F26-F27</f>
        <v>0</v>
      </c>
      <c r="G34" s="85">
        <f t="shared" si="6"/>
        <v>0</v>
      </c>
      <c r="H34" s="85"/>
    </row>
    <row r="35" spans="2:11" x14ac:dyDescent="0.3">
      <c r="B35" s="368"/>
      <c r="C35" s="368"/>
      <c r="E35" s="85">
        <f>E29-E30-E31</f>
        <v>0</v>
      </c>
      <c r="F35" s="85">
        <f t="shared" ref="F35:G35" si="7">F29-F30-F31</f>
        <v>0</v>
      </c>
      <c r="G35" s="85">
        <f t="shared" si="7"/>
        <v>0</v>
      </c>
      <c r="H35" s="85"/>
    </row>
    <row r="36" spans="2:11" x14ac:dyDescent="0.3">
      <c r="E36" s="85">
        <f>SUM(E32:E35)</f>
        <v>0</v>
      </c>
      <c r="F36" s="85">
        <f t="shared" ref="F36:G36" si="8">SUM(F32:F35)</f>
        <v>0</v>
      </c>
      <c r="G36" s="85">
        <f t="shared" si="8"/>
        <v>0</v>
      </c>
      <c r="H36" s="78">
        <f>SUM(H32:H35)</f>
        <v>0</v>
      </c>
    </row>
    <row r="39" spans="2:11" ht="149" customHeight="1" x14ac:dyDescent="0.3">
      <c r="B39" s="455" t="s">
        <v>86</v>
      </c>
      <c r="C39" s="455"/>
      <c r="D39" s="455"/>
      <c r="E39" s="455"/>
      <c r="F39" s="455"/>
      <c r="G39" s="455"/>
      <c r="H39" s="455"/>
      <c r="I39" s="455"/>
      <c r="J39" s="455"/>
      <c r="K39" s="368"/>
    </row>
    <row r="40" spans="2:11" x14ac:dyDescent="0.3">
      <c r="B40" s="368"/>
      <c r="C40" s="368"/>
      <c r="D40" s="368"/>
      <c r="E40" s="368"/>
      <c r="F40" s="368"/>
      <c r="G40" s="368"/>
      <c r="H40" s="368"/>
      <c r="I40" s="368"/>
      <c r="J40" s="368"/>
      <c r="K40" s="368"/>
    </row>
    <row r="41" spans="2:11" x14ac:dyDescent="0.3">
      <c r="B41" s="368"/>
      <c r="C41" s="368"/>
      <c r="D41" s="368"/>
      <c r="E41" s="368"/>
      <c r="F41" s="368"/>
      <c r="G41" s="368"/>
      <c r="H41" s="368"/>
      <c r="I41" s="368"/>
      <c r="J41" s="368"/>
      <c r="K41" s="368"/>
    </row>
    <row r="42" spans="2:11" x14ac:dyDescent="0.3">
      <c r="B42" s="368"/>
      <c r="C42" s="368"/>
      <c r="D42" s="368"/>
      <c r="E42" s="368"/>
      <c r="F42" s="368"/>
      <c r="G42" s="368"/>
      <c r="H42" s="368"/>
      <c r="I42" s="368"/>
      <c r="J42" s="368"/>
      <c r="K42" s="368"/>
    </row>
    <row r="43" spans="2:11" x14ac:dyDescent="0.3">
      <c r="B43" s="368"/>
      <c r="C43" s="368"/>
      <c r="D43" s="368"/>
      <c r="E43" s="368"/>
      <c r="F43" s="368"/>
      <c r="G43" s="368"/>
      <c r="H43" s="368"/>
      <c r="I43" s="368"/>
      <c r="J43" s="368"/>
      <c r="K43" s="368"/>
    </row>
    <row r="44" spans="2:11" x14ac:dyDescent="0.3">
      <c r="B44" s="368"/>
      <c r="C44" s="368"/>
      <c r="D44" s="368"/>
      <c r="E44" s="368"/>
      <c r="F44" s="368"/>
      <c r="G44" s="368"/>
      <c r="H44" s="368"/>
      <c r="I44" s="368"/>
      <c r="J44" s="368"/>
      <c r="K44" s="368"/>
    </row>
    <row r="45" spans="2:11" x14ac:dyDescent="0.3">
      <c r="B45" s="368"/>
      <c r="C45" s="368"/>
      <c r="D45" s="368"/>
      <c r="E45" s="368"/>
      <c r="F45" s="368"/>
      <c r="G45" s="368"/>
      <c r="H45" s="368"/>
      <c r="I45" s="368"/>
      <c r="J45" s="368"/>
      <c r="K45" s="368"/>
    </row>
    <row r="46" spans="2:11" x14ac:dyDescent="0.3">
      <c r="B46" s="368"/>
      <c r="C46" s="368"/>
      <c r="D46" s="368"/>
      <c r="E46" s="368"/>
      <c r="F46" s="368"/>
      <c r="G46" s="368"/>
      <c r="H46" s="368"/>
      <c r="I46" s="368"/>
      <c r="J46" s="368"/>
      <c r="K46" s="368"/>
    </row>
    <row r="47" spans="2:11" x14ac:dyDescent="0.3">
      <c r="B47" s="368"/>
      <c r="C47" s="368"/>
      <c r="D47" s="368"/>
      <c r="E47" s="368"/>
      <c r="F47" s="368"/>
      <c r="G47" s="368"/>
      <c r="H47" s="368"/>
      <c r="I47" s="368"/>
      <c r="J47" s="368"/>
      <c r="K47" s="368"/>
    </row>
    <row r="48" spans="2:11" x14ac:dyDescent="0.3">
      <c r="B48" s="368"/>
      <c r="C48" s="368"/>
      <c r="D48" s="368"/>
      <c r="E48" s="368"/>
      <c r="F48" s="368"/>
      <c r="G48" s="368"/>
      <c r="H48" s="368"/>
      <c r="I48" s="368"/>
      <c r="J48" s="368"/>
      <c r="K48" s="368"/>
    </row>
    <row r="49" spans="2:11" x14ac:dyDescent="0.3">
      <c r="B49" s="368"/>
      <c r="C49" s="368"/>
      <c r="D49" s="368"/>
      <c r="E49" s="368"/>
      <c r="F49" s="368"/>
      <c r="G49" s="368"/>
      <c r="H49" s="368"/>
      <c r="I49" s="368"/>
      <c r="J49" s="368"/>
      <c r="K49" s="368"/>
    </row>
    <row r="50" spans="2:11" x14ac:dyDescent="0.3">
      <c r="B50" s="368"/>
      <c r="C50" s="368"/>
      <c r="D50" s="368"/>
      <c r="E50" s="368"/>
      <c r="F50" s="368"/>
      <c r="G50" s="368"/>
      <c r="H50" s="368"/>
      <c r="I50" s="368"/>
      <c r="J50" s="368"/>
      <c r="K50" s="368"/>
    </row>
    <row r="51" spans="2:11" x14ac:dyDescent="0.3">
      <c r="B51" s="368"/>
      <c r="C51" s="368"/>
      <c r="D51" s="368"/>
      <c r="E51" s="368"/>
      <c r="F51" s="368"/>
      <c r="G51" s="368"/>
      <c r="H51" s="368"/>
      <c r="I51" s="368"/>
      <c r="J51" s="368"/>
      <c r="K51" s="368"/>
    </row>
  </sheetData>
  <mergeCells count="30">
    <mergeCell ref="B39:J39"/>
    <mergeCell ref="B28:C28"/>
    <mergeCell ref="K28:K31"/>
    <mergeCell ref="B29:C29"/>
    <mergeCell ref="B30:C30"/>
    <mergeCell ref="B31:C31"/>
    <mergeCell ref="B16:C16"/>
    <mergeCell ref="I16:I28"/>
    <mergeCell ref="K16:K19"/>
    <mergeCell ref="B17:C17"/>
    <mergeCell ref="B18:C18"/>
    <mergeCell ref="B19:C19"/>
    <mergeCell ref="B20:C20"/>
    <mergeCell ref="K20:K23"/>
    <mergeCell ref="B21:C21"/>
    <mergeCell ref="B22:C22"/>
    <mergeCell ref="B23:C23"/>
    <mergeCell ref="B24:C24"/>
    <mergeCell ref="K24:K27"/>
    <mergeCell ref="B25:C25"/>
    <mergeCell ref="B26:C26"/>
    <mergeCell ref="B27:C27"/>
    <mergeCell ref="B9:B10"/>
    <mergeCell ref="C9:C10"/>
    <mergeCell ref="J8:J15"/>
    <mergeCell ref="B1:K1"/>
    <mergeCell ref="B2:I2"/>
    <mergeCell ref="B4:E4"/>
    <mergeCell ref="B5:E5"/>
    <mergeCell ref="B6:E6"/>
  </mergeCell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6310CB980028E489AA38B5A3B725AD0" ma:contentTypeVersion="9" ma:contentTypeDescription="Create a new document." ma:contentTypeScope="" ma:versionID="d53cecfd86dfe6a31af4136ff7316585">
  <xsd:schema xmlns:xsd="http://www.w3.org/2001/XMLSchema" xmlns:xs="http://www.w3.org/2001/XMLSchema" xmlns:p="http://schemas.microsoft.com/office/2006/metadata/properties" xmlns:ns3="30b671a1-e750-4efc-a322-d42da3124237" targetNamespace="http://schemas.microsoft.com/office/2006/metadata/properties" ma:root="true" ma:fieldsID="ef2f1cce505ba63a4c835533ba21a8e6" ns3:_="">
    <xsd:import namespace="30b671a1-e750-4efc-a322-d42da3124237"/>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b671a1-e750-4efc-a322-d42da31242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B356EC5-A168-4B11-9F8F-3CEA5487D139}">
  <ds:schemaRefs>
    <ds:schemaRef ds:uri="http://schemas.microsoft.com/sharepoint/v3/contenttype/forms"/>
  </ds:schemaRefs>
</ds:datastoreItem>
</file>

<file path=customXml/itemProps2.xml><?xml version="1.0" encoding="utf-8"?>
<ds:datastoreItem xmlns:ds="http://schemas.openxmlformats.org/officeDocument/2006/customXml" ds:itemID="{98C18FB6-7499-4026-815B-DBB2B727CE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b671a1-e750-4efc-a322-d42da31242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88B4AB-C56F-4B4C-BF44-AF30B4A896B2}">
  <ds:schemaRefs>
    <ds:schemaRef ds:uri="http://purl.org/dc/dcmitype/"/>
    <ds:schemaRef ds:uri="http://schemas.microsoft.com/office/2006/metadata/properties"/>
    <ds:schemaRef ds:uri="http://schemas.microsoft.com/office/2006/documentManagement/types"/>
    <ds:schemaRef ds:uri="30b671a1-e750-4efc-a322-d42da3124237"/>
    <ds:schemaRef ds:uri="http://schemas.openxmlformats.org/package/2006/metadata/core-properties"/>
    <ds:schemaRef ds:uri="http://www.w3.org/XML/1998/namespace"/>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Kopsavilkums</vt:lpstr>
      <vt:lpstr>MP Faktiskā izpilde_plāns</vt:lpstr>
      <vt:lpstr>GMI</vt:lpstr>
      <vt:lpstr>GMI apmēri</vt:lpstr>
      <vt:lpstr>GMI apmēri janv.-aprīl.</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Sandra Strēle</cp:lastModifiedBy>
  <cp:lastPrinted>2026-02-11T22:45:26Z</cp:lastPrinted>
  <dcterms:created xsi:type="dcterms:W3CDTF">2022-02-09T09:41:04Z</dcterms:created>
  <dcterms:modified xsi:type="dcterms:W3CDTF">2026-02-16T16:10:36Z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0x010100F6310CB980028E489AA38B5A3B725AD0</vt:lpwstr>
  </property>
</Properties>
</file>