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C:\Users\VM_Igors_Belovs\Downloads\"/>
    </mc:Choice>
  </mc:AlternateContent>
  <xr:revisionPtr revIDLastSave="0" documentId="13_ncr:1_{A7FFB0E1-A629-4255-9D37-BF8AFFCA5CF4}" xr6:coauthVersionLast="47" xr6:coauthVersionMax="47" xr10:uidLastSave="{00000000-0000-0000-0000-000000000000}"/>
  <bookViews>
    <workbookView xWindow="-120" yWindow="-120" windowWidth="29040" windowHeight="15840" xr2:uid="{AA028F7D-6ED5-40BA-A6B4-FAB9A0D02551}"/>
  </bookViews>
  <sheets>
    <sheet name="Kopsavilkums" sheetId="6" r:id="rId1"/>
    <sheet name="2_pielikums" sheetId="1" r:id="rId2"/>
    <sheet name="3_pielikums" sheetId="2" r:id="rId3"/>
    <sheet name="4_pielikums pēc videja" sheetId="4" r:id="rId4"/>
    <sheet name="Fontes" sheetId="11" state="hidden" r:id="rId5"/>
  </sheets>
  <definedNames>
    <definedName name="_xlnm.Print_Area" localSheetId="3">'4_pielikums pēc videja'!$A$1:$U$18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1" i="6" l="1"/>
  <c r="E15" i="2"/>
  <c r="E7" i="2"/>
  <c r="H11" i="1" l="1"/>
  <c r="H12" i="1"/>
  <c r="H15" i="1"/>
  <c r="E8" i="2" l="1"/>
  <c r="E10" i="2"/>
  <c r="E9" i="2"/>
  <c r="J10" i="4"/>
  <c r="L10" i="4" s="1"/>
  <c r="J11" i="4" l="1"/>
  <c r="J12" i="4"/>
  <c r="J13" i="4"/>
  <c r="J14" i="4"/>
  <c r="F7" i="1"/>
  <c r="D12" i="1" l="1"/>
  <c r="E16" i="2" l="1"/>
  <c r="E13" i="2"/>
  <c r="U14" i="4"/>
  <c r="O10" i="4"/>
  <c r="D15" i="11"/>
  <c r="C3" i="11"/>
  <c r="D3" i="11" s="1"/>
  <c r="C4" i="11"/>
  <c r="D4" i="11" s="1"/>
  <c r="C5" i="11"/>
  <c r="D5" i="11" s="1"/>
  <c r="C6" i="11"/>
  <c r="D6" i="11" s="1"/>
  <c r="C7" i="11"/>
  <c r="D7" i="11" s="1"/>
  <c r="C8" i="11"/>
  <c r="D8" i="11" s="1"/>
  <c r="C9" i="11"/>
  <c r="D9" i="11" s="1"/>
  <c r="C10" i="11"/>
  <c r="D10" i="11" s="1"/>
  <c r="C11" i="11"/>
  <c r="D11" i="11" s="1"/>
  <c r="C12" i="11"/>
  <c r="D12" i="11" s="1"/>
  <c r="C13" i="11"/>
  <c r="D13" i="11" s="1"/>
  <c r="C14" i="11"/>
  <c r="D14" i="11" s="1"/>
  <c r="C15" i="11"/>
  <c r="C2" i="11"/>
  <c r="D2" i="11" s="1"/>
  <c r="K12" i="4" l="1"/>
  <c r="O12" i="4" s="1"/>
  <c r="K13" i="4"/>
  <c r="O13" i="4" s="1"/>
  <c r="K11" i="4"/>
  <c r="O11" i="4" s="1"/>
  <c r="K14" i="4"/>
  <c r="O14" i="4" s="1"/>
  <c r="U8" i="4"/>
  <c r="U15" i="4"/>
  <c r="L12" i="4" l="1"/>
  <c r="L14" i="4"/>
  <c r="L13" i="4"/>
  <c r="L11" i="4"/>
  <c r="K15" i="4"/>
  <c r="P10" i="4"/>
  <c r="M10" i="4"/>
  <c r="N10" i="4" s="1"/>
  <c r="Q10" i="4" s="1"/>
  <c r="D7" i="1"/>
  <c r="G7" i="1" s="1"/>
  <c r="H7" i="1" s="1"/>
  <c r="C27" i="2" l="1"/>
  <c r="C24" i="2"/>
  <c r="C23" i="2"/>
  <c r="C29" i="2"/>
  <c r="E29" i="2" s="1"/>
  <c r="C17" i="2"/>
  <c r="E17" i="2" s="1"/>
  <c r="C15" i="2"/>
  <c r="D14" i="1"/>
  <c r="D13" i="1"/>
  <c r="C7" i="2"/>
  <c r="C21" i="2" s="1"/>
  <c r="C22" i="2" s="1"/>
  <c r="E27" i="2" l="1"/>
  <c r="E26" i="2" s="1"/>
  <c r="E28" i="2"/>
  <c r="E22" i="2" l="1"/>
  <c r="E23" i="2"/>
  <c r="E24" i="2"/>
  <c r="E25" i="2"/>
  <c r="E21" i="2"/>
  <c r="E20" i="2" l="1"/>
  <c r="E30" i="2" s="1"/>
  <c r="E14" i="2"/>
  <c r="E11" i="2"/>
  <c r="E12" i="2"/>
  <c r="J15" i="4"/>
  <c r="E18" i="2" l="1"/>
  <c r="B33" i="2" s="1"/>
  <c r="P11" i="4" l="1"/>
  <c r="M12" i="4"/>
  <c r="N12" i="4" s="1"/>
  <c r="Q12" i="4" s="1"/>
  <c r="P13" i="4"/>
  <c r="M14" i="4"/>
  <c r="N14" i="4" s="1"/>
  <c r="Q14" i="4" s="1"/>
  <c r="M13" i="4" l="1"/>
  <c r="N13" i="4" s="1"/>
  <c r="Q13" i="4" s="1"/>
  <c r="P12" i="4"/>
  <c r="M11" i="4"/>
  <c r="N11" i="4" s="1"/>
  <c r="Q11" i="4" s="1"/>
  <c r="P14" i="4"/>
  <c r="D15" i="4" l="1"/>
  <c r="O15" i="4" l="1"/>
  <c r="L15" i="4"/>
  <c r="P15" i="4" l="1"/>
  <c r="M15" i="4"/>
  <c r="N15" i="4"/>
  <c r="F14" i="1" l="1"/>
  <c r="F13" i="1"/>
  <c r="B8" i="6" l="1"/>
  <c r="B14" i="6" s="1"/>
  <c r="G14" i="1"/>
  <c r="H14" i="1" s="1"/>
  <c r="G13" i="1"/>
  <c r="H13" i="1" s="1"/>
  <c r="F15" i="1" l="1"/>
  <c r="F12" i="1"/>
  <c r="G12" i="1" s="1"/>
  <c r="G15" i="1" l="1"/>
  <c r="F10" i="1"/>
  <c r="F11" i="1"/>
  <c r="F9" i="1"/>
  <c r="F8" i="1"/>
  <c r="G8" i="1" s="1"/>
  <c r="H8" i="1" s="1"/>
  <c r="Q15" i="4" l="1"/>
  <c r="G11" i="1"/>
  <c r="G10" i="1"/>
  <c r="H10" i="1" s="1"/>
  <c r="G9" i="1"/>
  <c r="H9" i="1" s="1"/>
  <c r="B6" i="6" l="1"/>
  <c r="B13" i="6"/>
  <c r="H16" i="1"/>
  <c r="B7" i="6" s="1"/>
  <c r="G16" i="1"/>
  <c r="B12" i="6" l="1"/>
  <c r="B9" i="6"/>
</calcChain>
</file>

<file path=xl/sharedStrings.xml><?xml version="1.0" encoding="utf-8"?>
<sst xmlns="http://schemas.openxmlformats.org/spreadsheetml/2006/main" count="159" uniqueCount="129">
  <si>
    <t>Izdevumu pozīcija</t>
  </si>
  <si>
    <t>Atlīdzība</t>
  </si>
  <si>
    <t>Telpu noma, telpu apsaimniekošana un komunālie maksājumi</t>
  </si>
  <si>
    <t>KOPĀ nepieciešamais finansējums:</t>
  </si>
  <si>
    <t>Nr. p.k.</t>
  </si>
  <si>
    <t>Mērvienība</t>
  </si>
  <si>
    <t>Vienas vienības izmaksas mēnesī ar PVN</t>
  </si>
  <si>
    <t>2024.gads</t>
  </si>
  <si>
    <t>Izmaksas mēnesī ar PVN</t>
  </si>
  <si>
    <t>Izmaksas gadā ar PVN</t>
  </si>
  <si>
    <t>Telpu noma</t>
  </si>
  <si>
    <r>
      <t>m</t>
    </r>
    <r>
      <rPr>
        <vertAlign val="superscript"/>
        <sz val="12"/>
        <rFont val="Times New Roman"/>
        <family val="1"/>
        <charset val="186"/>
      </rPr>
      <t>2</t>
    </r>
  </si>
  <si>
    <t>Telpu apsaimniekošanas izmaksas</t>
  </si>
  <si>
    <t>Ūdens un kanalizēcija</t>
  </si>
  <si>
    <t>Atkritumu izvešana</t>
  </si>
  <si>
    <t>Autostāvietas izmakas</t>
  </si>
  <si>
    <t>gab.</t>
  </si>
  <si>
    <t>Maksa par elektroenerģiju</t>
  </si>
  <si>
    <t xml:space="preserve"> kwh</t>
  </si>
  <si>
    <t>Maksa par elektroenerģiju kondincionieriem</t>
  </si>
  <si>
    <t>Maksa par siltumenerģiju</t>
  </si>
  <si>
    <t>Maināmo paklāju noma</t>
  </si>
  <si>
    <t>Izmaksas KOPĀ:</t>
  </si>
  <si>
    <t>Vienība</t>
  </si>
  <si>
    <t>Daudzums</t>
  </si>
  <si>
    <t>Vienības cena, EUR</t>
  </si>
  <si>
    <t>Mobilo sakaru pakalpojumi</t>
  </si>
  <si>
    <t>Darbinieki</t>
  </si>
  <si>
    <t>Interneta pieslēgums</t>
  </si>
  <si>
    <t>Mēneši</t>
  </si>
  <si>
    <t>Izdevumi iestādes sabiedrisko aktivitāšu īstenošanai</t>
  </si>
  <si>
    <t>Izdevumi par profesionālās darbības pakalpojumiem (tulku, auditoru, zvērinātu revidentu, juristu, darba aizsardzības, datu aizsardzības, personāla un citu profesionālās darbības veicēju un ekspertu</t>
  </si>
  <si>
    <t xml:space="preserve">Izdevumi par saņemtajiem mācību pakalpojumiem </t>
  </si>
  <si>
    <t>Iekārtas, inventāra un aparatūras remonts, tehniskā apkalpošana (biroja tehnikas apkope iestādes vajadzībām</t>
  </si>
  <si>
    <t>Transportlīdzekļu noma (t.sk. Bolt, Citybee, Carguru)</t>
  </si>
  <si>
    <t>Skaits</t>
  </si>
  <si>
    <r>
      <t>Iekārtu, aparatūras un inventāra īre un noma</t>
    </r>
    <r>
      <rPr>
        <sz val="10"/>
        <color rgb="FF000000"/>
        <rFont val="Times New Roman"/>
        <family val="1"/>
      </rPr>
      <t>*atb.vēsturiskajam NVD patēriņam</t>
    </r>
  </si>
  <si>
    <t>Biroja administratīvie izdevumi</t>
  </si>
  <si>
    <t>Degviela</t>
  </si>
  <si>
    <t xml:space="preserve">Normatīvajos aktos noteiktie veselības pārbaudes izdevumi ** </t>
  </si>
  <si>
    <t>KOPĀ:</t>
  </si>
  <si>
    <t>Vienreizējās iegādes</t>
  </si>
  <si>
    <t>Darba vietu aprīkojums (galds, drēbju skapis, krēsli utt.)</t>
  </si>
  <si>
    <t>Darba galds</t>
  </si>
  <si>
    <t>Drēbju skapis</t>
  </si>
  <si>
    <t>Dokumentu plaukts</t>
  </si>
  <si>
    <t>Biroja krēsls</t>
  </si>
  <si>
    <t>Apmeklētāju krēsli</t>
  </si>
  <si>
    <t>Telekomunikācijas</t>
  </si>
  <si>
    <t>Mobilie telefoni</t>
  </si>
  <si>
    <t>Datortehnika ***</t>
  </si>
  <si>
    <t>Portatīvie datori, monitori, dock</t>
  </si>
  <si>
    <t>Kopā uzturēšanas izmaksas</t>
  </si>
  <si>
    <t>* aprēķini veikti atbilstoši darbinieku skaitam vai mēneša vidējām izmaksām, atbilstoši NVD vidējiem faktiskajiem izdevumiem</t>
  </si>
  <si>
    <t>** pimajā gadā visiem darbiniekiem, turpmākajos pie potenciālas darbinieku mainības</t>
  </si>
  <si>
    <t>*** daļēji tiks nodrošināti no esošajiem NVD resursiem</t>
  </si>
  <si>
    <t>Veselības nozares IKT kompetenču centra atlīdzības izmaksu aprēķins sadalījumā pa gadiem</t>
  </si>
  <si>
    <t>Atlīdzības fonds 2024.gadam</t>
  </si>
  <si>
    <t>Amats</t>
  </si>
  <si>
    <t>Slodžu skaits</t>
  </si>
  <si>
    <t>Amata vietai plānotā  mēnešalga</t>
  </si>
  <si>
    <t>Piemaksas + soc.garantijas</t>
  </si>
  <si>
    <t>Valsts sociālās apdrošināšanas obligātās iemaksas, 23.59% + 0.36 EUR amata vietai</t>
  </si>
  <si>
    <t>Kopā 12 mēnešiem (1000)</t>
  </si>
  <si>
    <t>Kopā 12 mēnešiem (1100)</t>
  </si>
  <si>
    <t>Kopā 12 mēnešiem (1200)</t>
  </si>
  <si>
    <t>KOPĀ atlīdzībai atalgotām dienām</t>
  </si>
  <si>
    <t>Uzsākšana 2024.g.</t>
  </si>
  <si>
    <t>5=(3+4)*23.59%</t>
  </si>
  <si>
    <t>6=2*(3+4+5)</t>
  </si>
  <si>
    <t>7=6*12 mēn.</t>
  </si>
  <si>
    <t>8=2*(3+4)*
12 mēn</t>
  </si>
  <si>
    <t>9=2*5* 12 mēn</t>
  </si>
  <si>
    <t>10=8+10</t>
  </si>
  <si>
    <t>Fontes punkti</t>
  </si>
  <si>
    <t>Drošība &amp; privātums</t>
  </si>
  <si>
    <t>Standarti</t>
  </si>
  <si>
    <t>Metodoloģijas (PMO)</t>
  </si>
  <si>
    <t>Administrācija / vadītājs</t>
  </si>
  <si>
    <t>Pamatvietas KOPĀ:</t>
  </si>
  <si>
    <t>Punkti</t>
  </si>
  <si>
    <t>2022.g. alga (Annual total cash)</t>
  </si>
  <si>
    <t>Mēnešalga</t>
  </si>
  <si>
    <t>Pieagumus* 2022 &gt; 2024</t>
  </si>
  <si>
    <t>* Dati par IKT pieagumu 2022 - 23 nav pieejami, Visparējais atalgojuma pētījums 2023 uzrāda vidējo gada kopējās algas pieaugumu 17.5%</t>
  </si>
  <si>
    <t>* 2024. gada pieagumus prognozēts atbilstoši FM publicētai informācija budžeta gatavošanas procesā "2024. gada algu pieauguma prognoze – 7,5 %"</t>
  </si>
  <si>
    <t>Sabiedrības uzturēšanas izmaksas</t>
  </si>
  <si>
    <t>KOPĀ finansējuma avoti:</t>
  </si>
  <si>
    <t>20.00.00 (74.budžeta resors)</t>
  </si>
  <si>
    <t xml:space="preserve"> Atlīdzībai</t>
  </si>
  <si>
    <t>Izstrādei un uzturēšanai</t>
  </si>
  <si>
    <t>Pielikums Nr.1
Ministru kabineta noteikumu projekts “Par apropriācijas pārdali no budžeta resora "74. Gadskārtējā valsts budžeta izpildes procesā pārdalāmais finansējums" programmas 20.00.00 "Veselības aprūpes neatliekamo pasākumu īstenošana 2024. gadā" un "Par apropriācijas palielināšanu Veselības ministrijai” sākotnējās ietekmes novērtējuma ziņojumam (anotācijai)</t>
  </si>
  <si>
    <t>Pielikums Nr.2
Ministru kabineta noteikumu projekts “Par apropriācijas pārdali no budžeta resora "74. Gadskārtējā valsts budžeta izpildes procesā pārdalāmais finansējums" programmas 20.00.00 "Veselības aprūpes neatliekamo pasākumu īstenošana 2024. gadā" un "Par apropriācijas palielināšanu Veselības ministrijai” sākotnējās ietekmes novērtējuma ziņojumam (anotācijai)</t>
  </si>
  <si>
    <t>Pielikums Nr.3
Ministru kabineta noteikumu projekts “Par apropriācijas pārdali no budžeta resora "74. Gadskārtējā valsts budžeta izpildes procesā pārdalāmais finansējums" programmas 20.00.00 "Veselības aprūpes neatliekamo pasākumu īstenošana 2024. gadā" un "Par apropriācijas palielināšanu Veselības ministrijai” sākotnējās ietekmes novērtējuma ziņojumam (anotācijai)</t>
  </si>
  <si>
    <t>Pielikums Nr.4
Ministru kabineta noteikumu projekts “Par apropriācijas pārdali no budžeta resora "74. Gadskārtējā valsts budžeta izpildes procesā pārdalāmais finansējums" programmas 20.00.00 "Veselības aprūpes neatliekamo pasākumu īstenošana 2024. gadā" un "Par apropriācijas palielināšanu Veselības ministrijai” sākotnējās ietekmes novērtējuma ziņojumam (anotācijai)</t>
  </si>
  <si>
    <t>Centra kopējais finansējuma apjoms 2024.gadam</t>
  </si>
  <si>
    <t>Centra telpu nomas, telpu apsaimniekošanas un komunālo maksājumu izmaksas sadalījums 2024.gadam</t>
  </si>
  <si>
    <t>Centra uzturēšanas izmaksas sadalījums 2024.gadam</t>
  </si>
  <si>
    <t>Uzturēšanas izdevumi *</t>
  </si>
  <si>
    <r>
      <t>Telpu platība</t>
    </r>
    <r>
      <rPr>
        <vertAlign val="superscript"/>
        <sz val="12"/>
        <color theme="1"/>
        <rFont val="Times New Roman"/>
        <family val="1"/>
      </rPr>
      <t>1</t>
    </r>
  </si>
  <si>
    <r>
      <rPr>
        <i/>
        <vertAlign val="superscript"/>
        <sz val="8"/>
        <color theme="1"/>
        <rFont val="Times New Roman"/>
        <family val="1"/>
      </rPr>
      <t>1</t>
    </r>
    <r>
      <rPr>
        <i/>
        <sz val="8"/>
        <color theme="1"/>
        <rFont val="Times New Roman"/>
        <family val="1"/>
        <charset val="186"/>
      </rPr>
      <t xml:space="preserve"> Ministru kabineta 12.07.2016. ieteikumi Nr.2 "Vienotās prasības valsts pārvaldes iestāžu biroju ēkām un biroja telpu grupām"</t>
    </r>
  </si>
  <si>
    <r>
      <t>Vienas vienības izmaksas mēnesī bez PVN</t>
    </r>
    <r>
      <rPr>
        <vertAlign val="superscript"/>
        <sz val="12"/>
        <color theme="1"/>
        <rFont val="Times New Roman"/>
        <family val="1"/>
      </rPr>
      <t>2</t>
    </r>
  </si>
  <si>
    <r>
      <rPr>
        <i/>
        <vertAlign val="superscript"/>
        <sz val="8"/>
        <color theme="1"/>
        <rFont val="Times New Roman"/>
        <family val="1"/>
      </rPr>
      <t>2</t>
    </r>
    <r>
      <rPr>
        <i/>
        <sz val="8"/>
        <color theme="1"/>
        <rFont val="Times New Roman"/>
        <family val="1"/>
        <charset val="186"/>
      </rPr>
      <t xml:space="preserve"> Vienības izmaksu aprēķinam ņemtas vērā NVD vidējās faktiskās izmaksas, savukārt telpu nomai tika ņemtas Latio telpu nomas vidējas izmaksas 2023.gadā</t>
    </r>
  </si>
  <si>
    <t>1.1</t>
  </si>
  <si>
    <t>III</t>
  </si>
  <si>
    <t>21.7</t>
  </si>
  <si>
    <t>21.2</t>
  </si>
  <si>
    <t>39.1</t>
  </si>
  <si>
    <t>V</t>
  </si>
  <si>
    <t>I</t>
  </si>
  <si>
    <t>Administratīvā vadība. Valsts iestāžu vadība</t>
  </si>
  <si>
    <t>Amatu saimes</t>
  </si>
  <si>
    <t>Informācijas un komunikācijas tehnoloģijas. Informācijas drošība</t>
  </si>
  <si>
    <t>Informācijas un komunikācijas tehnoloģijas. Datu pārvaldība</t>
  </si>
  <si>
    <t>Projektu vadība, īstenošana un uzraudzība. Projektu vadība un īstenošana</t>
  </si>
  <si>
    <t>Grupa</t>
  </si>
  <si>
    <t>Līmenis</t>
  </si>
  <si>
    <t>Mēnešalgu grupa</t>
  </si>
  <si>
    <t>Atalgojums</t>
  </si>
  <si>
    <t>2m</t>
  </si>
  <si>
    <t>3m</t>
  </si>
  <si>
    <t>1m</t>
  </si>
  <si>
    <t>4m</t>
  </si>
  <si>
    <t>2024g. Darba mēneši (no formulas Q kolona</t>
  </si>
  <si>
    <t>Kopā mēnesī</t>
  </si>
  <si>
    <t>Centra Vadītājs (valdes loceklis)*</t>
  </si>
  <si>
    <r>
      <t xml:space="preserve">* valdes loceklim ir samazinātis kopējais finansējums atlīdzībai no 01.10.2024 par 2 595.39 </t>
    </r>
    <r>
      <rPr>
        <i/>
        <sz val="12"/>
        <color theme="1"/>
        <rFont val="Times New Roman"/>
        <family val="1"/>
      </rPr>
      <t xml:space="preserve">euro, </t>
    </r>
    <r>
      <rPr>
        <sz val="12"/>
        <color theme="1"/>
        <rFont val="Times New Roman"/>
        <family val="1"/>
      </rPr>
      <t>pamatojoties uz Ministru kabineta 2024. gada 14. maija rīkojumu Nr. 373 "Par apropriācijas pārdali", pamatkapitālā ieguldītais finansējums valdes locekļa atlīdzības izmaksas nodrošināšanai.</t>
    </r>
  </si>
  <si>
    <t>IT Koef.**</t>
  </si>
  <si>
    <t xml:space="preserve">** IT koeficients tiek piemērots atbilstoši MK 2022.gada  21.jūnija noteikumu Nr.361 “Noteikumi par valsts institūciju amatpersonu un darbinieku darba samaksu un tās noteikšanas kārtību, kā arī par profesijām un specifiskajām jomām, kurām piemērojams tirgus koeficients” 5.pielikumam.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</si>
</sst>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quot;€&quot;* #,##0.00_-;\-&quot;€&quot;* #,##0.00_-;_-&quot;€&quot;* &quot;-&quot;??_-;_-@_-"/>
    <numFmt numFmtId="165" formatCode="#,##0.0"/>
    <numFmt numFmtId="166" formatCode="_-* #,##0_-;\-* #,##0_-;_-* &quot;-&quot;??_-;_-@_-"/>
    <numFmt numFmtId="167" formatCode="yyyy\-mm\-dd;@"/>
  </numFmts>
  <fonts count="42" x14ac:knownFonts="1">
    <font>
      <sz val="11"/>
      <color theme="1"/>
      <name val="Calibri"/>
      <family val="2"/>
      <charset val="186"/>
      <scheme val="minor"/>
    </font>
    <font>
      <sz val="12"/>
      <color theme="1"/>
      <name val="Times New Roman"/>
      <family val="1"/>
      <charset val="186"/>
    </font>
    <font>
      <b/>
      <sz val="12"/>
      <color theme="1"/>
      <name val="Times New Roman"/>
      <family val="1"/>
      <charset val="186"/>
    </font>
    <font>
      <i/>
      <sz val="8"/>
      <color theme="1"/>
      <name val="Times New Roman"/>
      <family val="1"/>
      <charset val="186"/>
    </font>
    <font>
      <sz val="10"/>
      <name val="Arial"/>
      <family val="2"/>
      <charset val="186"/>
    </font>
    <font>
      <i/>
      <sz val="8"/>
      <name val="Times New Roman"/>
      <family val="1"/>
      <charset val="186"/>
    </font>
    <font>
      <sz val="12"/>
      <name val="Times New Roman"/>
      <family val="1"/>
      <charset val="186"/>
    </font>
    <font>
      <b/>
      <sz val="12"/>
      <name val="Times New Roman"/>
      <family val="1"/>
      <charset val="186"/>
    </font>
    <font>
      <b/>
      <sz val="11"/>
      <color theme="1"/>
      <name val="Times New Roman"/>
      <family val="1"/>
    </font>
    <font>
      <sz val="8"/>
      <name val="Times New Roman"/>
      <family val="1"/>
      <charset val="186"/>
    </font>
    <font>
      <sz val="11"/>
      <color theme="1"/>
      <name val="Times New Roman"/>
      <family val="1"/>
      <charset val="186"/>
    </font>
    <font>
      <b/>
      <sz val="11"/>
      <color theme="1"/>
      <name val="Times New Roman"/>
      <family val="1"/>
      <charset val="186"/>
    </font>
    <font>
      <i/>
      <sz val="11"/>
      <color theme="1"/>
      <name val="Times New Roman"/>
      <family val="1"/>
      <charset val="186"/>
    </font>
    <font>
      <sz val="11"/>
      <color theme="1"/>
      <name val="Calibri"/>
      <family val="2"/>
      <charset val="186"/>
      <scheme val="minor"/>
    </font>
    <font>
      <sz val="10"/>
      <color theme="1"/>
      <name val="Times New Roman"/>
      <family val="1"/>
      <charset val="186"/>
    </font>
    <font>
      <i/>
      <sz val="10"/>
      <color theme="1"/>
      <name val="Times New Roman"/>
      <family val="1"/>
      <charset val="186"/>
    </font>
    <font>
      <b/>
      <sz val="12"/>
      <color theme="1"/>
      <name val="Calibri"/>
      <family val="2"/>
      <scheme val="minor"/>
    </font>
    <font>
      <sz val="12"/>
      <color theme="0" tint="-0.14999847407452621"/>
      <name val="Times New Roman"/>
      <family val="1"/>
      <charset val="186"/>
    </font>
    <font>
      <i/>
      <sz val="8"/>
      <color theme="0" tint="-0.14999847407452621"/>
      <name val="Times New Roman"/>
      <family val="1"/>
      <charset val="186"/>
    </font>
    <font>
      <b/>
      <i/>
      <sz val="11"/>
      <color theme="1"/>
      <name val="Times New Roman"/>
      <family val="1"/>
      <charset val="186"/>
    </font>
    <font>
      <vertAlign val="superscript"/>
      <sz val="12"/>
      <name val="Times New Roman"/>
      <family val="1"/>
      <charset val="186"/>
    </font>
    <font>
      <b/>
      <sz val="10"/>
      <color theme="1"/>
      <name val="Times New Roman"/>
      <family val="1"/>
      <charset val="186"/>
    </font>
    <font>
      <sz val="10"/>
      <color rgb="FF414142"/>
      <name val="Times New Roman"/>
      <family val="1"/>
      <charset val="186"/>
    </font>
    <font>
      <sz val="10"/>
      <color theme="1"/>
      <name val="Calibri"/>
      <family val="2"/>
      <charset val="186"/>
      <scheme val="minor"/>
    </font>
    <font>
      <i/>
      <sz val="11"/>
      <color theme="1"/>
      <name val="Times New Roman"/>
      <family val="1"/>
    </font>
    <font>
      <sz val="10"/>
      <color rgb="FF000000"/>
      <name val="Times New Roman"/>
      <family val="1"/>
    </font>
    <font>
      <sz val="10"/>
      <color rgb="FF000000"/>
      <name val="Times New Roman"/>
      <family val="1"/>
      <charset val="186"/>
    </font>
    <font>
      <b/>
      <sz val="11"/>
      <color theme="3"/>
      <name val="Calibri"/>
      <family val="2"/>
      <scheme val="minor"/>
    </font>
    <font>
      <sz val="11"/>
      <color theme="1"/>
      <name val="Calibri"/>
      <family val="2"/>
      <scheme val="minor"/>
    </font>
    <font>
      <sz val="10"/>
      <color theme="1"/>
      <name val="Times New Roman"/>
      <family val="1"/>
    </font>
    <font>
      <b/>
      <i/>
      <sz val="10"/>
      <color theme="1"/>
      <name val="Times New Roman"/>
      <family val="1"/>
      <charset val="186"/>
    </font>
    <font>
      <b/>
      <sz val="10"/>
      <color rgb="FF414142"/>
      <name val="Times New Roman"/>
      <family val="1"/>
      <charset val="186"/>
    </font>
    <font>
      <sz val="9"/>
      <color theme="1"/>
      <name val="Times New Roman"/>
      <family val="1"/>
      <charset val="186"/>
    </font>
    <font>
      <sz val="8"/>
      <color theme="1"/>
      <name val="Times New Roman"/>
      <family val="1"/>
      <charset val="186"/>
    </font>
    <font>
      <i/>
      <sz val="12"/>
      <color theme="1"/>
      <name val="Times New Roman"/>
      <family val="1"/>
    </font>
    <font>
      <sz val="12"/>
      <color theme="1"/>
      <name val="Times New Roman"/>
      <family val="1"/>
    </font>
    <font>
      <vertAlign val="superscript"/>
      <sz val="12"/>
      <color theme="1"/>
      <name val="Times New Roman"/>
      <family val="1"/>
    </font>
    <font>
      <i/>
      <vertAlign val="superscript"/>
      <sz val="8"/>
      <color theme="1"/>
      <name val="Times New Roman"/>
      <family val="1"/>
    </font>
    <font>
      <i/>
      <sz val="8"/>
      <color theme="1"/>
      <name val="Times New Roman"/>
      <family val="1"/>
    </font>
    <font>
      <sz val="12"/>
      <color rgb="FFFF0000"/>
      <name val="Times New Roman"/>
      <family val="1"/>
      <charset val="186"/>
    </font>
    <font>
      <sz val="12"/>
      <color rgb="FF92D050"/>
      <name val="Times New Roman"/>
      <family val="1"/>
      <charset val="186"/>
    </font>
    <font>
      <sz val="12"/>
      <color rgb="FF0070C0"/>
      <name val="Times New Roman"/>
      <family val="1"/>
      <charset val="186"/>
    </font>
  </fonts>
  <fills count="6">
    <fill>
      <patternFill patternType="none"/>
    </fill>
    <fill>
      <patternFill patternType="gray125"/>
    </fill>
    <fill>
      <patternFill patternType="solid">
        <fgColor theme="0" tint="-0.14999847407452621"/>
        <bgColor indexed="64"/>
      </patternFill>
    </fill>
    <fill>
      <patternFill patternType="solid">
        <fgColor indexed="9"/>
        <bgColor indexed="64"/>
      </patternFill>
    </fill>
    <fill>
      <patternFill patternType="solid">
        <fgColor theme="0"/>
        <bgColor indexed="64"/>
      </patternFill>
    </fill>
    <fill>
      <patternFill patternType="solid">
        <fgColor theme="2" tint="-9.9978637043366805E-2"/>
        <bgColor indexed="64"/>
      </patternFill>
    </fill>
  </fills>
  <borders count="3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medium">
        <color auto="1"/>
      </left>
      <right style="thin">
        <color auto="1"/>
      </right>
      <top/>
      <bottom style="thin">
        <color auto="1"/>
      </bottom>
      <diagonal/>
    </border>
    <border>
      <left style="thin">
        <color auto="1"/>
      </left>
      <right/>
      <top/>
      <bottom style="thin">
        <color auto="1"/>
      </bottom>
      <diagonal/>
    </border>
    <border>
      <left style="thin">
        <color auto="1"/>
      </left>
      <right style="medium">
        <color auto="1"/>
      </right>
      <top/>
      <bottom style="thin">
        <color auto="1"/>
      </bottom>
      <diagonal/>
    </border>
    <border>
      <left style="thin">
        <color auto="1"/>
      </left>
      <right/>
      <top style="thin">
        <color auto="1"/>
      </top>
      <bottom style="medium">
        <color auto="1"/>
      </bottom>
      <diagonal/>
    </border>
    <border>
      <left style="medium">
        <color auto="1"/>
      </left>
      <right style="thin">
        <color auto="1"/>
      </right>
      <top style="thin">
        <color auto="1"/>
      </top>
      <bottom/>
      <diagonal/>
    </border>
    <border>
      <left style="thin">
        <color auto="1"/>
      </left>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indexed="64"/>
      </left>
      <right style="thin">
        <color indexed="64"/>
      </right>
      <top style="medium">
        <color indexed="64"/>
      </top>
      <bottom style="medium">
        <color indexed="64"/>
      </bottom>
      <diagonal/>
    </border>
    <border>
      <left/>
      <right/>
      <top style="thin">
        <color auto="1"/>
      </top>
      <bottom style="thin">
        <color auto="1"/>
      </bottom>
      <diagonal/>
    </border>
    <border>
      <left style="thin">
        <color auto="1"/>
      </left>
      <right style="thin">
        <color auto="1"/>
      </right>
      <top style="medium">
        <color auto="1"/>
      </top>
      <bottom/>
      <diagonal/>
    </border>
    <border>
      <left/>
      <right/>
      <top style="thin">
        <color auto="1"/>
      </top>
      <bottom/>
      <diagonal/>
    </border>
    <border>
      <left style="medium">
        <color rgb="FF000000"/>
      </left>
      <right style="thin">
        <color auto="1"/>
      </right>
      <top style="medium">
        <color rgb="FF000000"/>
      </top>
      <bottom style="thin">
        <color auto="1"/>
      </bottom>
      <diagonal/>
    </border>
    <border>
      <left style="thin">
        <color auto="1"/>
      </left>
      <right style="thin">
        <color auto="1"/>
      </right>
      <top style="medium">
        <color rgb="FF000000"/>
      </top>
      <bottom style="thin">
        <color auto="1"/>
      </bottom>
      <diagonal/>
    </border>
    <border>
      <left style="medium">
        <color rgb="FF000000"/>
      </left>
      <right style="thin">
        <color auto="1"/>
      </right>
      <top style="medium">
        <color auto="1"/>
      </top>
      <bottom style="medium">
        <color auto="1"/>
      </bottom>
      <diagonal/>
    </border>
    <border>
      <left style="medium">
        <color rgb="FF000000"/>
      </left>
      <right style="thin">
        <color auto="1"/>
      </right>
      <top style="thin">
        <color auto="1"/>
      </top>
      <bottom style="thin">
        <color auto="1"/>
      </bottom>
      <diagonal/>
    </border>
    <border>
      <left style="medium">
        <color rgb="FF000000"/>
      </left>
      <right style="thin">
        <color auto="1"/>
      </right>
      <top/>
      <bottom style="thin">
        <color auto="1"/>
      </bottom>
      <diagonal/>
    </border>
    <border>
      <left/>
      <right/>
      <top/>
      <bottom style="medium">
        <color theme="4" tint="0.39997558519241921"/>
      </bottom>
      <diagonal/>
    </border>
    <border>
      <left style="thin">
        <color auto="1"/>
      </left>
      <right style="thin">
        <color auto="1"/>
      </right>
      <top/>
      <bottom style="medium">
        <color auto="1"/>
      </bottom>
      <diagonal/>
    </border>
  </borders>
  <cellStyleXfs count="7">
    <xf numFmtId="0" fontId="0" fillId="0" borderId="0"/>
    <xf numFmtId="0" fontId="4" fillId="0" borderId="0"/>
    <xf numFmtId="0" fontId="4" fillId="0" borderId="0"/>
    <xf numFmtId="43" fontId="13" fillId="0" borderId="0" applyFont="0" applyFill="0" applyBorder="0" applyAlignment="0" applyProtection="0"/>
    <xf numFmtId="164" fontId="13" fillId="0" borderId="0" applyFont="0" applyFill="0" applyBorder="0" applyAlignment="0" applyProtection="0"/>
    <xf numFmtId="0" fontId="27" fillId="0" borderId="33" applyNumberFormat="0" applyFill="0" applyAlignment="0" applyProtection="0"/>
    <xf numFmtId="0" fontId="28" fillId="0" borderId="0"/>
  </cellStyleXfs>
  <cellXfs count="174">
    <xf numFmtId="0" fontId="0" fillId="0" borderId="0" xfId="0"/>
    <xf numFmtId="0" fontId="1" fillId="0" borderId="0" xfId="0" applyFont="1"/>
    <xf numFmtId="0" fontId="1" fillId="0" borderId="0" xfId="0" applyFont="1" applyAlignment="1">
      <alignment horizontal="center"/>
    </xf>
    <xf numFmtId="0" fontId="1" fillId="0" borderId="0" xfId="0" applyFont="1" applyAlignment="1">
      <alignment horizontal="justify" wrapText="1"/>
    </xf>
    <xf numFmtId="0" fontId="1" fillId="0" borderId="1" xfId="0" applyFont="1" applyBorder="1" applyAlignment="1">
      <alignment horizontal="center" vertical="center"/>
    </xf>
    <xf numFmtId="0" fontId="3" fillId="0" borderId="0" xfId="0" applyFont="1"/>
    <xf numFmtId="0" fontId="1" fillId="2" borderId="13" xfId="0" applyFont="1" applyFill="1" applyBorder="1" applyAlignment="1">
      <alignment horizontal="center" vertical="center" wrapText="1"/>
    </xf>
    <xf numFmtId="0" fontId="1" fillId="2" borderId="12" xfId="0" applyFont="1" applyFill="1" applyBorder="1" applyAlignment="1">
      <alignment horizontal="center" vertical="center" wrapText="1"/>
    </xf>
    <xf numFmtId="4" fontId="2" fillId="2" borderId="22" xfId="0" applyNumberFormat="1" applyFont="1" applyFill="1" applyBorder="1"/>
    <xf numFmtId="0" fontId="1" fillId="0" borderId="0" xfId="0" applyFont="1" applyAlignment="1">
      <alignment horizontal="justify" vertical="center" wrapText="1"/>
    </xf>
    <xf numFmtId="0" fontId="6" fillId="0" borderId="1" xfId="1" applyFont="1" applyBorder="1" applyAlignment="1">
      <alignment horizontal="center" vertical="center" wrapText="1"/>
    </xf>
    <xf numFmtId="4" fontId="6" fillId="4" borderId="1" xfId="1" applyNumberFormat="1" applyFont="1" applyFill="1" applyBorder="1" applyAlignment="1">
      <alignment horizontal="center" vertical="center"/>
    </xf>
    <xf numFmtId="0" fontId="2" fillId="0" borderId="0" xfId="0" applyFont="1" applyAlignment="1">
      <alignment horizontal="center" vertical="center" wrapText="1"/>
    </xf>
    <xf numFmtId="0" fontId="6" fillId="0" borderId="0" xfId="0" applyFont="1"/>
    <xf numFmtId="0" fontId="6" fillId="4" borderId="0" xfId="0" applyFont="1" applyFill="1"/>
    <xf numFmtId="0" fontId="2" fillId="0" borderId="0" xfId="0" applyFont="1" applyAlignment="1">
      <alignment horizontal="justify" vertical="center" wrapText="1"/>
    </xf>
    <xf numFmtId="0" fontId="6" fillId="0" borderId="7" xfId="1" applyFont="1" applyBorder="1" applyAlignment="1">
      <alignment horizontal="center" vertical="center" wrapText="1"/>
    </xf>
    <xf numFmtId="0" fontId="7" fillId="0" borderId="0" xfId="0" applyFont="1"/>
    <xf numFmtId="0" fontId="9" fillId="0" borderId="0" xfId="0" applyFont="1"/>
    <xf numFmtId="0" fontId="10" fillId="0" borderId="0" xfId="0" applyFont="1"/>
    <xf numFmtId="0" fontId="10" fillId="0" borderId="0" xfId="0" applyFont="1" applyAlignment="1">
      <alignment horizontal="center" vertical="center"/>
    </xf>
    <xf numFmtId="3" fontId="2" fillId="2" borderId="23" xfId="0" applyNumberFormat="1" applyFont="1" applyFill="1" applyBorder="1"/>
    <xf numFmtId="3" fontId="10" fillId="0" borderId="0" xfId="0" applyNumberFormat="1" applyFont="1"/>
    <xf numFmtId="0" fontId="11" fillId="0" borderId="0" xfId="0" applyFont="1"/>
    <xf numFmtId="3" fontId="11" fillId="2" borderId="24" xfId="0" applyNumberFormat="1" applyFont="1" applyFill="1" applyBorder="1"/>
    <xf numFmtId="0" fontId="12" fillId="0" borderId="5" xfId="0" applyFont="1" applyBorder="1"/>
    <xf numFmtId="0" fontId="12" fillId="0" borderId="0" xfId="0" applyFont="1"/>
    <xf numFmtId="3" fontId="12" fillId="0" borderId="1" xfId="0" applyNumberFormat="1" applyFont="1" applyBorder="1"/>
    <xf numFmtId="0" fontId="10" fillId="0" borderId="0" xfId="0" applyFont="1" applyAlignment="1">
      <alignment horizontal="right"/>
    </xf>
    <xf numFmtId="166" fontId="10" fillId="0" borderId="0" xfId="0" applyNumberFormat="1" applyFont="1"/>
    <xf numFmtId="0" fontId="14" fillId="0" borderId="1" xfId="0" applyFont="1" applyBorder="1" applyAlignment="1">
      <alignment horizontal="right"/>
    </xf>
    <xf numFmtId="0" fontId="14" fillId="0" borderId="1" xfId="0" applyFont="1" applyBorder="1" applyAlignment="1">
      <alignment horizontal="center"/>
    </xf>
    <xf numFmtId="0" fontId="14" fillId="0" borderId="1" xfId="0" applyFont="1" applyBorder="1" applyAlignment="1">
      <alignment horizontal="center" vertical="center" wrapText="1"/>
    </xf>
    <xf numFmtId="0" fontId="17" fillId="0" borderId="0" xfId="0" applyFont="1"/>
    <xf numFmtId="0" fontId="18" fillId="0" borderId="0" xfId="0" applyFont="1"/>
    <xf numFmtId="0" fontId="17" fillId="0" borderId="0" xfId="0" applyFont="1" applyAlignment="1">
      <alignment horizontal="justify" wrapText="1"/>
    </xf>
    <xf numFmtId="43" fontId="6" fillId="0" borderId="1" xfId="3" applyFont="1" applyBorder="1"/>
    <xf numFmtId="0" fontId="6" fillId="0" borderId="14" xfId="0" applyFont="1" applyBorder="1" applyAlignment="1">
      <alignment horizontal="center" vertical="center"/>
    </xf>
    <xf numFmtId="0" fontId="6" fillId="0" borderId="5" xfId="0" applyFont="1" applyBorder="1" applyAlignment="1">
      <alignment vertical="center"/>
    </xf>
    <xf numFmtId="4" fontId="6" fillId="0" borderId="5" xfId="0" applyNumberFormat="1" applyFont="1" applyBorder="1" applyAlignment="1">
      <alignment vertical="center"/>
    </xf>
    <xf numFmtId="4" fontId="6" fillId="0" borderId="14" xfId="0" applyNumberFormat="1" applyFont="1" applyBorder="1" applyAlignment="1">
      <alignment vertical="center"/>
    </xf>
    <xf numFmtId="4" fontId="6" fillId="0" borderId="16" xfId="0" applyNumberFormat="1" applyFont="1" applyBorder="1" applyAlignment="1">
      <alignment vertical="center"/>
    </xf>
    <xf numFmtId="0" fontId="6" fillId="0" borderId="0" xfId="0" applyFont="1" applyAlignment="1">
      <alignment vertical="center"/>
    </xf>
    <xf numFmtId="0" fontId="6" fillId="0" borderId="10" xfId="0" applyFont="1" applyBorder="1" applyAlignment="1">
      <alignment horizontal="center" vertical="center"/>
    </xf>
    <xf numFmtId="0" fontId="6" fillId="0" borderId="1" xfId="0" applyFont="1" applyBorder="1" applyAlignment="1">
      <alignment vertical="center"/>
    </xf>
    <xf numFmtId="4" fontId="6" fillId="0" borderId="1" xfId="0" applyNumberFormat="1" applyFont="1" applyBorder="1" applyAlignment="1">
      <alignment vertical="center"/>
    </xf>
    <xf numFmtId="4" fontId="6" fillId="0" borderId="10" xfId="0" applyNumberFormat="1" applyFont="1" applyBorder="1" applyAlignment="1">
      <alignment vertical="center"/>
    </xf>
    <xf numFmtId="0" fontId="6" fillId="0" borderId="1" xfId="0" applyFont="1" applyBorder="1" applyAlignment="1">
      <alignment horizontal="center" vertical="center"/>
    </xf>
    <xf numFmtId="3" fontId="6" fillId="0" borderId="5" xfId="0" applyNumberFormat="1" applyFont="1" applyBorder="1" applyAlignment="1">
      <alignment horizontal="center" vertical="center"/>
    </xf>
    <xf numFmtId="3" fontId="6" fillId="0" borderId="1" xfId="0" applyNumberFormat="1" applyFont="1" applyBorder="1" applyAlignment="1">
      <alignment horizontal="center" vertical="center"/>
    </xf>
    <xf numFmtId="0" fontId="6" fillId="0" borderId="18" xfId="0" applyFont="1" applyBorder="1" applyAlignment="1">
      <alignment horizontal="center" vertical="center"/>
    </xf>
    <xf numFmtId="0" fontId="6" fillId="0" borderId="3" xfId="0" applyFont="1" applyBorder="1" applyAlignment="1">
      <alignment horizontal="left" vertical="center" wrapText="1"/>
    </xf>
    <xf numFmtId="0" fontId="6" fillId="0" borderId="3" xfId="0" applyFont="1" applyBorder="1" applyAlignment="1">
      <alignment horizontal="center" vertical="center"/>
    </xf>
    <xf numFmtId="165" fontId="6" fillId="0" borderId="1" xfId="0" applyNumberFormat="1" applyFont="1" applyBorder="1" applyAlignment="1">
      <alignment horizontal="center" vertical="center"/>
    </xf>
    <xf numFmtId="0" fontId="6" fillId="0" borderId="3" xfId="0" applyFont="1" applyBorder="1" applyAlignment="1">
      <alignment vertical="center"/>
    </xf>
    <xf numFmtId="4" fontId="6" fillId="0" borderId="18" xfId="0" applyNumberFormat="1" applyFont="1" applyBorder="1" applyAlignment="1">
      <alignment vertical="center"/>
    </xf>
    <xf numFmtId="165" fontId="6" fillId="0" borderId="4" xfId="0" applyNumberFormat="1" applyFont="1" applyBorder="1" applyAlignment="1">
      <alignment horizontal="center" vertical="center"/>
    </xf>
    <xf numFmtId="3" fontId="6" fillId="0" borderId="11" xfId="0" applyNumberFormat="1" applyFont="1" applyBorder="1" applyAlignment="1">
      <alignment horizontal="center" vertical="center"/>
    </xf>
    <xf numFmtId="0" fontId="0" fillId="0" borderId="0" xfId="0" applyAlignment="1">
      <alignment wrapText="1"/>
    </xf>
    <xf numFmtId="164" fontId="0" fillId="0" borderId="0" xfId="4" applyFont="1"/>
    <xf numFmtId="0" fontId="1" fillId="0" borderId="0" xfId="0" applyFont="1" applyAlignment="1">
      <alignment horizontal="center" vertical="center" wrapText="1"/>
    </xf>
    <xf numFmtId="0" fontId="6" fillId="0" borderId="0" xfId="0" applyFont="1" applyAlignment="1">
      <alignment horizontal="center"/>
    </xf>
    <xf numFmtId="0" fontId="9" fillId="0" borderId="0" xfId="0" applyFont="1" applyAlignment="1">
      <alignment horizontal="center"/>
    </xf>
    <xf numFmtId="0" fontId="16" fillId="0" borderId="0" xfId="0" applyFont="1" applyAlignment="1">
      <alignment horizontal="center"/>
    </xf>
    <xf numFmtId="0" fontId="0" fillId="0" borderId="0" xfId="0" applyAlignment="1">
      <alignment horizontal="center"/>
    </xf>
    <xf numFmtId="4" fontId="6" fillId="0" borderId="0" xfId="0" applyNumberFormat="1" applyFont="1" applyAlignment="1">
      <alignment horizontal="center"/>
    </xf>
    <xf numFmtId="43" fontId="14" fillId="0" borderId="1" xfId="3" applyFont="1" applyBorder="1"/>
    <xf numFmtId="43" fontId="15" fillId="0" borderId="1" xfId="3" applyFont="1" applyBorder="1" applyAlignment="1">
      <alignment horizontal="right" vertical="center" wrapText="1"/>
    </xf>
    <xf numFmtId="0" fontId="14" fillId="0" borderId="0" xfId="0" applyFont="1"/>
    <xf numFmtId="0" fontId="21" fillId="0" borderId="0" xfId="0" applyFont="1"/>
    <xf numFmtId="0" fontId="14" fillId="0" borderId="1" xfId="0" applyFont="1" applyBorder="1" applyAlignment="1">
      <alignment horizontal="justify" vertical="center" wrapText="1"/>
    </xf>
    <xf numFmtId="0" fontId="15" fillId="0" borderId="1" xfId="0" applyFont="1" applyBorder="1" applyAlignment="1">
      <alignment horizontal="justify" vertical="center" wrapText="1"/>
    </xf>
    <xf numFmtId="2" fontId="14" fillId="0" borderId="1" xfId="0" applyNumberFormat="1" applyFont="1" applyBorder="1" applyAlignment="1">
      <alignment horizontal="justify" vertical="center" wrapText="1"/>
    </xf>
    <xf numFmtId="4" fontId="15" fillId="0" borderId="1" xfId="0" applyNumberFormat="1" applyFont="1" applyBorder="1"/>
    <xf numFmtId="0" fontId="15" fillId="0" borderId="0" xfId="0" applyFont="1"/>
    <xf numFmtId="2" fontId="22" fillId="0" borderId="1" xfId="0" applyNumberFormat="1" applyFont="1" applyBorder="1" applyAlignment="1">
      <alignment horizontal="justify" vertical="center" wrapText="1"/>
    </xf>
    <xf numFmtId="0" fontId="21" fillId="0" borderId="1" xfId="0" applyFont="1" applyBorder="1"/>
    <xf numFmtId="4" fontId="21" fillId="0" borderId="1" xfId="0" applyNumberFormat="1" applyFont="1" applyBorder="1" applyAlignment="1">
      <alignment horizontal="center"/>
    </xf>
    <xf numFmtId="1" fontId="14" fillId="0" borderId="1" xfId="0" applyNumberFormat="1" applyFont="1" applyBorder="1" applyAlignment="1">
      <alignment horizontal="center" vertical="center" wrapText="1"/>
    </xf>
    <xf numFmtId="0" fontId="23" fillId="0" borderId="0" xfId="0" applyFont="1"/>
    <xf numFmtId="0" fontId="21" fillId="0" borderId="1" xfId="0" applyFont="1" applyBorder="1" applyAlignment="1">
      <alignment horizontal="center" vertical="center"/>
    </xf>
    <xf numFmtId="43" fontId="21" fillId="0" borderId="1" xfId="3" applyFont="1" applyBorder="1"/>
    <xf numFmtId="43" fontId="21" fillId="0" borderId="1" xfId="3" applyFont="1" applyBorder="1" applyAlignment="1">
      <alignment horizontal="center"/>
    </xf>
    <xf numFmtId="0" fontId="14" fillId="2" borderId="1" xfId="0" applyFont="1" applyFill="1" applyBorder="1"/>
    <xf numFmtId="4" fontId="21" fillId="2" borderId="1" xfId="0" applyNumberFormat="1" applyFont="1" applyFill="1" applyBorder="1"/>
    <xf numFmtId="3" fontId="19" fillId="4" borderId="1" xfId="0" applyNumberFormat="1" applyFont="1" applyFill="1" applyBorder="1"/>
    <xf numFmtId="3" fontId="12" fillId="4" borderId="1" xfId="0" applyNumberFormat="1" applyFont="1" applyFill="1" applyBorder="1"/>
    <xf numFmtId="0" fontId="14" fillId="4" borderId="1" xfId="0" applyFont="1" applyFill="1" applyBorder="1" applyAlignment="1">
      <alignment horizontal="justify" vertical="center" wrapText="1"/>
    </xf>
    <xf numFmtId="43" fontId="14" fillId="0" borderId="1" xfId="3" applyFont="1" applyFill="1" applyBorder="1"/>
    <xf numFmtId="43" fontId="15" fillId="0" borderId="1" xfId="3" applyFont="1" applyFill="1" applyBorder="1" applyAlignment="1">
      <alignment horizontal="right" vertical="center" wrapText="1"/>
    </xf>
    <xf numFmtId="0" fontId="10" fillId="0" borderId="28" xfId="0" applyFont="1" applyBorder="1" applyAlignment="1">
      <alignment horizontal="center" vertical="center"/>
    </xf>
    <xf numFmtId="0" fontId="10" fillId="0" borderId="29" xfId="0" applyFont="1" applyBorder="1" applyAlignment="1">
      <alignment horizontal="center" vertical="center"/>
    </xf>
    <xf numFmtId="0" fontId="12" fillId="0" borderId="31" xfId="0" applyFont="1" applyBorder="1" applyAlignment="1">
      <alignment horizontal="left"/>
    </xf>
    <xf numFmtId="0" fontId="11" fillId="2" borderId="30" xfId="0" applyFont="1" applyFill="1" applyBorder="1"/>
    <xf numFmtId="0" fontId="12" fillId="0" borderId="32" xfId="0" applyFont="1" applyBorder="1"/>
    <xf numFmtId="0" fontId="12" fillId="0" borderId="31" xfId="0" applyFont="1" applyBorder="1" applyAlignment="1">
      <alignment horizontal="right"/>
    </xf>
    <xf numFmtId="3" fontId="24" fillId="0" borderId="1" xfId="0" applyNumberFormat="1" applyFont="1" applyBorder="1"/>
    <xf numFmtId="0" fontId="19" fillId="0" borderId="31" xfId="0" applyFont="1" applyBorder="1"/>
    <xf numFmtId="166" fontId="10" fillId="0" borderId="0" xfId="3" applyNumberFormat="1" applyFont="1"/>
    <xf numFmtId="0" fontId="26" fillId="4" borderId="1" xfId="0" applyFont="1" applyFill="1" applyBorder="1" applyAlignment="1">
      <alignment horizontal="justify" vertical="center" wrapText="1"/>
    </xf>
    <xf numFmtId="3" fontId="8" fillId="0" borderId="0" xfId="0" applyNumberFormat="1" applyFont="1"/>
    <xf numFmtId="4" fontId="6" fillId="4" borderId="15" xfId="0" applyNumberFormat="1" applyFont="1" applyFill="1" applyBorder="1" applyAlignment="1">
      <alignment vertical="center"/>
    </xf>
    <xf numFmtId="4" fontId="6" fillId="4" borderId="2" xfId="0" applyNumberFormat="1" applyFont="1" applyFill="1" applyBorder="1" applyAlignment="1">
      <alignment vertical="center"/>
    </xf>
    <xf numFmtId="4" fontId="6" fillId="4" borderId="19" xfId="0" applyNumberFormat="1" applyFont="1" applyFill="1" applyBorder="1" applyAlignment="1">
      <alignment vertical="center"/>
    </xf>
    <xf numFmtId="14" fontId="16" fillId="0" borderId="0" xfId="0" applyNumberFormat="1" applyFont="1" applyAlignment="1">
      <alignment horizontal="center"/>
    </xf>
    <xf numFmtId="167" fontId="9" fillId="0" borderId="0" xfId="0" applyNumberFormat="1" applyFont="1" applyAlignment="1">
      <alignment horizontal="center"/>
    </xf>
    <xf numFmtId="0" fontId="29" fillId="0" borderId="1" xfId="0" applyFont="1" applyBorder="1" applyAlignment="1">
      <alignment horizontal="justify" vertical="center" wrapText="1"/>
    </xf>
    <xf numFmtId="0" fontId="21" fillId="0" borderId="1" xfId="0" applyFont="1" applyBorder="1" applyAlignment="1">
      <alignment horizontal="justify" vertical="center" wrapText="1"/>
    </xf>
    <xf numFmtId="0" fontId="30" fillId="0" borderId="1" xfId="0" applyFont="1" applyBorder="1"/>
    <xf numFmtId="0" fontId="21" fillId="0" borderId="1" xfId="0" applyFont="1" applyBorder="1" applyAlignment="1">
      <alignment horizontal="center" vertical="center" wrapText="1"/>
    </xf>
    <xf numFmtId="43" fontId="31" fillId="0" borderId="1" xfId="3" applyFont="1" applyBorder="1" applyAlignment="1">
      <alignment horizontal="justify" vertical="center" wrapText="1"/>
    </xf>
    <xf numFmtId="43" fontId="30" fillId="0" borderId="1" xfId="3" applyFont="1" applyBorder="1" applyAlignment="1">
      <alignment horizontal="right" vertical="center" wrapText="1"/>
    </xf>
    <xf numFmtId="0" fontId="30" fillId="0" borderId="1" xfId="0" applyFont="1" applyBorder="1" applyAlignment="1">
      <alignment horizontal="justify" vertical="center" wrapText="1"/>
    </xf>
    <xf numFmtId="0" fontId="14" fillId="0" borderId="2" xfId="0" applyFont="1" applyBorder="1" applyAlignment="1">
      <alignment horizontal="center" vertical="center"/>
    </xf>
    <xf numFmtId="0" fontId="32" fillId="0" borderId="0" xfId="0" applyFont="1" applyAlignment="1">
      <alignment horizontal="right" vertical="center" wrapText="1"/>
    </xf>
    <xf numFmtId="0" fontId="6" fillId="0" borderId="0" xfId="2" applyFont="1" applyAlignment="1">
      <alignment horizontal="center" vertical="center" wrapText="1"/>
    </xf>
    <xf numFmtId="0" fontId="7" fillId="0" borderId="0" xfId="1" applyFont="1"/>
    <xf numFmtId="3" fontId="5" fillId="3" borderId="0" xfId="1" applyNumberFormat="1" applyFont="1" applyFill="1" applyAlignment="1">
      <alignment horizontal="center" vertical="center"/>
    </xf>
    <xf numFmtId="4" fontId="6" fillId="4" borderId="0" xfId="1" applyNumberFormat="1" applyFont="1" applyFill="1" applyAlignment="1">
      <alignment horizontal="center" vertical="center"/>
    </xf>
    <xf numFmtId="3" fontId="7" fillId="2" borderId="0" xfId="1" applyNumberFormat="1" applyFont="1" applyFill="1" applyAlignment="1">
      <alignment horizontal="center" vertical="center" wrapText="1"/>
    </xf>
    <xf numFmtId="0" fontId="38" fillId="0" borderId="0" xfId="0" applyFont="1"/>
    <xf numFmtId="3" fontId="12" fillId="0" borderId="0" xfId="0" applyNumberFormat="1" applyFont="1"/>
    <xf numFmtId="0" fontId="1" fillId="0" borderId="0" xfId="0" applyFont="1" applyAlignment="1">
      <alignment wrapText="1"/>
    </xf>
    <xf numFmtId="0" fontId="2" fillId="0" borderId="1" xfId="0" applyFont="1" applyBorder="1" applyAlignment="1">
      <alignment wrapText="1"/>
    </xf>
    <xf numFmtId="0" fontId="1" fillId="0" borderId="1" xfId="0" applyFont="1" applyBorder="1" applyAlignment="1">
      <alignment horizontal="left" wrapText="1"/>
    </xf>
    <xf numFmtId="0" fontId="2" fillId="0" borderId="1" xfId="0" applyFont="1" applyBorder="1" applyAlignment="1">
      <alignment horizontal="left" wrapText="1"/>
    </xf>
    <xf numFmtId="3" fontId="1" fillId="0" borderId="1" xfId="0" applyNumberFormat="1" applyFont="1" applyBorder="1" applyAlignment="1">
      <alignment horizontal="center" vertical="center"/>
    </xf>
    <xf numFmtId="0" fontId="6" fillId="0" borderId="1" xfId="2" applyFont="1" applyBorder="1" applyAlignment="1">
      <alignment horizontal="center" vertical="center" wrapText="1"/>
    </xf>
    <xf numFmtId="0" fontId="7" fillId="0" borderId="1" xfId="1" applyFont="1" applyBorder="1" applyAlignment="1">
      <alignment horizontal="center" vertical="center" wrapText="1"/>
    </xf>
    <xf numFmtId="0" fontId="7" fillId="0" borderId="1" xfId="1" applyFont="1" applyBorder="1"/>
    <xf numFmtId="0" fontId="5" fillId="0" borderId="1" xfId="1" applyFont="1" applyBorder="1" applyAlignment="1">
      <alignment horizontal="center" vertical="center" wrapText="1"/>
    </xf>
    <xf numFmtId="3" fontId="5" fillId="3" borderId="1" xfId="1" applyNumberFormat="1" applyFont="1" applyFill="1" applyBorder="1" applyAlignment="1">
      <alignment horizontal="center" vertical="center" wrapText="1"/>
    </xf>
    <xf numFmtId="3" fontId="5" fillId="3" borderId="1" xfId="1" applyNumberFormat="1" applyFont="1" applyFill="1" applyBorder="1" applyAlignment="1">
      <alignment horizontal="center" vertical="center"/>
    </xf>
    <xf numFmtId="0" fontId="1" fillId="0" borderId="1" xfId="0" applyFont="1" applyBorder="1" applyAlignment="1">
      <alignment horizontal="left" indent="1"/>
    </xf>
    <xf numFmtId="0" fontId="2" fillId="0" borderId="1" xfId="0" applyFont="1" applyBorder="1" applyAlignment="1">
      <alignment horizontal="left"/>
    </xf>
    <xf numFmtId="3" fontId="7" fillId="2" borderId="1" xfId="1" applyNumberFormat="1" applyFont="1" applyFill="1" applyBorder="1" applyAlignment="1">
      <alignment horizontal="right" vertical="center" wrapText="1"/>
    </xf>
    <xf numFmtId="1" fontId="7" fillId="2" borderId="1" xfId="1" applyNumberFormat="1" applyFont="1" applyFill="1" applyBorder="1" applyAlignment="1">
      <alignment horizontal="center" vertical="center" wrapText="1"/>
    </xf>
    <xf numFmtId="3" fontId="7" fillId="2" borderId="1" xfId="1" applyNumberFormat="1" applyFont="1" applyFill="1" applyBorder="1" applyAlignment="1">
      <alignment horizontal="center" vertical="center" wrapText="1"/>
    </xf>
    <xf numFmtId="0" fontId="39" fillId="0" borderId="0" xfId="0" applyFont="1"/>
    <xf numFmtId="0" fontId="40" fillId="0" borderId="0" xfId="0" applyFont="1"/>
    <xf numFmtId="0" fontId="41" fillId="0" borderId="0" xfId="0" applyFont="1" applyAlignment="1">
      <alignment wrapText="1"/>
    </xf>
    <xf numFmtId="4" fontId="14" fillId="0" borderId="1" xfId="0" applyNumberFormat="1" applyFont="1" applyBorder="1" applyAlignment="1">
      <alignment horizontal="justify" vertical="center" wrapText="1"/>
    </xf>
    <xf numFmtId="4" fontId="6" fillId="0" borderId="0" xfId="0" applyNumberFormat="1" applyFont="1"/>
    <xf numFmtId="4" fontId="15" fillId="0" borderId="0" xfId="0" applyNumberFormat="1" applyFont="1"/>
    <xf numFmtId="0" fontId="11" fillId="0" borderId="0" xfId="0" applyFont="1" applyAlignment="1">
      <alignment horizontal="center" vertical="center" wrapText="1"/>
    </xf>
    <xf numFmtId="0" fontId="33" fillId="0" borderId="0" xfId="0" applyFont="1" applyAlignment="1">
      <alignment horizontal="right" vertical="center" wrapText="1"/>
    </xf>
    <xf numFmtId="0" fontId="33" fillId="0" borderId="0" xfId="0" applyFont="1" applyAlignment="1">
      <alignment horizontal="right" vertical="center"/>
    </xf>
    <xf numFmtId="0" fontId="2" fillId="2" borderId="20" xfId="0" applyFont="1" applyFill="1" applyBorder="1" applyAlignment="1">
      <alignment horizontal="right"/>
    </xf>
    <xf numFmtId="0" fontId="2" fillId="2" borderId="21" xfId="0" applyFont="1" applyFill="1" applyBorder="1" applyAlignment="1">
      <alignment horizontal="right"/>
    </xf>
    <xf numFmtId="0" fontId="1" fillId="5" borderId="8" xfId="0" applyFont="1" applyFill="1" applyBorder="1" applyAlignment="1">
      <alignment horizontal="center" vertical="center" wrapText="1"/>
    </xf>
    <xf numFmtId="0" fontId="1" fillId="5" borderId="17"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2" fillId="0" borderId="0" xfId="0" applyFont="1" applyAlignment="1">
      <alignment horizontal="center" vertical="center" wrapText="1"/>
    </xf>
    <xf numFmtId="0" fontId="6" fillId="0" borderId="4" xfId="0" applyFont="1" applyBorder="1" applyAlignment="1">
      <alignment horizontal="center" vertical="center"/>
    </xf>
    <xf numFmtId="0" fontId="6" fillId="0" borderId="5" xfId="0" applyFont="1" applyBorder="1" applyAlignment="1">
      <alignment horizontal="center" vertical="center"/>
    </xf>
    <xf numFmtId="4" fontId="6" fillId="0" borderId="4" xfId="0" applyNumberFormat="1" applyFont="1" applyBorder="1" applyAlignment="1">
      <alignment horizontal="center" vertical="center"/>
    </xf>
    <xf numFmtId="4" fontId="6" fillId="0" borderId="5" xfId="0" applyNumberFormat="1" applyFont="1" applyBorder="1" applyAlignment="1">
      <alignment horizontal="center" vertical="center"/>
    </xf>
    <xf numFmtId="0" fontId="1" fillId="2" borderId="26" xfId="0" applyFont="1" applyFill="1" applyBorder="1" applyAlignment="1">
      <alignment horizontal="center" vertical="center" wrapText="1"/>
    </xf>
    <xf numFmtId="0" fontId="1" fillId="2" borderId="34" xfId="0" applyFont="1" applyFill="1" applyBorder="1" applyAlignment="1">
      <alignment horizontal="center" vertical="center" wrapText="1"/>
    </xf>
    <xf numFmtId="0" fontId="32" fillId="0" borderId="0" xfId="0" applyFont="1" applyAlignment="1">
      <alignment horizontal="right" wrapText="1"/>
    </xf>
    <xf numFmtId="0" fontId="14" fillId="0" borderId="3" xfId="0" applyFont="1" applyBorder="1" applyAlignment="1">
      <alignment horizontal="center" vertical="center" wrapText="1"/>
    </xf>
    <xf numFmtId="0" fontId="14" fillId="0" borderId="5" xfId="0" applyFont="1" applyBorder="1" applyAlignment="1">
      <alignment horizontal="center" vertical="center" wrapText="1"/>
    </xf>
    <xf numFmtId="0" fontId="21" fillId="2" borderId="19" xfId="0" applyFont="1" applyFill="1" applyBorder="1" applyAlignment="1">
      <alignment horizontal="left" vertical="center"/>
    </xf>
    <xf numFmtId="0" fontId="21" fillId="2" borderId="27" xfId="0" applyFont="1" applyFill="1" applyBorder="1" applyAlignment="1">
      <alignment horizontal="left" vertical="center"/>
    </xf>
    <xf numFmtId="0" fontId="21" fillId="2" borderId="2" xfId="0" applyFont="1" applyFill="1" applyBorder="1" applyAlignment="1">
      <alignment horizontal="left" vertical="center"/>
    </xf>
    <xf numFmtId="0" fontId="21" fillId="2" borderId="25" xfId="0" applyFont="1" applyFill="1" applyBorder="1" applyAlignment="1">
      <alignment horizontal="left" vertical="center"/>
    </xf>
    <xf numFmtId="0" fontId="14" fillId="0" borderId="3" xfId="0" applyFont="1" applyBorder="1" applyAlignment="1">
      <alignment horizontal="center" vertical="center"/>
    </xf>
    <xf numFmtId="0" fontId="14" fillId="0" borderId="5" xfId="0" applyFont="1" applyBorder="1" applyAlignment="1">
      <alignment horizontal="center" vertical="center"/>
    </xf>
    <xf numFmtId="0" fontId="32" fillId="0" borderId="0" xfId="0" applyFont="1" applyAlignment="1">
      <alignment horizontal="right" vertical="center" wrapText="1"/>
    </xf>
  </cellXfs>
  <cellStyles count="7">
    <cellStyle name="Comma" xfId="3" builtinId="3"/>
    <cellStyle name="Currency" xfId="4" builtinId="4"/>
    <cellStyle name="Heading 3 2" xfId="5" xr:uid="{2AAE68CD-7E9F-4F58-A585-99FF0450DB8B}"/>
    <cellStyle name="Normal" xfId="0" builtinId="0"/>
    <cellStyle name="Normal 2" xfId="6" xr:uid="{7858AA03-DD6F-4E00-87AC-C0D8975D5FDD}"/>
    <cellStyle name="Normal 2 2" xfId="1" xr:uid="{BF425B1F-B842-4D27-B2FB-73DC4341ECEB}"/>
    <cellStyle name="Normal 2 3 10" xfId="2" xr:uid="{14B273A0-4D00-4E95-9CC3-871E75C14A3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89AB1-6AD5-4C91-9807-157F75902153}">
  <dimension ref="A1:D19"/>
  <sheetViews>
    <sheetView tabSelected="1" view="pageBreakPreview" topLeftCell="A4" zoomScale="115" zoomScaleNormal="115" zoomScaleSheetLayoutView="115" workbookViewId="0">
      <selection activeCell="D19" sqref="D19"/>
    </sheetView>
  </sheetViews>
  <sheetFormatPr defaultColWidth="9.28515625" defaultRowHeight="15" x14ac:dyDescent="0.25"/>
  <cols>
    <col min="1" max="1" width="60.7109375" style="19" customWidth="1"/>
    <col min="2" max="2" width="13.42578125" style="19" customWidth="1"/>
    <col min="3" max="16384" width="9.28515625" style="19"/>
  </cols>
  <sheetData>
    <row r="1" spans="1:4" ht="71.25" customHeight="1" x14ac:dyDescent="0.25">
      <c r="A1" s="145" t="s">
        <v>91</v>
      </c>
      <c r="B1" s="146"/>
    </row>
    <row r="3" spans="1:4" ht="47.25" customHeight="1" x14ac:dyDescent="0.25">
      <c r="A3" s="144" t="s">
        <v>95</v>
      </c>
      <c r="B3" s="144"/>
    </row>
    <row r="4" spans="1:4" ht="14.65" customHeight="1" thickBot="1" x14ac:dyDescent="0.3"/>
    <row r="5" spans="1:4" s="20" customFormat="1" x14ac:dyDescent="0.25">
      <c r="A5" s="90" t="s">
        <v>0</v>
      </c>
      <c r="B5" s="91" t="s">
        <v>7</v>
      </c>
    </row>
    <row r="6" spans="1:4" x14ac:dyDescent="0.25">
      <c r="A6" s="92" t="s">
        <v>1</v>
      </c>
      <c r="B6" s="27">
        <f>'4_pielikums pēc videja'!Q15</f>
        <v>81928.347733500006</v>
      </c>
    </row>
    <row r="7" spans="1:4" x14ac:dyDescent="0.25">
      <c r="A7" s="92" t="s">
        <v>2</v>
      </c>
      <c r="B7" s="27">
        <f>'2_pielikums'!H16</f>
        <v>10630</v>
      </c>
    </row>
    <row r="8" spans="1:4" ht="15.75" thickBot="1" x14ac:dyDescent="0.3">
      <c r="A8" s="92" t="s">
        <v>86</v>
      </c>
      <c r="B8" s="27">
        <f>'3_pielikums'!B33</f>
        <v>102253</v>
      </c>
      <c r="C8" s="22"/>
    </row>
    <row r="9" spans="1:4" s="23" customFormat="1" thickBot="1" x14ac:dyDescent="0.25">
      <c r="A9" s="93" t="s">
        <v>3</v>
      </c>
      <c r="B9" s="24">
        <f>SUM(B6:B8)</f>
        <v>194811.34773350001</v>
      </c>
      <c r="C9" s="100"/>
      <c r="D9" s="100"/>
    </row>
    <row r="10" spans="1:4" s="26" customFormat="1" ht="15.75" thickBot="1" x14ac:dyDescent="0.3">
      <c r="A10" s="94"/>
      <c r="B10" s="25"/>
    </row>
    <row r="11" spans="1:4" s="26" customFormat="1" ht="15.75" thickBot="1" x14ac:dyDescent="0.3">
      <c r="A11" s="93" t="s">
        <v>87</v>
      </c>
      <c r="B11" s="24">
        <f>B13+B14</f>
        <v>194811.34773350001</v>
      </c>
    </row>
    <row r="12" spans="1:4" s="26" customFormat="1" x14ac:dyDescent="0.25">
      <c r="A12" s="97" t="s">
        <v>88</v>
      </c>
      <c r="B12" s="85">
        <f>B13+B14</f>
        <v>194811.34773350001</v>
      </c>
    </row>
    <row r="13" spans="1:4" s="26" customFormat="1" x14ac:dyDescent="0.25">
      <c r="A13" s="95" t="s">
        <v>89</v>
      </c>
      <c r="B13" s="86">
        <f>'4_pielikums pēc videja'!Q15</f>
        <v>81928.347733500006</v>
      </c>
      <c r="C13" s="121"/>
    </row>
    <row r="14" spans="1:4" s="26" customFormat="1" x14ac:dyDescent="0.25">
      <c r="A14" s="95" t="s">
        <v>90</v>
      </c>
      <c r="B14" s="96">
        <f>B8+B7</f>
        <v>112883</v>
      </c>
      <c r="C14" s="121"/>
    </row>
    <row r="15" spans="1:4" ht="67.349999999999994" customHeight="1" x14ac:dyDescent="0.25">
      <c r="B15" s="22"/>
    </row>
    <row r="16" spans="1:4" x14ac:dyDescent="0.25">
      <c r="A16" s="28"/>
      <c r="B16" s="22"/>
    </row>
    <row r="17" spans="2:2" x14ac:dyDescent="0.25">
      <c r="B17" s="98"/>
    </row>
    <row r="18" spans="2:2" x14ac:dyDescent="0.25">
      <c r="B18" s="22"/>
    </row>
    <row r="19" spans="2:2" x14ac:dyDescent="0.25">
      <c r="B19" s="29"/>
    </row>
  </sheetData>
  <mergeCells count="2">
    <mergeCell ref="A3:B3"/>
    <mergeCell ref="A1:B1"/>
  </mergeCells>
  <pageMargins left="0.7" right="0.7" top="0.75" bottom="0.75" header="0.3" footer="0.3"/>
  <pageSetup paperSize="9" orientation="portrait"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5FCCDE-926C-4B01-9BA6-5B670F047C69}">
  <dimension ref="A1:L27"/>
  <sheetViews>
    <sheetView view="pageBreakPreview" topLeftCell="A5" zoomScaleNormal="100" zoomScaleSheetLayoutView="100" workbookViewId="0">
      <selection activeCell="D7" sqref="D7:D10"/>
    </sheetView>
  </sheetViews>
  <sheetFormatPr defaultColWidth="9.28515625" defaultRowHeight="15.75" x14ac:dyDescent="0.25"/>
  <cols>
    <col min="1" max="1" width="5.7109375" style="1" customWidth="1"/>
    <col min="2" max="2" width="33.7109375" style="1" customWidth="1"/>
    <col min="3" max="4" width="12" style="1" customWidth="1"/>
    <col min="5" max="6" width="15.28515625" style="1" customWidth="1"/>
    <col min="7" max="7" width="16.7109375" style="1" customWidth="1"/>
    <col min="8" max="8" width="14" style="1" customWidth="1"/>
    <col min="9" max="16384" width="9.28515625" style="1"/>
  </cols>
  <sheetData>
    <row r="1" spans="1:12" ht="79.5" customHeight="1" x14ac:dyDescent="0.25">
      <c r="E1" s="164" t="s">
        <v>92</v>
      </c>
      <c r="F1" s="164"/>
      <c r="G1" s="164"/>
      <c r="H1" s="164"/>
    </row>
    <row r="3" spans="1:12" ht="33" customHeight="1" x14ac:dyDescent="0.25">
      <c r="A3" s="157" t="s">
        <v>96</v>
      </c>
      <c r="B3" s="157"/>
      <c r="C3" s="157"/>
      <c r="D3" s="157"/>
      <c r="E3" s="157"/>
      <c r="F3" s="157"/>
      <c r="G3" s="157"/>
      <c r="H3" s="157"/>
    </row>
    <row r="4" spans="1:12" ht="16.5" thickBot="1" x14ac:dyDescent="0.3">
      <c r="A4" s="2"/>
      <c r="B4" s="2"/>
      <c r="C4" s="2"/>
      <c r="D4" s="2"/>
      <c r="I4" s="33"/>
      <c r="J4" s="33"/>
      <c r="K4" s="33"/>
      <c r="L4" s="33"/>
    </row>
    <row r="5" spans="1:12" s="3" customFormat="1" ht="30" customHeight="1" x14ac:dyDescent="0.25">
      <c r="A5" s="153" t="s">
        <v>4</v>
      </c>
      <c r="B5" s="155" t="s">
        <v>0</v>
      </c>
      <c r="C5" s="155" t="s">
        <v>5</v>
      </c>
      <c r="D5" s="162" t="s">
        <v>99</v>
      </c>
      <c r="E5" s="155" t="s">
        <v>101</v>
      </c>
      <c r="F5" s="149" t="s">
        <v>6</v>
      </c>
      <c r="G5" s="151" t="s">
        <v>7</v>
      </c>
      <c r="H5" s="152"/>
      <c r="I5" s="35"/>
      <c r="J5" s="35"/>
      <c r="K5" s="35"/>
      <c r="L5" s="35"/>
    </row>
    <row r="6" spans="1:12" s="3" customFormat="1" ht="32.25" thickBot="1" x14ac:dyDescent="0.3">
      <c r="A6" s="154"/>
      <c r="B6" s="156"/>
      <c r="C6" s="156"/>
      <c r="D6" s="163"/>
      <c r="E6" s="156"/>
      <c r="F6" s="150"/>
      <c r="G6" s="6" t="s">
        <v>8</v>
      </c>
      <c r="H6" s="7" t="s">
        <v>9</v>
      </c>
      <c r="I6" s="35"/>
      <c r="J6" s="35"/>
      <c r="K6" s="35"/>
      <c r="L6" s="35"/>
    </row>
    <row r="7" spans="1:12" s="42" customFormat="1" ht="18.75" customHeight="1" x14ac:dyDescent="0.25">
      <c r="A7" s="37">
        <v>1</v>
      </c>
      <c r="B7" s="38" t="s">
        <v>10</v>
      </c>
      <c r="C7" s="158" t="s">
        <v>11</v>
      </c>
      <c r="D7" s="160">
        <f>('3_pielikums'!$C$3*15)*0.8</f>
        <v>60</v>
      </c>
      <c r="E7" s="39">
        <v>12</v>
      </c>
      <c r="F7" s="101">
        <f>SUM(E7)*1.21</f>
        <v>14.52</v>
      </c>
      <c r="G7" s="40">
        <f>SUM(D7)*F7</f>
        <v>871.19999999999993</v>
      </c>
      <c r="H7" s="41">
        <f>SUM(G7)*3</f>
        <v>2613.6</v>
      </c>
    </row>
    <row r="8" spans="1:12" s="42" customFormat="1" x14ac:dyDescent="0.25">
      <c r="A8" s="43">
        <v>2</v>
      </c>
      <c r="B8" s="44" t="s">
        <v>12</v>
      </c>
      <c r="C8" s="158"/>
      <c r="D8" s="160"/>
      <c r="E8" s="45">
        <v>3.93</v>
      </c>
      <c r="F8" s="102">
        <f t="shared" ref="F8:F15" si="0">SUM(E8)*1.21</f>
        <v>4.7553000000000001</v>
      </c>
      <c r="G8" s="46">
        <f>SUM(D7)*F8</f>
        <v>285.31799999999998</v>
      </c>
      <c r="H8" s="41">
        <f t="shared" ref="H8:H15" si="1">SUM(G8)*3</f>
        <v>855.95399999999995</v>
      </c>
    </row>
    <row r="9" spans="1:12" s="42" customFormat="1" x14ac:dyDescent="0.25">
      <c r="A9" s="43">
        <v>3</v>
      </c>
      <c r="B9" s="44" t="s">
        <v>13</v>
      </c>
      <c r="C9" s="158"/>
      <c r="D9" s="160"/>
      <c r="E9" s="45">
        <v>0.22</v>
      </c>
      <c r="F9" s="102">
        <f t="shared" si="0"/>
        <v>0.26619999999999999</v>
      </c>
      <c r="G9" s="46">
        <f>SUM(F9)*D7</f>
        <v>15.972</v>
      </c>
      <c r="H9" s="41">
        <f t="shared" si="1"/>
        <v>47.915999999999997</v>
      </c>
    </row>
    <row r="10" spans="1:12" s="42" customFormat="1" x14ac:dyDescent="0.25">
      <c r="A10" s="43">
        <v>4</v>
      </c>
      <c r="B10" s="44" t="s">
        <v>14</v>
      </c>
      <c r="C10" s="159"/>
      <c r="D10" s="161"/>
      <c r="E10" s="45">
        <v>0.08</v>
      </c>
      <c r="F10" s="102">
        <f t="shared" si="0"/>
        <v>9.6799999999999997E-2</v>
      </c>
      <c r="G10" s="46">
        <f>SUM(D7)*F10</f>
        <v>5.8079999999999998</v>
      </c>
      <c r="H10" s="41">
        <f t="shared" si="1"/>
        <v>17.423999999999999</v>
      </c>
    </row>
    <row r="11" spans="1:12" s="42" customFormat="1" x14ac:dyDescent="0.25">
      <c r="A11" s="43">
        <v>4</v>
      </c>
      <c r="B11" s="44" t="s">
        <v>15</v>
      </c>
      <c r="C11" s="47" t="s">
        <v>16</v>
      </c>
      <c r="D11" s="48">
        <v>0</v>
      </c>
      <c r="E11" s="45">
        <v>50</v>
      </c>
      <c r="F11" s="102">
        <f t="shared" si="0"/>
        <v>60.5</v>
      </c>
      <c r="G11" s="46">
        <f>SUM(D11)*F11</f>
        <v>0</v>
      </c>
      <c r="H11" s="41">
        <f t="shared" si="1"/>
        <v>0</v>
      </c>
    </row>
    <row r="12" spans="1:12" s="42" customFormat="1" x14ac:dyDescent="0.25">
      <c r="A12" s="43">
        <v>5</v>
      </c>
      <c r="B12" s="44" t="s">
        <v>17</v>
      </c>
      <c r="C12" s="47" t="s">
        <v>18</v>
      </c>
      <c r="D12" s="49">
        <f>18130/12*5</f>
        <v>7554.1666666666661</v>
      </c>
      <c r="E12" s="44">
        <v>0.24285000000000001</v>
      </c>
      <c r="F12" s="102">
        <f t="shared" si="0"/>
        <v>0.29384850000000001</v>
      </c>
      <c r="G12" s="46">
        <f>SUM(F12)*D12</f>
        <v>2219.7805437500001</v>
      </c>
      <c r="H12" s="41">
        <f t="shared" si="1"/>
        <v>6659.3416312500003</v>
      </c>
    </row>
    <row r="13" spans="1:12" s="42" customFormat="1" ht="31.5" x14ac:dyDescent="0.25">
      <c r="A13" s="50">
        <v>6</v>
      </c>
      <c r="B13" s="51" t="s">
        <v>19</v>
      </c>
      <c r="C13" s="52" t="s">
        <v>11</v>
      </c>
      <c r="D13" s="53">
        <f>D7</f>
        <v>60</v>
      </c>
      <c r="E13" s="54">
        <v>0.44</v>
      </c>
      <c r="F13" s="103">
        <f t="shared" si="0"/>
        <v>0.53239999999999998</v>
      </c>
      <c r="G13" s="55">
        <f>SUM(D13)*F13</f>
        <v>31.943999999999999</v>
      </c>
      <c r="H13" s="41">
        <f t="shared" si="1"/>
        <v>95.831999999999994</v>
      </c>
    </row>
    <row r="14" spans="1:12" s="42" customFormat="1" ht="18.75" x14ac:dyDescent="0.25">
      <c r="A14" s="50">
        <v>7</v>
      </c>
      <c r="B14" s="54" t="s">
        <v>20</v>
      </c>
      <c r="C14" s="52" t="s">
        <v>11</v>
      </c>
      <c r="D14" s="56">
        <f>D7</f>
        <v>60</v>
      </c>
      <c r="E14" s="54">
        <v>1.56</v>
      </c>
      <c r="F14" s="103">
        <f t="shared" si="0"/>
        <v>1.8875999999999999</v>
      </c>
      <c r="G14" s="55">
        <f>SUM(D14)*F14</f>
        <v>113.256</v>
      </c>
      <c r="H14" s="41">
        <f t="shared" si="1"/>
        <v>339.76800000000003</v>
      </c>
    </row>
    <row r="15" spans="1:12" s="42" customFormat="1" ht="16.5" thickBot="1" x14ac:dyDescent="0.3">
      <c r="A15" s="50">
        <v>8</v>
      </c>
      <c r="B15" s="54" t="s">
        <v>21</v>
      </c>
      <c r="C15" s="52" t="s">
        <v>16</v>
      </c>
      <c r="D15" s="57">
        <v>0</v>
      </c>
      <c r="E15" s="54">
        <v>1.18</v>
      </c>
      <c r="F15" s="103">
        <f t="shared" si="0"/>
        <v>1.4278</v>
      </c>
      <c r="G15" s="55">
        <f>SUM(D15)*F15</f>
        <v>0</v>
      </c>
      <c r="H15" s="41">
        <f t="shared" si="1"/>
        <v>0</v>
      </c>
    </row>
    <row r="16" spans="1:12" ht="16.5" thickBot="1" x14ac:dyDescent="0.3">
      <c r="A16" s="147" t="s">
        <v>22</v>
      </c>
      <c r="B16" s="148"/>
      <c r="C16" s="148"/>
      <c r="D16" s="148"/>
      <c r="E16" s="148"/>
      <c r="F16" s="148"/>
      <c r="G16" s="8">
        <f t="shared" ref="G16" si="2">SUM(G7:G15)</f>
        <v>3543.2785437499997</v>
      </c>
      <c r="H16" s="21">
        <f>ROUND(SUM(H7:H15),0)</f>
        <v>10630</v>
      </c>
      <c r="I16" s="33"/>
      <c r="J16" s="33"/>
      <c r="K16" s="33"/>
      <c r="L16" s="33"/>
    </row>
    <row r="17" spans="1:12" x14ac:dyDescent="0.25">
      <c r="I17" s="33"/>
      <c r="J17" s="33"/>
      <c r="K17" s="33"/>
      <c r="L17" s="33"/>
    </row>
    <row r="18" spans="1:12" s="5" customFormat="1" ht="11.25" x14ac:dyDescent="0.2">
      <c r="A18" s="120" t="s">
        <v>100</v>
      </c>
      <c r="I18" s="34"/>
      <c r="J18" s="34"/>
      <c r="K18" s="34"/>
      <c r="L18" s="34"/>
    </row>
    <row r="19" spans="1:12" s="5" customFormat="1" ht="11.25" x14ac:dyDescent="0.2">
      <c r="A19" s="120" t="s">
        <v>102</v>
      </c>
      <c r="I19" s="34"/>
      <c r="J19" s="34"/>
      <c r="K19" s="34"/>
      <c r="L19" s="34"/>
    </row>
    <row r="20" spans="1:12" s="5" customFormat="1" ht="11.25" x14ac:dyDescent="0.2">
      <c r="I20" s="34"/>
      <c r="J20" s="34"/>
      <c r="K20" s="34"/>
      <c r="L20" s="34"/>
    </row>
    <row r="21" spans="1:12" x14ac:dyDescent="0.25">
      <c r="I21" s="33"/>
      <c r="J21" s="33"/>
      <c r="K21" s="33"/>
      <c r="L21" s="33"/>
    </row>
    <row r="22" spans="1:12" x14ac:dyDescent="0.25">
      <c r="I22" s="33"/>
      <c r="J22" s="33"/>
      <c r="K22" s="33"/>
      <c r="L22" s="33"/>
    </row>
    <row r="23" spans="1:12" x14ac:dyDescent="0.25">
      <c r="I23" s="33"/>
      <c r="J23" s="33"/>
      <c r="K23" s="33"/>
      <c r="L23" s="33"/>
    </row>
    <row r="24" spans="1:12" x14ac:dyDescent="0.25">
      <c r="I24" s="33"/>
      <c r="J24" s="33"/>
      <c r="K24" s="33"/>
      <c r="L24" s="33"/>
    </row>
    <row r="25" spans="1:12" x14ac:dyDescent="0.25">
      <c r="I25" s="33"/>
      <c r="J25" s="33"/>
      <c r="K25" s="33"/>
      <c r="L25" s="33"/>
    </row>
    <row r="26" spans="1:12" x14ac:dyDescent="0.25">
      <c r="I26" s="33"/>
      <c r="J26" s="33"/>
      <c r="K26" s="33"/>
      <c r="L26" s="33"/>
    </row>
    <row r="27" spans="1:12" x14ac:dyDescent="0.25">
      <c r="I27" s="33"/>
      <c r="J27" s="33"/>
      <c r="K27" s="33"/>
      <c r="L27" s="33"/>
    </row>
  </sheetData>
  <mergeCells count="12">
    <mergeCell ref="A3:H3"/>
    <mergeCell ref="C7:C10"/>
    <mergeCell ref="D7:D10"/>
    <mergeCell ref="D5:D6"/>
    <mergeCell ref="E1:H1"/>
    <mergeCell ref="A16:F16"/>
    <mergeCell ref="F5:F6"/>
    <mergeCell ref="G5:H5"/>
    <mergeCell ref="A5:A6"/>
    <mergeCell ref="B5:B6"/>
    <mergeCell ref="C5:C6"/>
    <mergeCell ref="E5:E6"/>
  </mergeCells>
  <pageMargins left="0.7" right="0.7" top="0.75" bottom="0.75" header="0.3" footer="0.3"/>
  <pageSetup paperSize="9" scale="6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954A4C-EC1C-403A-A228-719C1BF63220}">
  <dimension ref="A1:G37"/>
  <sheetViews>
    <sheetView view="pageBreakPreview" zoomScale="120" zoomScaleNormal="120" zoomScaleSheetLayoutView="120" workbookViewId="0">
      <selection activeCell="E31" sqref="E31"/>
    </sheetView>
  </sheetViews>
  <sheetFormatPr defaultColWidth="9.28515625" defaultRowHeight="12.75" x14ac:dyDescent="0.2"/>
  <cols>
    <col min="1" max="1" width="45.42578125" style="68" customWidth="1"/>
    <col min="2" max="2" width="17" style="68" customWidth="1"/>
    <col min="3" max="3" width="12.28515625" style="68" customWidth="1"/>
    <col min="4" max="4" width="17" style="68" bestFit="1" customWidth="1"/>
    <col min="5" max="5" width="14" style="68" customWidth="1"/>
    <col min="6" max="6" width="10.42578125" style="68" customWidth="1"/>
    <col min="7" max="7" width="9.5703125" style="68" bestFit="1" customWidth="1"/>
    <col min="8" max="16384" width="9.28515625" style="68"/>
  </cols>
  <sheetData>
    <row r="1" spans="1:6" ht="48.75" customHeight="1" x14ac:dyDescent="0.2">
      <c r="A1" s="145" t="s">
        <v>93</v>
      </c>
      <c r="B1" s="145"/>
      <c r="C1" s="145"/>
      <c r="D1" s="145"/>
      <c r="E1" s="145"/>
    </row>
    <row r="2" spans="1:6" s="69" customFormat="1" ht="15.75" x14ac:dyDescent="0.2">
      <c r="A2" s="157" t="s">
        <v>97</v>
      </c>
      <c r="B2" s="157"/>
      <c r="C2" s="157"/>
      <c r="D2" s="157"/>
      <c r="E2" s="157"/>
    </row>
    <row r="3" spans="1:6" x14ac:dyDescent="0.2">
      <c r="C3" s="68">
        <v>5</v>
      </c>
    </row>
    <row r="4" spans="1:6" ht="16.149999999999999" customHeight="1" x14ac:dyDescent="0.2">
      <c r="A4" s="171" t="s">
        <v>0</v>
      </c>
      <c r="B4" s="171" t="s">
        <v>23</v>
      </c>
      <c r="C4" s="113" t="s">
        <v>24</v>
      </c>
      <c r="D4" s="165" t="s">
        <v>25</v>
      </c>
      <c r="E4" s="165" t="s">
        <v>7</v>
      </c>
    </row>
    <row r="5" spans="1:6" ht="33.75" customHeight="1" x14ac:dyDescent="0.2">
      <c r="A5" s="172"/>
      <c r="B5" s="172"/>
      <c r="C5" s="32" t="s">
        <v>7</v>
      </c>
      <c r="D5" s="166"/>
      <c r="E5" s="166"/>
    </row>
    <row r="6" spans="1:6" x14ac:dyDescent="0.2">
      <c r="A6" s="169" t="s">
        <v>98</v>
      </c>
      <c r="B6" s="170"/>
      <c r="C6" s="170"/>
      <c r="D6" s="170"/>
      <c r="E6" s="170"/>
    </row>
    <row r="7" spans="1:6" s="74" customFormat="1" x14ac:dyDescent="0.2">
      <c r="A7" s="70" t="s">
        <v>26</v>
      </c>
      <c r="B7" s="71" t="s">
        <v>27</v>
      </c>
      <c r="C7" s="32">
        <f>$C$3</f>
        <v>5</v>
      </c>
      <c r="D7" s="72">
        <v>15</v>
      </c>
      <c r="E7" s="73">
        <f>D7*C7*3</f>
        <v>225</v>
      </c>
    </row>
    <row r="8" spans="1:6" s="74" customFormat="1" x14ac:dyDescent="0.2">
      <c r="A8" s="70" t="s">
        <v>28</v>
      </c>
      <c r="B8" s="71" t="s">
        <v>29</v>
      </c>
      <c r="C8" s="32">
        <v>3</v>
      </c>
      <c r="D8" s="72">
        <v>60</v>
      </c>
      <c r="E8" s="73">
        <f>D8*C8</f>
        <v>180</v>
      </c>
    </row>
    <row r="9" spans="1:6" s="74" customFormat="1" x14ac:dyDescent="0.2">
      <c r="A9" s="70" t="s">
        <v>30</v>
      </c>
      <c r="B9" s="71" t="s">
        <v>29</v>
      </c>
      <c r="C9" s="32">
        <v>3</v>
      </c>
      <c r="D9" s="72">
        <v>100</v>
      </c>
      <c r="E9" s="73">
        <f>C9*$D9</f>
        <v>300</v>
      </c>
    </row>
    <row r="10" spans="1:6" s="74" customFormat="1" ht="51" x14ac:dyDescent="0.2">
      <c r="A10" s="70" t="s">
        <v>31</v>
      </c>
      <c r="B10" s="71" t="s">
        <v>29</v>
      </c>
      <c r="C10" s="32">
        <v>3</v>
      </c>
      <c r="D10" s="141">
        <v>29105.88</v>
      </c>
      <c r="E10" s="73">
        <f>D10*C10</f>
        <v>87317.64</v>
      </c>
      <c r="F10" s="143"/>
    </row>
    <row r="11" spans="1:6" s="74" customFormat="1" x14ac:dyDescent="0.2">
      <c r="A11" s="70" t="s">
        <v>32</v>
      </c>
      <c r="B11" s="71" t="s">
        <v>27</v>
      </c>
      <c r="C11" s="32">
        <v>0</v>
      </c>
      <c r="D11" s="72">
        <v>300</v>
      </c>
      <c r="E11" s="73">
        <f>C11*$D$11</f>
        <v>0</v>
      </c>
    </row>
    <row r="12" spans="1:6" ht="25.5" x14ac:dyDescent="0.2">
      <c r="A12" s="70" t="s">
        <v>33</v>
      </c>
      <c r="B12" s="71" t="s">
        <v>29</v>
      </c>
      <c r="C12" s="32">
        <v>0</v>
      </c>
      <c r="D12" s="75">
        <v>300</v>
      </c>
      <c r="E12" s="73">
        <f>C12*$D12</f>
        <v>0</v>
      </c>
    </row>
    <row r="13" spans="1:6" x14ac:dyDescent="0.2">
      <c r="A13" s="70" t="s">
        <v>34</v>
      </c>
      <c r="B13" s="71" t="s">
        <v>35</v>
      </c>
      <c r="C13" s="32">
        <v>0</v>
      </c>
      <c r="D13" s="75">
        <v>600</v>
      </c>
      <c r="E13" s="73">
        <f>C13*$D13*4</f>
        <v>0</v>
      </c>
    </row>
    <row r="14" spans="1:6" ht="25.5" x14ac:dyDescent="0.2">
      <c r="A14" s="99" t="s">
        <v>36</v>
      </c>
      <c r="B14" s="71" t="s">
        <v>29</v>
      </c>
      <c r="C14" s="32">
        <v>0</v>
      </c>
      <c r="D14" s="75">
        <v>250</v>
      </c>
      <c r="E14" s="73">
        <f>C14*$D14</f>
        <v>0</v>
      </c>
    </row>
    <row r="15" spans="1:6" x14ac:dyDescent="0.2">
      <c r="A15" s="106" t="s">
        <v>37</v>
      </c>
      <c r="B15" s="71" t="s">
        <v>27</v>
      </c>
      <c r="C15" s="32">
        <f>$C$3</f>
        <v>5</v>
      </c>
      <c r="D15" s="75">
        <v>55.4</v>
      </c>
      <c r="E15" s="73">
        <f>D15*C15*3</f>
        <v>831</v>
      </c>
    </row>
    <row r="16" spans="1:6" x14ac:dyDescent="0.2">
      <c r="A16" s="70" t="s">
        <v>38</v>
      </c>
      <c r="B16" s="71" t="s">
        <v>29</v>
      </c>
      <c r="C16" s="32">
        <v>0</v>
      </c>
      <c r="D16" s="75">
        <v>500</v>
      </c>
      <c r="E16" s="73">
        <f>C16*$D16</f>
        <v>0</v>
      </c>
    </row>
    <row r="17" spans="1:7" s="74" customFormat="1" ht="27" customHeight="1" x14ac:dyDescent="0.2">
      <c r="A17" s="87" t="s">
        <v>39</v>
      </c>
      <c r="B17" s="71" t="s">
        <v>27</v>
      </c>
      <c r="C17" s="32">
        <f>$C$3</f>
        <v>5</v>
      </c>
      <c r="D17" s="72">
        <v>25</v>
      </c>
      <c r="E17" s="73">
        <f>C17*$D17</f>
        <v>125</v>
      </c>
    </row>
    <row r="18" spans="1:7" s="69" customFormat="1" x14ac:dyDescent="0.2">
      <c r="A18" s="76" t="s">
        <v>40</v>
      </c>
      <c r="B18" s="76"/>
      <c r="C18" s="76"/>
      <c r="D18" s="76"/>
      <c r="E18" s="77">
        <f>ROUND(SUM(E7:E17),0)</f>
        <v>88979</v>
      </c>
    </row>
    <row r="19" spans="1:7" x14ac:dyDescent="0.2">
      <c r="A19" s="167" t="s">
        <v>41</v>
      </c>
      <c r="B19" s="168"/>
      <c r="C19" s="168"/>
      <c r="D19" s="168"/>
      <c r="E19" s="168"/>
    </row>
    <row r="20" spans="1:7" s="74" customFormat="1" ht="25.5" x14ac:dyDescent="0.2">
      <c r="A20" s="107" t="s">
        <v>42</v>
      </c>
      <c r="B20" s="112"/>
      <c r="C20" s="107"/>
      <c r="D20" s="110"/>
      <c r="E20" s="111">
        <f>SUM(E21:E25)</f>
        <v>3524</v>
      </c>
    </row>
    <row r="21" spans="1:7" s="74" customFormat="1" x14ac:dyDescent="0.2">
      <c r="A21" s="30" t="s">
        <v>43</v>
      </c>
      <c r="B21" s="31" t="s">
        <v>16</v>
      </c>
      <c r="C21" s="78">
        <f>C7</f>
        <v>5</v>
      </c>
      <c r="D21" s="66">
        <v>225</v>
      </c>
      <c r="E21" s="67">
        <f>C21*D21</f>
        <v>1125</v>
      </c>
    </row>
    <row r="22" spans="1:7" s="74" customFormat="1" x14ac:dyDescent="0.2">
      <c r="A22" s="30" t="s">
        <v>44</v>
      </c>
      <c r="B22" s="31" t="s">
        <v>16</v>
      </c>
      <c r="C22" s="32">
        <f>ROUNDUP(C21/2,0)</f>
        <v>3</v>
      </c>
      <c r="D22" s="66">
        <v>188</v>
      </c>
      <c r="E22" s="67">
        <f>C22*D22</f>
        <v>564</v>
      </c>
    </row>
    <row r="23" spans="1:7" s="74" customFormat="1" x14ac:dyDescent="0.2">
      <c r="A23" s="30" t="s">
        <v>45</v>
      </c>
      <c r="B23" s="31" t="s">
        <v>16</v>
      </c>
      <c r="C23" s="78">
        <f>C3</f>
        <v>5</v>
      </c>
      <c r="D23" s="66">
        <v>110</v>
      </c>
      <c r="E23" s="67">
        <f>C23*D23</f>
        <v>550</v>
      </c>
    </row>
    <row r="24" spans="1:7" s="74" customFormat="1" x14ac:dyDescent="0.2">
      <c r="A24" s="30" t="s">
        <v>46</v>
      </c>
      <c r="B24" s="31" t="s">
        <v>16</v>
      </c>
      <c r="C24" s="78">
        <f>C3</f>
        <v>5</v>
      </c>
      <c r="D24" s="66">
        <v>214</v>
      </c>
      <c r="E24" s="67">
        <f>C24*D24</f>
        <v>1070</v>
      </c>
    </row>
    <row r="25" spans="1:7" s="74" customFormat="1" x14ac:dyDescent="0.2">
      <c r="A25" s="30" t="s">
        <v>47</v>
      </c>
      <c r="B25" s="31" t="s">
        <v>16</v>
      </c>
      <c r="C25" s="32">
        <v>5</v>
      </c>
      <c r="D25" s="66">
        <v>43</v>
      </c>
      <c r="E25" s="67">
        <f>C25*D25</f>
        <v>215</v>
      </c>
    </row>
    <row r="26" spans="1:7" s="74" customFormat="1" ht="13.5" x14ac:dyDescent="0.25">
      <c r="A26" s="107" t="s">
        <v>48</v>
      </c>
      <c r="B26" s="108"/>
      <c r="C26" s="109"/>
      <c r="D26" s="110"/>
      <c r="E26" s="111">
        <f>E27</f>
        <v>1750</v>
      </c>
    </row>
    <row r="27" spans="1:7" s="74" customFormat="1" x14ac:dyDescent="0.2">
      <c r="A27" s="30" t="s">
        <v>49</v>
      </c>
      <c r="B27" s="31" t="s">
        <v>16</v>
      </c>
      <c r="C27" s="78">
        <f>C3</f>
        <v>5</v>
      </c>
      <c r="D27" s="88">
        <v>350</v>
      </c>
      <c r="E27" s="89">
        <f>C27*D27</f>
        <v>1750</v>
      </c>
    </row>
    <row r="28" spans="1:7" ht="13.5" x14ac:dyDescent="0.2">
      <c r="A28" s="107" t="s">
        <v>50</v>
      </c>
      <c r="B28" s="107"/>
      <c r="C28" s="109"/>
      <c r="D28" s="110"/>
      <c r="E28" s="111">
        <f>E29</f>
        <v>8000</v>
      </c>
      <c r="F28" s="79"/>
      <c r="G28" s="79"/>
    </row>
    <row r="29" spans="1:7" x14ac:dyDescent="0.2">
      <c r="A29" s="30" t="s">
        <v>51</v>
      </c>
      <c r="B29" s="31" t="s">
        <v>16</v>
      </c>
      <c r="C29" s="32">
        <f>C3</f>
        <v>5</v>
      </c>
      <c r="D29" s="66">
        <v>1600</v>
      </c>
      <c r="E29" s="89">
        <f>C29*D29</f>
        <v>8000</v>
      </c>
      <c r="F29" s="79"/>
      <c r="G29" s="79"/>
    </row>
    <row r="30" spans="1:7" s="69" customFormat="1" x14ac:dyDescent="0.2">
      <c r="A30" s="76" t="s">
        <v>40</v>
      </c>
      <c r="B30" s="76"/>
      <c r="C30" s="80"/>
      <c r="D30" s="81"/>
      <c r="E30" s="82">
        <f>E20+E26+E28</f>
        <v>13274</v>
      </c>
    </row>
    <row r="32" spans="1:7" x14ac:dyDescent="0.2">
      <c r="A32" s="69" t="s">
        <v>52</v>
      </c>
      <c r="B32" s="69"/>
    </row>
    <row r="33" spans="1:2" x14ac:dyDescent="0.2">
      <c r="A33" s="83" t="s">
        <v>7</v>
      </c>
      <c r="B33" s="84">
        <f>E18+E30</f>
        <v>102253</v>
      </c>
    </row>
    <row r="35" spans="1:2" x14ac:dyDescent="0.2">
      <c r="A35" s="68" t="s">
        <v>53</v>
      </c>
    </row>
    <row r="36" spans="1:2" x14ac:dyDescent="0.2">
      <c r="A36" s="68" t="s">
        <v>54</v>
      </c>
    </row>
    <row r="37" spans="1:2" x14ac:dyDescent="0.2">
      <c r="A37" s="68" t="s">
        <v>55</v>
      </c>
    </row>
  </sheetData>
  <mergeCells count="8">
    <mergeCell ref="A2:E2"/>
    <mergeCell ref="A1:E1"/>
    <mergeCell ref="E4:E5"/>
    <mergeCell ref="A19:E19"/>
    <mergeCell ref="A6:E6"/>
    <mergeCell ref="A4:A5"/>
    <mergeCell ref="B4:B5"/>
    <mergeCell ref="D4:D5"/>
  </mergeCells>
  <pageMargins left="0.7" right="0.7" top="0.75" bottom="0.75" header="0.3" footer="0.3"/>
  <pageSetup paperSize="9" scale="8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D1FC0-0603-4D58-9FB2-DBDB7340D909}">
  <sheetPr>
    <pageSetUpPr fitToPage="1"/>
  </sheetPr>
  <dimension ref="A1:Z19"/>
  <sheetViews>
    <sheetView zoomScale="85" zoomScaleNormal="85" zoomScaleSheetLayoutView="85" workbookViewId="0">
      <selection activeCell="Q12" sqref="Q12"/>
    </sheetView>
  </sheetViews>
  <sheetFormatPr defaultColWidth="9.28515625" defaultRowHeight="15.75" x14ac:dyDescent="0.25"/>
  <cols>
    <col min="1" max="1" width="9.28515625" style="1"/>
    <col min="2" max="2" width="33.28515625" style="1" customWidth="1"/>
    <col min="3" max="3" width="40.42578125" style="122" customWidth="1"/>
    <col min="4" max="4" width="8.28515625" style="1" customWidth="1"/>
    <col min="5" max="6" width="9.7109375" style="1" customWidth="1"/>
    <col min="7" max="7" width="11.42578125" style="1" customWidth="1"/>
    <col min="8" max="8" width="14.28515625" style="1" customWidth="1"/>
    <col min="9" max="9" width="9.7109375" style="1" customWidth="1"/>
    <col min="10" max="10" width="12.7109375" style="1" customWidth="1"/>
    <col min="11" max="11" width="14.42578125" style="1" customWidth="1"/>
    <col min="12" max="12" width="18" style="1" customWidth="1"/>
    <col min="13" max="17" width="12.7109375" style="1" customWidth="1"/>
    <col min="18" max="18" width="12.7109375" style="1" hidden="1" customWidth="1"/>
    <col min="19" max="19" width="9.28515625" style="1" hidden="1" customWidth="1"/>
    <col min="20" max="20" width="10.28515625" style="2" hidden="1" customWidth="1"/>
    <col min="21" max="21" width="13.42578125" style="2" hidden="1" customWidth="1"/>
    <col min="22" max="23" width="0" style="1" hidden="1" customWidth="1"/>
    <col min="24" max="25" width="9.28515625" style="1"/>
    <col min="26" max="26" width="10.7109375" style="1" bestFit="1" customWidth="1"/>
    <col min="27" max="16384" width="9.28515625" style="1"/>
  </cols>
  <sheetData>
    <row r="1" spans="2:26" ht="76.5" customHeight="1" x14ac:dyDescent="0.25">
      <c r="L1" s="173" t="s">
        <v>94</v>
      </c>
      <c r="M1" s="173"/>
      <c r="N1" s="173"/>
      <c r="O1" s="173"/>
      <c r="P1" s="173"/>
      <c r="Q1" s="173"/>
      <c r="R1" s="114"/>
    </row>
    <row r="3" spans="2:26" s="15" customFormat="1" x14ac:dyDescent="0.25">
      <c r="B3" s="157" t="s">
        <v>56</v>
      </c>
      <c r="C3" s="157"/>
      <c r="D3" s="157"/>
      <c r="E3" s="157"/>
      <c r="F3" s="157"/>
      <c r="G3" s="157"/>
      <c r="H3" s="157"/>
      <c r="I3" s="157"/>
      <c r="J3" s="157"/>
      <c r="K3" s="157"/>
      <c r="L3" s="157"/>
      <c r="M3" s="157"/>
      <c r="N3" s="157"/>
      <c r="O3" s="157"/>
      <c r="P3" s="157"/>
      <c r="Q3" s="157"/>
      <c r="R3" s="12"/>
      <c r="T3" s="12"/>
      <c r="U3" s="12"/>
    </row>
    <row r="4" spans="2:26" s="15" customFormat="1" x14ac:dyDescent="0.25">
      <c r="B4" s="12"/>
      <c r="C4" s="12"/>
      <c r="D4" s="12"/>
      <c r="E4" s="12"/>
      <c r="F4" s="12"/>
      <c r="G4" s="12"/>
      <c r="H4" s="12"/>
      <c r="I4" s="12"/>
      <c r="J4" s="12"/>
      <c r="K4" s="12"/>
      <c r="L4" s="12"/>
      <c r="M4" s="12"/>
      <c r="N4" s="12"/>
      <c r="O4" s="12"/>
      <c r="P4" s="12"/>
      <c r="Q4" s="12"/>
      <c r="R4" s="12"/>
      <c r="T4" s="12"/>
      <c r="U4" s="12"/>
    </row>
    <row r="5" spans="2:26" s="15" customFormat="1" x14ac:dyDescent="0.25">
      <c r="B5" s="157" t="s">
        <v>57</v>
      </c>
      <c r="C5" s="157"/>
      <c r="D5" s="157"/>
      <c r="E5" s="157"/>
      <c r="F5" s="157"/>
      <c r="G5" s="157"/>
      <c r="H5" s="157"/>
      <c r="I5" s="157"/>
      <c r="J5" s="157"/>
      <c r="K5" s="157"/>
      <c r="L5" s="157"/>
      <c r="M5" s="157"/>
      <c r="N5" s="157"/>
      <c r="O5" s="157"/>
      <c r="P5" s="157"/>
      <c r="Q5" s="157"/>
      <c r="R5" s="12"/>
      <c r="T5" s="12"/>
      <c r="U5" s="12"/>
    </row>
    <row r="6" spans="2:26" s="9" customFormat="1" ht="16.5" thickBot="1" x14ac:dyDescent="0.3">
      <c r="T6" s="60"/>
      <c r="U6" s="60"/>
    </row>
    <row r="7" spans="2:26" s="13" customFormat="1" ht="94.5" x14ac:dyDescent="0.25">
      <c r="B7" s="10" t="s">
        <v>58</v>
      </c>
      <c r="C7" s="10" t="s">
        <v>111</v>
      </c>
      <c r="D7" s="10" t="s">
        <v>59</v>
      </c>
      <c r="E7" s="10" t="s">
        <v>115</v>
      </c>
      <c r="F7" s="10" t="s">
        <v>116</v>
      </c>
      <c r="G7" s="10" t="s">
        <v>117</v>
      </c>
      <c r="H7" s="10" t="s">
        <v>118</v>
      </c>
      <c r="I7" s="10" t="s">
        <v>127</v>
      </c>
      <c r="J7" s="127" t="s">
        <v>60</v>
      </c>
      <c r="K7" s="127" t="s">
        <v>61</v>
      </c>
      <c r="L7" s="127" t="s">
        <v>62</v>
      </c>
      <c r="M7" s="10" t="s">
        <v>124</v>
      </c>
      <c r="N7" s="128" t="s">
        <v>63</v>
      </c>
      <c r="O7" s="10" t="s">
        <v>64</v>
      </c>
      <c r="P7" s="10" t="s">
        <v>65</v>
      </c>
      <c r="Q7" s="127" t="s">
        <v>66</v>
      </c>
      <c r="R7" s="115"/>
      <c r="T7" s="61"/>
      <c r="U7" s="16" t="s">
        <v>67</v>
      </c>
      <c r="W7" s="140" t="s">
        <v>123</v>
      </c>
    </row>
    <row r="8" spans="2:26" s="13" customFormat="1" ht="15" customHeight="1" x14ac:dyDescent="0.25">
      <c r="B8" s="10"/>
      <c r="C8" s="10"/>
      <c r="D8" s="10"/>
      <c r="E8" s="10"/>
      <c r="F8" s="10"/>
      <c r="G8" s="10"/>
      <c r="H8" s="10"/>
      <c r="I8" s="10"/>
      <c r="J8" s="10"/>
      <c r="K8" s="10">
        <v>0.1</v>
      </c>
      <c r="L8" s="10"/>
      <c r="M8" s="10"/>
      <c r="N8" s="10">
        <v>12</v>
      </c>
      <c r="O8" s="10">
        <v>12</v>
      </c>
      <c r="P8" s="10">
        <v>12</v>
      </c>
      <c r="Q8" s="129"/>
      <c r="R8" s="116"/>
      <c r="T8" s="61"/>
      <c r="U8" s="61">
        <f>DATEDIF(MIN(U10:U14),DATE(2024,12,31),"m")</f>
        <v>3</v>
      </c>
    </row>
    <row r="9" spans="2:26" s="18" customFormat="1" ht="22.5" x14ac:dyDescent="0.2">
      <c r="B9" s="130">
        <v>1</v>
      </c>
      <c r="C9" s="130"/>
      <c r="D9" s="130">
        <v>2</v>
      </c>
      <c r="E9" s="130"/>
      <c r="F9" s="130"/>
      <c r="G9" s="130"/>
      <c r="H9" s="130"/>
      <c r="I9" s="130"/>
      <c r="J9" s="131">
        <v>3</v>
      </c>
      <c r="K9" s="131">
        <v>4</v>
      </c>
      <c r="L9" s="131" t="s">
        <v>68</v>
      </c>
      <c r="M9" s="131" t="s">
        <v>69</v>
      </c>
      <c r="N9" s="132" t="s">
        <v>70</v>
      </c>
      <c r="O9" s="131" t="s">
        <v>71</v>
      </c>
      <c r="P9" s="131" t="s">
        <v>72</v>
      </c>
      <c r="Q9" s="132" t="s">
        <v>73</v>
      </c>
      <c r="R9" s="117"/>
      <c r="T9" s="62" t="s">
        <v>74</v>
      </c>
      <c r="U9" s="105">
        <v>45536</v>
      </c>
    </row>
    <row r="10" spans="2:26" s="13" customFormat="1" ht="31.5" x14ac:dyDescent="0.25">
      <c r="B10" s="123" t="s">
        <v>125</v>
      </c>
      <c r="C10" s="123" t="s">
        <v>110</v>
      </c>
      <c r="D10" s="4">
        <v>1</v>
      </c>
      <c r="E10" s="4" t="s">
        <v>103</v>
      </c>
      <c r="F10" s="4" t="s">
        <v>104</v>
      </c>
      <c r="G10" s="4">
        <v>15</v>
      </c>
      <c r="H10" s="126">
        <v>5500</v>
      </c>
      <c r="I10" s="4">
        <v>1</v>
      </c>
      <c r="J10" s="36">
        <f>H10*I10</f>
        <v>5500</v>
      </c>
      <c r="K10" s="36"/>
      <c r="L10" s="11">
        <f>((J10+K10)*0.2359)+0.36</f>
        <v>1297.81</v>
      </c>
      <c r="M10" s="11">
        <f t="shared" ref="M10:M14" si="0">SUM(J10:L10)*D10</f>
        <v>6797.8099999999995</v>
      </c>
      <c r="N10" s="11">
        <f>M10*$N$8</f>
        <v>81573.72</v>
      </c>
      <c r="O10" s="11">
        <f t="shared" ref="O10:O14" si="1">SUM(J10+K10)*$O$8*D10</f>
        <v>66000</v>
      </c>
      <c r="P10" s="11">
        <f t="shared" ref="P10:P14" si="2">SUM(L10)*$P$8*D10</f>
        <v>15573.72</v>
      </c>
      <c r="Q10" s="11">
        <f>N10/12*3-2595.39</f>
        <v>17798.04</v>
      </c>
      <c r="R10" s="118"/>
      <c r="T10" s="63">
        <v>750</v>
      </c>
      <c r="U10" s="104">
        <v>45536</v>
      </c>
      <c r="V10" s="13">
        <v>2</v>
      </c>
      <c r="W10" s="138" t="s">
        <v>122</v>
      </c>
    </row>
    <row r="11" spans="2:26" s="14" customFormat="1" ht="31.5" x14ac:dyDescent="0.25">
      <c r="B11" s="133" t="s">
        <v>75</v>
      </c>
      <c r="C11" s="124" t="s">
        <v>112</v>
      </c>
      <c r="D11" s="4">
        <v>1</v>
      </c>
      <c r="E11" s="4" t="s">
        <v>105</v>
      </c>
      <c r="F11" s="4" t="s">
        <v>104</v>
      </c>
      <c r="G11" s="4">
        <v>12</v>
      </c>
      <c r="H11" s="126">
        <v>3292</v>
      </c>
      <c r="I11" s="4">
        <v>1.5</v>
      </c>
      <c r="J11" s="36">
        <f t="shared" ref="J11:J14" si="3">H11*I11</f>
        <v>4938</v>
      </c>
      <c r="K11" s="36">
        <f t="shared" ref="K11:K14" si="4">SUM(J11)*$K$8</f>
        <v>493.8</v>
      </c>
      <c r="L11" s="11">
        <f t="shared" ref="L11:L14" si="5">((J11+K11)*0.2359)+0.36</f>
        <v>1281.72162</v>
      </c>
      <c r="M11" s="11">
        <f t="shared" si="0"/>
        <v>6713.5216200000004</v>
      </c>
      <c r="N11" s="11">
        <f t="shared" ref="N11:N14" si="6">M11*$N$8</f>
        <v>80562.259440000009</v>
      </c>
      <c r="O11" s="11">
        <f t="shared" si="1"/>
        <v>65181.600000000006</v>
      </c>
      <c r="P11" s="11">
        <f t="shared" si="2"/>
        <v>15380.659439999999</v>
      </c>
      <c r="Q11" s="11">
        <f>N11/12*3</f>
        <v>20140.564860000002</v>
      </c>
      <c r="R11" s="118"/>
      <c r="S11" s="13"/>
      <c r="T11" s="64">
        <v>492</v>
      </c>
      <c r="U11" s="104">
        <v>45597</v>
      </c>
      <c r="V11" s="14">
        <v>1</v>
      </c>
      <c r="W11" s="14" t="s">
        <v>119</v>
      </c>
    </row>
    <row r="12" spans="2:26" s="13" customFormat="1" ht="31.5" x14ac:dyDescent="0.25">
      <c r="B12" s="133" t="s">
        <v>76</v>
      </c>
      <c r="C12" s="124" t="s">
        <v>113</v>
      </c>
      <c r="D12" s="4">
        <v>1</v>
      </c>
      <c r="E12" s="4" t="s">
        <v>106</v>
      </c>
      <c r="F12" s="4" t="s">
        <v>104</v>
      </c>
      <c r="G12" s="4">
        <v>11</v>
      </c>
      <c r="H12" s="126">
        <v>2645</v>
      </c>
      <c r="I12" s="4">
        <v>1.29</v>
      </c>
      <c r="J12" s="36">
        <f t="shared" si="3"/>
        <v>3412.05</v>
      </c>
      <c r="K12" s="36">
        <f t="shared" si="4"/>
        <v>341.20500000000004</v>
      </c>
      <c r="L12" s="11">
        <f t="shared" si="5"/>
        <v>885.75285450000001</v>
      </c>
      <c r="M12" s="11">
        <f t="shared" si="0"/>
        <v>4639.0078544999997</v>
      </c>
      <c r="N12" s="11">
        <f t="shared" si="6"/>
        <v>55668.094253999996</v>
      </c>
      <c r="O12" s="11">
        <f t="shared" si="1"/>
        <v>45039.06</v>
      </c>
      <c r="P12" s="11">
        <f t="shared" si="2"/>
        <v>10629.034254</v>
      </c>
      <c r="Q12" s="11">
        <f t="shared" ref="Q12:Q14" si="7">N12/12*3</f>
        <v>13917.023563499999</v>
      </c>
      <c r="R12" s="118"/>
      <c r="T12" s="64">
        <v>427</v>
      </c>
      <c r="U12" s="104">
        <v>45566</v>
      </c>
      <c r="V12" s="13">
        <v>4</v>
      </c>
      <c r="W12" s="13" t="s">
        <v>120</v>
      </c>
    </row>
    <row r="13" spans="2:26" s="13" customFormat="1" ht="31.5" x14ac:dyDescent="0.25">
      <c r="B13" s="133" t="s">
        <v>77</v>
      </c>
      <c r="C13" s="124" t="s">
        <v>114</v>
      </c>
      <c r="D13" s="4">
        <v>1</v>
      </c>
      <c r="E13" s="4" t="s">
        <v>107</v>
      </c>
      <c r="F13" s="4" t="s">
        <v>108</v>
      </c>
      <c r="G13" s="4">
        <v>12</v>
      </c>
      <c r="H13" s="126">
        <v>3292</v>
      </c>
      <c r="I13" s="4">
        <v>1</v>
      </c>
      <c r="J13" s="36">
        <f t="shared" si="3"/>
        <v>3292</v>
      </c>
      <c r="K13" s="36">
        <f t="shared" si="4"/>
        <v>329.20000000000005</v>
      </c>
      <c r="L13" s="11">
        <f t="shared" si="5"/>
        <v>854.60107999999991</v>
      </c>
      <c r="M13" s="11">
        <f t="shared" si="0"/>
        <v>4475.8010799999993</v>
      </c>
      <c r="N13" s="11">
        <f t="shared" si="6"/>
        <v>53709.612959999991</v>
      </c>
      <c r="O13" s="11">
        <f t="shared" si="1"/>
        <v>43454.399999999994</v>
      </c>
      <c r="P13" s="11">
        <f t="shared" si="2"/>
        <v>10255.212959999999</v>
      </c>
      <c r="Q13" s="11">
        <f t="shared" si="7"/>
        <v>13427.403239999998</v>
      </c>
      <c r="R13" s="118"/>
      <c r="T13" s="64">
        <v>427</v>
      </c>
      <c r="U13" s="104">
        <v>45627</v>
      </c>
      <c r="V13" s="13">
        <v>2</v>
      </c>
      <c r="W13" s="139" t="s">
        <v>121</v>
      </c>
    </row>
    <row r="14" spans="2:26" s="13" customFormat="1" ht="31.5" x14ac:dyDescent="0.25">
      <c r="B14" s="134" t="s">
        <v>78</v>
      </c>
      <c r="C14" s="125" t="s">
        <v>110</v>
      </c>
      <c r="D14" s="4">
        <v>1</v>
      </c>
      <c r="E14" s="4" t="s">
        <v>103</v>
      </c>
      <c r="F14" s="4" t="s">
        <v>109</v>
      </c>
      <c r="G14" s="4">
        <v>13</v>
      </c>
      <c r="H14" s="126">
        <v>4081</v>
      </c>
      <c r="I14" s="4">
        <v>1</v>
      </c>
      <c r="J14" s="36">
        <f t="shared" si="3"/>
        <v>4081</v>
      </c>
      <c r="K14" s="36">
        <f t="shared" si="4"/>
        <v>408.1</v>
      </c>
      <c r="L14" s="11">
        <f t="shared" si="5"/>
        <v>1059.33869</v>
      </c>
      <c r="M14" s="11">
        <f t="shared" si="0"/>
        <v>5548.4386900000009</v>
      </c>
      <c r="N14" s="11">
        <f t="shared" si="6"/>
        <v>66581.264280000003</v>
      </c>
      <c r="O14" s="11">
        <f t="shared" si="1"/>
        <v>53869.200000000004</v>
      </c>
      <c r="P14" s="11">
        <f t="shared" si="2"/>
        <v>12712.064280000001</v>
      </c>
      <c r="Q14" s="11">
        <f t="shared" si="7"/>
        <v>16645.316070000001</v>
      </c>
      <c r="R14" s="118"/>
      <c r="T14" s="64">
        <v>492</v>
      </c>
      <c r="U14" s="104">
        <f t="shared" ref="U14" si="8">$U$9</f>
        <v>45536</v>
      </c>
      <c r="W14" s="138" t="s">
        <v>122</v>
      </c>
      <c r="Z14" s="142"/>
    </row>
    <row r="15" spans="2:26" s="17" customFormat="1" x14ac:dyDescent="0.25">
      <c r="B15" s="135" t="s">
        <v>79</v>
      </c>
      <c r="C15" s="135"/>
      <c r="D15" s="136">
        <f>SUM(D10:D14)</f>
        <v>5</v>
      </c>
      <c r="E15" s="136"/>
      <c r="F15" s="136"/>
      <c r="G15" s="136"/>
      <c r="H15" s="136"/>
      <c r="I15" s="136"/>
      <c r="J15" s="137">
        <f t="shared" ref="J15:Q15" si="9">SUM(J10:J14)</f>
        <v>21223.05</v>
      </c>
      <c r="K15" s="137">
        <f t="shared" si="9"/>
        <v>1572.3050000000003</v>
      </c>
      <c r="L15" s="137">
        <f t="shared" si="9"/>
        <v>5379.2242444999993</v>
      </c>
      <c r="M15" s="137">
        <f t="shared" si="9"/>
        <v>28174.579244500004</v>
      </c>
      <c r="N15" s="137">
        <f t="shared" si="9"/>
        <v>338094.95093400002</v>
      </c>
      <c r="O15" s="137">
        <f t="shared" si="9"/>
        <v>273544.26</v>
      </c>
      <c r="P15" s="137">
        <f t="shared" si="9"/>
        <v>64550.690933999991</v>
      </c>
      <c r="Q15" s="137">
        <f t="shared" si="9"/>
        <v>81928.347733500006</v>
      </c>
      <c r="R15" s="119"/>
      <c r="T15" s="65"/>
      <c r="U15" s="13">
        <f>COUNT(U10:U14)</f>
        <v>5</v>
      </c>
    </row>
    <row r="16" spans="2:26" s="17" customFormat="1" x14ac:dyDescent="0.25">
      <c r="B16"/>
      <c r="C16" s="58"/>
      <c r="D16"/>
      <c r="E16"/>
      <c r="F16"/>
      <c r="G16"/>
      <c r="H16"/>
      <c r="I16"/>
      <c r="J16"/>
      <c r="K16"/>
      <c r="L16"/>
      <c r="M16"/>
      <c r="N16"/>
      <c r="O16"/>
      <c r="P16"/>
      <c r="Q16"/>
      <c r="R16"/>
      <c r="T16" s="65"/>
      <c r="U16" s="65"/>
    </row>
    <row r="18" spans="1:1" x14ac:dyDescent="0.25">
      <c r="A18" s="1" t="s">
        <v>126</v>
      </c>
    </row>
    <row r="19" spans="1:1" x14ac:dyDescent="0.25">
      <c r="A19" s="1" t="s">
        <v>128</v>
      </c>
    </row>
  </sheetData>
  <mergeCells count="3">
    <mergeCell ref="B3:Q3"/>
    <mergeCell ref="B5:Q5"/>
    <mergeCell ref="L1:Q1"/>
  </mergeCells>
  <pageMargins left="0.70866141732283472" right="0.70866141732283472" top="0.74803149606299213" bottom="0.74803149606299213" header="0.31496062992125984" footer="0.31496062992125984"/>
  <pageSetup paperSize="9" scale="52" fitToHeight="6" orientation="landscape" r:id="rId1"/>
  <colBreaks count="1" manualBreakCount="1">
    <brk id="2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B29857-04AF-244B-8BE5-13C1F37D61A5}">
  <dimension ref="A1:D19"/>
  <sheetViews>
    <sheetView workbookViewId="0">
      <selection activeCell="I10" sqref="I10"/>
    </sheetView>
  </sheetViews>
  <sheetFormatPr defaultColWidth="11.42578125" defaultRowHeight="15" x14ac:dyDescent="0.25"/>
  <cols>
    <col min="2" max="2" width="13.28515625" customWidth="1"/>
  </cols>
  <sheetData>
    <row r="1" spans="1:4" ht="50.1" customHeight="1" x14ac:dyDescent="0.25">
      <c r="A1" t="s">
        <v>80</v>
      </c>
      <c r="B1" s="58" t="s">
        <v>81</v>
      </c>
      <c r="C1" t="s">
        <v>82</v>
      </c>
      <c r="D1" s="58" t="s">
        <v>83</v>
      </c>
    </row>
    <row r="2" spans="1:4" x14ac:dyDescent="0.25">
      <c r="A2">
        <v>121</v>
      </c>
      <c r="B2" s="59">
        <v>13200</v>
      </c>
      <c r="C2" s="59">
        <f>B2/12</f>
        <v>1100</v>
      </c>
      <c r="D2" s="59">
        <f>C2*1.175*1.075</f>
        <v>1389.4375</v>
      </c>
    </row>
    <row r="3" spans="1:4" x14ac:dyDescent="0.25">
      <c r="A3">
        <v>139</v>
      </c>
      <c r="B3" s="59">
        <v>16339</v>
      </c>
      <c r="C3" s="59">
        <f t="shared" ref="C3:C15" si="0">B3/12</f>
        <v>1361.5833333333333</v>
      </c>
      <c r="D3" s="59">
        <f t="shared" ref="D3:D15" si="1">C3*1.175*1.075</f>
        <v>1719.8499479166667</v>
      </c>
    </row>
    <row r="4" spans="1:4" x14ac:dyDescent="0.25">
      <c r="A4">
        <v>160</v>
      </c>
      <c r="B4" s="59">
        <v>17604</v>
      </c>
      <c r="C4" s="59">
        <f t="shared" si="0"/>
        <v>1467</v>
      </c>
      <c r="D4" s="59">
        <f t="shared" si="1"/>
        <v>1853.004375</v>
      </c>
    </row>
    <row r="5" spans="1:4" x14ac:dyDescent="0.25">
      <c r="A5">
        <v>184</v>
      </c>
      <c r="B5" s="59">
        <v>21639</v>
      </c>
      <c r="C5" s="59">
        <f t="shared" si="0"/>
        <v>1803.25</v>
      </c>
      <c r="D5" s="59">
        <f t="shared" si="1"/>
        <v>2277.7301562499997</v>
      </c>
    </row>
    <row r="6" spans="1:4" x14ac:dyDescent="0.25">
      <c r="A6">
        <v>212</v>
      </c>
      <c r="B6" s="59">
        <v>23907</v>
      </c>
      <c r="C6" s="59">
        <f t="shared" si="0"/>
        <v>1992.25</v>
      </c>
      <c r="D6" s="59">
        <f t="shared" si="1"/>
        <v>2516.4607812500003</v>
      </c>
    </row>
    <row r="7" spans="1:4" x14ac:dyDescent="0.25">
      <c r="A7">
        <v>244</v>
      </c>
      <c r="B7" s="59">
        <v>30674</v>
      </c>
      <c r="C7" s="59">
        <f t="shared" si="0"/>
        <v>2556.1666666666665</v>
      </c>
      <c r="D7" s="59">
        <f t="shared" si="1"/>
        <v>3228.7580208333334</v>
      </c>
    </row>
    <row r="8" spans="1:4" x14ac:dyDescent="0.25">
      <c r="A8">
        <v>281</v>
      </c>
      <c r="B8" s="59">
        <v>35313</v>
      </c>
      <c r="C8" s="59">
        <f t="shared" si="0"/>
        <v>2942.75</v>
      </c>
      <c r="D8" s="59">
        <f t="shared" si="1"/>
        <v>3717.0610937500001</v>
      </c>
    </row>
    <row r="9" spans="1:4" x14ac:dyDescent="0.25">
      <c r="A9">
        <v>323</v>
      </c>
      <c r="B9" s="59">
        <v>40751</v>
      </c>
      <c r="C9" s="59">
        <f t="shared" si="0"/>
        <v>3395.9166666666665</v>
      </c>
      <c r="D9" s="59">
        <f t="shared" si="1"/>
        <v>4289.4672395833331</v>
      </c>
    </row>
    <row r="10" spans="1:4" x14ac:dyDescent="0.25">
      <c r="A10">
        <v>371</v>
      </c>
      <c r="B10" s="59">
        <v>43235</v>
      </c>
      <c r="C10" s="59">
        <f t="shared" si="0"/>
        <v>3602.9166666666665</v>
      </c>
      <c r="D10" s="59">
        <f t="shared" si="1"/>
        <v>4550.9341145833332</v>
      </c>
    </row>
    <row r="11" spans="1:4" x14ac:dyDescent="0.25">
      <c r="A11">
        <v>427</v>
      </c>
      <c r="B11" s="59">
        <v>52556</v>
      </c>
      <c r="C11" s="59">
        <f t="shared" si="0"/>
        <v>4379.666666666667</v>
      </c>
      <c r="D11" s="59">
        <f t="shared" si="1"/>
        <v>5532.0664583333337</v>
      </c>
    </row>
    <row r="12" spans="1:4" x14ac:dyDescent="0.25">
      <c r="A12">
        <v>492</v>
      </c>
      <c r="B12" s="59">
        <v>55843</v>
      </c>
      <c r="C12" s="59">
        <f t="shared" si="0"/>
        <v>4653.583333333333</v>
      </c>
      <c r="D12" s="59">
        <f t="shared" si="1"/>
        <v>5878.0574479166662</v>
      </c>
    </row>
    <row r="13" spans="1:4" x14ac:dyDescent="0.25">
      <c r="A13">
        <v>566</v>
      </c>
      <c r="B13" s="59">
        <v>68367</v>
      </c>
      <c r="C13" s="59">
        <f t="shared" si="0"/>
        <v>5697.25</v>
      </c>
      <c r="D13" s="59">
        <f t="shared" si="1"/>
        <v>7196.33890625</v>
      </c>
    </row>
    <row r="14" spans="1:4" x14ac:dyDescent="0.25">
      <c r="A14">
        <v>651</v>
      </c>
      <c r="B14" s="59">
        <v>85770</v>
      </c>
      <c r="C14" s="59">
        <f t="shared" si="0"/>
        <v>7147.5</v>
      </c>
      <c r="D14" s="59">
        <f t="shared" si="1"/>
        <v>9028.1859375000004</v>
      </c>
    </row>
    <row r="15" spans="1:4" x14ac:dyDescent="0.25">
      <c r="A15">
        <v>750</v>
      </c>
      <c r="B15" s="59">
        <v>98844</v>
      </c>
      <c r="C15" s="59">
        <f t="shared" si="0"/>
        <v>8237</v>
      </c>
      <c r="D15" s="59">
        <f t="shared" si="1"/>
        <v>10404.360624999999</v>
      </c>
    </row>
    <row r="18" spans="1:1" x14ac:dyDescent="0.25">
      <c r="A18" t="s">
        <v>84</v>
      </c>
    </row>
    <row r="19" spans="1:1" x14ac:dyDescent="0.25">
      <c r="A19" t="s">
        <v>85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a398c6b6-4a62-4c41-9c9d-ac0febe67c8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90A940ACB8A0343BDB81440D15950C2" ma:contentTypeVersion="14" ma:contentTypeDescription="Create a new document." ma:contentTypeScope="" ma:versionID="758fdcd230d1b3e379a3c81798188bf8">
  <xsd:schema xmlns:xsd="http://www.w3.org/2001/XMLSchema" xmlns:xs="http://www.w3.org/2001/XMLSchema" xmlns:p="http://schemas.microsoft.com/office/2006/metadata/properties" xmlns:ns3="2565b568-890d-43a3-ba17-a2ba8cb86381" xmlns:ns4="a398c6b6-4a62-4c41-9c9d-ac0febe67c89" targetNamespace="http://schemas.microsoft.com/office/2006/metadata/properties" ma:root="true" ma:fieldsID="874271f369fd9bd49cfe8c9ad1e13313" ns3:_="" ns4:_="">
    <xsd:import namespace="2565b568-890d-43a3-ba17-a2ba8cb86381"/>
    <xsd:import namespace="a398c6b6-4a62-4c41-9c9d-ac0febe67c89"/>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LengthInSeconds" minOccurs="0"/>
                <xsd:element ref="ns4:_activity" minOccurs="0"/>
                <xsd:element ref="ns4:MediaServiceAutoTags" minOccurs="0"/>
                <xsd:element ref="ns4:MediaServiceObjectDetectorVersions" minOccurs="0"/>
                <xsd:element ref="ns4:MediaServiceSystemTags" minOccurs="0"/>
                <xsd:element ref="ns4:MediaServiceGenerationTime" minOccurs="0"/>
                <xsd:element ref="ns4:MediaServiceEventHashCode"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65b568-890d-43a3-ba17-a2ba8cb86381"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398c6b6-4a62-4c41-9c9d-ac0febe67c89"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_activity" ma:index="15" nillable="true" ma:displayName="_activity" ma:hidden="true" ma:internalName="_activity">
      <xsd:simpleType>
        <xsd:restriction base="dms:Note"/>
      </xsd:simpleType>
    </xsd:element>
    <xsd:element name="MediaServiceAutoTags" ma:index="16" nillable="true" ma:displayName="Tags" ma:internalName="MediaServiceAutoTags"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ystemTags" ma:index="18" nillable="true" ma:displayName="MediaServiceSystemTags" ma:hidden="true" ma:internalName="MediaServiceSystemTags" ma:readOnly="true">
      <xsd:simpleType>
        <xsd:restriction base="dms:Note"/>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0C65EE5-11E7-4F01-AF38-21B063E0B312}">
  <ds:schemaRefs>
    <ds:schemaRef ds:uri="http://schemas.microsoft.com/sharepoint/v3/contenttype/forms"/>
  </ds:schemaRefs>
</ds:datastoreItem>
</file>

<file path=customXml/itemProps2.xml><?xml version="1.0" encoding="utf-8"?>
<ds:datastoreItem xmlns:ds="http://schemas.openxmlformats.org/officeDocument/2006/customXml" ds:itemID="{BB0A8C26-3C5F-45CE-9D80-4E97E5461D7D}">
  <ds:schemaRefs>
    <ds:schemaRef ds:uri="http://purl.org/dc/terms/"/>
    <ds:schemaRef ds:uri="a398c6b6-4a62-4c41-9c9d-ac0febe67c89"/>
    <ds:schemaRef ds:uri="http://schemas.microsoft.com/office/2006/documentManagement/types"/>
    <ds:schemaRef ds:uri="http://schemas.microsoft.com/office/infopath/2007/PartnerControls"/>
    <ds:schemaRef ds:uri="http://purl.org/dc/dcmitype/"/>
    <ds:schemaRef ds:uri="http://www.w3.org/XML/1998/namespace"/>
    <ds:schemaRef ds:uri="http://schemas.openxmlformats.org/package/2006/metadata/core-properties"/>
    <ds:schemaRef ds:uri="2565b568-890d-43a3-ba17-a2ba8cb86381"/>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0EE14DC7-DA9A-4369-A699-047A13663C6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65b568-890d-43a3-ba17-a2ba8cb86381"/>
    <ds:schemaRef ds:uri="a398c6b6-4a62-4c41-9c9d-ac0febe67c8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Kopsavilkums</vt:lpstr>
      <vt:lpstr>2_pielikums</vt:lpstr>
      <vt:lpstr>3_pielikums</vt:lpstr>
      <vt:lpstr>4_pielikums pēc videja</vt:lpstr>
      <vt:lpstr>Fontes</vt:lpstr>
      <vt:lpstr>'4_pielikums pēc videja'!Print_Area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Vineta Šteinberga</dc:creator>
  <cp:keywords/>
  <dc:description/>
  <cp:lastModifiedBy>Igors Belovs</cp:lastModifiedBy>
  <cp:revision/>
  <cp:lastPrinted>2024-08-12T12:38:19Z</cp:lastPrinted>
  <dcterms:created xsi:type="dcterms:W3CDTF">2022-07-04T09:42:51Z</dcterms:created>
  <dcterms:modified xsi:type="dcterms:W3CDTF">2024-09-16T19:47:50Z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0x010100C90A940ACB8A0343BDB81440D15950C2</vt:lpwstr>
  </property>
</Properties>
</file>