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mc:AlternateContent xmlns:mc="http://schemas.openxmlformats.org/markup-compatibility/2006">
    <mc:Choice Requires="x15">
      <x15ac:absPath xmlns:x15ac="http://schemas.microsoft.com/office/spreadsheetml/2010/11/ac" url="C:\Users\laura.supe\Desktop\Eksports Micro\"/>
    </mc:Choice>
  </mc:AlternateContent>
  <xr:revisionPtr revIDLastSave="0" documentId="13_ncr:1_{A6FAD6CB-E488-4585-A47E-A5491BD3679A}" xr6:coauthVersionLast="36" xr6:coauthVersionMax="36" xr10:uidLastSave="{00000000-0000-0000-0000-000000000000}"/>
  <bookViews>
    <workbookView xWindow="0" yWindow="0" windowWidth="28800" windowHeight="11505" tabRatio="747" xr2:uid="{168A4892-36E8-4759-A299-0E1B747411F8}"/>
  </bookViews>
  <sheets>
    <sheet name="Saturs" sheetId="3" r:id="rId1"/>
    <sheet name="1.1.1." sheetId="5" r:id="rId2"/>
    <sheet name="1.1.2." sheetId="4" r:id="rId3"/>
    <sheet name="1.2.1." sheetId="7" r:id="rId4"/>
    <sheet name="1.2.2." sheetId="8" r:id="rId5"/>
    <sheet name="1.3." sheetId="6" r:id="rId6"/>
    <sheet name="1.4.1." sheetId="9" r:id="rId7"/>
    <sheet name="1.4.2." sheetId="10" r:id="rId8"/>
    <sheet name="1.5." sheetId="13" r:id="rId9"/>
    <sheet name="1.6." sheetId="14" r:id="rId10"/>
    <sheet name="1.7.1." sheetId="11" r:id="rId11"/>
    <sheet name="1.7.2." sheetId="12" r:id="rId12"/>
    <sheet name="2.1.1." sheetId="15" r:id="rId13"/>
    <sheet name="2.1.2." sheetId="16" r:id="rId14"/>
    <sheet name="2.1.3." sheetId="17" r:id="rId15"/>
    <sheet name="2.1.4." sheetId="18" r:id="rId16"/>
    <sheet name="2.1.5." sheetId="19" r:id="rId17"/>
    <sheet name="2.2.1." sheetId="20" r:id="rId18"/>
    <sheet name="2.2.2." sheetId="21" r:id="rId19"/>
    <sheet name="2.2.3." sheetId="22" r:id="rId20"/>
    <sheet name="2.3.1." sheetId="23" r:id="rId21"/>
    <sheet name="2.3.2." sheetId="24" r:id="rId22"/>
    <sheet name="2.3.3." sheetId="25" r:id="rId23"/>
    <sheet name="2.4.1." sheetId="26" r:id="rId24"/>
    <sheet name="2.4.2." sheetId="27" r:id="rId25"/>
    <sheet name="2.5." sheetId="29" r:id="rId26"/>
    <sheet name="2.6.1." sheetId="31" r:id="rId27"/>
    <sheet name="2.6.2." sheetId="33" r:id="rId28"/>
    <sheet name="2.6.3." sheetId="34" r:id="rId29"/>
    <sheet name="2.6.4." sheetId="35" r:id="rId30"/>
    <sheet name="2.6.5." sheetId="36" r:id="rId31"/>
    <sheet name="2.6.6." sheetId="37" r:id="rId32"/>
    <sheet name="2.6.7." sheetId="40" r:id="rId33"/>
    <sheet name="2.6.8." sheetId="38" r:id="rId34"/>
    <sheet name="2.6.9." sheetId="39" r:id="rId35"/>
    <sheet name="2.7.1." sheetId="41" r:id="rId36"/>
    <sheet name="2.7.2." sheetId="42" r:id="rId37"/>
    <sheet name="2.8.1." sheetId="43" r:id="rId38"/>
    <sheet name="2.8.2." sheetId="44" r:id="rId39"/>
    <sheet name="3.1." sheetId="46" r:id="rId40"/>
    <sheet name="3.2." sheetId="47" r:id="rId41"/>
  </sheets>
  <definedNames>
    <definedName name="_xlnm.Print_Area" localSheetId="6">'1.4.1.'!$A$1:$E$55</definedName>
    <definedName name="_xlnm.Print_Area" localSheetId="20">'2.3.1.'!$A$1:$E$58</definedName>
    <definedName name="_xlnm.Print_Area" localSheetId="39">'3.1.'!$A$1:$E$57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53" i="33" l="1"/>
  <c r="D48" i="33"/>
  <c r="E48" i="33"/>
  <c r="E29" i="33"/>
  <c r="D50" i="33"/>
  <c r="E36" i="47"/>
  <c r="D56" i="44"/>
  <c r="E51" i="44"/>
  <c r="D57" i="42"/>
  <c r="E52" i="42"/>
  <c r="D54" i="41"/>
  <c r="D53" i="39"/>
  <c r="E48" i="39"/>
  <c r="D50" i="39"/>
  <c r="D53" i="38"/>
  <c r="D51" i="38"/>
  <c r="D50" i="38"/>
  <c r="E48" i="38"/>
  <c r="E48" i="40"/>
  <c r="D53" i="37"/>
  <c r="E48" i="37"/>
  <c r="D53" i="36"/>
  <c r="E48" i="36"/>
  <c r="D50" i="36"/>
  <c r="E48" i="35"/>
  <c r="D50" i="35"/>
  <c r="D53" i="34"/>
  <c r="D51" i="34"/>
  <c r="D50" i="34"/>
  <c r="D49" i="34"/>
  <c r="E48" i="34"/>
  <c r="E57" i="26"/>
  <c r="E54" i="25"/>
  <c r="D54" i="25"/>
  <c r="E56" i="24"/>
  <c r="E54" i="23"/>
  <c r="D54" i="23"/>
  <c r="E56" i="22"/>
  <c r="E54" i="20"/>
  <c r="D54" i="20"/>
  <c r="E55" i="19"/>
  <c r="D55" i="19"/>
  <c r="E55" i="18"/>
  <c r="D55" i="18"/>
  <c r="D58" i="18"/>
  <c r="E57" i="15"/>
  <c r="D48" i="8"/>
  <c r="D50" i="8" s="1"/>
  <c r="E53" i="9"/>
  <c r="E50" i="8"/>
  <c r="E50" i="7"/>
  <c r="E59" i="4"/>
  <c r="E63" i="5"/>
  <c r="E61" i="5" l="1"/>
  <c r="E53" i="12" l="1"/>
  <c r="E19" i="12"/>
  <c r="E53" i="11"/>
  <c r="E19" i="11"/>
  <c r="E52" i="14"/>
  <c r="E20" i="14"/>
  <c r="E53" i="13"/>
  <c r="E20" i="13"/>
  <c r="E50" i="10"/>
  <c r="E18" i="10"/>
  <c r="E50" i="9" l="1"/>
  <c r="E18" i="9"/>
  <c r="E39" i="34" l="1"/>
  <c r="E28" i="33"/>
  <c r="E22" i="14" l="1"/>
  <c r="D47" i="5" l="1"/>
  <c r="D13" i="5"/>
  <c r="D65" i="5" l="1"/>
  <c r="D44" i="5"/>
  <c r="E49" i="46" l="1"/>
  <c r="E48" i="46"/>
  <c r="E47" i="46"/>
  <c r="E46" i="46"/>
  <c r="E45" i="46"/>
  <c r="E44" i="46"/>
  <c r="E43" i="46"/>
  <c r="E42" i="46"/>
  <c r="E41" i="46"/>
  <c r="E40" i="46"/>
  <c r="E39" i="46"/>
  <c r="E38" i="46"/>
  <c r="E37" i="46"/>
  <c r="E36" i="46"/>
  <c r="E35" i="46"/>
  <c r="E33" i="46"/>
  <c r="E34" i="46"/>
  <c r="E34" i="41" l="1"/>
  <c r="E33" i="38"/>
  <c r="D35" i="35"/>
  <c r="E33" i="35"/>
  <c r="E31" i="35"/>
  <c r="E30" i="35"/>
  <c r="E24" i="35"/>
  <c r="E35" i="27"/>
  <c r="E30" i="27"/>
  <c r="E19" i="27"/>
  <c r="E17" i="27"/>
  <c r="E35" i="24"/>
  <c r="E30" i="24"/>
  <c r="E33" i="24"/>
  <c r="E32" i="24"/>
  <c r="D51" i="23"/>
  <c r="E35" i="23"/>
  <c r="D38" i="23"/>
  <c r="E32" i="23"/>
  <c r="D25" i="23"/>
  <c r="D40" i="23"/>
  <c r="D30" i="22"/>
  <c r="D46" i="22"/>
  <c r="D41" i="22"/>
  <c r="F19" i="21"/>
  <c r="D48" i="17"/>
  <c r="D37" i="17"/>
  <c r="D38" i="17"/>
  <c r="D45" i="16"/>
  <c r="D51" i="15"/>
  <c r="D46" i="15"/>
  <c r="E35" i="15"/>
  <c r="D36" i="6"/>
  <c r="E31" i="6"/>
  <c r="E27" i="6"/>
  <c r="D42" i="6"/>
  <c r="E23" i="6"/>
  <c r="E26" i="6"/>
  <c r="E30" i="6"/>
  <c r="D24" i="7"/>
  <c r="E16" i="7"/>
  <c r="E35" i="47"/>
  <c r="D35" i="47" s="1"/>
  <c r="E34" i="47"/>
  <c r="D34" i="47" s="1"/>
  <c r="E33" i="47"/>
  <c r="D33" i="47" s="1"/>
  <c r="E31" i="47"/>
  <c r="D31" i="47" s="1"/>
  <c r="E30" i="47"/>
  <c r="D30" i="47" s="1"/>
  <c r="E29" i="47"/>
  <c r="D29" i="47" s="1"/>
  <c r="E28" i="47"/>
  <c r="D28" i="47"/>
  <c r="E27" i="47"/>
  <c r="D27" i="47" s="1"/>
  <c r="E26" i="47"/>
  <c r="D26" i="47" s="1"/>
  <c r="E25" i="47"/>
  <c r="D25" i="47" s="1"/>
  <c r="E24" i="47"/>
  <c r="D24" i="47" s="1"/>
  <c r="E23" i="47"/>
  <c r="D23" i="47" s="1"/>
  <c r="E22" i="47"/>
  <c r="D22" i="47"/>
  <c r="E21" i="47"/>
  <c r="D21" i="47" s="1"/>
  <c r="E16" i="47"/>
  <c r="D16" i="47" s="1"/>
  <c r="E15" i="47"/>
  <c r="E14" i="47" s="1"/>
  <c r="D15" i="47"/>
  <c r="E13" i="47"/>
  <c r="D13" i="47"/>
  <c r="E12" i="47"/>
  <c r="D12" i="47" s="1"/>
  <c r="E51" i="46"/>
  <c r="D51" i="46" s="1"/>
  <c r="D50" i="46" s="1"/>
  <c r="D49" i="46"/>
  <c r="D48" i="46"/>
  <c r="D47" i="46"/>
  <c r="D46" i="46"/>
  <c r="D45" i="46"/>
  <c r="D44" i="46"/>
  <c r="D43" i="46"/>
  <c r="D42" i="46"/>
  <c r="D41" i="46"/>
  <c r="D40" i="46"/>
  <c r="D39" i="46"/>
  <c r="D38" i="46"/>
  <c r="D37" i="46"/>
  <c r="D36" i="46"/>
  <c r="D35" i="46"/>
  <c r="D34" i="46"/>
  <c r="D33" i="46"/>
  <c r="E31" i="46"/>
  <c r="D31" i="46" s="1"/>
  <c r="E30" i="46"/>
  <c r="D30" i="46" s="1"/>
  <c r="E29" i="46"/>
  <c r="D29" i="46" s="1"/>
  <c r="E28" i="46"/>
  <c r="D28" i="46" s="1"/>
  <c r="E27" i="46"/>
  <c r="D27" i="46"/>
  <c r="E26" i="46"/>
  <c r="D26" i="46" s="1"/>
  <c r="E25" i="46"/>
  <c r="D25" i="46" s="1"/>
  <c r="E24" i="46"/>
  <c r="D24" i="46"/>
  <c r="E23" i="46"/>
  <c r="D23" i="46" s="1"/>
  <c r="E22" i="46"/>
  <c r="D22" i="46" s="1"/>
  <c r="E21" i="46"/>
  <c r="D21" i="46" s="1"/>
  <c r="E16" i="46"/>
  <c r="D16" i="46" s="1"/>
  <c r="E15" i="46"/>
  <c r="D15" i="46"/>
  <c r="E14" i="46"/>
  <c r="E13" i="46"/>
  <c r="D13" i="46" s="1"/>
  <c r="E12" i="46"/>
  <c r="D12" i="46" s="1"/>
  <c r="D14" i="46" l="1"/>
  <c r="E50" i="46"/>
  <c r="E10" i="47"/>
  <c r="E9" i="47" s="1"/>
  <c r="E17" i="47" s="1"/>
  <c r="D10" i="47"/>
  <c r="D11" i="47"/>
  <c r="D14" i="47"/>
  <c r="D20" i="47"/>
  <c r="D19" i="47" s="1"/>
  <c r="D36" i="47" s="1"/>
  <c r="D32" i="47"/>
  <c r="E11" i="47"/>
  <c r="E20" i="47"/>
  <c r="E19" i="47" s="1"/>
  <c r="E37" i="47" s="1"/>
  <c r="E32" i="47"/>
  <c r="D10" i="46"/>
  <c r="D9" i="46" s="1"/>
  <c r="D17" i="46" s="1"/>
  <c r="D11" i="46"/>
  <c r="D20" i="46"/>
  <c r="D19" i="46" s="1"/>
  <c r="D32" i="46"/>
  <c r="E11" i="46"/>
  <c r="E20" i="46"/>
  <c r="E19" i="46" s="1"/>
  <c r="E32" i="46"/>
  <c r="E10" i="46"/>
  <c r="E9" i="46" s="1"/>
  <c r="E17" i="46" s="1"/>
  <c r="E52" i="46" l="1"/>
  <c r="E53" i="46" s="1"/>
  <c r="E39" i="47"/>
  <c r="D41" i="47" s="1"/>
  <c r="E38" i="47"/>
  <c r="D9" i="47"/>
  <c r="D17" i="47" s="1"/>
  <c r="D37" i="47" s="1"/>
  <c r="D52" i="46"/>
  <c r="D53" i="46" s="1"/>
  <c r="E54" i="46" l="1"/>
  <c r="E55" i="46"/>
  <c r="D57" i="46" s="1"/>
  <c r="D39" i="47"/>
  <c r="D38" i="47"/>
  <c r="D55" i="46"/>
  <c r="D54" i="46"/>
  <c r="D18" i="44" l="1"/>
  <c r="E34" i="44"/>
  <c r="E33" i="44"/>
  <c r="E32" i="44"/>
  <c r="E31" i="44"/>
  <c r="E30" i="44"/>
  <c r="E29" i="44"/>
  <c r="E28" i="44"/>
  <c r="E27" i="44"/>
  <c r="E26" i="44"/>
  <c r="E25" i="44"/>
  <c r="E24" i="44"/>
  <c r="E23" i="44"/>
  <c r="E18" i="44"/>
  <c r="E17" i="44"/>
  <c r="E15" i="44"/>
  <c r="E14" i="44"/>
  <c r="E13" i="44"/>
  <c r="E12" i="44"/>
  <c r="D13" i="43"/>
  <c r="D17" i="43"/>
  <c r="D29" i="43"/>
  <c r="D41" i="43"/>
  <c r="E34" i="43"/>
  <c r="E33" i="43"/>
  <c r="E32" i="43"/>
  <c r="E31" i="43"/>
  <c r="E30" i="43"/>
  <c r="E29" i="43"/>
  <c r="E28" i="43"/>
  <c r="E27" i="43"/>
  <c r="E26" i="43"/>
  <c r="E25" i="43"/>
  <c r="E24" i="43"/>
  <c r="E23" i="43"/>
  <c r="E18" i="43"/>
  <c r="E17" i="43"/>
  <c r="E15" i="43"/>
  <c r="E14" i="43"/>
  <c r="E13" i="43"/>
  <c r="E12" i="43"/>
  <c r="D24" i="42"/>
  <c r="D46" i="42"/>
  <c r="E34" i="42"/>
  <c r="E33" i="42"/>
  <c r="E32" i="42"/>
  <c r="E31" i="42"/>
  <c r="E30" i="42"/>
  <c r="E29" i="42"/>
  <c r="E28" i="42"/>
  <c r="E27" i="42"/>
  <c r="E26" i="42"/>
  <c r="E23" i="42"/>
  <c r="E25" i="42"/>
  <c r="E24" i="42"/>
  <c r="E18" i="42"/>
  <c r="E17" i="42"/>
  <c r="E15" i="42"/>
  <c r="E14" i="42"/>
  <c r="E13" i="42"/>
  <c r="E12" i="42"/>
  <c r="D37" i="41"/>
  <c r="D40" i="41"/>
  <c r="D41" i="41"/>
  <c r="E33" i="41"/>
  <c r="E32" i="41"/>
  <c r="E31" i="41"/>
  <c r="E30" i="41"/>
  <c r="E29" i="41"/>
  <c r="E28" i="41"/>
  <c r="E27" i="41"/>
  <c r="E26" i="41"/>
  <c r="E25" i="41"/>
  <c r="E24" i="41"/>
  <c r="E23" i="41"/>
  <c r="E18" i="41"/>
  <c r="E17" i="41"/>
  <c r="E15" i="41"/>
  <c r="E14" i="41"/>
  <c r="E13" i="41"/>
  <c r="E12" i="41"/>
  <c r="D31" i="39"/>
  <c r="D37" i="39"/>
  <c r="D39" i="39"/>
  <c r="E33" i="39"/>
  <c r="E30" i="39"/>
  <c r="E31" i="39"/>
  <c r="E29" i="39"/>
  <c r="E26" i="39"/>
  <c r="E27" i="39"/>
  <c r="E28" i="39"/>
  <c r="E25" i="39"/>
  <c r="E24" i="39"/>
  <c r="E23" i="39"/>
  <c r="E17" i="39"/>
  <c r="E18" i="39"/>
  <c r="E15" i="39"/>
  <c r="E14" i="39"/>
  <c r="E13" i="39"/>
  <c r="E12" i="39"/>
  <c r="D46" i="38"/>
  <c r="D38" i="38"/>
  <c r="E32" i="38"/>
  <c r="E29" i="38"/>
  <c r="E31" i="38"/>
  <c r="E30" i="38"/>
  <c r="E28" i="38"/>
  <c r="E27" i="38"/>
  <c r="E26" i="38"/>
  <c r="E25" i="38"/>
  <c r="E24" i="38"/>
  <c r="E23" i="38"/>
  <c r="E17" i="38"/>
  <c r="E18" i="38"/>
  <c r="E15" i="38"/>
  <c r="E14" i="38"/>
  <c r="E13" i="38"/>
  <c r="E12" i="38"/>
  <c r="D46" i="40" l="1"/>
  <c r="D47" i="40"/>
  <c r="D38" i="40"/>
  <c r="E33" i="40"/>
  <c r="E32" i="40"/>
  <c r="E31" i="40"/>
  <c r="E30" i="40"/>
  <c r="E29" i="40"/>
  <c r="E28" i="40"/>
  <c r="E27" i="40"/>
  <c r="E26" i="40"/>
  <c r="E25" i="40"/>
  <c r="E24" i="40"/>
  <c r="E23" i="40"/>
  <c r="E17" i="40"/>
  <c r="E18" i="40"/>
  <c r="E15" i="40"/>
  <c r="E14" i="40"/>
  <c r="E13" i="40"/>
  <c r="E12" i="40"/>
  <c r="D45" i="37"/>
  <c r="E33" i="37"/>
  <c r="E32" i="37"/>
  <c r="E31" i="37"/>
  <c r="E30" i="37"/>
  <c r="E29" i="37"/>
  <c r="E28" i="37"/>
  <c r="E27" i="37"/>
  <c r="E26" i="37"/>
  <c r="E25" i="37"/>
  <c r="E24" i="37"/>
  <c r="E23" i="37"/>
  <c r="E18" i="37"/>
  <c r="E17" i="37"/>
  <c r="E15" i="37"/>
  <c r="E12" i="37"/>
  <c r="E14" i="37"/>
  <c r="E13" i="37"/>
  <c r="D27" i="36"/>
  <c r="E33" i="36"/>
  <c r="E25" i="36"/>
  <c r="E31" i="36"/>
  <c r="E32" i="36"/>
  <c r="E30" i="36"/>
  <c r="E29" i="36"/>
  <c r="E28" i="36"/>
  <c r="E27" i="36"/>
  <c r="E26" i="36"/>
  <c r="E24" i="36"/>
  <c r="E23" i="36"/>
  <c r="E17" i="36"/>
  <c r="E18" i="36"/>
  <c r="E15" i="36"/>
  <c r="E12" i="36"/>
  <c r="E13" i="36"/>
  <c r="E14" i="36"/>
  <c r="E17" i="35"/>
  <c r="E32" i="35"/>
  <c r="E29" i="35"/>
  <c r="E28" i="35"/>
  <c r="E26" i="35"/>
  <c r="E27" i="35"/>
  <c r="E25" i="35"/>
  <c r="E23" i="35"/>
  <c r="E18" i="35"/>
  <c r="E15" i="35"/>
  <c r="E14" i="35"/>
  <c r="E13" i="35"/>
  <c r="E12" i="35"/>
  <c r="D47" i="34"/>
  <c r="E33" i="34"/>
  <c r="E32" i="34"/>
  <c r="E30" i="34"/>
  <c r="E31" i="34"/>
  <c r="E29" i="34"/>
  <c r="E28" i="34"/>
  <c r="E27" i="34"/>
  <c r="E26" i="34"/>
  <c r="E25" i="34"/>
  <c r="E24" i="34"/>
  <c r="E23" i="34"/>
  <c r="E17" i="34"/>
  <c r="E18" i="34"/>
  <c r="E15" i="34"/>
  <c r="E14" i="34"/>
  <c r="E13" i="34"/>
  <c r="E12" i="34"/>
  <c r="D41" i="33"/>
  <c r="E33" i="33"/>
  <c r="E32" i="33"/>
  <c r="E31" i="33"/>
  <c r="E30" i="33"/>
  <c r="E27" i="33"/>
  <c r="E25" i="33"/>
  <c r="E26" i="33"/>
  <c r="E24" i="33"/>
  <c r="E23" i="33"/>
  <c r="E17" i="33"/>
  <c r="E18" i="33"/>
  <c r="E15" i="33"/>
  <c r="E14" i="33"/>
  <c r="E13" i="33"/>
  <c r="E12" i="33"/>
  <c r="D29" i="31"/>
  <c r="D51" i="31"/>
  <c r="E33" i="31"/>
  <c r="E24" i="31"/>
  <c r="E32" i="31"/>
  <c r="E31" i="31"/>
  <c r="E30" i="31"/>
  <c r="E29" i="31"/>
  <c r="E28" i="31"/>
  <c r="E27" i="31"/>
  <c r="E26" i="31"/>
  <c r="E25" i="31"/>
  <c r="E23" i="31"/>
  <c r="E18" i="31"/>
  <c r="E17" i="31"/>
  <c r="E15" i="31"/>
  <c r="E14" i="31"/>
  <c r="E13" i="31"/>
  <c r="E12" i="31"/>
  <c r="D43" i="29" l="1"/>
  <c r="D36" i="29"/>
  <c r="D46" i="29"/>
  <c r="D51" i="29"/>
  <c r="D50" i="29"/>
  <c r="D49" i="29"/>
  <c r="D47" i="29"/>
  <c r="D45" i="29"/>
  <c r="D44" i="29"/>
  <c r="D42" i="29"/>
  <c r="D41" i="29"/>
  <c r="D40" i="29"/>
  <c r="D39" i="29"/>
  <c r="D38" i="29"/>
  <c r="D37" i="29"/>
  <c r="D34" i="29"/>
  <c r="D33" i="29"/>
  <c r="D32" i="29"/>
  <c r="D31" i="29"/>
  <c r="D30" i="29"/>
  <c r="D29" i="29"/>
  <c r="D28" i="29"/>
  <c r="D27" i="29"/>
  <c r="D26" i="29"/>
  <c r="D25" i="29"/>
  <c r="D24" i="29"/>
  <c r="D19" i="29"/>
  <c r="D18" i="29"/>
  <c r="D16" i="29"/>
  <c r="D15" i="29"/>
  <c r="D14" i="29"/>
  <c r="D13" i="29"/>
  <c r="D12" i="29"/>
  <c r="D11" i="29"/>
  <c r="E34" i="29"/>
  <c r="E32" i="29"/>
  <c r="E31" i="29"/>
  <c r="E30" i="29"/>
  <c r="E29" i="29"/>
  <c r="E27" i="29"/>
  <c r="E26" i="29"/>
  <c r="E25" i="29"/>
  <c r="E24" i="29"/>
  <c r="E19" i="29"/>
  <c r="E18" i="29"/>
  <c r="E16" i="29"/>
  <c r="E15" i="29"/>
  <c r="E14" i="29"/>
  <c r="E12" i="29"/>
  <c r="E13" i="29"/>
  <c r="E11" i="29"/>
  <c r="D45" i="27"/>
  <c r="D43" i="27"/>
  <c r="D44" i="27"/>
  <c r="D53" i="27"/>
  <c r="D52" i="27"/>
  <c r="D51" i="27"/>
  <c r="D50" i="27"/>
  <c r="D48" i="27"/>
  <c r="D47" i="27"/>
  <c r="D46" i="27"/>
  <c r="D42" i="27"/>
  <c r="D41" i="27"/>
  <c r="D40" i="27"/>
  <c r="D39" i="27"/>
  <c r="D38" i="27"/>
  <c r="D37" i="27"/>
  <c r="D35" i="27"/>
  <c r="D34" i="27"/>
  <c r="D33" i="27"/>
  <c r="D32" i="27"/>
  <c r="D31" i="27"/>
  <c r="D30" i="27"/>
  <c r="D29" i="27"/>
  <c r="D28" i="27"/>
  <c r="D27" i="27"/>
  <c r="D26" i="27"/>
  <c r="D25" i="27"/>
  <c r="D20" i="27"/>
  <c r="D19" i="27"/>
  <c r="D17" i="27"/>
  <c r="D16" i="27"/>
  <c r="D15" i="27"/>
  <c r="D14" i="27"/>
  <c r="D13" i="27"/>
  <c r="D12" i="27"/>
  <c r="E34" i="27"/>
  <c r="E33" i="27"/>
  <c r="E32" i="27"/>
  <c r="E31" i="27"/>
  <c r="E29" i="27"/>
  <c r="E28" i="27"/>
  <c r="E27" i="27"/>
  <c r="E26" i="27"/>
  <c r="E25" i="27"/>
  <c r="E20" i="27"/>
  <c r="E16" i="27"/>
  <c r="E15" i="27"/>
  <c r="E14" i="27"/>
  <c r="E13" i="27"/>
  <c r="E12" i="27"/>
  <c r="D52" i="26"/>
  <c r="D37" i="26"/>
  <c r="D40" i="26"/>
  <c r="D58" i="26"/>
  <c r="D42" i="26" s="1"/>
  <c r="D50" i="26"/>
  <c r="E19" i="26"/>
  <c r="E35" i="26"/>
  <c r="E34" i="26"/>
  <c r="E33" i="26"/>
  <c r="E32" i="26"/>
  <c r="E31" i="26"/>
  <c r="E30" i="26"/>
  <c r="E29" i="26"/>
  <c r="E28" i="26"/>
  <c r="E27" i="26"/>
  <c r="E26" i="26"/>
  <c r="E25" i="26"/>
  <c r="E20" i="26"/>
  <c r="E17" i="26"/>
  <c r="E16" i="26"/>
  <c r="E15" i="26"/>
  <c r="E14" i="26"/>
  <c r="E13" i="26"/>
  <c r="E12" i="26"/>
  <c r="D42" i="25"/>
  <c r="D44" i="25"/>
  <c r="D16" i="25"/>
  <c r="D39" i="25"/>
  <c r="D47" i="25"/>
  <c r="D52" i="25"/>
  <c r="D51" i="25"/>
  <c r="D50" i="25"/>
  <c r="D48" i="25"/>
  <c r="D46" i="25"/>
  <c r="D45" i="25"/>
  <c r="D43" i="25"/>
  <c r="D41" i="25"/>
  <c r="D40" i="25"/>
  <c r="D38" i="25"/>
  <c r="D37" i="25"/>
  <c r="D35" i="25"/>
  <c r="D34" i="25"/>
  <c r="D33" i="25"/>
  <c r="D32" i="25"/>
  <c r="D31" i="25"/>
  <c r="D30" i="25"/>
  <c r="D29" i="25"/>
  <c r="D28" i="25"/>
  <c r="D27" i="25"/>
  <c r="D26" i="25"/>
  <c r="D25" i="25"/>
  <c r="D20" i="25"/>
  <c r="D19" i="25"/>
  <c r="D17" i="25"/>
  <c r="D15" i="25"/>
  <c r="D14" i="25"/>
  <c r="D13" i="25"/>
  <c r="D12" i="25"/>
  <c r="E35" i="25"/>
  <c r="E34" i="25"/>
  <c r="E33" i="25"/>
  <c r="E32" i="25"/>
  <c r="E31" i="25"/>
  <c r="E30" i="25"/>
  <c r="E29" i="25"/>
  <c r="E28" i="25"/>
  <c r="E27" i="25"/>
  <c r="E26" i="25"/>
  <c r="E25" i="25"/>
  <c r="E20" i="25"/>
  <c r="D33" i="26" l="1"/>
  <c r="D12" i="26"/>
  <c r="D25" i="26"/>
  <c r="D35" i="26"/>
  <c r="D44" i="26"/>
  <c r="D15" i="26"/>
  <c r="D28" i="26"/>
  <c r="D45" i="26"/>
  <c r="D13" i="26"/>
  <c r="D26" i="26"/>
  <c r="D14" i="26"/>
  <c r="D38" i="26"/>
  <c r="D17" i="26"/>
  <c r="D30" i="26"/>
  <c r="D39" i="26"/>
  <c r="D51" i="26"/>
  <c r="D34" i="26"/>
  <c r="D27" i="26"/>
  <c r="D29" i="26"/>
  <c r="D48" i="26"/>
  <c r="D19" i="26"/>
  <c r="D31" i="26"/>
  <c r="D43" i="26"/>
  <c r="D16" i="26"/>
  <c r="D20" i="26"/>
  <c r="D18" i="26" s="1"/>
  <c r="D32" i="26"/>
  <c r="D41" i="26"/>
  <c r="D53" i="26"/>
  <c r="D46" i="26"/>
  <c r="D47" i="26"/>
  <c r="E19" i="25"/>
  <c r="E17" i="25"/>
  <c r="E16" i="25"/>
  <c r="E15" i="25"/>
  <c r="E14" i="25"/>
  <c r="E13" i="25"/>
  <c r="E12" i="25"/>
  <c r="D35" i="24"/>
  <c r="D33" i="24"/>
  <c r="D32" i="24"/>
  <c r="D28" i="24"/>
  <c r="D27" i="24"/>
  <c r="D25" i="24"/>
  <c r="D13" i="24"/>
  <c r="E34" i="24"/>
  <c r="E31" i="24"/>
  <c r="E29" i="24"/>
  <c r="E28" i="24"/>
  <c r="E27" i="24"/>
  <c r="E26" i="24"/>
  <c r="E25" i="24"/>
  <c r="E20" i="24"/>
  <c r="D20" i="24" s="1"/>
  <c r="E19" i="24"/>
  <c r="D19" i="24" s="1"/>
  <c r="E17" i="24"/>
  <c r="D17" i="24" s="1"/>
  <c r="E16" i="24"/>
  <c r="D16" i="24" s="1"/>
  <c r="E15" i="24"/>
  <c r="D15" i="24" s="1"/>
  <c r="E14" i="24"/>
  <c r="D14" i="24" s="1"/>
  <c r="E13" i="24"/>
  <c r="E12" i="24"/>
  <c r="D12" i="24" s="1"/>
  <c r="D44" i="23"/>
  <c r="D48" i="23"/>
  <c r="D52" i="23"/>
  <c r="D50" i="23"/>
  <c r="D47" i="23"/>
  <c r="D46" i="23"/>
  <c r="D45" i="23"/>
  <c r="D43" i="23"/>
  <c r="D42" i="23"/>
  <c r="D41" i="23"/>
  <c r="D39" i="23"/>
  <c r="D37" i="23"/>
  <c r="D35" i="23"/>
  <c r="D34" i="23"/>
  <c r="D33" i="23"/>
  <c r="D32" i="23"/>
  <c r="D31" i="23"/>
  <c r="D30" i="23"/>
  <c r="D29" i="23"/>
  <c r="D28" i="23"/>
  <c r="D27" i="23"/>
  <c r="D26" i="23"/>
  <c r="D20" i="23"/>
  <c r="D19" i="23"/>
  <c r="D17" i="23"/>
  <c r="D16" i="23"/>
  <c r="D15" i="23"/>
  <c r="D14" i="23"/>
  <c r="D13" i="23"/>
  <c r="D12" i="23"/>
  <c r="E34" i="23"/>
  <c r="E33" i="23"/>
  <c r="E31" i="23"/>
  <c r="E30" i="23"/>
  <c r="E29" i="23"/>
  <c r="E28" i="23"/>
  <c r="E27" i="23"/>
  <c r="E26" i="23"/>
  <c r="E25" i="23"/>
  <c r="E20" i="23"/>
  <c r="E19" i="23"/>
  <c r="E17" i="23"/>
  <c r="E16" i="23"/>
  <c r="E15" i="23"/>
  <c r="E14" i="23"/>
  <c r="E13" i="23"/>
  <c r="E12" i="23"/>
  <c r="D26" i="24" l="1"/>
  <c r="D34" i="24"/>
  <c r="D29" i="24"/>
  <c r="D30" i="24"/>
  <c r="D31" i="24"/>
  <c r="D52" i="22"/>
  <c r="D51" i="22"/>
  <c r="D50" i="22"/>
  <c r="D48" i="22"/>
  <c r="D47" i="22"/>
  <c r="D45" i="22"/>
  <c r="D44" i="22"/>
  <c r="D43" i="22"/>
  <c r="D42" i="22"/>
  <c r="D40" i="22"/>
  <c r="D39" i="22"/>
  <c r="D38" i="22"/>
  <c r="D37" i="22"/>
  <c r="D35" i="22"/>
  <c r="D34" i="22"/>
  <c r="D33" i="22"/>
  <c r="D32" i="22"/>
  <c r="D31" i="22"/>
  <c r="D29" i="22"/>
  <c r="D28" i="22"/>
  <c r="D27" i="22"/>
  <c r="D26" i="22"/>
  <c r="D25" i="22"/>
  <c r="D20" i="22"/>
  <c r="D19" i="22"/>
  <c r="D17" i="22"/>
  <c r="D16" i="22"/>
  <c r="D15" i="22"/>
  <c r="D14" i="22"/>
  <c r="D13" i="22"/>
  <c r="D12" i="22"/>
  <c r="E35" i="22"/>
  <c r="E34" i="22"/>
  <c r="E33" i="22"/>
  <c r="E31" i="22"/>
  <c r="E30" i="22"/>
  <c r="E29" i="22"/>
  <c r="E28" i="22"/>
  <c r="E27" i="22"/>
  <c r="E26" i="22"/>
  <c r="E25" i="22"/>
  <c r="E19" i="22"/>
  <c r="E20" i="22"/>
  <c r="E16" i="22"/>
  <c r="E15" i="22"/>
  <c r="E14" i="22"/>
  <c r="E12" i="22"/>
  <c r="E13" i="22"/>
  <c r="E37" i="21"/>
  <c r="E44" i="21"/>
  <c r="E52" i="21"/>
  <c r="E25" i="21"/>
  <c r="E51" i="21"/>
  <c r="E50" i="21"/>
  <c r="E48" i="21"/>
  <c r="E47" i="21"/>
  <c r="E46" i="21"/>
  <c r="E45" i="21"/>
  <c r="E43" i="21"/>
  <c r="E42" i="21"/>
  <c r="E41" i="21"/>
  <c r="E40" i="21"/>
  <c r="E39" i="21"/>
  <c r="E38" i="21"/>
  <c r="E35" i="21"/>
  <c r="E34" i="21"/>
  <c r="E33" i="21"/>
  <c r="E32" i="21"/>
  <c r="E31" i="21"/>
  <c r="E30" i="21"/>
  <c r="E29" i="21"/>
  <c r="E28" i="21"/>
  <c r="E27" i="21"/>
  <c r="E26" i="21"/>
  <c r="E20" i="21"/>
  <c r="E19" i="21"/>
  <c r="E17" i="21"/>
  <c r="E16" i="21"/>
  <c r="E15" i="21"/>
  <c r="E14" i="21"/>
  <c r="E13" i="21"/>
  <c r="E12" i="21"/>
  <c r="F13" i="21"/>
  <c r="F35" i="21"/>
  <c r="F34" i="21"/>
  <c r="F33" i="21"/>
  <c r="F32" i="21"/>
  <c r="F31" i="21"/>
  <c r="F30" i="21"/>
  <c r="F29" i="21"/>
  <c r="F27" i="21"/>
  <c r="F28" i="21"/>
  <c r="F26" i="21"/>
  <c r="F25" i="21"/>
  <c r="F20" i="21"/>
  <c r="F17" i="21"/>
  <c r="F16" i="21"/>
  <c r="F15" i="21"/>
  <c r="F14" i="21"/>
  <c r="F12" i="21"/>
  <c r="D52" i="20"/>
  <c r="D51" i="20"/>
  <c r="D50" i="20"/>
  <c r="D48" i="20"/>
  <c r="D47" i="20"/>
  <c r="D46" i="20"/>
  <c r="D45" i="20"/>
  <c r="D44" i="20"/>
  <c r="D43" i="20"/>
  <c r="D42" i="20"/>
  <c r="D41" i="20"/>
  <c r="D40" i="20"/>
  <c r="D39" i="20"/>
  <c r="D38" i="20"/>
  <c r="D37" i="20"/>
  <c r="D35" i="20"/>
  <c r="D34" i="20"/>
  <c r="D33" i="20"/>
  <c r="D32" i="20"/>
  <c r="D31" i="20"/>
  <c r="D30" i="20"/>
  <c r="D29" i="20"/>
  <c r="D28" i="20"/>
  <c r="D27" i="20"/>
  <c r="D26" i="20"/>
  <c r="D25" i="20"/>
  <c r="D20" i="20"/>
  <c r="D19" i="20"/>
  <c r="D17" i="20"/>
  <c r="D16" i="20"/>
  <c r="D15" i="20"/>
  <c r="D14" i="20"/>
  <c r="D13" i="20"/>
  <c r="D12" i="20"/>
  <c r="E35" i="20"/>
  <c r="E34" i="20"/>
  <c r="E31" i="20"/>
  <c r="E32" i="20"/>
  <c r="E33" i="20"/>
  <c r="E30" i="20"/>
  <c r="E29" i="20"/>
  <c r="E28" i="20"/>
  <c r="E25" i="20"/>
  <c r="E26" i="20"/>
  <c r="E27" i="20"/>
  <c r="E20" i="20"/>
  <c r="E19" i="20"/>
  <c r="E17" i="20"/>
  <c r="E16" i="20"/>
  <c r="E15" i="20"/>
  <c r="E14" i="20"/>
  <c r="E13" i="20"/>
  <c r="E12" i="20"/>
  <c r="D39" i="19"/>
  <c r="D53" i="19"/>
  <c r="D44" i="19"/>
  <c r="D52" i="19"/>
  <c r="D51" i="19"/>
  <c r="D50" i="19"/>
  <c r="D48" i="19"/>
  <c r="D47" i="19"/>
  <c r="D46" i="19"/>
  <c r="D45" i="19"/>
  <c r="D43" i="19"/>
  <c r="D42" i="19"/>
  <c r="D41" i="19"/>
  <c r="D40" i="19"/>
  <c r="D38" i="19"/>
  <c r="D37" i="19"/>
  <c r="D35" i="19"/>
  <c r="D34" i="19"/>
  <c r="D33" i="19"/>
  <c r="D32" i="19"/>
  <c r="D31" i="19"/>
  <c r="D30" i="19"/>
  <c r="D29" i="19"/>
  <c r="D28" i="19"/>
  <c r="D27" i="19"/>
  <c r="D26" i="19"/>
  <c r="D25" i="19"/>
  <c r="D20" i="19"/>
  <c r="D19" i="19"/>
  <c r="D17" i="19"/>
  <c r="D16" i="19"/>
  <c r="D15" i="19"/>
  <c r="D14" i="19"/>
  <c r="D13" i="19"/>
  <c r="D12" i="19"/>
  <c r="E35" i="19"/>
  <c r="E34" i="19"/>
  <c r="E33" i="19"/>
  <c r="E32" i="19"/>
  <c r="E31" i="19"/>
  <c r="E30" i="19"/>
  <c r="E29" i="19"/>
  <c r="E28" i="19"/>
  <c r="E27" i="19"/>
  <c r="E26" i="19"/>
  <c r="E25" i="19"/>
  <c r="E20" i="19"/>
  <c r="E19" i="19"/>
  <c r="E17" i="19"/>
  <c r="E15" i="19"/>
  <c r="E16" i="19"/>
  <c r="E14" i="19"/>
  <c r="E13" i="19"/>
  <c r="E12" i="19"/>
  <c r="D50" i="18"/>
  <c r="D52" i="18"/>
  <c r="D53" i="18"/>
  <c r="D51" i="18"/>
  <c r="D48" i="18"/>
  <c r="D47" i="18"/>
  <c r="D46" i="18"/>
  <c r="D45" i="18"/>
  <c r="D44" i="18"/>
  <c r="D43" i="18"/>
  <c r="D42" i="18"/>
  <c r="D41" i="18"/>
  <c r="D40" i="18"/>
  <c r="D39" i="18"/>
  <c r="D38" i="18"/>
  <c r="D37" i="18"/>
  <c r="D35" i="18"/>
  <c r="D34" i="18"/>
  <c r="D33" i="18"/>
  <c r="D32" i="18"/>
  <c r="D31" i="18"/>
  <c r="D30" i="18"/>
  <c r="D29" i="18"/>
  <c r="D28" i="18"/>
  <c r="D27" i="18"/>
  <c r="D26" i="18"/>
  <c r="D25" i="18"/>
  <c r="D20" i="18"/>
  <c r="D19" i="18"/>
  <c r="D17" i="18"/>
  <c r="D16" i="18"/>
  <c r="D15" i="18"/>
  <c r="D14" i="18"/>
  <c r="D13" i="18"/>
  <c r="D12" i="18"/>
  <c r="E35" i="18"/>
  <c r="E34" i="18"/>
  <c r="E33" i="18"/>
  <c r="E32" i="18"/>
  <c r="E31" i="18"/>
  <c r="E30" i="18"/>
  <c r="E29" i="18"/>
  <c r="E28" i="18"/>
  <c r="E25" i="18"/>
  <c r="E26" i="18"/>
  <c r="E27" i="18"/>
  <c r="E19" i="18"/>
  <c r="E20" i="18"/>
  <c r="E17" i="18"/>
  <c r="E16" i="18"/>
  <c r="E15" i="18"/>
  <c r="E14" i="18"/>
  <c r="E13" i="18"/>
  <c r="E12" i="18"/>
  <c r="D18" i="17"/>
  <c r="D59" i="17"/>
  <c r="D13" i="17"/>
  <c r="D12" i="17"/>
  <c r="D14" i="17"/>
  <c r="D15" i="17"/>
  <c r="D16" i="17"/>
  <c r="D17" i="17"/>
  <c r="D19" i="17"/>
  <c r="D20" i="17"/>
  <c r="D25" i="17"/>
  <c r="D28" i="17"/>
  <c r="D27" i="17"/>
  <c r="D26" i="17"/>
  <c r="D32" i="17"/>
  <c r="D31" i="17"/>
  <c r="D30" i="17"/>
  <c r="D29" i="17"/>
  <c r="D33" i="17"/>
  <c r="D34" i="17"/>
  <c r="D35" i="17"/>
  <c r="D41" i="17"/>
  <c r="D40" i="17"/>
  <c r="D39" i="17"/>
  <c r="D47" i="17"/>
  <c r="D46" i="17"/>
  <c r="D45" i="17"/>
  <c r="D44" i="17"/>
  <c r="D43" i="17"/>
  <c r="D42" i="17"/>
  <c r="D51" i="17"/>
  <c r="D50" i="17"/>
  <c r="D52" i="17"/>
  <c r="D53" i="17"/>
  <c r="E35" i="17"/>
  <c r="E30" i="17"/>
  <c r="E34" i="17"/>
  <c r="E33" i="17"/>
  <c r="E32" i="17"/>
  <c r="E31" i="17"/>
  <c r="E29" i="17"/>
  <c r="E28" i="17"/>
  <c r="E27" i="17"/>
  <c r="E26" i="17"/>
  <c r="E25" i="17"/>
  <c r="E20" i="17"/>
  <c r="E19" i="17"/>
  <c r="E17" i="17"/>
  <c r="E16" i="17"/>
  <c r="E15" i="17"/>
  <c r="E14" i="17"/>
  <c r="E13" i="17"/>
  <c r="E12" i="17"/>
  <c r="D29" i="16"/>
  <c r="D26" i="16"/>
  <c r="D14" i="16"/>
  <c r="D53" i="16"/>
  <c r="D52" i="16"/>
  <c r="D51" i="16"/>
  <c r="D50" i="16"/>
  <c r="D48" i="16"/>
  <c r="D47" i="16"/>
  <c r="D46" i="16"/>
  <c r="D44" i="16"/>
  <c r="D43" i="16"/>
  <c r="D42" i="16"/>
  <c r="D41" i="16"/>
  <c r="D40" i="16"/>
  <c r="D39" i="16"/>
  <c r="D38" i="16"/>
  <c r="D37" i="16"/>
  <c r="D35" i="16"/>
  <c r="D34" i="16"/>
  <c r="D33" i="16"/>
  <c r="D32" i="16"/>
  <c r="D31" i="16"/>
  <c r="D30" i="16"/>
  <c r="D28" i="16"/>
  <c r="D27" i="16"/>
  <c r="D25" i="16"/>
  <c r="D20" i="16"/>
  <c r="D19" i="16"/>
  <c r="D17" i="16"/>
  <c r="D16" i="16"/>
  <c r="D15" i="16"/>
  <c r="D13" i="16"/>
  <c r="D12" i="16"/>
  <c r="D47" i="15"/>
  <c r="D31" i="15"/>
  <c r="D43" i="15"/>
  <c r="D53" i="15"/>
  <c r="D52" i="15"/>
  <c r="D50" i="15"/>
  <c r="D48" i="15"/>
  <c r="D45" i="15"/>
  <c r="D44" i="15"/>
  <c r="D42" i="15"/>
  <c r="D41" i="15"/>
  <c r="D40" i="15"/>
  <c r="D39" i="15"/>
  <c r="D38" i="15"/>
  <c r="D37" i="15"/>
  <c r="D35" i="15"/>
  <c r="D34" i="15"/>
  <c r="D33" i="15"/>
  <c r="D32" i="15"/>
  <c r="D30" i="15"/>
  <c r="D29" i="15"/>
  <c r="D28" i="15"/>
  <c r="D27" i="15"/>
  <c r="D26" i="15"/>
  <c r="D25" i="15"/>
  <c r="D19" i="15"/>
  <c r="D20" i="15"/>
  <c r="D17" i="15"/>
  <c r="D16" i="15"/>
  <c r="D15" i="15"/>
  <c r="D14" i="15"/>
  <c r="D13" i="15"/>
  <c r="D12" i="15"/>
  <c r="E35" i="16" l="1"/>
  <c r="E34" i="16"/>
  <c r="E33" i="16"/>
  <c r="E32" i="16"/>
  <c r="E31" i="16"/>
  <c r="E30" i="16"/>
  <c r="E29" i="16"/>
  <c r="E28" i="16"/>
  <c r="E27" i="16"/>
  <c r="E26" i="16"/>
  <c r="E25" i="16"/>
  <c r="E20" i="16"/>
  <c r="E19" i="16"/>
  <c r="E17" i="16"/>
  <c r="E16" i="16"/>
  <c r="E15" i="16"/>
  <c r="E14" i="16"/>
  <c r="E13" i="16"/>
  <c r="E12" i="16"/>
  <c r="E25" i="15"/>
  <c r="E34" i="15"/>
  <c r="E31" i="15"/>
  <c r="E32" i="15"/>
  <c r="E33" i="15"/>
  <c r="E30" i="15"/>
  <c r="E29" i="15"/>
  <c r="E28" i="15"/>
  <c r="E27" i="15"/>
  <c r="E26" i="15"/>
  <c r="E20" i="15"/>
  <c r="E19" i="15"/>
  <c r="E17" i="15"/>
  <c r="E16" i="15"/>
  <c r="E15" i="15"/>
  <c r="E14" i="15"/>
  <c r="E13" i="15"/>
  <c r="E12" i="15"/>
  <c r="D31" i="12"/>
  <c r="D49" i="12"/>
  <c r="E34" i="12"/>
  <c r="E31" i="12"/>
  <c r="E33" i="12"/>
  <c r="E32" i="12"/>
  <c r="E30" i="12"/>
  <c r="E29" i="12"/>
  <c r="E28" i="12"/>
  <c r="E27" i="12"/>
  <c r="E26" i="12"/>
  <c r="E25" i="12"/>
  <c r="E24" i="12"/>
  <c r="E23" i="12"/>
  <c r="E18" i="12"/>
  <c r="E17" i="12"/>
  <c r="E15" i="12"/>
  <c r="E14" i="12"/>
  <c r="E13" i="12"/>
  <c r="E12" i="12"/>
  <c r="D52" i="11"/>
  <c r="D41" i="11"/>
  <c r="E34" i="11"/>
  <c r="E33" i="11"/>
  <c r="E32" i="11"/>
  <c r="E31" i="11"/>
  <c r="E30" i="11"/>
  <c r="E29" i="11"/>
  <c r="E28" i="11"/>
  <c r="E27" i="11"/>
  <c r="E26" i="11"/>
  <c r="E25" i="11"/>
  <c r="E24" i="11"/>
  <c r="E23" i="11"/>
  <c r="E18" i="11" l="1"/>
  <c r="E17" i="11"/>
  <c r="E15" i="11"/>
  <c r="E14" i="11"/>
  <c r="E13" i="11"/>
  <c r="E12" i="11"/>
  <c r="D49" i="14" l="1"/>
  <c r="D37" i="14"/>
  <c r="D43" i="14"/>
  <c r="D46" i="14"/>
  <c r="D47" i="14"/>
  <c r="D45" i="14"/>
  <c r="D44" i="14"/>
  <c r="D42" i="14"/>
  <c r="D41" i="14"/>
  <c r="D40" i="14"/>
  <c r="D39" i="14"/>
  <c r="D38" i="14"/>
  <c r="D36" i="14"/>
  <c r="D34" i="14"/>
  <c r="D33" i="14"/>
  <c r="D32" i="14"/>
  <c r="D31" i="14"/>
  <c r="D30" i="14"/>
  <c r="D29" i="14"/>
  <c r="D28" i="14"/>
  <c r="D27" i="14"/>
  <c r="D26" i="14"/>
  <c r="D25" i="14"/>
  <c r="D24" i="14"/>
  <c r="D19" i="14"/>
  <c r="D18" i="14"/>
  <c r="D16" i="14"/>
  <c r="D15" i="14"/>
  <c r="D14" i="14"/>
  <c r="D13" i="14"/>
  <c r="D12" i="14"/>
  <c r="D11" i="14"/>
  <c r="D50" i="14"/>
  <c r="D51" i="14"/>
  <c r="E31" i="14" l="1"/>
  <c r="E42" i="14"/>
  <c r="E34" i="14"/>
  <c r="E26" i="14"/>
  <c r="E28" i="14"/>
  <c r="E24" i="14"/>
  <c r="E30" i="14"/>
  <c r="E33" i="14"/>
  <c r="E32" i="14"/>
  <c r="E29" i="14"/>
  <c r="E27" i="14"/>
  <c r="E25" i="14"/>
  <c r="E19" i="14"/>
  <c r="E18" i="14"/>
  <c r="E16" i="14"/>
  <c r="E15" i="14"/>
  <c r="E14" i="14"/>
  <c r="E13" i="14"/>
  <c r="E12" i="14"/>
  <c r="E11" i="14"/>
  <c r="E34" i="13"/>
  <c r="E32" i="13"/>
  <c r="E33" i="13"/>
  <c r="E31" i="13"/>
  <c r="E30" i="13"/>
  <c r="E29" i="13"/>
  <c r="E28" i="13"/>
  <c r="E27" i="13"/>
  <c r="E26" i="13"/>
  <c r="E25" i="13"/>
  <c r="E24" i="13"/>
  <c r="E19" i="13"/>
  <c r="E18" i="13"/>
  <c r="E16" i="13"/>
  <c r="E13" i="13"/>
  <c r="E15" i="13"/>
  <c r="E14" i="13"/>
  <c r="E12" i="13"/>
  <c r="E11" i="13"/>
  <c r="E26" i="10"/>
  <c r="E22" i="10"/>
  <c r="D37" i="10"/>
  <c r="D46" i="10"/>
  <c r="D29" i="10"/>
  <c r="D30" i="10"/>
  <c r="D38" i="10"/>
  <c r="D41" i="10"/>
  <c r="E32" i="10"/>
  <c r="E31" i="10"/>
  <c r="E30" i="10"/>
  <c r="E29" i="10"/>
  <c r="E28" i="10"/>
  <c r="E27" i="10"/>
  <c r="E25" i="10"/>
  <c r="E24" i="10"/>
  <c r="E23" i="10"/>
  <c r="E10" i="10"/>
  <c r="E17" i="10"/>
  <c r="E16" i="10"/>
  <c r="E14" i="10"/>
  <c r="E13" i="10"/>
  <c r="E12" i="10"/>
  <c r="D43" i="9"/>
  <c r="E32" i="9"/>
  <c r="E31" i="9"/>
  <c r="E30" i="9"/>
  <c r="E29" i="9"/>
  <c r="E28" i="9"/>
  <c r="E27" i="9"/>
  <c r="E24" i="9"/>
  <c r="E25" i="9"/>
  <c r="E26" i="9"/>
  <c r="E23" i="9"/>
  <c r="E22" i="9"/>
  <c r="E17" i="9"/>
  <c r="E16" i="9"/>
  <c r="E14" i="9"/>
  <c r="E13" i="9"/>
  <c r="E12" i="9"/>
  <c r="E29" i="6"/>
  <c r="E28" i="6"/>
  <c r="E21" i="6"/>
  <c r="E16" i="6"/>
  <c r="E15" i="6"/>
  <c r="E13" i="6"/>
  <c r="E12" i="6"/>
  <c r="D45" i="8"/>
  <c r="D34" i="8"/>
  <c r="E10" i="8"/>
  <c r="E34" i="8"/>
  <c r="E33" i="8"/>
  <c r="D33" i="8" s="1"/>
  <c r="E32" i="8"/>
  <c r="D32" i="8" s="1"/>
  <c r="E31" i="8"/>
  <c r="D31" i="8" s="1"/>
  <c r="E30" i="8"/>
  <c r="D30" i="8" s="1"/>
  <c r="E29" i="8"/>
  <c r="D29" i="8" s="1"/>
  <c r="E27" i="8"/>
  <c r="D27" i="8" s="1"/>
  <c r="E26" i="8"/>
  <c r="D26" i="8" s="1"/>
  <c r="E25" i="8"/>
  <c r="D25" i="8" s="1"/>
  <c r="E24" i="8"/>
  <c r="D24" i="8" s="1"/>
  <c r="E17" i="8"/>
  <c r="D17" i="8"/>
  <c r="E16" i="8"/>
  <c r="D16" i="8" s="1"/>
  <c r="E14" i="8"/>
  <c r="E13" i="8"/>
  <c r="E12" i="8"/>
  <c r="E46" i="8"/>
  <c r="D46" i="8" s="1"/>
  <c r="E45" i="8"/>
  <c r="E43" i="8"/>
  <c r="E42" i="8"/>
  <c r="D42" i="8" s="1"/>
  <c r="E41" i="8"/>
  <c r="E40" i="8"/>
  <c r="D40" i="8" s="1"/>
  <c r="E39" i="8"/>
  <c r="E38" i="8"/>
  <c r="E37" i="8"/>
  <c r="E36" i="8"/>
  <c r="D36" i="8" s="1"/>
  <c r="E28" i="8"/>
  <c r="D28" i="8" s="1"/>
  <c r="E19" i="8"/>
  <c r="D19" i="8" s="1"/>
  <c r="D13" i="8"/>
  <c r="D12" i="8"/>
  <c r="D43" i="8"/>
  <c r="D41" i="8"/>
  <c r="D39" i="8"/>
  <c r="D38" i="8"/>
  <c r="D37" i="8"/>
  <c r="D14" i="8"/>
  <c r="D45" i="7"/>
  <c r="D46" i="7"/>
  <c r="D16" i="7"/>
  <c r="E34" i="7"/>
  <c r="E19" i="7"/>
  <c r="E17" i="7"/>
  <c r="E14" i="7"/>
  <c r="E46" i="7"/>
  <c r="E45" i="7"/>
  <c r="E43" i="7"/>
  <c r="E42" i="7"/>
  <c r="E41" i="7"/>
  <c r="E40" i="7"/>
  <c r="E39" i="7"/>
  <c r="E38" i="7"/>
  <c r="E37" i="7"/>
  <c r="E36" i="7"/>
  <c r="E33" i="7"/>
  <c r="E32" i="7"/>
  <c r="E31" i="7"/>
  <c r="E30" i="7"/>
  <c r="E29" i="7"/>
  <c r="E28" i="7"/>
  <c r="E27" i="7"/>
  <c r="E26" i="7"/>
  <c r="E25" i="7"/>
  <c r="E24" i="7"/>
  <c r="E13" i="7"/>
  <c r="E12" i="7"/>
  <c r="D43" i="7" l="1"/>
  <c r="D42" i="7"/>
  <c r="D41" i="7"/>
  <c r="D40" i="7"/>
  <c r="D39" i="7"/>
  <c r="D38" i="7"/>
  <c r="D37" i="7"/>
  <c r="D36" i="7"/>
  <c r="D34" i="7"/>
  <c r="D33" i="7"/>
  <c r="D32" i="7"/>
  <c r="D31" i="7"/>
  <c r="D30" i="7"/>
  <c r="D29" i="7"/>
  <c r="D28" i="7"/>
  <c r="D27" i="7"/>
  <c r="D26" i="7"/>
  <c r="D25" i="7"/>
  <c r="D19" i="7"/>
  <c r="D17" i="7"/>
  <c r="D14" i="7"/>
  <c r="D13" i="7"/>
  <c r="D12" i="7"/>
  <c r="D42" i="4"/>
  <c r="D41" i="4"/>
  <c r="D40" i="4"/>
  <c r="D39" i="4"/>
  <c r="D38" i="4"/>
  <c r="D37" i="4"/>
  <c r="D46" i="4"/>
  <c r="D45" i="4"/>
  <c r="D44" i="4"/>
  <c r="D43" i="4"/>
  <c r="D47" i="4"/>
  <c r="D53" i="4"/>
  <c r="D52" i="4"/>
  <c r="D51" i="4"/>
  <c r="D50" i="4"/>
  <c r="D49" i="4"/>
  <c r="D54" i="4"/>
  <c r="D55" i="4"/>
  <c r="D61" i="4"/>
  <c r="E35" i="4"/>
  <c r="E34" i="4"/>
  <c r="E33" i="4"/>
  <c r="E32" i="4"/>
  <c r="E31" i="4"/>
  <c r="E30" i="4"/>
  <c r="E29" i="4"/>
  <c r="E28" i="4"/>
  <c r="E27" i="4"/>
  <c r="E26" i="4"/>
  <c r="E25" i="4"/>
  <c r="E18" i="4"/>
  <c r="E17" i="4"/>
  <c r="E15" i="4"/>
  <c r="E14" i="4"/>
  <c r="E13" i="4"/>
  <c r="E12" i="4"/>
  <c r="E39" i="5" l="1"/>
  <c r="E34" i="5"/>
  <c r="E38" i="5"/>
  <c r="E37" i="5"/>
  <c r="E36" i="5"/>
  <c r="E35" i="5"/>
  <c r="E33" i="5"/>
  <c r="E31" i="5"/>
  <c r="E29" i="5"/>
  <c r="E32" i="5" l="1"/>
  <c r="E30" i="5" l="1"/>
  <c r="E22" i="5"/>
  <c r="E21" i="5"/>
  <c r="E19" i="5"/>
  <c r="E18" i="5"/>
  <c r="E17" i="5"/>
  <c r="E16" i="5"/>
  <c r="E45" i="39" l="1"/>
  <c r="E45" i="38"/>
  <c r="E45" i="40"/>
  <c r="E45" i="37"/>
  <c r="E45" i="36"/>
  <c r="E45" i="35"/>
  <c r="E45" i="34"/>
  <c r="E45" i="33"/>
  <c r="E20" i="5" l="1"/>
  <c r="E50" i="44" l="1"/>
  <c r="E49" i="44"/>
  <c r="E47" i="44"/>
  <c r="E46" i="44"/>
  <c r="D46" i="44" s="1"/>
  <c r="E45" i="44"/>
  <c r="E44" i="44"/>
  <c r="E43" i="44"/>
  <c r="E42" i="44"/>
  <c r="E41" i="44"/>
  <c r="E40" i="44"/>
  <c r="D40" i="44" s="1"/>
  <c r="E39" i="44"/>
  <c r="E38" i="44"/>
  <c r="E37" i="44"/>
  <c r="E36" i="44"/>
  <c r="E45" i="43"/>
  <c r="E44" i="43"/>
  <c r="E41" i="43"/>
  <c r="E40" i="43"/>
  <c r="D40" i="43" s="1"/>
  <c r="E38" i="43"/>
  <c r="E50" i="43"/>
  <c r="E49" i="43"/>
  <c r="E47" i="43"/>
  <c r="E46" i="43"/>
  <c r="E43" i="43"/>
  <c r="E42" i="43"/>
  <c r="E39" i="43"/>
  <c r="E37" i="43"/>
  <c r="E36" i="43"/>
  <c r="E40" i="31"/>
  <c r="E39" i="31"/>
  <c r="E38" i="31"/>
  <c r="E37" i="31"/>
  <c r="E36" i="31"/>
  <c r="E35" i="31"/>
  <c r="E50" i="27" l="1"/>
  <c r="E50" i="26"/>
  <c r="E50" i="19"/>
  <c r="E50" i="18"/>
  <c r="E50" i="17"/>
  <c r="E50" i="16"/>
  <c r="E50" i="15"/>
  <c r="E49" i="11"/>
  <c r="E49" i="13"/>
  <c r="E51" i="42" l="1"/>
  <c r="E50" i="42"/>
  <c r="E49" i="42"/>
  <c r="E48" i="42"/>
  <c r="E51" i="41"/>
  <c r="E50" i="41"/>
  <c r="E49" i="41"/>
  <c r="E48" i="41"/>
  <c r="E47" i="39" l="1"/>
  <c r="E46" i="39"/>
  <c r="E47" i="38"/>
  <c r="E46" i="38"/>
  <c r="E47" i="40"/>
  <c r="E46" i="40"/>
  <c r="E47" i="37" l="1"/>
  <c r="E46" i="37"/>
  <c r="E47" i="36"/>
  <c r="E46" i="36"/>
  <c r="E47" i="35" l="1"/>
  <c r="E46" i="35"/>
  <c r="E47" i="34"/>
  <c r="E46" i="34"/>
  <c r="E47" i="33"/>
  <c r="E46" i="33"/>
  <c r="E47" i="31" l="1"/>
  <c r="E46" i="31"/>
  <c r="E45" i="31"/>
  <c r="E51" i="29"/>
  <c r="E50" i="29"/>
  <c r="E49" i="29"/>
  <c r="E53" i="27"/>
  <c r="E52" i="27"/>
  <c r="E51" i="27"/>
  <c r="E53" i="26"/>
  <c r="E52" i="26"/>
  <c r="E51" i="26"/>
  <c r="E52" i="25"/>
  <c r="E51" i="25"/>
  <c r="E50" i="25"/>
  <c r="E52" i="24"/>
  <c r="E51" i="24"/>
  <c r="E50" i="24"/>
  <c r="E52" i="23"/>
  <c r="E51" i="23"/>
  <c r="E50" i="23"/>
  <c r="E52" i="22"/>
  <c r="E51" i="22"/>
  <c r="E50" i="22"/>
  <c r="F52" i="21"/>
  <c r="F51" i="21"/>
  <c r="F50" i="21"/>
  <c r="E52" i="20"/>
  <c r="E51" i="20"/>
  <c r="E50" i="20"/>
  <c r="E53" i="19"/>
  <c r="E52" i="19"/>
  <c r="E51" i="19"/>
  <c r="E53" i="18"/>
  <c r="E52" i="18"/>
  <c r="E51" i="18"/>
  <c r="D52" i="24" l="1"/>
  <c r="D50" i="24"/>
  <c r="D51" i="24"/>
  <c r="E53" i="17"/>
  <c r="E52" i="17"/>
  <c r="E51" i="17"/>
  <c r="E53" i="16"/>
  <c r="E52" i="16"/>
  <c r="E51" i="16"/>
  <c r="E53" i="15"/>
  <c r="E52" i="15"/>
  <c r="E51" i="15"/>
  <c r="E52" i="12"/>
  <c r="E51" i="12"/>
  <c r="E50" i="12"/>
  <c r="E49" i="12"/>
  <c r="E52" i="11"/>
  <c r="E51" i="11"/>
  <c r="E50" i="11"/>
  <c r="E51" i="14"/>
  <c r="E50" i="14"/>
  <c r="E49" i="14"/>
  <c r="E52" i="13"/>
  <c r="E51" i="13"/>
  <c r="E50" i="13"/>
  <c r="E49" i="10" l="1"/>
  <c r="E48" i="10"/>
  <c r="E47" i="10"/>
  <c r="E46" i="10"/>
  <c r="E38" i="10"/>
  <c r="E38" i="9"/>
  <c r="D38" i="9" s="1"/>
  <c r="E49" i="9"/>
  <c r="E48" i="9"/>
  <c r="E47" i="9"/>
  <c r="E46" i="9"/>
  <c r="E45" i="6"/>
  <c r="E44" i="6" l="1"/>
  <c r="E42" i="6"/>
  <c r="E44" i="7" l="1"/>
  <c r="D44" i="7"/>
  <c r="E44" i="8"/>
  <c r="D44" i="8" l="1"/>
  <c r="E55" i="4" l="1"/>
  <c r="E48" i="4" s="1"/>
  <c r="E54" i="4"/>
  <c r="E53" i="4"/>
  <c r="E52" i="4"/>
  <c r="E51" i="4"/>
  <c r="E50" i="4"/>
  <c r="E49" i="4"/>
  <c r="D48" i="4" l="1"/>
  <c r="E44" i="4"/>
  <c r="E40" i="4"/>
  <c r="E48" i="5"/>
  <c r="D48" i="5" s="1"/>
  <c r="E44" i="5"/>
  <c r="E59" i="5"/>
  <c r="D59" i="5"/>
  <c r="E52" i="5"/>
  <c r="E58" i="5"/>
  <c r="E57" i="5"/>
  <c r="E56" i="5"/>
  <c r="E55" i="5"/>
  <c r="E54" i="5"/>
  <c r="E53" i="5"/>
  <c r="E47" i="29"/>
  <c r="E46" i="29"/>
  <c r="E45" i="29"/>
  <c r="E44" i="29"/>
  <c r="E43" i="29"/>
  <c r="E42" i="29"/>
  <c r="E41" i="29"/>
  <c r="E40" i="29"/>
  <c r="E39" i="29"/>
  <c r="E38" i="29"/>
  <c r="E37" i="29"/>
  <c r="E36" i="29"/>
  <c r="E48" i="27" l="1"/>
  <c r="E47" i="27"/>
  <c r="E46" i="27"/>
  <c r="E45" i="27"/>
  <c r="E44" i="27"/>
  <c r="E43" i="27"/>
  <c r="E42" i="27"/>
  <c r="E41" i="27"/>
  <c r="E40" i="27"/>
  <c r="E39" i="27"/>
  <c r="E38" i="27"/>
  <c r="E37" i="27"/>
  <c r="E48" i="26"/>
  <c r="E47" i="26"/>
  <c r="E46" i="26"/>
  <c r="E45" i="26"/>
  <c r="E44" i="26"/>
  <c r="E43" i="26"/>
  <c r="E42" i="26"/>
  <c r="E41" i="26"/>
  <c r="E40" i="26"/>
  <c r="E39" i="26"/>
  <c r="E38" i="26"/>
  <c r="E37" i="26"/>
  <c r="E48" i="25"/>
  <c r="E47" i="25"/>
  <c r="E46" i="25"/>
  <c r="E45" i="25"/>
  <c r="E44" i="25"/>
  <c r="E43" i="25"/>
  <c r="E42" i="25"/>
  <c r="E41" i="25"/>
  <c r="E40" i="25"/>
  <c r="E39" i="25"/>
  <c r="E38" i="25"/>
  <c r="E37" i="25"/>
  <c r="E48" i="24"/>
  <c r="E47" i="24"/>
  <c r="E46" i="24"/>
  <c r="E45" i="24"/>
  <c r="E44" i="24"/>
  <c r="E43" i="24"/>
  <c r="E42" i="24"/>
  <c r="E41" i="24"/>
  <c r="E40" i="24"/>
  <c r="E39" i="24"/>
  <c r="E38" i="24"/>
  <c r="E37" i="24"/>
  <c r="E48" i="23"/>
  <c r="E47" i="23"/>
  <c r="E46" i="23"/>
  <c r="E45" i="23"/>
  <c r="E44" i="23"/>
  <c r="E43" i="23"/>
  <c r="E42" i="23"/>
  <c r="E41" i="23"/>
  <c r="E40" i="23"/>
  <c r="E39" i="23"/>
  <c r="E38" i="23"/>
  <c r="E37" i="23"/>
  <c r="E48" i="22"/>
  <c r="E47" i="22"/>
  <c r="E46" i="22"/>
  <c r="E45" i="22"/>
  <c r="E44" i="22"/>
  <c r="E43" i="22"/>
  <c r="E42" i="22"/>
  <c r="E41" i="22"/>
  <c r="E40" i="22"/>
  <c r="E39" i="22"/>
  <c r="E38" i="22"/>
  <c r="E37" i="22"/>
  <c r="F48" i="21"/>
  <c r="F47" i="21"/>
  <c r="F46" i="21"/>
  <c r="F45" i="21"/>
  <c r="F44" i="21"/>
  <c r="F43" i="21"/>
  <c r="F42" i="21"/>
  <c r="F41" i="21"/>
  <c r="F40" i="21"/>
  <c r="F39" i="21"/>
  <c r="F38" i="21"/>
  <c r="F37" i="21"/>
  <c r="E48" i="20"/>
  <c r="E47" i="20"/>
  <c r="E46" i="20"/>
  <c r="E45" i="20"/>
  <c r="E44" i="20"/>
  <c r="E43" i="20"/>
  <c r="E42" i="20"/>
  <c r="E41" i="20"/>
  <c r="E40" i="20"/>
  <c r="E39" i="20"/>
  <c r="E38" i="20"/>
  <c r="E37" i="20"/>
  <c r="E48" i="19"/>
  <c r="E47" i="19"/>
  <c r="E46" i="19"/>
  <c r="E45" i="19"/>
  <c r="E44" i="19"/>
  <c r="E43" i="19"/>
  <c r="E42" i="19"/>
  <c r="E41" i="19"/>
  <c r="E40" i="19"/>
  <c r="E39" i="19"/>
  <c r="E38" i="19"/>
  <c r="E37" i="19"/>
  <c r="D45" i="24" l="1"/>
  <c r="D47" i="24"/>
  <c r="D37" i="24"/>
  <c r="D39" i="24"/>
  <c r="D40" i="24"/>
  <c r="D48" i="24"/>
  <c r="D41" i="24"/>
  <c r="D42" i="24"/>
  <c r="D38" i="24"/>
  <c r="D43" i="24"/>
  <c r="D46" i="24"/>
  <c r="D44" i="24"/>
  <c r="E48" i="18"/>
  <c r="E47" i="18"/>
  <c r="E46" i="18"/>
  <c r="E45" i="18"/>
  <c r="E44" i="18"/>
  <c r="E43" i="18"/>
  <c r="E42" i="18"/>
  <c r="E41" i="18"/>
  <c r="E40" i="18"/>
  <c r="E39" i="18"/>
  <c r="E38" i="18"/>
  <c r="E37" i="18"/>
  <c r="E48" i="17"/>
  <c r="E47" i="17"/>
  <c r="E46" i="17"/>
  <c r="E45" i="17"/>
  <c r="E44" i="17"/>
  <c r="E43" i="17"/>
  <c r="E42" i="17"/>
  <c r="E41" i="17"/>
  <c r="E40" i="17"/>
  <c r="E39" i="17"/>
  <c r="E38" i="17"/>
  <c r="E37" i="17"/>
  <c r="E48" i="16"/>
  <c r="E47" i="16"/>
  <c r="E46" i="16"/>
  <c r="E45" i="16"/>
  <c r="E44" i="16"/>
  <c r="E43" i="16"/>
  <c r="E42" i="16"/>
  <c r="E41" i="16"/>
  <c r="E40" i="16"/>
  <c r="E39" i="16"/>
  <c r="E38" i="16"/>
  <c r="E37" i="16"/>
  <c r="E48" i="15"/>
  <c r="E47" i="15"/>
  <c r="E46" i="15"/>
  <c r="E45" i="15"/>
  <c r="E44" i="15"/>
  <c r="E43" i="15"/>
  <c r="E42" i="15"/>
  <c r="E41" i="15"/>
  <c r="E40" i="15"/>
  <c r="E39" i="15"/>
  <c r="E38" i="15"/>
  <c r="E37" i="15"/>
  <c r="E47" i="14"/>
  <c r="E46" i="14"/>
  <c r="E45" i="14"/>
  <c r="E44" i="14"/>
  <c r="E43" i="14"/>
  <c r="E41" i="14"/>
  <c r="E40" i="14"/>
  <c r="E39" i="14"/>
  <c r="E38" i="14"/>
  <c r="E37" i="14"/>
  <c r="E36" i="14"/>
  <c r="E47" i="13"/>
  <c r="E46" i="13"/>
  <c r="E45" i="13"/>
  <c r="E44" i="13"/>
  <c r="E43" i="13"/>
  <c r="E42" i="13"/>
  <c r="E41" i="13"/>
  <c r="E40" i="13"/>
  <c r="E39" i="13"/>
  <c r="E38" i="13"/>
  <c r="E37" i="13"/>
  <c r="E36" i="13"/>
  <c r="E39" i="6" l="1"/>
  <c r="D39" i="6" s="1"/>
  <c r="E38" i="6"/>
  <c r="E37" i="6"/>
  <c r="D37" i="6" s="1"/>
  <c r="E36" i="6"/>
  <c r="E35" i="6"/>
  <c r="E34" i="6"/>
  <c r="E33" i="6"/>
  <c r="E46" i="42" l="1"/>
  <c r="E45" i="42"/>
  <c r="D44" i="42"/>
  <c r="E44" i="42"/>
  <c r="E43" i="42"/>
  <c r="E42" i="42"/>
  <c r="E41" i="42"/>
  <c r="E40" i="42"/>
  <c r="E39" i="42"/>
  <c r="E38" i="42"/>
  <c r="E37" i="42"/>
  <c r="E36" i="42"/>
  <c r="E46" i="41"/>
  <c r="E45" i="41"/>
  <c r="E44" i="41"/>
  <c r="D44" i="41" s="1"/>
  <c r="E43" i="41"/>
  <c r="E42" i="41"/>
  <c r="E41" i="41"/>
  <c r="E40" i="41"/>
  <c r="E39" i="41"/>
  <c r="E38" i="41"/>
  <c r="E37" i="41"/>
  <c r="E36" i="41"/>
  <c r="E43" i="39" l="1"/>
  <c r="E42" i="39"/>
  <c r="E41" i="39"/>
  <c r="E40" i="39"/>
  <c r="E39" i="39"/>
  <c r="E38" i="39"/>
  <c r="E37" i="39"/>
  <c r="E36" i="39"/>
  <c r="E35" i="39"/>
  <c r="E43" i="38"/>
  <c r="E42" i="38"/>
  <c r="E41" i="38"/>
  <c r="E40" i="38"/>
  <c r="E39" i="38"/>
  <c r="E38" i="38"/>
  <c r="E37" i="38"/>
  <c r="E36" i="38"/>
  <c r="E35" i="38"/>
  <c r="E43" i="40"/>
  <c r="E42" i="40"/>
  <c r="E41" i="40"/>
  <c r="E40" i="40"/>
  <c r="E39" i="40"/>
  <c r="E38" i="40"/>
  <c r="E37" i="40"/>
  <c r="E36" i="40"/>
  <c r="E35" i="40"/>
  <c r="E43" i="37"/>
  <c r="E42" i="37"/>
  <c r="E41" i="37"/>
  <c r="E40" i="37"/>
  <c r="E39" i="37"/>
  <c r="E38" i="37"/>
  <c r="E37" i="37"/>
  <c r="E36" i="37"/>
  <c r="E35" i="37"/>
  <c r="E43" i="36"/>
  <c r="E42" i="36"/>
  <c r="E41" i="36"/>
  <c r="E40" i="36"/>
  <c r="E39" i="36"/>
  <c r="E38" i="36"/>
  <c r="E37" i="36"/>
  <c r="E36" i="36"/>
  <c r="E35" i="36"/>
  <c r="E43" i="35" l="1"/>
  <c r="E42" i="35"/>
  <c r="E41" i="35"/>
  <c r="E40" i="35"/>
  <c r="E39" i="35"/>
  <c r="E38" i="35"/>
  <c r="E37" i="35"/>
  <c r="E36" i="35"/>
  <c r="E35" i="35"/>
  <c r="E43" i="34"/>
  <c r="E42" i="34"/>
  <c r="E41" i="34"/>
  <c r="E40" i="34"/>
  <c r="E38" i="34"/>
  <c r="E37" i="34"/>
  <c r="E36" i="34"/>
  <c r="E35" i="34"/>
  <c r="E43" i="33"/>
  <c r="E42" i="33"/>
  <c r="E41" i="33"/>
  <c r="E40" i="33"/>
  <c r="E39" i="33"/>
  <c r="E38" i="33"/>
  <c r="D38" i="33" s="1"/>
  <c r="E37" i="33"/>
  <c r="E36" i="33"/>
  <c r="E35" i="33"/>
  <c r="E43" i="31"/>
  <c r="E42" i="31"/>
  <c r="E41" i="31"/>
  <c r="D38" i="31"/>
  <c r="E35" i="12" l="1"/>
  <c r="D35" i="12"/>
  <c r="E47" i="12"/>
  <c r="E46" i="12"/>
  <c r="E45" i="12"/>
  <c r="D45" i="12" s="1"/>
  <c r="E44" i="12"/>
  <c r="D44" i="12"/>
  <c r="E43" i="12"/>
  <c r="E42" i="12"/>
  <c r="E41" i="12"/>
  <c r="E40" i="12"/>
  <c r="E39" i="12"/>
  <c r="E38" i="12"/>
  <c r="E37" i="12"/>
  <c r="E36" i="12"/>
  <c r="E35" i="11"/>
  <c r="D35" i="11"/>
  <c r="E47" i="11"/>
  <c r="E46" i="11"/>
  <c r="E45" i="11"/>
  <c r="D45" i="11" s="1"/>
  <c r="E44" i="11"/>
  <c r="D44" i="11" s="1"/>
  <c r="E43" i="11"/>
  <c r="E42" i="11"/>
  <c r="E41" i="11"/>
  <c r="E40" i="11"/>
  <c r="E39" i="11"/>
  <c r="E38" i="11"/>
  <c r="E37" i="11"/>
  <c r="E36" i="11"/>
  <c r="E44" i="10" l="1"/>
  <c r="E43" i="10"/>
  <c r="E42" i="10"/>
  <c r="E41" i="10"/>
  <c r="E40" i="10"/>
  <c r="E39" i="10"/>
  <c r="E37" i="10"/>
  <c r="E36" i="10"/>
  <c r="E35" i="10"/>
  <c r="E34" i="10"/>
  <c r="E43" i="9"/>
  <c r="E44" i="9"/>
  <c r="E42" i="9"/>
  <c r="E41" i="9"/>
  <c r="E40" i="9"/>
  <c r="E39" i="9"/>
  <c r="E37" i="9"/>
  <c r="E36" i="9"/>
  <c r="E35" i="9"/>
  <c r="E34" i="9"/>
  <c r="E35" i="8" l="1"/>
  <c r="D35" i="8"/>
  <c r="E35" i="7"/>
  <c r="D35" i="7"/>
  <c r="E47" i="4" l="1"/>
  <c r="E46" i="4"/>
  <c r="E45" i="4"/>
  <c r="E43" i="4"/>
  <c r="E42" i="4"/>
  <c r="E41" i="4"/>
  <c r="E39" i="4"/>
  <c r="E38" i="4"/>
  <c r="E37" i="4"/>
  <c r="E51" i="5"/>
  <c r="E50" i="5"/>
  <c r="E49" i="5"/>
  <c r="E47" i="5"/>
  <c r="E46" i="5"/>
  <c r="E45" i="5"/>
  <c r="E43" i="5"/>
  <c r="E42" i="5"/>
  <c r="E41" i="5"/>
  <c r="D41" i="31" l="1"/>
  <c r="D35" i="31" l="1"/>
  <c r="D53" i="31"/>
  <c r="D47" i="31"/>
  <c r="D46" i="31"/>
  <c r="D45" i="31"/>
  <c r="D43" i="31"/>
  <c r="D42" i="31"/>
  <c r="D40" i="31"/>
  <c r="D39" i="31"/>
  <c r="D37" i="31"/>
  <c r="D36" i="31"/>
  <c r="D33" i="31"/>
  <c r="D32" i="31"/>
  <c r="D31" i="31"/>
  <c r="D30" i="31"/>
  <c r="D28" i="31"/>
  <c r="D27" i="31"/>
  <c r="D26" i="31"/>
  <c r="D25" i="31"/>
  <c r="D24" i="31"/>
  <c r="D23" i="31"/>
  <c r="D18" i="31"/>
  <c r="D17" i="31"/>
  <c r="D15" i="31"/>
  <c r="D14" i="31"/>
  <c r="D12" i="31"/>
  <c r="E22" i="31" l="1"/>
  <c r="E21" i="31" s="1"/>
  <c r="E10" i="31"/>
  <c r="E44" i="31"/>
  <c r="D44" i="31"/>
  <c r="D16" i="31"/>
  <c r="E11" i="31"/>
  <c r="E34" i="31"/>
  <c r="D34" i="31"/>
  <c r="D22" i="31"/>
  <c r="D21" i="31" s="1"/>
  <c r="E16" i="31"/>
  <c r="D13" i="31"/>
  <c r="D10" i="31" s="1"/>
  <c r="D9" i="31" l="1"/>
  <c r="D19" i="31" s="1"/>
  <c r="E9" i="31"/>
  <c r="D11" i="31"/>
  <c r="E19" i="31" l="1"/>
  <c r="E20" i="4" l="1"/>
  <c r="D45" i="5" l="1"/>
  <c r="E24" i="5"/>
  <c r="D58" i="5"/>
  <c r="D41" i="5" l="1"/>
  <c r="D16" i="10" l="1"/>
  <c r="D17" i="10"/>
  <c r="D14" i="10"/>
  <c r="D12" i="10"/>
  <c r="D13" i="10"/>
  <c r="D15" i="10" l="1"/>
  <c r="D11" i="10"/>
  <c r="D10" i="10" s="1"/>
  <c r="E11" i="10"/>
  <c r="E15" i="10"/>
  <c r="D23" i="9"/>
  <c r="E45" i="9" l="1"/>
  <c r="D9" i="10"/>
  <c r="E9" i="10"/>
  <c r="E22" i="6" l="1"/>
  <c r="D42" i="12" l="1"/>
  <c r="D18" i="11"/>
  <c r="E17" i="22"/>
  <c r="D13" i="44" l="1"/>
  <c r="D32" i="44"/>
  <c r="D24" i="44"/>
  <c r="D29" i="44"/>
  <c r="D17" i="44" l="1"/>
  <c r="E16" i="44" l="1"/>
  <c r="D16" i="44"/>
  <c r="E11" i="44"/>
  <c r="D56" i="43"/>
  <c r="D47" i="43"/>
  <c r="D18" i="43"/>
  <c r="D16" i="43" s="1"/>
  <c r="E11" i="43"/>
  <c r="D23" i="42"/>
  <c r="E11" i="41"/>
  <c r="D15" i="41"/>
  <c r="E16" i="42"/>
  <c r="D17" i="42"/>
  <c r="D18" i="42"/>
  <c r="E16" i="41"/>
  <c r="D17" i="41"/>
  <c r="D18" i="41"/>
  <c r="D16" i="41" l="1"/>
  <c r="E16" i="43"/>
  <c r="D16" i="42"/>
  <c r="E11" i="42"/>
  <c r="E32" i="39"/>
  <c r="E16" i="39"/>
  <c r="D15" i="39"/>
  <c r="D17" i="39"/>
  <c r="D17" i="38"/>
  <c r="D18" i="38"/>
  <c r="D15" i="38"/>
  <c r="D14" i="38"/>
  <c r="D13" i="38"/>
  <c r="D17" i="40"/>
  <c r="D18" i="40"/>
  <c r="D15" i="40"/>
  <c r="D18" i="39" l="1"/>
  <c r="D16" i="39" s="1"/>
  <c r="E10" i="38"/>
  <c r="E16" i="40"/>
  <c r="E10" i="39"/>
  <c r="E11" i="39"/>
  <c r="D16" i="38"/>
  <c r="E16" i="38"/>
  <c r="E11" i="38"/>
  <c r="D12" i="38"/>
  <c r="D16" i="40"/>
  <c r="E10" i="40"/>
  <c r="E11" i="40"/>
  <c r="D18" i="37"/>
  <c r="D17" i="37"/>
  <c r="D15" i="37"/>
  <c r="D18" i="36"/>
  <c r="D17" i="36"/>
  <c r="D15" i="36"/>
  <c r="E9" i="40" l="1"/>
  <c r="E19" i="40" s="1"/>
  <c r="D16" i="37"/>
  <c r="E16" i="37"/>
  <c r="D11" i="38"/>
  <c r="D10" i="38"/>
  <c r="D9" i="38" s="1"/>
  <c r="D19" i="38" s="1"/>
  <c r="E11" i="37"/>
  <c r="E10" i="37"/>
  <c r="E10" i="36"/>
  <c r="E11" i="36"/>
  <c r="D16" i="36"/>
  <c r="E16" i="36"/>
  <c r="D17" i="35"/>
  <c r="D15" i="35"/>
  <c r="E10" i="35"/>
  <c r="E11" i="35"/>
  <c r="D17" i="34"/>
  <c r="E16" i="34"/>
  <c r="D15" i="34"/>
  <c r="D18" i="33"/>
  <c r="D17" i="33"/>
  <c r="D15" i="33"/>
  <c r="E11" i="34" l="1"/>
  <c r="E10" i="34"/>
  <c r="E16" i="35"/>
  <c r="D18" i="35"/>
  <c r="D16" i="35" s="1"/>
  <c r="D18" i="34"/>
  <c r="D16" i="34" s="1"/>
  <c r="D16" i="33"/>
  <c r="E16" i="33"/>
  <c r="E11" i="33"/>
  <c r="E10" i="33"/>
  <c r="E28" i="29"/>
  <c r="E33" i="29"/>
  <c r="E10" i="27"/>
  <c r="D18" i="27" l="1"/>
  <c r="E18" i="27"/>
  <c r="E17" i="29"/>
  <c r="D17" i="29"/>
  <c r="E10" i="29"/>
  <c r="E9" i="29"/>
  <c r="E11" i="27"/>
  <c r="E10" i="26" l="1"/>
  <c r="E18" i="26"/>
  <c r="E11" i="26"/>
  <c r="E11" i="25" l="1"/>
  <c r="E10" i="25"/>
  <c r="D18" i="25"/>
  <c r="E18" i="25"/>
  <c r="E18" i="24" l="1"/>
  <c r="E10" i="23"/>
  <c r="E32" i="22"/>
  <c r="D18" i="24" l="1"/>
  <c r="E11" i="23"/>
  <c r="F24" i="21"/>
  <c r="F10" i="21"/>
  <c r="D18" i="22"/>
  <c r="E10" i="24"/>
  <c r="E11" i="24"/>
  <c r="D18" i="23"/>
  <c r="E18" i="23"/>
  <c r="F11" i="21"/>
  <c r="E10" i="22"/>
  <c r="E18" i="22"/>
  <c r="E11" i="22"/>
  <c r="E18" i="21"/>
  <c r="F18" i="21"/>
  <c r="F9" i="21" l="1"/>
  <c r="E18" i="18"/>
  <c r="E18" i="17"/>
  <c r="E10" i="17" l="1"/>
  <c r="D18" i="18"/>
  <c r="D18" i="19"/>
  <c r="E11" i="20"/>
  <c r="E10" i="20"/>
  <c r="E18" i="20"/>
  <c r="E10" i="19"/>
  <c r="E11" i="19"/>
  <c r="E18" i="19"/>
  <c r="E10" i="18"/>
  <c r="E11" i="18"/>
  <c r="E11" i="17"/>
  <c r="D25" i="13"/>
  <c r="E18" i="15"/>
  <c r="D18" i="12"/>
  <c r="D17" i="12"/>
  <c r="E10" i="12"/>
  <c r="E11" i="12"/>
  <c r="D16" i="12" l="1"/>
  <c r="D18" i="20"/>
  <c r="E10" i="16"/>
  <c r="E10" i="15"/>
  <c r="E9" i="15" s="1"/>
  <c r="D18" i="15"/>
  <c r="E16" i="12"/>
  <c r="E9" i="20"/>
  <c r="E18" i="16"/>
  <c r="D18" i="16"/>
  <c r="E11" i="16"/>
  <c r="E11" i="15"/>
  <c r="D17" i="11" l="1"/>
  <c r="D15" i="11"/>
  <c r="E16" i="11" l="1"/>
  <c r="D16" i="11"/>
  <c r="E10" i="11" l="1"/>
  <c r="E11" i="11"/>
  <c r="D19" i="13"/>
  <c r="D18" i="13"/>
  <c r="E10" i="13"/>
  <c r="E17" i="14" l="1"/>
  <c r="E10" i="14"/>
  <c r="E9" i="14" s="1"/>
  <c r="E9" i="13"/>
  <c r="D17" i="14"/>
  <c r="D16" i="13"/>
  <c r="E17" i="13"/>
  <c r="D17" i="13"/>
  <c r="E8" i="14" l="1"/>
  <c r="D49" i="9"/>
  <c r="D48" i="9"/>
  <c r="D47" i="9"/>
  <c r="D46" i="9"/>
  <c r="D44" i="9"/>
  <c r="D42" i="9"/>
  <c r="D41" i="9"/>
  <c r="D40" i="9"/>
  <c r="D39" i="9"/>
  <c r="D37" i="9"/>
  <c r="D36" i="9"/>
  <c r="D35" i="9"/>
  <c r="D34" i="9"/>
  <c r="D45" i="9" l="1"/>
  <c r="E15" i="9" l="1"/>
  <c r="D14" i="9"/>
  <c r="D16" i="9"/>
  <c r="D17" i="9"/>
  <c r="E25" i="6"/>
  <c r="E24" i="6"/>
  <c r="D15" i="9" l="1"/>
  <c r="E11" i="9"/>
  <c r="E10" i="9" s="1"/>
  <c r="E9" i="9" s="1"/>
  <c r="D15" i="6"/>
  <c r="D16" i="6"/>
  <c r="D13" i="6"/>
  <c r="E10" i="6"/>
  <c r="D14" i="6" l="1"/>
  <c r="E14" i="6"/>
  <c r="E9" i="6" s="1"/>
  <c r="E17" i="6" s="1"/>
  <c r="E11" i="6"/>
  <c r="D15" i="8"/>
  <c r="E15" i="8"/>
  <c r="D11" i="8"/>
  <c r="D10" i="8" l="1"/>
  <c r="D9" i="8" s="1"/>
  <c r="D30" i="5" l="1"/>
  <c r="E15" i="7"/>
  <c r="D15" i="7" s="1"/>
  <c r="D18" i="4" l="1"/>
  <c r="D17" i="4"/>
  <c r="D15" i="4"/>
  <c r="D14" i="4"/>
  <c r="E11" i="4"/>
  <c r="E10" i="4" s="1"/>
  <c r="E16" i="4" l="1"/>
  <c r="D16" i="4" s="1"/>
  <c r="E9" i="4" l="1"/>
  <c r="E15" i="5" l="1"/>
  <c r="E14" i="5" s="1"/>
  <c r="E13" i="5" s="1"/>
  <c r="E28" i="5" l="1"/>
  <c r="D22" i="5" l="1"/>
  <c r="D21" i="5"/>
  <c r="D19" i="5"/>
  <c r="D20" i="5" l="1"/>
  <c r="D28" i="6"/>
  <c r="D50" i="31" l="1"/>
  <c r="E11" i="8" l="1"/>
  <c r="E9" i="8" s="1"/>
  <c r="E11" i="7"/>
  <c r="E10" i="7" s="1"/>
  <c r="E9" i="7" s="1"/>
  <c r="D9" i="29" l="1"/>
  <c r="D8" i="29" s="1"/>
  <c r="D20" i="29" s="1"/>
  <c r="D10" i="29"/>
  <c r="D35" i="29"/>
  <c r="D23" i="29"/>
  <c r="D22" i="29" s="1"/>
  <c r="D48" i="29"/>
  <c r="E8" i="29"/>
  <c r="E20" i="29" s="1"/>
  <c r="E35" i="29"/>
  <c r="E23" i="29"/>
  <c r="E22" i="29" s="1"/>
  <c r="E48" i="29"/>
  <c r="E52" i="29" l="1"/>
  <c r="E53" i="29" s="1"/>
  <c r="D52" i="29"/>
  <c r="D53" i="29" s="1"/>
  <c r="E55" i="29" l="1"/>
  <c r="E54" i="29"/>
  <c r="D55" i="29"/>
  <c r="D54" i="29"/>
  <c r="D57" i="29" l="1"/>
  <c r="D18" i="5"/>
  <c r="D17" i="5"/>
  <c r="D16" i="5"/>
  <c r="D13" i="4"/>
  <c r="D15" i="5" l="1"/>
  <c r="D14" i="5" s="1"/>
  <c r="D39" i="5"/>
  <c r="D38" i="5"/>
  <c r="D33" i="5"/>
  <c r="D31" i="5"/>
  <c r="D29" i="5"/>
  <c r="D32" i="5"/>
  <c r="D34" i="5"/>
  <c r="D35" i="5"/>
  <c r="D36" i="5"/>
  <c r="D37" i="5"/>
  <c r="D24" i="5"/>
  <c r="D28" i="5" l="1"/>
  <c r="D27" i="5" s="1"/>
  <c r="D22" i="6" l="1"/>
  <c r="D25" i="6"/>
  <c r="D26" i="6"/>
  <c r="D29" i="6"/>
  <c r="D30" i="6"/>
  <c r="D31" i="6"/>
  <c r="D12" i="6"/>
  <c r="D27" i="6"/>
  <c r="D24" i="6"/>
  <c r="D23" i="6"/>
  <c r="E20" i="6"/>
  <c r="E19" i="6" s="1"/>
  <c r="D10" i="6" l="1"/>
  <c r="D9" i="6" s="1"/>
  <c r="D17" i="6" s="1"/>
  <c r="D11" i="6"/>
  <c r="D21" i="6"/>
  <c r="D20" i="6" s="1"/>
  <c r="D19" i="6" s="1"/>
  <c r="D45" i="6" l="1"/>
  <c r="D44" i="6"/>
  <c r="E43" i="6"/>
  <c r="D43" i="6" s="1"/>
  <c r="E40" i="6"/>
  <c r="D40" i="6" s="1"/>
  <c r="D38" i="6"/>
  <c r="D35" i="6"/>
  <c r="D34" i="6"/>
  <c r="D33" i="6"/>
  <c r="D32" i="6" l="1"/>
  <c r="D15" i="12"/>
  <c r="D10" i="14" l="1"/>
  <c r="D9" i="14" s="1"/>
  <c r="D45" i="13"/>
  <c r="D8" i="14" l="1"/>
  <c r="D20" i="14" s="1"/>
  <c r="E48" i="14"/>
  <c r="D23" i="14"/>
  <c r="D22" i="14" s="1"/>
  <c r="E23" i="14"/>
  <c r="E35" i="14"/>
  <c r="D14" i="41"/>
  <c r="D14" i="42"/>
  <c r="D42" i="44"/>
  <c r="D53" i="44"/>
  <c r="D50" i="44"/>
  <c r="D49" i="44"/>
  <c r="D47" i="44"/>
  <c r="D45" i="44"/>
  <c r="D44" i="44"/>
  <c r="D43" i="44"/>
  <c r="D41" i="44"/>
  <c r="D39" i="44"/>
  <c r="D38" i="44"/>
  <c r="D37" i="44"/>
  <c r="D36" i="44"/>
  <c r="D33" i="44"/>
  <c r="D31" i="44"/>
  <c r="D30" i="44"/>
  <c r="D28" i="44"/>
  <c r="D27" i="44"/>
  <c r="D26" i="44"/>
  <c r="D25" i="44"/>
  <c r="D23" i="44"/>
  <c r="D15" i="44"/>
  <c r="D14" i="44"/>
  <c r="D12" i="44"/>
  <c r="D34" i="43"/>
  <c r="D23" i="43"/>
  <c r="D53" i="43"/>
  <c r="D31" i="43"/>
  <c r="D27" i="43"/>
  <c r="D24" i="43"/>
  <c r="D25" i="43"/>
  <c r="D26" i="43"/>
  <c r="D28" i="43"/>
  <c r="D30" i="43"/>
  <c r="D32" i="43"/>
  <c r="D33" i="43"/>
  <c r="D11" i="44" l="1"/>
  <c r="D10" i="44"/>
  <c r="D15" i="42"/>
  <c r="D48" i="14"/>
  <c r="D35" i="14"/>
  <c r="D34" i="44"/>
  <c r="D22" i="44"/>
  <c r="E48" i="44"/>
  <c r="D48" i="44"/>
  <c r="E22" i="44"/>
  <c r="E35" i="44"/>
  <c r="E10" i="44"/>
  <c r="E9" i="44" s="1"/>
  <c r="E19" i="44" s="1"/>
  <c r="D50" i="43"/>
  <c r="D49" i="43"/>
  <c r="D46" i="43"/>
  <c r="D45" i="43"/>
  <c r="D44" i="43"/>
  <c r="D43" i="43"/>
  <c r="D42" i="43"/>
  <c r="D39" i="43"/>
  <c r="D38" i="43"/>
  <c r="D37" i="43"/>
  <c r="D36" i="43"/>
  <c r="D15" i="43"/>
  <c r="D14" i="43"/>
  <c r="E53" i="14" l="1"/>
  <c r="E55" i="14" s="1"/>
  <c r="D57" i="14" s="1"/>
  <c r="E10" i="43"/>
  <c r="E9" i="43" s="1"/>
  <c r="D12" i="43"/>
  <c r="D52" i="14"/>
  <c r="D53" i="14" s="1"/>
  <c r="D55" i="14" s="1"/>
  <c r="D21" i="44"/>
  <c r="D35" i="44"/>
  <c r="D9" i="44"/>
  <c r="D19" i="44" s="1"/>
  <c r="E21" i="44"/>
  <c r="E54" i="14" l="1"/>
  <c r="D51" i="44"/>
  <c r="D52" i="44" s="1"/>
  <c r="D10" i="43"/>
  <c r="D9" i="43" s="1"/>
  <c r="D11" i="43"/>
  <c r="D54" i="14"/>
  <c r="E19" i="43"/>
  <c r="D54" i="42"/>
  <c r="D13" i="42"/>
  <c r="D34" i="42"/>
  <c r="D33" i="42"/>
  <c r="D32" i="42"/>
  <c r="D31" i="42"/>
  <c r="D30" i="42"/>
  <c r="D29" i="42"/>
  <c r="D28" i="42"/>
  <c r="D27" i="42"/>
  <c r="D26" i="42"/>
  <c r="D25" i="42"/>
  <c r="D43" i="42"/>
  <c r="D42" i="42"/>
  <c r="D41" i="42"/>
  <c r="D40" i="42"/>
  <c r="D38" i="42"/>
  <c r="D37" i="42"/>
  <c r="D50" i="42"/>
  <c r="D49" i="42"/>
  <c r="D57" i="41"/>
  <c r="D34" i="41"/>
  <c r="E52" i="44" l="1"/>
  <c r="D48" i="42"/>
  <c r="D51" i="42"/>
  <c r="D45" i="42"/>
  <c r="E10" i="42"/>
  <c r="E9" i="42" s="1"/>
  <c r="E19" i="42" s="1"/>
  <c r="D12" i="42"/>
  <c r="D39" i="42"/>
  <c r="D36" i="42"/>
  <c r="D19" i="43"/>
  <c r="E22" i="43"/>
  <c r="D22" i="43"/>
  <c r="D21" i="43" s="1"/>
  <c r="D48" i="43"/>
  <c r="D35" i="43"/>
  <c r="E35" i="43"/>
  <c r="E48" i="43"/>
  <c r="D22" i="42"/>
  <c r="D21" i="42" s="1"/>
  <c r="E35" i="42"/>
  <c r="E47" i="42"/>
  <c r="E22" i="42"/>
  <c r="D23" i="41"/>
  <c r="D24" i="41"/>
  <c r="D25" i="41"/>
  <c r="D26" i="41"/>
  <c r="D27" i="41"/>
  <c r="D28" i="41"/>
  <c r="D29" i="41"/>
  <c r="D31" i="41"/>
  <c r="D30" i="41"/>
  <c r="D47" i="42" l="1"/>
  <c r="D54" i="44"/>
  <c r="D57" i="44"/>
  <c r="D11" i="42"/>
  <c r="D10" i="42"/>
  <c r="D9" i="42" s="1"/>
  <c r="D19" i="42" s="1"/>
  <c r="E21" i="43"/>
  <c r="D51" i="43"/>
  <c r="D52" i="43" s="1"/>
  <c r="D35" i="42"/>
  <c r="D52" i="42" s="1"/>
  <c r="E21" i="42"/>
  <c r="E53" i="42" s="1"/>
  <c r="D33" i="41"/>
  <c r="E51" i="43" l="1"/>
  <c r="D53" i="42"/>
  <c r="D58" i="42"/>
  <c r="D55" i="42"/>
  <c r="E52" i="43" l="1"/>
  <c r="D32" i="41"/>
  <c r="D54" i="43" l="1"/>
  <c r="D57" i="43"/>
  <c r="D13" i="41"/>
  <c r="D37" i="40"/>
  <c r="D40" i="40"/>
  <c r="D29" i="40"/>
  <c r="D53" i="40"/>
  <c r="D50" i="40"/>
  <c r="D33" i="40"/>
  <c r="D45" i="40"/>
  <c r="D42" i="40"/>
  <c r="D41" i="40"/>
  <c r="D39" i="40"/>
  <c r="D36" i="40"/>
  <c r="D35" i="40"/>
  <c r="D32" i="40"/>
  <c r="D31" i="40"/>
  <c r="D30" i="40"/>
  <c r="D28" i="40"/>
  <c r="D27" i="40"/>
  <c r="D26" i="40"/>
  <c r="D25" i="40"/>
  <c r="D24" i="40"/>
  <c r="D23" i="40"/>
  <c r="D14" i="40"/>
  <c r="D13" i="40"/>
  <c r="D12" i="40"/>
  <c r="D12" i="39"/>
  <c r="D29" i="39"/>
  <c r="D42" i="39"/>
  <c r="D41" i="39"/>
  <c r="D40" i="39"/>
  <c r="D38" i="39"/>
  <c r="D36" i="39"/>
  <c r="D35" i="39"/>
  <c r="D33" i="39"/>
  <c r="D32" i="39"/>
  <c r="D30" i="39"/>
  <c r="D28" i="39"/>
  <c r="D27" i="39"/>
  <c r="D26" i="39"/>
  <c r="D25" i="39"/>
  <c r="D24" i="39"/>
  <c r="D23" i="39"/>
  <c r="D14" i="39"/>
  <c r="D13" i="39"/>
  <c r="D47" i="39"/>
  <c r="D46" i="39"/>
  <c r="D45" i="39"/>
  <c r="D43" i="39"/>
  <c r="E44" i="39"/>
  <c r="D33" i="37"/>
  <c r="D29" i="38"/>
  <c r="D29" i="37"/>
  <c r="D43" i="38"/>
  <c r="D42" i="38"/>
  <c r="D41" i="38"/>
  <c r="D40" i="38"/>
  <c r="D39" i="38"/>
  <c r="D35" i="38"/>
  <c r="D37" i="38"/>
  <c r="D36" i="38"/>
  <c r="D32" i="38"/>
  <c r="D31" i="38"/>
  <c r="D30" i="38"/>
  <c r="D28" i="38"/>
  <c r="D27" i="38"/>
  <c r="D26" i="38"/>
  <c r="D25" i="38"/>
  <c r="D24" i="38"/>
  <c r="D23" i="38"/>
  <c r="D50" i="37"/>
  <c r="D10" i="39" l="1"/>
  <c r="D9" i="39" s="1"/>
  <c r="D19" i="39" s="1"/>
  <c r="D11" i="39"/>
  <c r="D11" i="40"/>
  <c r="D10" i="40"/>
  <c r="D9" i="40" s="1"/>
  <c r="D19" i="40" s="1"/>
  <c r="D12" i="41"/>
  <c r="E10" i="41"/>
  <c r="E9" i="41" s="1"/>
  <c r="E19" i="41" s="1"/>
  <c r="E22" i="39"/>
  <c r="E21" i="39" s="1"/>
  <c r="D45" i="38"/>
  <c r="D47" i="38"/>
  <c r="D33" i="38"/>
  <c r="D45" i="41"/>
  <c r="D36" i="41"/>
  <c r="D46" i="41"/>
  <c r="D42" i="41"/>
  <c r="D38" i="41"/>
  <c r="D51" i="41"/>
  <c r="D39" i="41"/>
  <c r="D50" i="41"/>
  <c r="D49" i="41"/>
  <c r="D43" i="41"/>
  <c r="D48" i="41"/>
  <c r="E47" i="41"/>
  <c r="E35" i="41"/>
  <c r="E22" i="41"/>
  <c r="D22" i="41"/>
  <c r="D21" i="41" s="1"/>
  <c r="D43" i="40"/>
  <c r="E22" i="40"/>
  <c r="E21" i="40" s="1"/>
  <c r="D22" i="40"/>
  <c r="D21" i="40" s="1"/>
  <c r="E34" i="40"/>
  <c r="D44" i="40"/>
  <c r="E44" i="40"/>
  <c r="E34" i="39"/>
  <c r="D22" i="39"/>
  <c r="D21" i="39" s="1"/>
  <c r="D34" i="39"/>
  <c r="E9" i="39"/>
  <c r="E19" i="39" s="1"/>
  <c r="D10" i="41" l="1"/>
  <c r="D9" i="41" s="1"/>
  <c r="D19" i="41" s="1"/>
  <c r="D11" i="41"/>
  <c r="D47" i="41"/>
  <c r="D35" i="41"/>
  <c r="D52" i="41" s="1"/>
  <c r="E21" i="41"/>
  <c r="E52" i="41" s="1"/>
  <c r="D34" i="40"/>
  <c r="D48" i="40" s="1"/>
  <c r="D49" i="40" s="1"/>
  <c r="D44" i="39"/>
  <c r="D48" i="39" s="1"/>
  <c r="D49" i="39" s="1"/>
  <c r="E53" i="41" l="1"/>
  <c r="D53" i="41"/>
  <c r="D55" i="41"/>
  <c r="D58" i="41"/>
  <c r="E49" i="40"/>
  <c r="E49" i="39"/>
  <c r="D51" i="40" l="1"/>
  <c r="D54" i="40"/>
  <c r="D54" i="39"/>
  <c r="D51" i="39"/>
  <c r="D35" i="37" l="1"/>
  <c r="E9" i="38" l="1"/>
  <c r="E19" i="38" s="1"/>
  <c r="E34" i="38"/>
  <c r="D22" i="38"/>
  <c r="D21" i="38" s="1"/>
  <c r="E22" i="38"/>
  <c r="D44" i="38"/>
  <c r="E44" i="38"/>
  <c r="D12" i="37"/>
  <c r="D34" i="38" l="1"/>
  <c r="D48" i="38" s="1"/>
  <c r="E21" i="38"/>
  <c r="D47" i="37"/>
  <c r="D46" i="37"/>
  <c r="D43" i="37"/>
  <c r="D42" i="37"/>
  <c r="D41" i="37"/>
  <c r="D40" i="37"/>
  <c r="D39" i="37"/>
  <c r="D38" i="37"/>
  <c r="D37" i="37"/>
  <c r="D36" i="37"/>
  <c r="D32" i="37"/>
  <c r="D31" i="37"/>
  <c r="D30" i="37"/>
  <c r="D28" i="37"/>
  <c r="D27" i="37"/>
  <c r="D26" i="37"/>
  <c r="D25" i="37"/>
  <c r="D24" i="37"/>
  <c r="D23" i="37"/>
  <c r="D14" i="37"/>
  <c r="D13" i="37"/>
  <c r="E49" i="38" l="1"/>
  <c r="D54" i="38" s="1"/>
  <c r="D11" i="37"/>
  <c r="D10" i="37"/>
  <c r="D22" i="37" l="1"/>
  <c r="D21" i="37" s="1"/>
  <c r="E9" i="37"/>
  <c r="E19" i="37" s="1"/>
  <c r="E22" i="37"/>
  <c r="D44" i="37"/>
  <c r="D9" i="37"/>
  <c r="D19" i="37" s="1"/>
  <c r="E44" i="37"/>
  <c r="E34" i="37"/>
  <c r="D40" i="35"/>
  <c r="D37" i="34"/>
  <c r="D35" i="36"/>
  <c r="D13" i="36"/>
  <c r="D33" i="36"/>
  <c r="D29" i="36"/>
  <c r="D32" i="36"/>
  <c r="D23" i="36"/>
  <c r="D12" i="36"/>
  <c r="D31" i="36"/>
  <c r="D30" i="36"/>
  <c r="D28" i="36"/>
  <c r="D26" i="36"/>
  <c r="D25" i="36"/>
  <c r="D24" i="36"/>
  <c r="D47" i="36"/>
  <c r="D43" i="36"/>
  <c r="D42" i="36"/>
  <c r="D41" i="36"/>
  <c r="D40" i="36"/>
  <c r="D37" i="35"/>
  <c r="D33" i="35"/>
  <c r="D29" i="35"/>
  <c r="D53" i="35"/>
  <c r="D14" i="35"/>
  <c r="D13" i="35"/>
  <c r="D12" i="35"/>
  <c r="D23" i="35"/>
  <c r="D24" i="35"/>
  <c r="D25" i="35"/>
  <c r="D26" i="35"/>
  <c r="D27" i="35"/>
  <c r="D28" i="35"/>
  <c r="D30" i="35"/>
  <c r="D31" i="35"/>
  <c r="D32" i="35"/>
  <c r="D36" i="35"/>
  <c r="D38" i="35"/>
  <c r="D41" i="35"/>
  <c r="D39" i="35"/>
  <c r="D42" i="35"/>
  <c r="D43" i="35"/>
  <c r="D47" i="35"/>
  <c r="D46" i="35"/>
  <c r="D45" i="35"/>
  <c r="D12" i="34"/>
  <c r="D29" i="34"/>
  <c r="D33" i="34"/>
  <c r="D45" i="34"/>
  <c r="D46" i="34"/>
  <c r="D43" i="34"/>
  <c r="D42" i="34"/>
  <c r="D41" i="34"/>
  <c r="D40" i="34"/>
  <c r="D39" i="34"/>
  <c r="D38" i="34"/>
  <c r="D36" i="34"/>
  <c r="D35" i="34"/>
  <c r="D32" i="34"/>
  <c r="D31" i="34"/>
  <c r="D30" i="34"/>
  <c r="D28" i="34"/>
  <c r="D27" i="34"/>
  <c r="D26" i="34"/>
  <c r="D25" i="34"/>
  <c r="D24" i="34"/>
  <c r="D23" i="34"/>
  <c r="D14" i="34"/>
  <c r="D13" i="34"/>
  <c r="D12" i="33"/>
  <c r="D33" i="33"/>
  <c r="D29" i="33"/>
  <c r="D14" i="33"/>
  <c r="D13" i="33"/>
  <c r="D30" i="33"/>
  <c r="D28" i="33"/>
  <c r="D27" i="33"/>
  <c r="D26" i="33"/>
  <c r="D25" i="33"/>
  <c r="D24" i="33"/>
  <c r="D23" i="33"/>
  <c r="D31" i="33"/>
  <c r="D32" i="33"/>
  <c r="D39" i="33"/>
  <c r="D37" i="33"/>
  <c r="D36" i="33"/>
  <c r="D35" i="33"/>
  <c r="D40" i="33"/>
  <c r="D42" i="33"/>
  <c r="D43" i="33"/>
  <c r="D45" i="33"/>
  <c r="D46" i="33"/>
  <c r="D47" i="33"/>
  <c r="D11" i="34" l="1"/>
  <c r="D10" i="34"/>
  <c r="D9" i="34" s="1"/>
  <c r="D19" i="34" s="1"/>
  <c r="D10" i="35"/>
  <c r="D9" i="35" s="1"/>
  <c r="D19" i="35" s="1"/>
  <c r="D11" i="35"/>
  <c r="D10" i="33"/>
  <c r="D9" i="33" s="1"/>
  <c r="D19" i="33" s="1"/>
  <c r="D11" i="33"/>
  <c r="D14" i="36"/>
  <c r="D10" i="36" s="1"/>
  <c r="D9" i="36" s="1"/>
  <c r="D19" i="36" s="1"/>
  <c r="D45" i="36"/>
  <c r="D39" i="36"/>
  <c r="D38" i="36"/>
  <c r="D46" i="36"/>
  <c r="D37" i="36"/>
  <c r="D36" i="36"/>
  <c r="D34" i="37"/>
  <c r="D48" i="37" s="1"/>
  <c r="D49" i="37" s="1"/>
  <c r="E21" i="37"/>
  <c r="E34" i="36"/>
  <c r="E22" i="36"/>
  <c r="D22" i="36"/>
  <c r="D21" i="36" s="1"/>
  <c r="E9" i="36"/>
  <c r="E19" i="36" s="1"/>
  <c r="E44" i="36"/>
  <c r="E9" i="35"/>
  <c r="E19" i="35" s="1"/>
  <c r="E34" i="35"/>
  <c r="D22" i="35"/>
  <c r="D21" i="35" s="1"/>
  <c r="D44" i="35"/>
  <c r="E22" i="35"/>
  <c r="E44" i="35"/>
  <c r="E44" i="34"/>
  <c r="D44" i="34"/>
  <c r="D34" i="34"/>
  <c r="E22" i="34"/>
  <c r="D22" i="34"/>
  <c r="E34" i="34"/>
  <c r="E9" i="34"/>
  <c r="E19" i="34" s="1"/>
  <c r="E9" i="33"/>
  <c r="E19" i="33" s="1"/>
  <c r="E44" i="33"/>
  <c r="D22" i="33"/>
  <c r="D21" i="33" s="1"/>
  <c r="E22" i="33"/>
  <c r="D44" i="33"/>
  <c r="E34" i="33"/>
  <c r="D44" i="36" l="1"/>
  <c r="D11" i="36"/>
  <c r="E49" i="37"/>
  <c r="D34" i="36"/>
  <c r="E21" i="36"/>
  <c r="D34" i="35"/>
  <c r="D48" i="35" s="1"/>
  <c r="D49" i="35" s="1"/>
  <c r="E21" i="35"/>
  <c r="D21" i="34"/>
  <c r="D48" i="34" s="1"/>
  <c r="E21" i="34"/>
  <c r="D34" i="33"/>
  <c r="D49" i="33" s="1"/>
  <c r="E21" i="33"/>
  <c r="E49" i="33" l="1"/>
  <c r="D48" i="36"/>
  <c r="D49" i="36" s="1"/>
  <c r="E49" i="36"/>
  <c r="D51" i="36" s="1"/>
  <c r="D54" i="37"/>
  <c r="D51" i="37"/>
  <c r="E49" i="35"/>
  <c r="E49" i="34"/>
  <c r="D54" i="34" s="1"/>
  <c r="D51" i="33" l="1"/>
  <c r="D54" i="33"/>
  <c r="D54" i="36"/>
  <c r="D51" i="35"/>
  <c r="D54" i="35"/>
  <c r="D10" i="27" l="1"/>
  <c r="D9" i="27" s="1"/>
  <c r="D21" i="27" s="1"/>
  <c r="D10" i="26"/>
  <c r="D9" i="26" s="1"/>
  <c r="D21" i="26" s="1"/>
  <c r="D11" i="27"/>
  <c r="D11" i="26"/>
  <c r="E49" i="27"/>
  <c r="E36" i="27"/>
  <c r="E9" i="27"/>
  <c r="E21" i="27" s="1"/>
  <c r="D24" i="27"/>
  <c r="E24" i="27"/>
  <c r="E24" i="26"/>
  <c r="D24" i="26"/>
  <c r="D23" i="26" s="1"/>
  <c r="E9" i="26"/>
  <c r="E21" i="26" s="1"/>
  <c r="E49" i="26"/>
  <c r="E36" i="26"/>
  <c r="D49" i="27" l="1"/>
  <c r="D11" i="25"/>
  <c r="D10" i="25"/>
  <c r="E48" i="31"/>
  <c r="E49" i="31" s="1"/>
  <c r="D11" i="24"/>
  <c r="D10" i="24"/>
  <c r="D23" i="27"/>
  <c r="D36" i="27"/>
  <c r="E23" i="27"/>
  <c r="E54" i="27" s="1"/>
  <c r="E23" i="26"/>
  <c r="D49" i="26"/>
  <c r="D36" i="26"/>
  <c r="E49" i="25"/>
  <c r="E36" i="25"/>
  <c r="D24" i="25"/>
  <c r="D23" i="25" s="1"/>
  <c r="E24" i="25"/>
  <c r="E9" i="25"/>
  <c r="E49" i="24"/>
  <c r="E24" i="24"/>
  <c r="E9" i="24"/>
  <c r="E21" i="24" s="1"/>
  <c r="E36" i="24"/>
  <c r="E55" i="27" l="1"/>
  <c r="D36" i="25"/>
  <c r="D54" i="31"/>
  <c r="D24" i="24"/>
  <c r="D23" i="24" s="1"/>
  <c r="E54" i="26"/>
  <c r="E55" i="26" s="1"/>
  <c r="D59" i="26" s="1"/>
  <c r="D54" i="27"/>
  <c r="D55" i="27" s="1"/>
  <c r="D56" i="27" s="1"/>
  <c r="E57" i="27"/>
  <c r="E56" i="27"/>
  <c r="D49" i="24"/>
  <c r="E21" i="25"/>
  <c r="D48" i="31"/>
  <c r="D49" i="31" s="1"/>
  <c r="D54" i="26"/>
  <c r="D55" i="26" s="1"/>
  <c r="D9" i="25"/>
  <c r="D21" i="25" s="1"/>
  <c r="E23" i="25"/>
  <c r="E53" i="25" s="1"/>
  <c r="D49" i="25"/>
  <c r="D36" i="24"/>
  <c r="D9" i="24"/>
  <c r="D21" i="24" s="1"/>
  <c r="E23" i="24"/>
  <c r="D59" i="27" l="1"/>
  <c r="D53" i="25"/>
  <c r="D57" i="27"/>
  <c r="E56" i="26"/>
  <c r="E53" i="24"/>
  <c r="D56" i="26"/>
  <c r="D57" i="26"/>
  <c r="D53" i="24"/>
  <c r="D54" i="24" s="1"/>
  <c r="E54" i="24" l="1"/>
  <c r="D55" i="25"/>
  <c r="D56" i="25"/>
  <c r="E56" i="25"/>
  <c r="D58" i="25" s="1"/>
  <c r="E55" i="25"/>
  <c r="D56" i="24"/>
  <c r="D55" i="24"/>
  <c r="E55" i="24" l="1"/>
  <c r="D58" i="24" l="1"/>
  <c r="D11" i="23"/>
  <c r="D10" i="23"/>
  <c r="E49" i="23"/>
  <c r="E36" i="23"/>
  <c r="D24" i="23" l="1"/>
  <c r="D23" i="23" s="1"/>
  <c r="D9" i="23"/>
  <c r="D21" i="23" s="1"/>
  <c r="E24" i="23"/>
  <c r="E9" i="23"/>
  <c r="E21" i="23" s="1"/>
  <c r="D36" i="23" l="1"/>
  <c r="E23" i="23"/>
  <c r="D49" i="23"/>
  <c r="E53" i="23" l="1"/>
  <c r="D53" i="23"/>
  <c r="D56" i="23" l="1"/>
  <c r="D55" i="23"/>
  <c r="E55" i="23" l="1"/>
  <c r="E56" i="23"/>
  <c r="D10" i="17"/>
  <c r="D9" i="17" s="1"/>
  <c r="D10" i="18"/>
  <c r="D9" i="18" s="1"/>
  <c r="D21" i="18" s="1"/>
  <c r="E10" i="21"/>
  <c r="E9" i="21" s="1"/>
  <c r="E21" i="21" s="1"/>
  <c r="E11" i="21"/>
  <c r="D10" i="20"/>
  <c r="D9" i="20" s="1"/>
  <c r="D21" i="20" s="1"/>
  <c r="D11" i="20"/>
  <c r="E49" i="20"/>
  <c r="D11" i="18"/>
  <c r="D11" i="17"/>
  <c r="D49" i="22"/>
  <c r="E49" i="21"/>
  <c r="E24" i="20"/>
  <c r="E24" i="22"/>
  <c r="E9" i="22"/>
  <c r="E21" i="22" s="1"/>
  <c r="E49" i="22"/>
  <c r="E36" i="22"/>
  <c r="F21" i="21"/>
  <c r="F36" i="21"/>
  <c r="F49" i="21"/>
  <c r="E36" i="20"/>
  <c r="E21" i="20"/>
  <c r="D24" i="19"/>
  <c r="D23" i="19" s="1"/>
  <c r="E36" i="19"/>
  <c r="E24" i="19"/>
  <c r="E49" i="19"/>
  <c r="E9" i="19"/>
  <c r="E21" i="19" s="1"/>
  <c r="E36" i="18"/>
  <c r="D36" i="18"/>
  <c r="D24" i="18"/>
  <c r="D23" i="18" s="1"/>
  <c r="D49" i="18"/>
  <c r="E24" i="18"/>
  <c r="E23" i="18" s="1"/>
  <c r="E49" i="18"/>
  <c r="E9" i="18"/>
  <c r="E21" i="18" s="1"/>
  <c r="D58" i="23" l="1"/>
  <c r="D49" i="19"/>
  <c r="D10" i="22"/>
  <c r="D9" i="22" s="1"/>
  <c r="D21" i="22" s="1"/>
  <c r="D36" i="19"/>
  <c r="E23" i="19"/>
  <c r="D49" i="20"/>
  <c r="E23" i="20"/>
  <c r="D11" i="22"/>
  <c r="D24" i="22"/>
  <c r="D23" i="22" s="1"/>
  <c r="E24" i="21"/>
  <c r="E23" i="21" s="1"/>
  <c r="D11" i="19"/>
  <c r="D10" i="19"/>
  <c r="D24" i="20"/>
  <c r="D23" i="20" s="1"/>
  <c r="D36" i="20"/>
  <c r="F23" i="21"/>
  <c r="F53" i="21" s="1"/>
  <c r="F54" i="21" s="1"/>
  <c r="D36" i="22"/>
  <c r="E23" i="22"/>
  <c r="E53" i="22" s="1"/>
  <c r="E54" i="22" s="1"/>
  <c r="E36" i="21"/>
  <c r="E54" i="18"/>
  <c r="D54" i="18"/>
  <c r="D54" i="19" l="1"/>
  <c r="E54" i="19"/>
  <c r="E57" i="19" s="1"/>
  <c r="D9" i="19"/>
  <c r="D21" i="19" s="1"/>
  <c r="E53" i="20"/>
  <c r="E56" i="20" s="1"/>
  <c r="D58" i="20" s="1"/>
  <c r="D53" i="22"/>
  <c r="D54" i="22" s="1"/>
  <c r="E53" i="21"/>
  <c r="E54" i="21" s="1"/>
  <c r="E56" i="21" s="1"/>
  <c r="D53" i="20"/>
  <c r="E55" i="22"/>
  <c r="F55" i="21"/>
  <c r="F56" i="21"/>
  <c r="D57" i="18"/>
  <c r="D56" i="18"/>
  <c r="E57" i="18"/>
  <c r="D59" i="18" s="1"/>
  <c r="E56" i="18"/>
  <c r="E58" i="21" l="1"/>
  <c r="E56" i="19"/>
  <c r="E55" i="20"/>
  <c r="D57" i="19"/>
  <c r="D56" i="19"/>
  <c r="E55" i="21"/>
  <c r="D55" i="20"/>
  <c r="D56" i="20"/>
  <c r="D56" i="22"/>
  <c r="D55" i="22"/>
  <c r="D59" i="19"/>
  <c r="D58" i="22"/>
  <c r="E24" i="17"/>
  <c r="E23" i="17" s="1"/>
  <c r="E9" i="17"/>
  <c r="E21" i="17" s="1"/>
  <c r="D24" i="17" l="1"/>
  <c r="D23" i="17" s="1"/>
  <c r="D21" i="17"/>
  <c r="D36" i="17"/>
  <c r="D49" i="17"/>
  <c r="E49" i="17"/>
  <c r="E36" i="17"/>
  <c r="E54" i="17" l="1"/>
  <c r="E55" i="17" s="1"/>
  <c r="E57" i="17" s="1"/>
  <c r="D54" i="17"/>
  <c r="D55" i="17" s="1"/>
  <c r="E49" i="15"/>
  <c r="E24" i="15"/>
  <c r="D10" i="15" l="1"/>
  <c r="D9" i="15" s="1"/>
  <c r="D21" i="15" s="1"/>
  <c r="E56" i="17"/>
  <c r="D11" i="15"/>
  <c r="D56" i="17"/>
  <c r="D57" i="17"/>
  <c r="E23" i="15"/>
  <c r="E24" i="16"/>
  <c r="E23" i="16" s="1"/>
  <c r="D49" i="15"/>
  <c r="D24" i="15"/>
  <c r="D23" i="15" s="1"/>
  <c r="D36" i="15"/>
  <c r="E36" i="15"/>
  <c r="E21" i="15"/>
  <c r="D49" i="16"/>
  <c r="D36" i="16"/>
  <c r="E36" i="16"/>
  <c r="E9" i="16"/>
  <c r="E21" i="16" s="1"/>
  <c r="E49" i="16"/>
  <c r="D10" i="16" l="1"/>
  <c r="D9" i="16" s="1"/>
  <c r="D21" i="16" s="1"/>
  <c r="D11" i="16"/>
  <c r="E54" i="15"/>
  <c r="D54" i="15"/>
  <c r="D55" i="15" s="1"/>
  <c r="D24" i="16"/>
  <c r="D23" i="16" s="1"/>
  <c r="D54" i="16" s="1"/>
  <c r="E54" i="16"/>
  <c r="E55" i="16" s="1"/>
  <c r="E55" i="15"/>
  <c r="D43" i="13"/>
  <c r="E56" i="16" l="1"/>
  <c r="E57" i="16"/>
  <c r="E56" i="15"/>
  <c r="D57" i="15"/>
  <c r="D56" i="15"/>
  <c r="D55" i="16"/>
  <c r="D34" i="13"/>
  <c r="D24" i="13"/>
  <c r="D26" i="13"/>
  <c r="D27" i="13"/>
  <c r="D28" i="13"/>
  <c r="D29" i="13"/>
  <c r="D30" i="13"/>
  <c r="D31" i="13"/>
  <c r="D32" i="13"/>
  <c r="D33" i="13"/>
  <c r="D59" i="15" l="1"/>
  <c r="D57" i="16"/>
  <c r="D56" i="16"/>
  <c r="D59" i="16"/>
  <c r="D40" i="13"/>
  <c r="D39" i="13"/>
  <c r="D38" i="13"/>
  <c r="D37" i="13"/>
  <c r="D41" i="13"/>
  <c r="D42" i="13"/>
  <c r="D44" i="13"/>
  <c r="D46" i="13"/>
  <c r="D47" i="13"/>
  <c r="D36" i="13" l="1"/>
  <c r="D35" i="13" s="1"/>
  <c r="E35" i="13"/>
  <c r="D49" i="13"/>
  <c r="D50" i="13"/>
  <c r="D51" i="13"/>
  <c r="D52" i="13"/>
  <c r="D14" i="13"/>
  <c r="D15" i="13"/>
  <c r="D13" i="13"/>
  <c r="D12" i="13"/>
  <c r="D11" i="13" l="1"/>
  <c r="E8" i="13"/>
  <c r="E48" i="13"/>
  <c r="D48" i="13"/>
  <c r="D52" i="12"/>
  <c r="D51" i="12"/>
  <c r="D50" i="12"/>
  <c r="D47" i="12"/>
  <c r="D46" i="12"/>
  <c r="D43" i="12"/>
  <c r="D41" i="12"/>
  <c r="D40" i="12"/>
  <c r="D37" i="12"/>
  <c r="D38" i="12"/>
  <c r="D39" i="12"/>
  <c r="D36" i="12"/>
  <c r="D34" i="12"/>
  <c r="D30" i="12"/>
  <c r="D29" i="12"/>
  <c r="D28" i="12"/>
  <c r="D27" i="12"/>
  <c r="D26" i="12"/>
  <c r="D25" i="12"/>
  <c r="D24" i="12"/>
  <c r="D33" i="12"/>
  <c r="D32" i="12"/>
  <c r="E22" i="12"/>
  <c r="D14" i="12"/>
  <c r="D13" i="12"/>
  <c r="D12" i="12"/>
  <c r="D36" i="11"/>
  <c r="D37" i="11"/>
  <c r="D38" i="11"/>
  <c r="D39" i="11"/>
  <c r="D40" i="11"/>
  <c r="D42" i="11"/>
  <c r="D43" i="11"/>
  <c r="D46" i="11"/>
  <c r="D47" i="11"/>
  <c r="D49" i="11"/>
  <c r="D50" i="11"/>
  <c r="D51" i="11"/>
  <c r="D34" i="11"/>
  <c r="D28" i="11"/>
  <c r="D31" i="11"/>
  <c r="D30" i="11"/>
  <c r="D26" i="11"/>
  <c r="D32" i="11"/>
  <c r="D33" i="11"/>
  <c r="D27" i="11"/>
  <c r="D24" i="11"/>
  <c r="D25" i="11"/>
  <c r="D10" i="12" l="1"/>
  <c r="D9" i="12" s="1"/>
  <c r="D19" i="12" s="1"/>
  <c r="D11" i="12"/>
  <c r="D10" i="13"/>
  <c r="D9" i="13" s="1"/>
  <c r="D8" i="13" s="1"/>
  <c r="D20" i="13" s="1"/>
  <c r="D23" i="12"/>
  <c r="D22" i="12" s="1"/>
  <c r="D21" i="12" s="1"/>
  <c r="D23" i="13"/>
  <c r="D22" i="13" s="1"/>
  <c r="E23" i="13"/>
  <c r="E21" i="12"/>
  <c r="D48" i="12"/>
  <c r="E9" i="12"/>
  <c r="E48" i="12"/>
  <c r="D29" i="11"/>
  <c r="E22" i="13" l="1"/>
  <c r="E54" i="13" s="1"/>
  <c r="D53" i="13"/>
  <c r="D54" i="13" s="1"/>
  <c r="D55" i="13" s="1"/>
  <c r="D53" i="12"/>
  <c r="D54" i="12" s="1"/>
  <c r="E54" i="12" l="1"/>
  <c r="E55" i="12" s="1"/>
  <c r="E56" i="13"/>
  <c r="E55" i="13"/>
  <c r="D56" i="13"/>
  <c r="D56" i="12"/>
  <c r="D55" i="12"/>
  <c r="E56" i="12" l="1"/>
  <c r="D58" i="12"/>
  <c r="D58" i="13"/>
  <c r="E22" i="11"/>
  <c r="D14" i="11"/>
  <c r="D13" i="11"/>
  <c r="E21" i="11" l="1"/>
  <c r="D12" i="11"/>
  <c r="D10" i="11" s="1"/>
  <c r="E9" i="11"/>
  <c r="D23" i="11"/>
  <c r="D22" i="11" s="1"/>
  <c r="D21" i="11" s="1"/>
  <c r="E48" i="11"/>
  <c r="D18" i="7"/>
  <c r="E24" i="4"/>
  <c r="E23" i="4" s="1"/>
  <c r="D34" i="4"/>
  <c r="D33" i="4"/>
  <c r="D32" i="4"/>
  <c r="D31" i="4"/>
  <c r="D30" i="4"/>
  <c r="D29" i="4"/>
  <c r="D28" i="4"/>
  <c r="D27" i="4"/>
  <c r="D26" i="4"/>
  <c r="D25" i="4"/>
  <c r="D11" i="11" l="1"/>
  <c r="D9" i="11"/>
  <c r="D19" i="11" s="1"/>
  <c r="E23" i="7"/>
  <c r="D18" i="8"/>
  <c r="D20" i="8" s="1"/>
  <c r="D23" i="7"/>
  <c r="D24" i="4"/>
  <c r="D48" i="11"/>
  <c r="D53" i="11" s="1"/>
  <c r="E18" i="7"/>
  <c r="E20" i="7" s="1"/>
  <c r="D23" i="8"/>
  <c r="D22" i="8" s="1"/>
  <c r="D47" i="8" s="1"/>
  <c r="E18" i="8"/>
  <c r="E20" i="8" s="1"/>
  <c r="E23" i="8"/>
  <c r="E22" i="8" s="1"/>
  <c r="E47" i="8" s="1"/>
  <c r="E27" i="5"/>
  <c r="D54" i="11" l="1"/>
  <c r="D55" i="11" s="1"/>
  <c r="E22" i="7"/>
  <c r="E47" i="7" s="1"/>
  <c r="E48" i="8"/>
  <c r="E54" i="11"/>
  <c r="E55" i="11" l="1"/>
  <c r="D56" i="11"/>
  <c r="E56" i="11"/>
  <c r="D52" i="8"/>
  <c r="D49" i="8"/>
  <c r="D58" i="11" l="1"/>
  <c r="E49" i="8"/>
  <c r="D48" i="10" l="1"/>
  <c r="D47" i="10"/>
  <c r="D43" i="10"/>
  <c r="D42" i="10"/>
  <c r="D40" i="10"/>
  <c r="D36" i="10"/>
  <c r="D35" i="10"/>
  <c r="D49" i="10"/>
  <c r="D44" i="10"/>
  <c r="D39" i="10"/>
  <c r="D34" i="10"/>
  <c r="D32" i="10"/>
  <c r="D31" i="10"/>
  <c r="D28" i="10"/>
  <c r="D27" i="10"/>
  <c r="D26" i="10"/>
  <c r="D25" i="10"/>
  <c r="D24" i="10"/>
  <c r="D23" i="10"/>
  <c r="D22" i="10"/>
  <c r="E45" i="10" l="1"/>
  <c r="E33" i="10"/>
  <c r="D31" i="9"/>
  <c r="D30" i="9"/>
  <c r="D29" i="9"/>
  <c r="D28" i="9"/>
  <c r="D27" i="9"/>
  <c r="D26" i="9"/>
  <c r="D25" i="9"/>
  <c r="D24" i="9"/>
  <c r="D22" i="9"/>
  <c r="E21" i="9" l="1"/>
  <c r="D21" i="9"/>
  <c r="D18" i="10"/>
  <c r="D33" i="10"/>
  <c r="D21" i="10"/>
  <c r="D20" i="10" s="1"/>
  <c r="E21" i="10"/>
  <c r="D45" i="10"/>
  <c r="E20" i="10" l="1"/>
  <c r="D50" i="10"/>
  <c r="D51" i="10" s="1"/>
  <c r="E20" i="9"/>
  <c r="D53" i="10" l="1"/>
  <c r="D52" i="10"/>
  <c r="E51" i="10" l="1"/>
  <c r="E33" i="9"/>
  <c r="D32" i="9"/>
  <c r="D20" i="9" s="1"/>
  <c r="D13" i="9"/>
  <c r="D20" i="4"/>
  <c r="D19" i="4" s="1"/>
  <c r="E23" i="5"/>
  <c r="E25" i="5" s="1"/>
  <c r="D22" i="7"/>
  <c r="D47" i="7" s="1"/>
  <c r="D11" i="7"/>
  <c r="D10" i="7" s="1"/>
  <c r="D9" i="7" s="1"/>
  <c r="E53" i="10" l="1"/>
  <c r="E52" i="10"/>
  <c r="D20" i="7"/>
  <c r="D48" i="7" s="1"/>
  <c r="D50" i="7" s="1"/>
  <c r="D12" i="9"/>
  <c r="D51" i="5"/>
  <c r="D41" i="6"/>
  <c r="D23" i="5"/>
  <c r="D25" i="5" s="1"/>
  <c r="D33" i="9"/>
  <c r="D50" i="9" s="1"/>
  <c r="E19" i="4"/>
  <c r="E21" i="4" s="1"/>
  <c r="E41" i="6"/>
  <c r="E32" i="6"/>
  <c r="E46" i="6" s="1"/>
  <c r="D35" i="4"/>
  <c r="D23" i="4" s="1"/>
  <c r="D12" i="4"/>
  <c r="D55" i="10" l="1"/>
  <c r="D11" i="9"/>
  <c r="D10" i="9" s="1"/>
  <c r="D9" i="9" s="1"/>
  <c r="D18" i="9" s="1"/>
  <c r="E47" i="6"/>
  <c r="D11" i="4"/>
  <c r="D49" i="5"/>
  <c r="D57" i="5"/>
  <c r="D42" i="5"/>
  <c r="D50" i="5"/>
  <c r="D43" i="5"/>
  <c r="D46" i="5"/>
  <c r="D53" i="5"/>
  <c r="D56" i="5"/>
  <c r="D55" i="5"/>
  <c r="D54" i="5"/>
  <c r="D52" i="5" s="1"/>
  <c r="D46" i="6"/>
  <c r="D47" i="6" s="1"/>
  <c r="E40" i="5"/>
  <c r="D36" i="4"/>
  <c r="D56" i="4" s="1"/>
  <c r="E36" i="4"/>
  <c r="D10" i="4" l="1"/>
  <c r="D9" i="4" s="1"/>
  <c r="D21" i="4" s="1"/>
  <c r="D57" i="4" s="1"/>
  <c r="D51" i="9"/>
  <c r="D52" i="9" s="1"/>
  <c r="D40" i="5"/>
  <c r="E56" i="4"/>
  <c r="E60" i="5"/>
  <c r="E51" i="9"/>
  <c r="E49" i="6"/>
  <c r="E48" i="6"/>
  <c r="D49" i="6"/>
  <c r="D48" i="6"/>
  <c r="D51" i="6" l="1"/>
  <c r="D53" i="9"/>
  <c r="D60" i="5"/>
  <c r="D61" i="5" s="1"/>
  <c r="D63" i="5" s="1"/>
  <c r="E52" i="9"/>
  <c r="E57" i="4"/>
  <c r="E48" i="7"/>
  <c r="E49" i="7" s="1"/>
  <c r="D55" i="9"/>
  <c r="D49" i="7"/>
  <c r="D59" i="4"/>
  <c r="D58" i="4"/>
  <c r="E58" i="4" l="1"/>
  <c r="D52" i="7"/>
  <c r="D62" i="5" l="1"/>
  <c r="E62" i="5"/>
  <c r="D49" i="38"/>
</calcChain>
</file>

<file path=xl/sharedStrings.xml><?xml version="1.0" encoding="utf-8"?>
<sst xmlns="http://schemas.openxmlformats.org/spreadsheetml/2006/main" count="3506" uniqueCount="1633">
  <si>
    <t>Izdevumu klasifikācijas kods</t>
  </si>
  <si>
    <t>Rādītājs (materiāla/ izejvielas nosaukums, atlīdzība un citi izmaksu veidi)</t>
  </si>
  <si>
    <t>Izmaksu apjoms noteiktā laikposmā viena maksas pakalpojuma veida nodrošināšanai</t>
  </si>
  <si>
    <t>1.1.1. sporta zāles noma grupai līdz 15 cilvēkiem</t>
  </si>
  <si>
    <t>1.1. Sporta zāles noma Bāriņu ielā 3, Liepājā</t>
  </si>
  <si>
    <t>Iestāde: Nodrošinājuma valsts aģentūra</t>
  </si>
  <si>
    <t>Maksas pakalpojuma izcenojuma aprēķins</t>
  </si>
  <si>
    <t>Tiešās izmaksas</t>
  </si>
  <si>
    <t>X</t>
  </si>
  <si>
    <t>Atlīdzība</t>
  </si>
  <si>
    <t>Atalgojums</t>
  </si>
  <si>
    <t>Darba devēja valsts sociālās apdrošināšanas obligātās iemaksas, pabalsti un kompensācijas</t>
  </si>
  <si>
    <t>Preces un pakalpojumi</t>
  </si>
  <si>
    <t>Inventārs</t>
  </si>
  <si>
    <t>Tiešās izmaksas kopā:</t>
  </si>
  <si>
    <t>Netiešās izmaksas</t>
  </si>
  <si>
    <t>euro</t>
  </si>
  <si>
    <t>Pamatkapitāla veidošana</t>
  </si>
  <si>
    <t>Pārējie iepriekš neklasificētie pamatlīdzekļi un ieguldījuma īpašumi</t>
  </si>
  <si>
    <t>Izdevumi par elektroenerģiju</t>
  </si>
  <si>
    <t>Pārējie neklasificētie pakalpojumi</t>
  </si>
  <si>
    <t>Iekārtas, inventāra un aparatūras remonts, tehniskā apkalpošana</t>
  </si>
  <si>
    <t>Nekustamā īpašuma uzturēšana</t>
  </si>
  <si>
    <t>Netiešās izmaksas kopā:</t>
  </si>
  <si>
    <t>Pakalpojuma izmaksas kopā:</t>
  </si>
  <si>
    <t>1.1.2. sporta zāles noma grupai no 16 cilvēkiem</t>
  </si>
  <si>
    <t>Viena pakalp. izmaksas</t>
  </si>
  <si>
    <t xml:space="preserve">Izmaksu apjoms noteiktā laikposmā viena maksas pakalpojuma veida nodrošināšanai </t>
  </si>
  <si>
    <t>Pakalpojuma izmaksas kopā (bez PVN):</t>
  </si>
  <si>
    <t>PVN 21%</t>
  </si>
  <si>
    <t>Pakalpojuma izmaksas kopā (ar PVN):</t>
  </si>
  <si>
    <t>Nedzīvojamās ēkas</t>
  </si>
  <si>
    <t>Transporta būves</t>
  </si>
  <si>
    <t>Inženierbūves</t>
  </si>
  <si>
    <t>Pārējais nekustamais īpašums</t>
  </si>
  <si>
    <t>Maksas pakalpojuma vienību skaits noteiktā laikposmā (153 stundas gadā)</t>
  </si>
  <si>
    <t xml:space="preserve">1.3. Aktu zāles noma nekustamajā īpašumā “Bundulīši” Muceniekos, Ropažu novadā 
</t>
  </si>
  <si>
    <t>1.4. Nedzīvojamo telpu noma Klusajā ielā 12, Rīgā</t>
  </si>
  <si>
    <t xml:space="preserve">1.4.1. aktu zāles noma </t>
  </si>
  <si>
    <t>1.2. Sporta zāles noma A.Pumpura ielā 105B, Daugavpilī</t>
  </si>
  <si>
    <t>1.2.1. sporta zāles noma grupai līdz 15 cilvēkiem</t>
  </si>
  <si>
    <t>Izdevumi par pārējiem komunālajiem pakalpojumiem</t>
  </si>
  <si>
    <t>Izdevumi par profesionālās darbības pakalpojumiem</t>
  </si>
  <si>
    <t xml:space="preserve">Aktu zāles noma </t>
  </si>
  <si>
    <t>Budžeta iestāžu dabas resursu nodokļa maksājumi</t>
  </si>
  <si>
    <t>Pārējie remontdarbu un iestāžu uzturēšanas pakalpojumi</t>
  </si>
  <si>
    <t xml:space="preserve">2. Maksas pakalpojuma veids Dzīvojamo telpu izmantošanas pakalpojumi (izmitināšana un īre) </t>
  </si>
  <si>
    <t>2.1. Viesnīcas pakalpojumi (izmitināšana) Piestātnes ielā 14 k-1, Jūrmalā</t>
  </si>
  <si>
    <t>2.1.5. trīsistabu četrvietīgs numurs (telpa Nr. 5, 29)</t>
  </si>
  <si>
    <t>2.2. Viesnīcas pakalpojumi (izmitināšana) Piestātnes ielā 14 k-3, Jūrmalā</t>
  </si>
  <si>
    <t>2.3. Viesnīcas pakalpojumi (izmitināšana) Piestātnes ielā 14 k-4, Jūrmalā</t>
  </si>
  <si>
    <t>2.4. Viesnīcas pakalpojumi (izmitināšana) Piestātnes ielā 14 k-8, Jūrmalā</t>
  </si>
  <si>
    <t>2.5. Papildu vieta viesnīcā Piestātnes ielā 14, Jūrmalā</t>
  </si>
  <si>
    <t>mēneši gadā</t>
  </si>
  <si>
    <t>Izdevumi par siltumenerģiju</t>
  </si>
  <si>
    <t>Izdevumi par ūdensapgādi un kanalizāciju</t>
  </si>
  <si>
    <t>Izdevumi par atkritumu savākšanu, izvešanu no apdzīvotām vietām un teritorijām ārpus apdzīvotām vietām un atkritumu utilizāciju</t>
  </si>
  <si>
    <t>Budžeta iestāžu nekustamā īpašuma nodokļa maksājumi</t>
  </si>
  <si>
    <t>Ēku, būvju un telpu būvdarbi</t>
  </si>
  <si>
    <r>
      <t>Maksas pakalpojuma izcenojums stundā (</t>
    </r>
    <r>
      <rPr>
        <b/>
        <i/>
        <sz val="12"/>
        <color rgb="FF000000"/>
        <rFont val="Times New Roman"/>
        <family val="1"/>
        <charset val="186"/>
      </rPr>
      <t>euro</t>
    </r>
    <r>
      <rPr>
        <b/>
        <sz val="12"/>
        <color rgb="FF000000"/>
        <rFont val="Times New Roman"/>
        <family val="1"/>
        <charset val="186"/>
      </rPr>
      <t>) (pakalpojuma izmaksas kopā, dalītas ar maksas pakalpojuma vienību skaitu noteiktā laikposmā)</t>
    </r>
  </si>
  <si>
    <t>2.1.4. divistabu divvietīgs numurs (telpa Nr. 1, 2, 3, 4, 6, 11, 12, 13, 14, 16, 17, 18, 19, 20, 21, 22, 23, 24, 25, 26)</t>
  </si>
  <si>
    <t>Dzīvojamās ēkas</t>
  </si>
  <si>
    <t>Maksas pakalpojuma vienību skaits noteiktā laikposmā (160 stundas gadā)</t>
  </si>
  <si>
    <t>Maksas pakalpojuma vienību skaits noteiktā laikposmā (892 stundas gadā)</t>
  </si>
  <si>
    <t>Laikposms - 1 gads</t>
  </si>
  <si>
    <t>diennaktis / gadā</t>
  </si>
  <si>
    <t>mēneši /gadā</t>
  </si>
  <si>
    <t>mēneši / gadā</t>
  </si>
  <si>
    <t xml:space="preserve">2. Maksas pakalpojuma veids - Dzīvojamo telpu izmantošanas pakalpojumi (izmitināšana un īre) </t>
  </si>
  <si>
    <r>
      <t xml:space="preserve">2. Maksas pakalpojuma veids </t>
    </r>
    <r>
      <rPr>
        <b/>
        <sz val="12"/>
        <color theme="1"/>
        <rFont val="Times New Roman"/>
        <family val="1"/>
        <charset val="186"/>
      </rPr>
      <t>-</t>
    </r>
    <r>
      <rPr>
        <b/>
        <sz val="14"/>
        <color theme="1"/>
        <rFont val="Times New Roman"/>
        <family val="1"/>
        <charset val="186"/>
      </rPr>
      <t xml:space="preserve"> Dzīvojamo telpu izmantošanas pakalpojumi (izmitināšana un īre) </t>
    </r>
  </si>
  <si>
    <t>Satura rādītājs</t>
  </si>
  <si>
    <t>1.1.</t>
  </si>
  <si>
    <t>Sporta zāles noma Bāriņu ielā 3, Liepājā</t>
  </si>
  <si>
    <t xml:space="preserve"> Nedzīvojamo telpu noma</t>
  </si>
  <si>
    <t>sporta zāles noma grupai līdz 15 cilvēkiem</t>
  </si>
  <si>
    <t>sporta zāles noma grupai, kurā ir 16 cilvēki un vairāk</t>
  </si>
  <si>
    <t>1.1.1.</t>
  </si>
  <si>
    <t>1.1.2.</t>
  </si>
  <si>
    <t>1.2.</t>
  </si>
  <si>
    <t>1.2.1.</t>
  </si>
  <si>
    <t>1.2.2.</t>
  </si>
  <si>
    <t>Sporta zāles noma A. Pumpura ielā 105B, Daugavpilī</t>
  </si>
  <si>
    <t>1.3.</t>
  </si>
  <si>
    <t>Aktu zāles noma nekustamajā īpašumā "Bundulīši" Muceniekos, Ropažu novadā</t>
  </si>
  <si>
    <t>1.4.</t>
  </si>
  <si>
    <t>1.4.1.</t>
  </si>
  <si>
    <t>1.4.2.</t>
  </si>
  <si>
    <t>aktu zāles noma</t>
  </si>
  <si>
    <t>garderobes noma</t>
  </si>
  <si>
    <t>1.5.</t>
  </si>
  <si>
    <t>1.6.</t>
  </si>
  <si>
    <t>Nedzīvojamo telpu noma Ugunsdrošības un civilās aizsardzības koledžā Ķengaraga ielā 3, k-1, Rīgā</t>
  </si>
  <si>
    <t>auditorijas noma</t>
  </si>
  <si>
    <t>1.7.</t>
  </si>
  <si>
    <t>Semināru zāles noma Piestātnes ielā 14, k-1, Jūrmalā</t>
  </si>
  <si>
    <t>Pirts, saunas un dušu noma Piestātnes ielā 14, k-3, Jūrmalā</t>
  </si>
  <si>
    <t>2.1.</t>
  </si>
  <si>
    <t>2.1.1.</t>
  </si>
  <si>
    <t>2.1.2.</t>
  </si>
  <si>
    <t>2.1.3.</t>
  </si>
  <si>
    <t>2.1.4.</t>
  </si>
  <si>
    <t>2.1.5.</t>
  </si>
  <si>
    <t>Dzīvojamo telpu izmantošanas pakalpojumi (izmitināšana un īre)</t>
  </si>
  <si>
    <t>liels vienistabas divvietīgs numurs (telpa Nr. 7, 8, 10)</t>
  </si>
  <si>
    <t>vienistabas divvietīgs numurs (telpa Nr. 9, 33, 46)</t>
  </si>
  <si>
    <t>vienistabas divvietīgs numurs (telpa Nr. 15, 27, 28)</t>
  </si>
  <si>
    <t>divistabu divvietīgs numurs (telpa Nr. 1, 2, 3, 4, 6, 11, 12, 13, 14, 16, 17, 18, 19, 20, 21, 22, 23, 24, 25, 26)</t>
  </si>
  <si>
    <t>trīsistabu četrvietīgs numurs (telpa Nr. 5, 29)</t>
  </si>
  <si>
    <t>2.2.</t>
  </si>
  <si>
    <t>2.2.1.</t>
  </si>
  <si>
    <t>2.2.2.</t>
  </si>
  <si>
    <t>2.2.3.</t>
  </si>
  <si>
    <t>vienistabas divvietīgs numurs (telpa Nr. 2, 5)</t>
  </si>
  <si>
    <t>divistabu divvietīgs numurs (telpa Nr. 3)</t>
  </si>
  <si>
    <t>trīsistabu divvietīgs numurs (telpa Nr. 1, 4, 6)</t>
  </si>
  <si>
    <t>2.3.</t>
  </si>
  <si>
    <t>2.3.1.</t>
  </si>
  <si>
    <t>2.3.2.</t>
  </si>
  <si>
    <t>2.3.3.</t>
  </si>
  <si>
    <t>vienistabas numurs ar vienu gultasvietu (telpa Nr. 3, 8)</t>
  </si>
  <si>
    <t>vienistabas numurs ar divām gultasvietām (telpa Nr. 1, 2, 7)</t>
  </si>
  <si>
    <t>vienistabas numurs ar trim gultasvietām (telpa Nr. 4, 5, 6, 9, 10)</t>
  </si>
  <si>
    <t>2.4.</t>
  </si>
  <si>
    <t>2.4.1.</t>
  </si>
  <si>
    <t>2.4.2.</t>
  </si>
  <si>
    <t>standarta vienistabas divvietīgs numurs (telpa Nr. 1, 2, 3, 4, 5, 6, 7, 9, 10, 11, 12, 13, 14, 15)</t>
  </si>
  <si>
    <t>liels vienistabas divvietīgs numurs (telpa Nr. 8, 16)</t>
  </si>
  <si>
    <t>2.5.</t>
  </si>
  <si>
    <t>2.6.</t>
  </si>
  <si>
    <t>2.7.1.</t>
  </si>
  <si>
    <t>2.7.2.</t>
  </si>
  <si>
    <t>2.6.1.</t>
  </si>
  <si>
    <t>2.6.2.</t>
  </si>
  <si>
    <t>2.6.3.</t>
  </si>
  <si>
    <t>2.6.4.</t>
  </si>
  <si>
    <t>2.6.5.</t>
  </si>
  <si>
    <t>standarta vienvietīga istaba ar papildu ērtībām (Nr. 201, 235)</t>
  </si>
  <si>
    <t>liela vienvietīga istaba ar papildu ērtībām (Nr. 201a, 235a)</t>
  </si>
  <si>
    <t>standarta divvietīga istaba (Nr. 205, 216)</t>
  </si>
  <si>
    <t>trīsvietīga istaba (2. un 3. stāvs)</t>
  </si>
  <si>
    <t>piecvietīga istaba (Nr. 224, 228, 229, 230)</t>
  </si>
  <si>
    <t>2.7.</t>
  </si>
  <si>
    <t>2.6.6.</t>
  </si>
  <si>
    <t>2.6.7.</t>
  </si>
  <si>
    <t>2.6.8.</t>
  </si>
  <si>
    <t>2.6.9.</t>
  </si>
  <si>
    <t>divistabu divvietīgs numurs ar papildu ērtībām (5. stāvs)</t>
  </si>
  <si>
    <t>papildu vieta divistabu divvietīgā numurā (5. stāvs)</t>
  </si>
  <si>
    <t>divvietīga istaba (4. stāvs)</t>
  </si>
  <si>
    <t>trīsvietīga istaba (4. stāvs)</t>
  </si>
  <si>
    <t>Viesnīcas pakalpojumi (izmitināšana) Piestātnes ielā 14, k-8, Jūrmalā</t>
  </si>
  <si>
    <t>Viesnīcas pakalpojumi (izmitināšana) Piestātnes ielā 14, k-3, Jūrmalā</t>
  </si>
  <si>
    <t>Viesnīcas pakalpojumi (izmitināšana) Piestātnes ielā 14, k-1, Jūrmalā</t>
  </si>
  <si>
    <t>Dienesta viesnīcas pakalpojumi Ugunsdrošības un civilās aizsardzības koledžā Ķengaraga ielā 3, k-1, Rīgā</t>
  </si>
  <si>
    <t>četrvietīgs numurs</t>
  </si>
  <si>
    <t>sešvietīgs numurs</t>
  </si>
  <si>
    <t>2.8.</t>
  </si>
  <si>
    <t>Dienesta viesnīcas pakalpojumi Valsts ugunsdzēsības un glābšanas dienesta depo Krustpils ielā 10, Rīgā</t>
  </si>
  <si>
    <t>2.8.1.</t>
  </si>
  <si>
    <t>2.8.2.</t>
  </si>
  <si>
    <t xml:space="preserve">2.7. Dienesta viesnīcas pakalpojumi Ugunsdrošības un civilās aizsardzības koledžā Ķengaraga ielā 3 k-1, Rīgā </t>
  </si>
  <si>
    <t>2.7.1. Četrvietīgs numurs</t>
  </si>
  <si>
    <t>2.7.2. Sešvietīgs numurs</t>
  </si>
  <si>
    <t xml:space="preserve">2.8.Dienesta viesnīcas pakalpojumi Valsts ugunsdzēsības un glābšanas dienesta depo Krustpils ielā 10, Rīgā </t>
  </si>
  <si>
    <t>Viesnīcas pakalpojumi (izmitināšana) Piestātnes ielā 14, k-4, Jūrmalā</t>
  </si>
  <si>
    <t>Dienesta viesnīcas pakalpojumi Ezermalas ielā 8A, Rīgā</t>
  </si>
  <si>
    <t xml:space="preserve">1.7. Nedzīvojamo telpu noma Ugunsdrošības un civilās aizsardzības koledžā Ķengaraga ielā 3 k-1, Rīgā </t>
  </si>
  <si>
    <r>
      <t xml:space="preserve">1. Maksas pakalpojuma veids </t>
    </r>
    <r>
      <rPr>
        <b/>
        <sz val="12"/>
        <color theme="1"/>
        <rFont val="Times New Roman"/>
        <family val="1"/>
        <charset val="186"/>
      </rPr>
      <t>-</t>
    </r>
    <r>
      <rPr>
        <b/>
        <sz val="14"/>
        <color theme="1"/>
        <rFont val="Times New Roman"/>
        <family val="1"/>
        <charset val="186"/>
      </rPr>
      <t xml:space="preserve"> Nedzīvojamo telpu noma</t>
    </r>
  </si>
  <si>
    <t>1. Maksas pakalpojuma veids - Nedzīvojamo telpu noma</t>
  </si>
  <si>
    <t>1.7.1.</t>
  </si>
  <si>
    <t>1.7.2.</t>
  </si>
  <si>
    <t xml:space="preserve">1.4.2. garderobes noma </t>
  </si>
  <si>
    <t>1.7.1. auditorijas noma</t>
  </si>
  <si>
    <t xml:space="preserve">1.7.2. aktu zāles noma </t>
  </si>
  <si>
    <t>2.2.1. vienistabas divvietīgs numurs (telpa Nr. 2, 5)</t>
  </si>
  <si>
    <t>2.2.2. divistabu divvietīgs numurs (telpa Nr. 3)</t>
  </si>
  <si>
    <t>2.2.3. trīsistabu divvietīgs numurs (telpa Nr. 1, 4, 6)</t>
  </si>
  <si>
    <t>2.3.1. vienistabas numurs ar vienu gultasvietu (telpa Nr. 3, 8)</t>
  </si>
  <si>
    <t>2.3.3. vienistabas numurs ar trīs gultasvietām (telpa Nr. 4, 5, 6, 9, 10)</t>
  </si>
  <si>
    <t>2.4.1. standarta vienistabas divvietīgs numurs (telpa Nr. 1, 2, 3, 4, 5, 6, 7, 9, 10, 11, 12, 13, 14, 15)</t>
  </si>
  <si>
    <t>2.4.2. liels vienistabas divvietīgs numurs (telpa Nr. 8, 16)</t>
  </si>
  <si>
    <t>2.6.1. standarta vienvietīga istaba ar papildu ērtībām (Nr. 201, 235)</t>
  </si>
  <si>
    <t>2.6.2. liela vienvietīga istaba ar papildu ērtībām (Nr. 201a, 235a)</t>
  </si>
  <si>
    <t>2.6.3. standarta divvietīga istaba (Nr. 205, 216)</t>
  </si>
  <si>
    <t>2.6.5. piecvietīga istaba (Nr. 224, 228, 229, 230)</t>
  </si>
  <si>
    <t>2.6.7. papildu vieta divistabu divvietīgā numurā (5. stāvs)</t>
  </si>
  <si>
    <t>stundas / gadā</t>
  </si>
  <si>
    <t>euro / stundā</t>
  </si>
  <si>
    <t>2.3.2. vienistabas numurs ar divām gultasvietām (telpa Nr. 1, 2, 7)</t>
  </si>
  <si>
    <t>1.5. Semināru zāles noma Piestātnes ielā 14 k-1, Jūrmalā</t>
  </si>
  <si>
    <t>Maksas pakalpojuma vienību skaits noteiktā laikposmā (2 numuri x 110 diennaktis gadā)</t>
  </si>
  <si>
    <t>Maksas pakalpojuma vienību skaits noteiktā laikposmā (2 numuri x 10 mēneši gadā)</t>
  </si>
  <si>
    <t>Maksas pakalpojuma vienību skaits noteiktā laikposmā (2 istabas x 130 diennaktis gadā)</t>
  </si>
  <si>
    <t>Maksas pakalpojuma vienību skaits noteiktā laikposmā (2 istabas x 10 mēneši gadā)</t>
  </si>
  <si>
    <t>Maksas pakalpojuma vienību skaits noteiktā laikposmā (2 istabas x 2 gultasvietas x 100 diennaktis gadā)</t>
  </si>
  <si>
    <t>Maksas pakalpojuma vienību skaits noteiktā laikposmā (2 istabas x 2 gultasvietas x 10 mēneši gadā)</t>
  </si>
  <si>
    <t>Maksas pakalpojuma vienību skaits noteiktā laikposmā (66 istabas x 3 gultasvietas x 100 diennaktis gadā)</t>
  </si>
  <si>
    <t>Maksas pakalpojuma vienību skaits noteiktā laikposmā (66 istabas x 3 gultasvietas x 10 mēneši gadā)</t>
  </si>
  <si>
    <t>Maksas pakalpojuma vienību skaits noteiktā laikposmā (22 numuri x 2 gultas vietas x 90 diennaktis gadā)</t>
  </si>
  <si>
    <t>Maksas pakalpojuma vienību skaits noteiktā laikposmā (22 numuri x 2 gultas vietas x 8 mēneši gadā)</t>
  </si>
  <si>
    <t>Maksas pakalpojuma vienību skaits noteiktā laikposmā (80 diennaktis gadā)</t>
  </si>
  <si>
    <t>Maksas pakalpojuma vienību skaits noteiktā laikposmā (6 mēneši gadā)</t>
  </si>
  <si>
    <t>Maksas pakalpojuma vienību skaits noteiktā laikposmā (2 istabas x 2 gultas vieta x 90 diennaktis gadā)</t>
  </si>
  <si>
    <t>Maksas pakalpojuma vienību skaits noteiktā laikposmā (2 istabas x 2 gultasvietas x 8 mēneši gadā)</t>
  </si>
  <si>
    <t>Maksas pakalpojuma vienību skaits noteiktā laikposmā (35 istabas x 3 gultas vietas x 90 diennaktis  gadā)</t>
  </si>
  <si>
    <t>Maksas pakalpojuma vienību skaits noteiktā laikposmā (35 istabas x 3 gultasvieta x 8 mēneši gadā)</t>
  </si>
  <si>
    <t>Maksas pakalpojuma vienību skaits noteiktā laikposmā (2 numuri x 6 gultas vietas x 168 diennaktis gadā)</t>
  </si>
  <si>
    <t>Maksas pakalpojuma vienību skaits noteiktā laikposmā (2 numuri x 6 gultasvietas x 12 mēneši gadā)</t>
  </si>
  <si>
    <t>Maksas pakalpojuma vienību skaits noteiktā laikposmā (4 istabas x 5 gultasvietas x 130 diennaktis gadā)</t>
  </si>
  <si>
    <t>Maksas pakalpojuma vienību skaits noteiktā laikposmā (4 istabas x 5 gultasvietas x 10 mēneši gadā)</t>
  </si>
  <si>
    <t>Maksas pakalpojuma vienību skaits noteiktā laikposmā (4 numuri x 4 gultasvietas x 168 diennaktis gadā)</t>
  </si>
  <si>
    <t>Maksas pakalpojuma vienību skaits noteiktā laikposmā (4 numuri x 4 gultasvietas x 11 mēneši gadā)</t>
  </si>
  <si>
    <t>PVN 12%</t>
  </si>
  <si>
    <t>Iestāžu uzturēšanas materiāli un preces</t>
  </si>
  <si>
    <t>Piemaksas, prēmijas un naudas balvas</t>
  </si>
  <si>
    <t>Darba devēja izdevumi veselības, dzīvības un nelaimes gadījumu apdrošināšanai</t>
  </si>
  <si>
    <t>Darba devēja valsts sociālās apdrošināšanas obligātās iemaksas</t>
  </si>
  <si>
    <t>Mēnešalga</t>
  </si>
  <si>
    <t>Apkalpojošais personāls.</t>
  </si>
  <si>
    <t>Vadības, administrācijas, pārējo darbinieku atalgojums</t>
  </si>
  <si>
    <t xml:space="preserve">Vadības, administrācijas, pārējo darbinieku atalgojums. </t>
  </si>
  <si>
    <t>Apkalpojošais personāls</t>
  </si>
  <si>
    <t xml:space="preserve">Apkalpojošais personāls. </t>
  </si>
  <si>
    <t>Vadības, administrācijas, pārējo darbinieku atalgojums.</t>
  </si>
  <si>
    <t>Nedzīvojamo telpu noma Klusajā ielā 12, Rīgā</t>
  </si>
  <si>
    <r>
      <rPr>
        <b/>
        <i/>
        <sz val="12"/>
        <color theme="1"/>
        <rFont val="Times New Roman"/>
        <family val="1"/>
        <charset val="186"/>
      </rPr>
      <t>euro</t>
    </r>
    <r>
      <rPr>
        <b/>
        <sz val="12"/>
        <color theme="1"/>
        <rFont val="Times New Roman"/>
        <family val="1"/>
        <charset val="186"/>
      </rPr>
      <t xml:space="preserve"> / stundā</t>
    </r>
  </si>
  <si>
    <r>
      <t>Maksas pakalpojuma izcenojums diennaktī (</t>
    </r>
    <r>
      <rPr>
        <b/>
        <i/>
        <sz val="12"/>
        <color rgb="FF000000"/>
        <rFont val="Times New Roman"/>
        <family val="1"/>
        <charset val="186"/>
      </rPr>
      <t>euro</t>
    </r>
    <r>
      <rPr>
        <b/>
        <sz val="12"/>
        <color rgb="FF000000"/>
        <rFont val="Times New Roman"/>
        <family val="1"/>
        <charset val="186"/>
      </rPr>
      <t>) (pakalpojuma izmaksas kopā, dalītas ar maksas pakalpojuma vienību skaitu noteiktā laikposmā)</t>
    </r>
  </si>
  <si>
    <r>
      <rPr>
        <b/>
        <i/>
        <sz val="12"/>
        <color theme="1"/>
        <rFont val="Times New Roman"/>
        <family val="1"/>
        <charset val="186"/>
      </rPr>
      <t>euro</t>
    </r>
    <r>
      <rPr>
        <b/>
        <sz val="12"/>
        <color theme="1"/>
        <rFont val="Times New Roman"/>
        <family val="1"/>
        <charset val="186"/>
      </rPr>
      <t>, diennaktī par numuru</t>
    </r>
  </si>
  <si>
    <r>
      <rPr>
        <b/>
        <i/>
        <sz val="12"/>
        <color theme="1"/>
        <rFont val="Times New Roman"/>
        <family val="1"/>
        <charset val="186"/>
      </rPr>
      <t>euro</t>
    </r>
    <r>
      <rPr>
        <b/>
        <sz val="12"/>
        <color theme="1"/>
        <rFont val="Times New Roman"/>
        <family val="1"/>
        <charset val="186"/>
      </rPr>
      <t>, diennaktī par istabu</t>
    </r>
  </si>
  <si>
    <r>
      <rPr>
        <b/>
        <i/>
        <sz val="12"/>
        <color theme="1"/>
        <rFont val="Times New Roman"/>
        <family val="1"/>
        <charset val="186"/>
      </rPr>
      <t>euro</t>
    </r>
    <r>
      <rPr>
        <b/>
        <sz val="12"/>
        <color theme="1"/>
        <rFont val="Times New Roman"/>
        <family val="1"/>
        <charset val="186"/>
      </rPr>
      <t>, diennaktī par gultasvietu</t>
    </r>
  </si>
  <si>
    <r>
      <rPr>
        <b/>
        <i/>
        <sz val="12"/>
        <color theme="1"/>
        <rFont val="Times New Roman"/>
        <family val="1"/>
        <charset val="186"/>
      </rPr>
      <t>euro</t>
    </r>
    <r>
      <rPr>
        <b/>
        <sz val="12"/>
        <color theme="1"/>
        <rFont val="Times New Roman"/>
        <family val="1"/>
        <charset val="186"/>
      </rPr>
      <t>, diennaktī par papildvietu</t>
    </r>
  </si>
  <si>
    <r>
      <t>Maksas pakalpojuma izcenojums diennaktī par numuru (</t>
    </r>
    <r>
      <rPr>
        <b/>
        <i/>
        <sz val="12"/>
        <color rgb="FF000000"/>
        <rFont val="Times New Roman"/>
        <family val="1"/>
        <charset val="186"/>
      </rPr>
      <t>euro</t>
    </r>
    <r>
      <rPr>
        <b/>
        <sz val="12"/>
        <color rgb="FF000000"/>
        <rFont val="Times New Roman"/>
        <family val="1"/>
        <charset val="186"/>
      </rPr>
      <t>) (pakalpojuma izmaksas kopā, dalītas ar maksas pakalpojuma vienību skaitu noteiktā laikposmā)</t>
    </r>
  </si>
  <si>
    <r>
      <rPr>
        <b/>
        <i/>
        <sz val="12"/>
        <color theme="1"/>
        <rFont val="Times New Roman"/>
        <family val="1"/>
        <charset val="186"/>
      </rPr>
      <t>euro</t>
    </r>
    <r>
      <rPr>
        <b/>
        <sz val="12"/>
        <color theme="1"/>
        <rFont val="Times New Roman"/>
        <family val="1"/>
        <charset val="186"/>
      </rPr>
      <t xml:space="preserve">, diennaktī par numuru </t>
    </r>
  </si>
  <si>
    <r>
      <t>Maksas pakalpojuma izcenojums mēnesī par numuru (</t>
    </r>
    <r>
      <rPr>
        <b/>
        <i/>
        <sz val="12"/>
        <color theme="1"/>
        <rFont val="Times New Roman"/>
        <family val="1"/>
        <charset val="186"/>
      </rPr>
      <t>euro</t>
    </r>
    <r>
      <rPr>
        <b/>
        <sz val="12"/>
        <color theme="1"/>
        <rFont val="Times New Roman"/>
        <family val="1"/>
        <charset val="186"/>
      </rPr>
      <t>) (pakalpojuma izmaksas kopā, dalītas ar maksas pakalpojuma vienību skaitu noteiktā laikposmā)</t>
    </r>
  </si>
  <si>
    <r>
      <rPr>
        <b/>
        <i/>
        <sz val="12"/>
        <color theme="1"/>
        <rFont val="Times New Roman"/>
        <family val="1"/>
        <charset val="186"/>
      </rPr>
      <t>euro</t>
    </r>
    <r>
      <rPr>
        <b/>
        <sz val="12"/>
        <color theme="1"/>
        <rFont val="Times New Roman"/>
        <family val="1"/>
        <charset val="186"/>
      </rPr>
      <t>, mēnesī par numuru</t>
    </r>
  </si>
  <si>
    <r>
      <rPr>
        <b/>
        <i/>
        <sz val="12"/>
        <color theme="1"/>
        <rFont val="Times New Roman"/>
        <family val="1"/>
        <charset val="186"/>
      </rPr>
      <t>euro</t>
    </r>
    <r>
      <rPr>
        <b/>
        <sz val="12"/>
        <color theme="1"/>
        <rFont val="Times New Roman"/>
        <family val="1"/>
        <charset val="186"/>
      </rPr>
      <t>,  diennaktī par istabu</t>
    </r>
  </si>
  <si>
    <r>
      <t>Maksas pakalpojuma izcenojums mēnesī par gultasvietu (</t>
    </r>
    <r>
      <rPr>
        <b/>
        <i/>
        <sz val="12"/>
        <color theme="1"/>
        <rFont val="Times New Roman"/>
        <family val="1"/>
        <charset val="186"/>
      </rPr>
      <t>euro</t>
    </r>
    <r>
      <rPr>
        <b/>
        <sz val="12"/>
        <color theme="1"/>
        <rFont val="Times New Roman"/>
        <family val="1"/>
        <charset val="186"/>
      </rPr>
      <t>) (pakalpojuma izmaksas kopā, dalītas ar maksas pakalpojuma vienību skaitu noteiktā laikposmā)</t>
    </r>
  </si>
  <si>
    <r>
      <rPr>
        <b/>
        <i/>
        <sz val="11"/>
        <color theme="1"/>
        <rFont val="Times New Roman"/>
        <family val="1"/>
        <charset val="186"/>
      </rPr>
      <t>euro</t>
    </r>
    <r>
      <rPr>
        <b/>
        <sz val="11"/>
        <color theme="1"/>
        <rFont val="Times New Roman"/>
        <family val="1"/>
        <charset val="186"/>
      </rPr>
      <t>, mēnesī par gultasvietu</t>
    </r>
  </si>
  <si>
    <r>
      <rPr>
        <b/>
        <i/>
        <sz val="11"/>
        <color theme="1"/>
        <rFont val="Times New Roman"/>
        <family val="1"/>
        <charset val="186"/>
      </rPr>
      <t>euro</t>
    </r>
    <r>
      <rPr>
        <b/>
        <sz val="11"/>
        <color theme="1"/>
        <rFont val="Times New Roman"/>
        <family val="1"/>
        <charset val="186"/>
      </rPr>
      <t>, diennaktī par gultasvietu</t>
    </r>
  </si>
  <si>
    <r>
      <t>Maksas pakalpojuma izcenojums diennaktī par gultasvietu (</t>
    </r>
    <r>
      <rPr>
        <b/>
        <i/>
        <sz val="12"/>
        <color rgb="FF000000"/>
        <rFont val="Times New Roman"/>
        <family val="1"/>
        <charset val="186"/>
      </rPr>
      <t>euro</t>
    </r>
    <r>
      <rPr>
        <b/>
        <sz val="12"/>
        <color rgb="FF000000"/>
        <rFont val="Times New Roman"/>
        <family val="1"/>
        <charset val="186"/>
      </rPr>
      <t>) (pakalpojuma izmaksas kopā, dalītas ar maksas pakalpojuma vienību skaitu noteiktā laikposmā)</t>
    </r>
  </si>
  <si>
    <r>
      <rPr>
        <b/>
        <i/>
        <sz val="12"/>
        <color theme="1"/>
        <rFont val="Times New Roman"/>
        <family val="1"/>
        <charset val="186"/>
      </rPr>
      <t>euro</t>
    </r>
    <r>
      <rPr>
        <b/>
        <sz val="12"/>
        <color theme="1"/>
        <rFont val="Times New Roman"/>
        <family val="1"/>
        <charset val="186"/>
      </rPr>
      <t>,  mēnesī par istabu</t>
    </r>
  </si>
  <si>
    <r>
      <rPr>
        <b/>
        <i/>
        <sz val="12"/>
        <color theme="1"/>
        <rFont val="Times New Roman"/>
        <family val="1"/>
        <charset val="186"/>
      </rPr>
      <t>euro</t>
    </r>
    <r>
      <rPr>
        <b/>
        <sz val="12"/>
        <color theme="1"/>
        <rFont val="Times New Roman"/>
        <family val="1"/>
        <charset val="186"/>
      </rPr>
      <t>, mēnesī par gultasvietu</t>
    </r>
  </si>
  <si>
    <r>
      <rPr>
        <b/>
        <i/>
        <sz val="12"/>
        <color theme="1"/>
        <rFont val="Times New Roman"/>
        <family val="1"/>
        <charset val="186"/>
      </rPr>
      <t>euro</t>
    </r>
    <r>
      <rPr>
        <b/>
        <sz val="12"/>
        <color theme="1"/>
        <rFont val="Times New Roman"/>
        <family val="1"/>
        <charset val="186"/>
      </rPr>
      <t>, par gultasvietu diennaktī</t>
    </r>
  </si>
  <si>
    <r>
      <rPr>
        <b/>
        <i/>
        <sz val="12"/>
        <color theme="1"/>
        <rFont val="Times New Roman"/>
        <family val="1"/>
        <charset val="186"/>
      </rPr>
      <t>euro</t>
    </r>
    <r>
      <rPr>
        <b/>
        <sz val="12"/>
        <color theme="1"/>
        <rFont val="Times New Roman"/>
        <family val="1"/>
        <charset val="186"/>
      </rPr>
      <t xml:space="preserve">, mēnesī par gultasvietu </t>
    </r>
  </si>
  <si>
    <r>
      <rPr>
        <b/>
        <i/>
        <sz val="12"/>
        <color theme="1"/>
        <rFont val="Times New Roman"/>
        <family val="1"/>
        <charset val="186"/>
      </rPr>
      <t>euro</t>
    </r>
    <r>
      <rPr>
        <b/>
        <sz val="12"/>
        <color theme="1"/>
        <rFont val="Times New Roman"/>
        <family val="1"/>
        <charset val="186"/>
      </rPr>
      <t>,  diennaktī par gultasvietu</t>
    </r>
  </si>
  <si>
    <r>
      <rPr>
        <b/>
        <i/>
        <sz val="12"/>
        <color theme="1"/>
        <rFont val="Times New Roman"/>
        <family val="1"/>
        <charset val="186"/>
      </rPr>
      <t>euro</t>
    </r>
    <r>
      <rPr>
        <b/>
        <sz val="12"/>
        <color theme="1"/>
        <rFont val="Times New Roman"/>
        <family val="1"/>
        <charset val="186"/>
      </rPr>
      <t>, mēnesī par papildvietu</t>
    </r>
  </si>
  <si>
    <r>
      <rPr>
        <b/>
        <i/>
        <sz val="12"/>
        <color theme="1"/>
        <rFont val="Times New Roman"/>
        <family val="1"/>
        <charset val="186"/>
      </rPr>
      <t>euro</t>
    </r>
    <r>
      <rPr>
        <b/>
        <sz val="12"/>
        <color theme="1"/>
        <rFont val="Times New Roman"/>
        <family val="1"/>
        <charset val="186"/>
      </rPr>
      <t>,  mēnesī par gultasvietu</t>
    </r>
  </si>
  <si>
    <r>
      <rPr>
        <b/>
        <i/>
        <sz val="12"/>
        <color theme="1"/>
        <rFont val="Times New Roman"/>
        <family val="1"/>
        <charset val="186"/>
      </rPr>
      <t>euro</t>
    </r>
    <r>
      <rPr>
        <b/>
        <sz val="12"/>
        <color theme="1"/>
        <rFont val="Times New Roman"/>
        <family val="1"/>
        <charset val="186"/>
      </rPr>
      <t>, diennaktī  par gultasvietu</t>
    </r>
  </si>
  <si>
    <r>
      <rPr>
        <b/>
        <i/>
        <sz val="12"/>
        <color theme="1"/>
        <rFont val="Times New Roman"/>
        <family val="1"/>
        <charset val="186"/>
      </rPr>
      <t>euro</t>
    </r>
    <r>
      <rPr>
        <b/>
        <sz val="12"/>
        <color theme="1"/>
        <rFont val="Times New Roman"/>
        <family val="1"/>
        <charset val="186"/>
      </rPr>
      <t xml:space="preserve">, diennaktī par gultasvietu </t>
    </r>
  </si>
  <si>
    <r>
      <t xml:space="preserve">Nekustamā īpašuma nodoklis 4 426,37 </t>
    </r>
    <r>
      <rPr>
        <i/>
        <sz val="12"/>
        <color theme="1"/>
        <rFont val="Times New Roman"/>
        <family val="1"/>
        <charset val="186"/>
      </rPr>
      <t>euro</t>
    </r>
    <r>
      <rPr>
        <sz val="12"/>
        <color theme="1"/>
        <rFont val="Times New Roman"/>
        <family val="1"/>
        <charset val="186"/>
      </rPr>
      <t xml:space="preserve"> gadā x 0.021 (iznomātās platības koeficients) = 92,95 </t>
    </r>
    <r>
      <rPr>
        <i/>
        <sz val="12"/>
        <color theme="1"/>
        <rFont val="Times New Roman"/>
        <family val="1"/>
        <charset val="186"/>
      </rPr>
      <t>euro.</t>
    </r>
  </si>
  <si>
    <r>
      <t xml:space="preserve">Asfalta un bruģa seguma amortizācija 2 314,44 </t>
    </r>
    <r>
      <rPr>
        <i/>
        <sz val="12"/>
        <color theme="1"/>
        <rFont val="Times New Roman"/>
        <family val="1"/>
        <charset val="186"/>
      </rPr>
      <t>euro</t>
    </r>
    <r>
      <rPr>
        <sz val="12"/>
        <color theme="1"/>
        <rFont val="Times New Roman"/>
        <family val="1"/>
        <charset val="186"/>
      </rPr>
      <t xml:space="preserve"> gadā x 0.021 (iznomātās platības koeficients) = 48,60 </t>
    </r>
    <r>
      <rPr>
        <i/>
        <sz val="12"/>
        <color theme="1"/>
        <rFont val="Times New Roman"/>
        <family val="1"/>
        <charset val="186"/>
      </rPr>
      <t>euro.</t>
    </r>
  </si>
  <si>
    <r>
      <rPr>
        <b/>
        <i/>
        <sz val="12"/>
        <color theme="1"/>
        <rFont val="Times New Roman"/>
        <family val="1"/>
        <charset val="186"/>
      </rPr>
      <t>euro</t>
    </r>
    <r>
      <rPr>
        <b/>
        <sz val="12"/>
        <color theme="1"/>
        <rFont val="Times New Roman"/>
        <family val="1"/>
        <charset val="186"/>
      </rPr>
      <t>,  mēnesī par numuru</t>
    </r>
  </si>
  <si>
    <t>2.1.3. vienistabas divvietīgs numurs (telpa Nr. 15, 27, 28)</t>
  </si>
  <si>
    <t>2.6.9. trīsvietīga istaba (4.stāvs)</t>
  </si>
  <si>
    <t>2.6.8. divvietīga istaba (4. stāvs)</t>
  </si>
  <si>
    <t>2.6.6. divistabu divvietīgs numurs ar papildus ērtībām (5. stāvs)</t>
  </si>
  <si>
    <t>2.6.4. trīsvietīga istaba (2. un 3.stāvs)</t>
  </si>
  <si>
    <t>trīsvietīga istaba</t>
  </si>
  <si>
    <t>vienvietīga istaba</t>
  </si>
  <si>
    <t>Maksas pakalpojuma vienību skaits noteiktā laikposmā (2 istabas x 168 diennaktis gadā)</t>
  </si>
  <si>
    <t>Maksas pakalpojuma vienību skaits noteiktā laikposmā (2 istabas x 11 mēneši)</t>
  </si>
  <si>
    <t>2.8.1. vienvietīga istaba</t>
  </si>
  <si>
    <t>Maksas pakalpojuma vienību skaits noteiktā laikposmā (12 istabas x 3 gultasvietas x 108 diennaktis gadā)</t>
  </si>
  <si>
    <t>Maksas pakalpojuma vienību skaits noteiktā laikposmā (12 istabas x 3 gultasvietas x 8 mēneši gadā)</t>
  </si>
  <si>
    <t>2.8.2. trīsvietīga istaba</t>
  </si>
  <si>
    <t>Papildu vieta viesnīcā Piestātnes ielā 14, Jūrmalā</t>
  </si>
  <si>
    <t>1.2.2. sporta zāles noma grupai no 16 cilvēkiem</t>
  </si>
  <si>
    <t>2.1.2. vienistabas divvietīgs numurs (telpa Nr. 9, 33, 46)</t>
  </si>
  <si>
    <t>2.1.1. liels vienistabas divvietīgs numurs (telpa Nr. 7, 8, 10)</t>
  </si>
  <si>
    <t xml:space="preserve">2.6. Dienesta viesnīcas pakalpojumi Ezermalas ielā 8A, Rīgā </t>
  </si>
  <si>
    <t>Pamatlīdzekļu un ieguldījuma īpašumu izveidošana un nepabeigtā būvniecība</t>
  </si>
  <si>
    <r>
      <t xml:space="preserve">Izdevumi par apkuri 7 834,49 </t>
    </r>
    <r>
      <rPr>
        <i/>
        <sz val="12"/>
        <color theme="1"/>
        <rFont val="Times New Roman"/>
        <family val="1"/>
        <charset val="186"/>
      </rPr>
      <t>euro gadā</t>
    </r>
    <r>
      <rPr>
        <sz val="12"/>
        <color theme="1"/>
        <rFont val="Times New Roman"/>
        <family val="1"/>
        <charset val="186"/>
      </rPr>
      <t xml:space="preserve"> * 0.45 (pakalpojuma īpatsvars kopējos ēkā sniegtajos maksas pakalpojumos) = 3 525,52 </t>
    </r>
    <r>
      <rPr>
        <i/>
        <sz val="12"/>
        <color theme="1"/>
        <rFont val="Times New Roman"/>
        <family val="1"/>
        <charset val="186"/>
      </rPr>
      <t>euro.</t>
    </r>
  </si>
  <si>
    <r>
      <t xml:space="preserve">Izdevumi par elektroenerģiju 7 114,60 </t>
    </r>
    <r>
      <rPr>
        <i/>
        <sz val="12"/>
        <color theme="1"/>
        <rFont val="Times New Roman"/>
        <family val="1"/>
        <charset val="186"/>
      </rPr>
      <t>euro gadā</t>
    </r>
    <r>
      <rPr>
        <sz val="12"/>
        <color theme="1"/>
        <rFont val="Times New Roman"/>
        <family val="1"/>
        <charset val="186"/>
      </rPr>
      <t xml:space="preserve"> * 0.45 (pakalpojuma īpatsvars kopējos ēkā sniegtajos maksas pakalpojumos) = 3 201,57 </t>
    </r>
    <r>
      <rPr>
        <i/>
        <sz val="12"/>
        <color theme="1"/>
        <rFont val="Times New Roman"/>
        <family val="1"/>
        <charset val="186"/>
      </rPr>
      <t>euro.</t>
    </r>
  </si>
  <si>
    <r>
      <t xml:space="preserve">Izdevumi par atkritumu izvešanu 397,19 </t>
    </r>
    <r>
      <rPr>
        <i/>
        <sz val="12"/>
        <color theme="1"/>
        <rFont val="Times New Roman"/>
        <family val="1"/>
        <charset val="186"/>
      </rPr>
      <t>euro gadā</t>
    </r>
    <r>
      <rPr>
        <sz val="12"/>
        <color theme="1"/>
        <rFont val="Times New Roman"/>
        <family val="1"/>
        <charset val="186"/>
      </rPr>
      <t xml:space="preserve"> * 0.45 (pakalpojuma īpatsvars kopējos ēkā sniegtajos maksas pakalpojumos) = 178,74 </t>
    </r>
    <r>
      <rPr>
        <i/>
        <sz val="12"/>
        <color theme="1"/>
        <rFont val="Times New Roman"/>
        <family val="1"/>
        <charset val="186"/>
      </rPr>
      <t>euro.</t>
    </r>
  </si>
  <si>
    <r>
      <t xml:space="preserve">Piekļuves kontroles, ēku kompleksa sistēmu apkope, ventilācijas iekārtu un citu iekārtu apkope un remonts, avāriju bojājumu novēršanas izdevumi 1 492,24 </t>
    </r>
    <r>
      <rPr>
        <i/>
        <sz val="12"/>
        <color theme="1"/>
        <rFont val="Times New Roman"/>
        <family val="1"/>
        <charset val="186"/>
      </rPr>
      <t>euro gadā</t>
    </r>
    <r>
      <rPr>
        <sz val="12"/>
        <color theme="1"/>
        <rFont val="Times New Roman"/>
        <family val="1"/>
        <charset val="186"/>
      </rPr>
      <t xml:space="preserve"> * 0.45 (pakalpojuma īpatsvars kopējos ēkā sniegtajos maksas pakalpojumos) = 671,51 </t>
    </r>
    <r>
      <rPr>
        <i/>
        <sz val="12"/>
        <color theme="1"/>
        <rFont val="Times New Roman"/>
        <family val="1"/>
        <charset val="186"/>
      </rPr>
      <t>euro.</t>
    </r>
  </si>
  <si>
    <r>
      <t xml:space="preserve">Telpu, teritorijas uzkopšanas, apsardzes, apsaimniekošanas, apdrošināšanas izdevumi  6 888,83 </t>
    </r>
    <r>
      <rPr>
        <i/>
        <sz val="12"/>
        <color theme="1"/>
        <rFont val="Times New Roman"/>
        <family val="1"/>
        <charset val="186"/>
      </rPr>
      <t>euro gadā</t>
    </r>
    <r>
      <rPr>
        <sz val="12"/>
        <color theme="1"/>
        <rFont val="Times New Roman"/>
        <family val="1"/>
        <charset val="186"/>
      </rPr>
      <t xml:space="preserve"> * 0.45 (pakalpojuma īpatsvars kopējos ēkā sniegtajos maksas pakalpojumos) = 3 099,97 </t>
    </r>
    <r>
      <rPr>
        <i/>
        <sz val="12"/>
        <color theme="1"/>
        <rFont val="Times New Roman"/>
        <family val="1"/>
        <charset val="186"/>
      </rPr>
      <t>euro.</t>
    </r>
  </si>
  <si>
    <r>
      <t xml:space="preserve">Inventāra iegādes izdevumi 27,01 </t>
    </r>
    <r>
      <rPr>
        <i/>
        <sz val="12"/>
        <color theme="1"/>
        <rFont val="Times New Roman"/>
        <family val="1"/>
        <charset val="186"/>
      </rPr>
      <t>euro gadā</t>
    </r>
    <r>
      <rPr>
        <sz val="12"/>
        <color theme="1"/>
        <rFont val="Times New Roman"/>
        <family val="1"/>
        <charset val="186"/>
      </rPr>
      <t xml:space="preserve"> * 0.45 (pakalpojuma īpatsvars kopējos ēkā sniegtajos pakalpojumos) = 12,15 </t>
    </r>
    <r>
      <rPr>
        <i/>
        <sz val="12"/>
        <color theme="1"/>
        <rFont val="Times New Roman"/>
        <family val="1"/>
        <charset val="186"/>
      </rPr>
      <t>euro.</t>
    </r>
  </si>
  <si>
    <r>
      <t xml:space="preserve">Saimniecības inventāra un materiālu iegādes izdevumi 92,79 </t>
    </r>
    <r>
      <rPr>
        <i/>
        <sz val="12"/>
        <color theme="1"/>
        <rFont val="Times New Roman"/>
        <family val="1"/>
        <charset val="186"/>
      </rPr>
      <t>euro gadā</t>
    </r>
    <r>
      <rPr>
        <sz val="12"/>
        <color theme="1"/>
        <rFont val="Times New Roman"/>
        <family val="1"/>
        <charset val="186"/>
      </rPr>
      <t xml:space="preserve"> * 0.45 (pakalpojuma īpatsvars kopējos ēkā sniegtajos pakalpojumos) = 41,76 </t>
    </r>
    <r>
      <rPr>
        <i/>
        <sz val="12"/>
        <color theme="1"/>
        <rFont val="Times New Roman"/>
        <family val="1"/>
        <charset val="186"/>
      </rPr>
      <t xml:space="preserve">euro. </t>
    </r>
  </si>
  <si>
    <r>
      <t xml:space="preserve">Nekustamā īpašuma nodoklis 271,68 </t>
    </r>
    <r>
      <rPr>
        <i/>
        <sz val="12"/>
        <color theme="1"/>
        <rFont val="Times New Roman"/>
        <family val="1"/>
        <charset val="186"/>
      </rPr>
      <t xml:space="preserve">euro </t>
    </r>
    <r>
      <rPr>
        <sz val="12"/>
        <color theme="1"/>
        <rFont val="Times New Roman"/>
        <family val="1"/>
        <charset val="186"/>
      </rPr>
      <t>gadā</t>
    </r>
    <r>
      <rPr>
        <i/>
        <sz val="12"/>
        <color theme="1"/>
        <rFont val="Times New Roman"/>
        <family val="1"/>
        <charset val="186"/>
      </rPr>
      <t xml:space="preserve"> </t>
    </r>
    <r>
      <rPr>
        <sz val="12"/>
        <color theme="1"/>
        <rFont val="Times New Roman"/>
        <family val="1"/>
        <charset val="186"/>
      </rPr>
      <t xml:space="preserve"> * 0.45 (pakalpojuma īpatsvars kopējos ēkā sniegtajos maksas pakalpojumos) = 122,26 </t>
    </r>
    <r>
      <rPr>
        <i/>
        <sz val="12"/>
        <color theme="1"/>
        <rFont val="Times New Roman"/>
        <family val="1"/>
        <charset val="186"/>
      </rPr>
      <t>euro.</t>
    </r>
  </si>
  <si>
    <r>
      <t xml:space="preserve">Izdevumi par apkuri 7 834,49 </t>
    </r>
    <r>
      <rPr>
        <i/>
        <sz val="12"/>
        <color theme="1"/>
        <rFont val="Times New Roman"/>
        <family val="1"/>
        <charset val="186"/>
      </rPr>
      <t>euro</t>
    </r>
    <r>
      <rPr>
        <sz val="12"/>
        <color theme="1"/>
        <rFont val="Times New Roman"/>
        <family val="1"/>
        <charset val="186"/>
      </rPr>
      <t xml:space="preserve"> * 0.077 (pakalpojuma īpatsvars kopējos ēkā sniegtajos maksas pakalpojumos) = 603,26 </t>
    </r>
    <r>
      <rPr>
        <i/>
        <sz val="12"/>
        <color theme="1"/>
        <rFont val="Times New Roman"/>
        <family val="1"/>
        <charset val="186"/>
      </rPr>
      <t>euro</t>
    </r>
    <r>
      <rPr>
        <sz val="12"/>
        <color theme="1"/>
        <rFont val="Times New Roman"/>
        <family val="1"/>
        <charset val="186"/>
      </rPr>
      <t>.</t>
    </r>
  </si>
  <si>
    <r>
      <t xml:space="preserve">Izdevumi par elektroenerģiju 7 114,60 </t>
    </r>
    <r>
      <rPr>
        <i/>
        <sz val="12"/>
        <color theme="1"/>
        <rFont val="Times New Roman"/>
        <family val="1"/>
        <charset val="186"/>
      </rPr>
      <t>euro</t>
    </r>
    <r>
      <rPr>
        <sz val="12"/>
        <color theme="1"/>
        <rFont val="Times New Roman"/>
        <family val="1"/>
        <charset val="186"/>
      </rPr>
      <t xml:space="preserve"> * 0.077 (pakalpojuma īpatsvars kopējos ēkā sniegtajos maksas pakalpojumos) = 547,82 </t>
    </r>
    <r>
      <rPr>
        <i/>
        <sz val="12"/>
        <color theme="1"/>
        <rFont val="Times New Roman"/>
        <family val="1"/>
        <charset val="186"/>
      </rPr>
      <t>euro</t>
    </r>
    <r>
      <rPr>
        <sz val="12"/>
        <color theme="1"/>
        <rFont val="Times New Roman"/>
        <family val="1"/>
        <charset val="186"/>
      </rPr>
      <t>.</t>
    </r>
  </si>
  <si>
    <r>
      <t xml:space="preserve">Izdevumi par atkritumu izvešanu 397,19 </t>
    </r>
    <r>
      <rPr>
        <i/>
        <sz val="12"/>
        <color theme="1"/>
        <rFont val="Times New Roman"/>
        <family val="1"/>
        <charset val="186"/>
      </rPr>
      <t>euro</t>
    </r>
    <r>
      <rPr>
        <sz val="12"/>
        <color theme="1"/>
        <rFont val="Times New Roman"/>
        <family val="1"/>
        <charset val="186"/>
      </rPr>
      <t xml:space="preserve"> * 0.077 (pakalpojuma īpatsvars kopējos ēkā sniegtajos maksas pakalpojumos) =  30,58 </t>
    </r>
    <r>
      <rPr>
        <i/>
        <sz val="12"/>
        <color theme="1"/>
        <rFont val="Times New Roman"/>
        <family val="1"/>
        <charset val="186"/>
      </rPr>
      <t>euro</t>
    </r>
    <r>
      <rPr>
        <sz val="12"/>
        <color theme="1"/>
        <rFont val="Times New Roman"/>
        <family val="1"/>
        <charset val="186"/>
      </rPr>
      <t>.</t>
    </r>
  </si>
  <si>
    <r>
      <t xml:space="preserve">Piekļuves kontroles, ēku kompleksa sistēmu apkope, ventilācijas iekārtu un citu iekārtu apkope un remonts, avāriju bojājumu novēršanas izdevumi 1 492,24 </t>
    </r>
    <r>
      <rPr>
        <i/>
        <sz val="12"/>
        <color theme="1"/>
        <rFont val="Times New Roman"/>
        <family val="1"/>
        <charset val="186"/>
      </rPr>
      <t>euro</t>
    </r>
    <r>
      <rPr>
        <sz val="12"/>
        <color theme="1"/>
        <rFont val="Times New Roman"/>
        <family val="1"/>
        <charset val="186"/>
      </rPr>
      <t xml:space="preserve"> * 0.077 (pakalpojuma īpatsvars kopējos ēkā sniegtajos maksas pakalpojumos) = 114,90 </t>
    </r>
    <r>
      <rPr>
        <i/>
        <sz val="12"/>
        <color theme="1"/>
        <rFont val="Times New Roman"/>
        <family val="1"/>
        <charset val="186"/>
      </rPr>
      <t>euro</t>
    </r>
    <r>
      <rPr>
        <sz val="12"/>
        <color theme="1"/>
        <rFont val="Times New Roman"/>
        <family val="1"/>
        <charset val="186"/>
      </rPr>
      <t>.</t>
    </r>
  </si>
  <si>
    <r>
      <t xml:space="preserve">Telpu, teritorijas uzkopšana, apsardze, apsaimniekošana, apdrošināšanas izdevumi  6 888,83 </t>
    </r>
    <r>
      <rPr>
        <i/>
        <sz val="12"/>
        <color theme="1"/>
        <rFont val="Times New Roman"/>
        <family val="1"/>
        <charset val="186"/>
      </rPr>
      <t>euro</t>
    </r>
    <r>
      <rPr>
        <sz val="12"/>
        <color theme="1"/>
        <rFont val="Times New Roman"/>
        <family val="1"/>
        <charset val="186"/>
      </rPr>
      <t xml:space="preserve"> * 0.077 (pakalpojuma īpatsvars kopējos ēkā sniegtajos maksas pakalpojumos) = 530,44 </t>
    </r>
    <r>
      <rPr>
        <i/>
        <sz val="12"/>
        <color theme="1"/>
        <rFont val="Times New Roman"/>
        <family val="1"/>
        <charset val="186"/>
      </rPr>
      <t>euro.</t>
    </r>
  </si>
  <si>
    <r>
      <t xml:space="preserve">Inventāra iegādes izdevumi 27,01 </t>
    </r>
    <r>
      <rPr>
        <i/>
        <sz val="12"/>
        <color theme="1"/>
        <rFont val="Times New Roman"/>
        <family val="1"/>
        <charset val="186"/>
      </rPr>
      <t>euro</t>
    </r>
    <r>
      <rPr>
        <sz val="12"/>
        <color theme="1"/>
        <rFont val="Times New Roman"/>
        <family val="1"/>
        <charset val="186"/>
      </rPr>
      <t xml:space="preserve"> * 0.077 (pakalpojuma īpatsvars kopējos ēkā sniegtajos pakalpojumos) = 2,08 </t>
    </r>
    <r>
      <rPr>
        <i/>
        <sz val="12"/>
        <color theme="1"/>
        <rFont val="Times New Roman"/>
        <family val="1"/>
        <charset val="186"/>
      </rPr>
      <t>euro</t>
    </r>
    <r>
      <rPr>
        <sz val="12"/>
        <color theme="1"/>
        <rFont val="Times New Roman"/>
        <family val="1"/>
        <charset val="186"/>
      </rPr>
      <t>.</t>
    </r>
  </si>
  <si>
    <r>
      <t xml:space="preserve">Saimniecības inventāra un materiālu iegādes izdevumi 92,79 </t>
    </r>
    <r>
      <rPr>
        <i/>
        <sz val="12"/>
        <color theme="1"/>
        <rFont val="Times New Roman"/>
        <family val="1"/>
        <charset val="186"/>
      </rPr>
      <t>euro</t>
    </r>
    <r>
      <rPr>
        <sz val="12"/>
        <color theme="1"/>
        <rFont val="Times New Roman"/>
        <family val="1"/>
        <charset val="186"/>
      </rPr>
      <t xml:space="preserve"> * 0.077 (pakalpojuma īpatsvars kopējos ēkā sniegtajos pakalpojumos) = 7,14 </t>
    </r>
    <r>
      <rPr>
        <i/>
        <sz val="12"/>
        <color theme="1"/>
        <rFont val="Times New Roman"/>
        <family val="1"/>
        <charset val="186"/>
      </rPr>
      <t>euro</t>
    </r>
    <r>
      <rPr>
        <sz val="12"/>
        <color theme="1"/>
        <rFont val="Times New Roman"/>
        <family val="1"/>
        <charset val="186"/>
      </rPr>
      <t>.</t>
    </r>
  </si>
  <si>
    <r>
      <t xml:space="preserve">Nekustamā īpašuma nodoklis 271,68 </t>
    </r>
    <r>
      <rPr>
        <i/>
        <sz val="12"/>
        <color theme="1"/>
        <rFont val="Times New Roman"/>
        <family val="1"/>
        <charset val="186"/>
      </rPr>
      <t>euro</t>
    </r>
    <r>
      <rPr>
        <sz val="12"/>
        <color theme="1"/>
        <rFont val="Times New Roman"/>
        <family val="1"/>
        <charset val="186"/>
      </rPr>
      <t xml:space="preserve"> * 0.077 (pakalpojuma īpatsvars kopējos ēkā sniegtajos maksas pakalpojumos) = 20,92 </t>
    </r>
    <r>
      <rPr>
        <i/>
        <sz val="12"/>
        <color theme="1"/>
        <rFont val="Times New Roman"/>
        <family val="1"/>
        <charset val="186"/>
      </rPr>
      <t>euro</t>
    </r>
    <r>
      <rPr>
        <sz val="12"/>
        <color theme="1"/>
        <rFont val="Times New Roman"/>
        <family val="1"/>
        <charset val="186"/>
      </rPr>
      <t>.</t>
    </r>
  </si>
  <si>
    <r>
      <t xml:space="preserve">Izdevumi par apkuri 4 970,33 </t>
    </r>
    <r>
      <rPr>
        <i/>
        <sz val="12"/>
        <color theme="1"/>
        <rFont val="Times New Roman"/>
        <family val="1"/>
        <charset val="186"/>
      </rPr>
      <t>euro</t>
    </r>
    <r>
      <rPr>
        <sz val="12"/>
        <color theme="1"/>
        <rFont val="Times New Roman"/>
        <family val="1"/>
        <charset val="186"/>
      </rPr>
      <t xml:space="preserve"> gadā * 0.944 (iznomātās platības koeficients) = 4 691,99 </t>
    </r>
    <r>
      <rPr>
        <i/>
        <sz val="12"/>
        <color theme="1"/>
        <rFont val="Times New Roman"/>
        <family val="1"/>
        <charset val="186"/>
      </rPr>
      <t>euro.</t>
    </r>
  </si>
  <si>
    <r>
      <t xml:space="preserve">Izdevumi par ūdeni un kanalizāciju 563,30 </t>
    </r>
    <r>
      <rPr>
        <i/>
        <sz val="12"/>
        <color theme="1"/>
        <rFont val="Times New Roman"/>
        <family val="1"/>
        <charset val="186"/>
      </rPr>
      <t>euro</t>
    </r>
    <r>
      <rPr>
        <sz val="12"/>
        <color theme="1"/>
        <rFont val="Times New Roman"/>
        <family val="1"/>
        <charset val="186"/>
      </rPr>
      <t xml:space="preserve"> gadā * 0.944 (iznomātās platības koeficients) = 531,76 </t>
    </r>
    <r>
      <rPr>
        <i/>
        <sz val="12"/>
        <color theme="1"/>
        <rFont val="Times New Roman"/>
        <family val="1"/>
        <charset val="186"/>
      </rPr>
      <t>euro.</t>
    </r>
  </si>
  <si>
    <r>
      <t xml:space="preserve">Izdevumi par elektroenerģiju 2 547,54 euro gadā * 0.944 (iznomātās platības koeficients) = 2 404,88 </t>
    </r>
    <r>
      <rPr>
        <i/>
        <sz val="12"/>
        <color theme="1"/>
        <rFont val="Times New Roman"/>
        <family val="1"/>
        <charset val="186"/>
      </rPr>
      <t>euro</t>
    </r>
    <r>
      <rPr>
        <sz val="12"/>
        <color theme="1"/>
        <rFont val="Times New Roman"/>
        <family val="1"/>
        <charset val="186"/>
      </rPr>
      <t>.</t>
    </r>
  </si>
  <si>
    <r>
      <t xml:space="preserve">Izdevumi par atkritumu izvešanu 474,81 </t>
    </r>
    <r>
      <rPr>
        <i/>
        <sz val="12"/>
        <color theme="1"/>
        <rFont val="Times New Roman"/>
        <family val="1"/>
        <charset val="186"/>
      </rPr>
      <t>euro</t>
    </r>
    <r>
      <rPr>
        <sz val="12"/>
        <color theme="1"/>
        <rFont val="Times New Roman"/>
        <family val="1"/>
        <charset val="186"/>
      </rPr>
      <t xml:space="preserve"> gadā * 0.944 (iznomātās platības koeficients) = 448,22 </t>
    </r>
    <r>
      <rPr>
        <i/>
        <sz val="12"/>
        <color theme="1"/>
        <rFont val="Times New Roman"/>
        <family val="1"/>
        <charset val="186"/>
      </rPr>
      <t>euro</t>
    </r>
    <r>
      <rPr>
        <sz val="12"/>
        <color theme="1"/>
        <rFont val="Times New Roman"/>
        <family val="1"/>
        <charset val="186"/>
      </rPr>
      <t>.</t>
    </r>
  </si>
  <si>
    <r>
      <t xml:space="preserve">Kārtējā remonta izdevumi 1 608,90 </t>
    </r>
    <r>
      <rPr>
        <i/>
        <sz val="12"/>
        <color theme="1"/>
        <rFont val="Times New Roman"/>
        <family val="1"/>
        <charset val="186"/>
      </rPr>
      <t>euro</t>
    </r>
    <r>
      <rPr>
        <sz val="12"/>
        <color theme="1"/>
        <rFont val="Times New Roman"/>
        <family val="1"/>
        <charset val="186"/>
      </rPr>
      <t xml:space="preserve"> gadā * 0.944 (iznomātās platības koeficients) = 1 518,80 </t>
    </r>
    <r>
      <rPr>
        <i/>
        <sz val="12"/>
        <color theme="1"/>
        <rFont val="Times New Roman"/>
        <family val="1"/>
        <charset val="186"/>
      </rPr>
      <t>euro</t>
    </r>
    <r>
      <rPr>
        <sz val="12"/>
        <color theme="1"/>
        <rFont val="Times New Roman"/>
        <family val="1"/>
        <charset val="186"/>
      </rPr>
      <t>.</t>
    </r>
  </si>
  <si>
    <r>
      <t xml:space="preserve">Ugunsdzēsības aparātu pārbaude, Apkures sistēmas apkope, uzturēšana, ventilācijas iekārtu apkope, uzturēšana un citu iekārtu apkope un remonts, avāriju bojājumu novēršanas izdevumi 294,20 euro gadā * 0.944 (iznomātās platības koeficients) = 277,72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</si>
  <si>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izmaksas 6 413,50 </t>
    </r>
    <r>
      <rPr>
        <i/>
        <sz val="12"/>
        <color theme="1"/>
        <rFont val="Times New Roman"/>
        <family val="1"/>
        <charset val="186"/>
      </rPr>
      <t>euro</t>
    </r>
    <r>
      <rPr>
        <sz val="12"/>
        <color theme="1"/>
        <rFont val="Times New Roman"/>
        <family val="1"/>
        <charset val="186"/>
      </rPr>
      <t xml:space="preserve"> gadā 0.944 (iznomātās platības koeficients) = 6 054,34 </t>
    </r>
    <r>
      <rPr>
        <i/>
        <sz val="12"/>
        <color theme="1"/>
        <rFont val="Times New Roman"/>
        <family val="1"/>
        <charset val="186"/>
      </rPr>
      <t>euro</t>
    </r>
    <r>
      <rPr>
        <sz val="12"/>
        <color theme="1"/>
        <rFont val="Times New Roman"/>
        <family val="1"/>
        <charset val="186"/>
      </rPr>
      <t>.</t>
    </r>
  </si>
  <si>
    <r>
      <t xml:space="preserve">Inventāra iegādes izdevumi 2,42 </t>
    </r>
    <r>
      <rPr>
        <i/>
        <sz val="12"/>
        <color theme="1"/>
        <rFont val="Times New Roman"/>
        <family val="1"/>
        <charset val="186"/>
      </rPr>
      <t>euro</t>
    </r>
    <r>
      <rPr>
        <sz val="12"/>
        <color theme="1"/>
        <rFont val="Times New Roman"/>
        <family val="1"/>
        <charset val="186"/>
      </rPr>
      <t xml:space="preserve"> gadā * 0.944 (iznomātās platības koeficients) = 2,28 </t>
    </r>
    <r>
      <rPr>
        <i/>
        <sz val="12"/>
        <color theme="1"/>
        <rFont val="Times New Roman"/>
        <family val="1"/>
        <charset val="186"/>
      </rPr>
      <t>euro.</t>
    </r>
  </si>
  <si>
    <r>
      <t xml:space="preserve">Nekustamā īpašuma nodoklis 374,42 </t>
    </r>
    <r>
      <rPr>
        <i/>
        <sz val="12"/>
        <color theme="1"/>
        <rFont val="Times New Roman"/>
        <family val="1"/>
        <charset val="186"/>
      </rPr>
      <t>euro</t>
    </r>
    <r>
      <rPr>
        <sz val="12"/>
        <color theme="1"/>
        <rFont val="Times New Roman"/>
        <family val="1"/>
        <charset val="186"/>
      </rPr>
      <t xml:space="preserve"> gadā * 0.944 (iznomātās platības koeficients) = 353,45 </t>
    </r>
    <r>
      <rPr>
        <i/>
        <sz val="12"/>
        <color theme="1"/>
        <rFont val="Times New Roman"/>
        <family val="1"/>
        <charset val="186"/>
      </rPr>
      <t>euro.</t>
    </r>
  </si>
  <si>
    <r>
      <t xml:space="preserve">Saimniecības inventāra un materiālu (spuldzes, higiēnas preces, birstes u.tml.) iegādes izdevumi 238,35 </t>
    </r>
    <r>
      <rPr>
        <i/>
        <sz val="12"/>
        <color theme="1"/>
        <rFont val="Times New Roman"/>
        <family val="1"/>
        <charset val="186"/>
      </rPr>
      <t>euro</t>
    </r>
    <r>
      <rPr>
        <sz val="12"/>
        <color theme="1"/>
        <rFont val="Times New Roman"/>
        <family val="1"/>
        <charset val="186"/>
      </rPr>
      <t xml:space="preserve"> gadā * 0.944 (iznomātās platības koeficients) = 225,00 </t>
    </r>
    <r>
      <rPr>
        <i/>
        <sz val="12"/>
        <color theme="1"/>
        <rFont val="Times New Roman"/>
        <family val="1"/>
        <charset val="186"/>
      </rPr>
      <t>euro</t>
    </r>
    <r>
      <rPr>
        <sz val="12"/>
        <color theme="1"/>
        <rFont val="Times New Roman"/>
        <family val="1"/>
        <charset val="186"/>
      </rPr>
      <t>.</t>
    </r>
  </si>
  <si>
    <r>
      <t xml:space="preserve">Izdevumi par apkuri 4 970,33 </t>
    </r>
    <r>
      <rPr>
        <i/>
        <sz val="12"/>
        <color theme="1"/>
        <rFont val="Times New Roman"/>
        <family val="1"/>
        <charset val="186"/>
      </rPr>
      <t>euro</t>
    </r>
    <r>
      <rPr>
        <sz val="12"/>
        <color theme="1"/>
        <rFont val="Times New Roman"/>
        <family val="1"/>
        <charset val="186"/>
      </rPr>
      <t xml:space="preserve"> gadā * 0.056 (iznomātās platības koeficients) = 278,34 </t>
    </r>
    <r>
      <rPr>
        <i/>
        <sz val="12"/>
        <color theme="1"/>
        <rFont val="Times New Roman"/>
        <family val="1"/>
        <charset val="186"/>
      </rPr>
      <t>euro.</t>
    </r>
  </si>
  <si>
    <r>
      <t xml:space="preserve">Izdevumi par ūdeni un kanalizāciju 563,30 </t>
    </r>
    <r>
      <rPr>
        <i/>
        <sz val="12"/>
        <color theme="1"/>
        <rFont val="Times New Roman"/>
        <family val="1"/>
        <charset val="186"/>
      </rPr>
      <t>euro</t>
    </r>
    <r>
      <rPr>
        <sz val="12"/>
        <color theme="1"/>
        <rFont val="Times New Roman"/>
        <family val="1"/>
        <charset val="186"/>
      </rPr>
      <t xml:space="preserve"> gadā * 0.056 (iznomātās platības koeficients) = 31,54 </t>
    </r>
    <r>
      <rPr>
        <i/>
        <sz val="12"/>
        <color theme="1"/>
        <rFont val="Times New Roman"/>
        <family val="1"/>
        <charset val="186"/>
      </rPr>
      <t>euro.</t>
    </r>
  </si>
  <si>
    <r>
      <t xml:space="preserve">Izdevumi par elektroenerģiju 2 547,54 euro gadā * 0.056 (iznomātās platības koeficients) = 142,66 </t>
    </r>
    <r>
      <rPr>
        <i/>
        <sz val="12"/>
        <color theme="1"/>
        <rFont val="Times New Roman"/>
        <family val="1"/>
        <charset val="186"/>
      </rPr>
      <t>euro</t>
    </r>
    <r>
      <rPr>
        <sz val="12"/>
        <color theme="1"/>
        <rFont val="Times New Roman"/>
        <family val="1"/>
        <charset val="186"/>
      </rPr>
      <t>.</t>
    </r>
  </si>
  <si>
    <r>
      <t xml:space="preserve">Izdevumi par atkritumu izvešanu 474,81 </t>
    </r>
    <r>
      <rPr>
        <i/>
        <sz val="12"/>
        <color theme="1"/>
        <rFont val="Times New Roman"/>
        <family val="1"/>
        <charset val="186"/>
      </rPr>
      <t>euro</t>
    </r>
    <r>
      <rPr>
        <sz val="12"/>
        <color theme="1"/>
        <rFont val="Times New Roman"/>
        <family val="1"/>
        <charset val="186"/>
      </rPr>
      <t xml:space="preserve"> gadā * 0.056 (iznomātās platības koeficients) = 26,59 </t>
    </r>
    <r>
      <rPr>
        <i/>
        <sz val="12"/>
        <color theme="1"/>
        <rFont val="Times New Roman"/>
        <family val="1"/>
        <charset val="186"/>
      </rPr>
      <t>euro</t>
    </r>
    <r>
      <rPr>
        <sz val="12"/>
        <color theme="1"/>
        <rFont val="Times New Roman"/>
        <family val="1"/>
        <charset val="186"/>
      </rPr>
      <t>.</t>
    </r>
  </si>
  <si>
    <r>
      <t xml:space="preserve">Kārtējā remonta izdevumi 1 608,90 </t>
    </r>
    <r>
      <rPr>
        <i/>
        <sz val="12"/>
        <color theme="1"/>
        <rFont val="Times New Roman"/>
        <family val="1"/>
        <charset val="186"/>
      </rPr>
      <t>euro</t>
    </r>
    <r>
      <rPr>
        <sz val="12"/>
        <color theme="1"/>
        <rFont val="Times New Roman"/>
        <family val="1"/>
        <charset val="186"/>
      </rPr>
      <t xml:space="preserve"> gadā * 0.056 (iznomātās platības koeficients) = 90,10 </t>
    </r>
    <r>
      <rPr>
        <i/>
        <sz val="12"/>
        <color theme="1"/>
        <rFont val="Times New Roman"/>
        <family val="1"/>
        <charset val="186"/>
      </rPr>
      <t>euro</t>
    </r>
    <r>
      <rPr>
        <sz val="12"/>
        <color theme="1"/>
        <rFont val="Times New Roman"/>
        <family val="1"/>
        <charset val="186"/>
      </rPr>
      <t>.</t>
    </r>
  </si>
  <si>
    <r>
      <t xml:space="preserve">Ugunsdzēsības aparātu pārbaude, Apkures sistēmas apkope, uzturēšana, ventilācijas iekārtu apkope, uzturēšana un citu iekārtu apkope un remonts, avāriju bojājumu novēršanas izdevumi 294,20 </t>
    </r>
    <r>
      <rPr>
        <i/>
        <sz val="12"/>
        <color theme="1"/>
        <rFont val="Times New Roman"/>
        <family val="1"/>
        <charset val="186"/>
      </rPr>
      <t>euro</t>
    </r>
    <r>
      <rPr>
        <sz val="12"/>
        <color theme="1"/>
        <rFont val="Times New Roman"/>
        <family val="1"/>
        <charset val="186"/>
      </rPr>
      <t xml:space="preserve"> gadā * 0.056 (iznomātās platības koeficients) = 16,48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</si>
  <si>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izmaksas 6 413,50 </t>
    </r>
    <r>
      <rPr>
        <i/>
        <sz val="12"/>
        <color theme="1"/>
        <rFont val="Times New Roman"/>
        <family val="1"/>
        <charset val="186"/>
      </rPr>
      <t>euro</t>
    </r>
    <r>
      <rPr>
        <sz val="12"/>
        <color theme="1"/>
        <rFont val="Times New Roman"/>
        <family val="1"/>
        <charset val="186"/>
      </rPr>
      <t xml:space="preserve"> gadā 0.056 (iznomātās platības koeficients) = 359,16 </t>
    </r>
    <r>
      <rPr>
        <i/>
        <sz val="12"/>
        <color theme="1"/>
        <rFont val="Times New Roman"/>
        <family val="1"/>
        <charset val="186"/>
      </rPr>
      <t>euro</t>
    </r>
    <r>
      <rPr>
        <sz val="12"/>
        <color theme="1"/>
        <rFont val="Times New Roman"/>
        <family val="1"/>
        <charset val="186"/>
      </rPr>
      <t>.</t>
    </r>
  </si>
  <si>
    <r>
      <t xml:space="preserve">Inventāra iegādes izdevumi 2,42 </t>
    </r>
    <r>
      <rPr>
        <i/>
        <sz val="12"/>
        <color theme="1"/>
        <rFont val="Times New Roman"/>
        <family val="1"/>
        <charset val="186"/>
      </rPr>
      <t>euro</t>
    </r>
    <r>
      <rPr>
        <sz val="12"/>
        <color theme="1"/>
        <rFont val="Times New Roman"/>
        <family val="1"/>
        <charset val="186"/>
      </rPr>
      <t xml:space="preserve"> gadā * 0.056 (iznomātās platības koeficients) = 0,14 </t>
    </r>
    <r>
      <rPr>
        <i/>
        <sz val="12"/>
        <color theme="1"/>
        <rFont val="Times New Roman"/>
        <family val="1"/>
        <charset val="186"/>
      </rPr>
      <t>euro.</t>
    </r>
  </si>
  <si>
    <r>
      <t xml:space="preserve">Saimniecības inventāra un materiālu (spuldzes, higiēnas preces, birstes u.tml.) iegādes izdevumi 238,35 </t>
    </r>
    <r>
      <rPr>
        <i/>
        <sz val="12"/>
        <color theme="1"/>
        <rFont val="Times New Roman"/>
        <family val="1"/>
        <charset val="186"/>
      </rPr>
      <t>euro</t>
    </r>
    <r>
      <rPr>
        <sz val="12"/>
        <color theme="1"/>
        <rFont val="Times New Roman"/>
        <family val="1"/>
        <charset val="186"/>
      </rPr>
      <t xml:space="preserve"> gadā * 0.056 (iznomātās platības koeficients) = 13,35 </t>
    </r>
    <r>
      <rPr>
        <i/>
        <sz val="12"/>
        <color theme="1"/>
        <rFont val="Times New Roman"/>
        <family val="1"/>
        <charset val="186"/>
      </rPr>
      <t>euro</t>
    </r>
    <r>
      <rPr>
        <sz val="12"/>
        <color theme="1"/>
        <rFont val="Times New Roman"/>
        <family val="1"/>
        <charset val="186"/>
      </rPr>
      <t>.</t>
    </r>
  </si>
  <si>
    <r>
      <t xml:space="preserve">Nekustamā īpašuma nodoklis 374,42 </t>
    </r>
    <r>
      <rPr>
        <i/>
        <sz val="12"/>
        <color theme="1"/>
        <rFont val="Times New Roman"/>
        <family val="1"/>
        <charset val="186"/>
      </rPr>
      <t>euro</t>
    </r>
    <r>
      <rPr>
        <sz val="12"/>
        <color theme="1"/>
        <rFont val="Times New Roman"/>
        <family val="1"/>
        <charset val="186"/>
      </rPr>
      <t xml:space="preserve"> gadā * 0.056 (iznomātās platības koeficients) = 20,97 </t>
    </r>
    <r>
      <rPr>
        <i/>
        <sz val="12"/>
        <color theme="1"/>
        <rFont val="Times New Roman"/>
        <family val="1"/>
        <charset val="186"/>
      </rPr>
      <t>euro.</t>
    </r>
  </si>
  <si>
    <r>
      <t xml:space="preserve">Izdevumi par apkuri 1 459.30 </t>
    </r>
    <r>
      <rPr>
        <i/>
        <sz val="12"/>
        <color theme="1"/>
        <rFont val="Times New Roman"/>
        <family val="1"/>
        <charset val="186"/>
      </rPr>
      <t>euro</t>
    </r>
    <r>
      <rPr>
        <sz val="12"/>
        <color theme="1"/>
        <rFont val="Times New Roman"/>
        <family val="1"/>
        <charset val="186"/>
      </rPr>
      <t xml:space="preserve"> gadā * 0.205 (iznomātās platības koeficients) = 299,19 </t>
    </r>
    <r>
      <rPr>
        <i/>
        <sz val="12"/>
        <color theme="1"/>
        <rFont val="Times New Roman"/>
        <family val="1"/>
        <charset val="186"/>
      </rPr>
      <t>euro</t>
    </r>
    <r>
      <rPr>
        <sz val="12"/>
        <color theme="1"/>
        <rFont val="Times New Roman"/>
        <family val="1"/>
        <charset val="186"/>
      </rPr>
      <t>.</t>
    </r>
  </si>
  <si>
    <r>
      <t xml:space="preserve">Izdevumi par ūdeni un kanalizāciju 128,76 </t>
    </r>
    <r>
      <rPr>
        <i/>
        <sz val="12"/>
        <color theme="1"/>
        <rFont val="Times New Roman"/>
        <family val="1"/>
        <charset val="186"/>
      </rPr>
      <t>euro</t>
    </r>
    <r>
      <rPr>
        <sz val="12"/>
        <color theme="1"/>
        <rFont val="Times New Roman"/>
        <family val="1"/>
        <charset val="186"/>
      </rPr>
      <t xml:space="preserve"> gadā * 0.205 (iznomātās platības koeficients) = 26,40 </t>
    </r>
    <r>
      <rPr>
        <i/>
        <sz val="12"/>
        <color theme="1"/>
        <rFont val="Times New Roman"/>
        <family val="1"/>
        <charset val="186"/>
      </rPr>
      <t>euro</t>
    </r>
    <r>
      <rPr>
        <sz val="12"/>
        <color theme="1"/>
        <rFont val="Times New Roman"/>
        <family val="1"/>
        <charset val="186"/>
      </rPr>
      <t>.</t>
    </r>
  </si>
  <si>
    <r>
      <t xml:space="preserve">Izdevumi par elektroenerģiju 941,09 </t>
    </r>
    <r>
      <rPr>
        <i/>
        <sz val="12"/>
        <color theme="1"/>
        <rFont val="Times New Roman"/>
        <family val="1"/>
        <charset val="186"/>
      </rPr>
      <t>euro</t>
    </r>
    <r>
      <rPr>
        <sz val="12"/>
        <color theme="1"/>
        <rFont val="Times New Roman"/>
        <family val="1"/>
        <charset val="186"/>
      </rPr>
      <t xml:space="preserve"> gadā * 0.205 (iznomātās platības koeficients) = 192,92 </t>
    </r>
    <r>
      <rPr>
        <i/>
        <sz val="12"/>
        <color theme="1"/>
        <rFont val="Times New Roman"/>
        <family val="1"/>
        <charset val="186"/>
      </rPr>
      <t>euro</t>
    </r>
    <r>
      <rPr>
        <sz val="12"/>
        <color theme="1"/>
        <rFont val="Times New Roman"/>
        <family val="1"/>
        <charset val="186"/>
      </rPr>
      <t>.</t>
    </r>
  </si>
  <si>
    <r>
      <t xml:space="preserve">Izdevumi par atkritumu izvešanu 166,16 </t>
    </r>
    <r>
      <rPr>
        <i/>
        <sz val="12"/>
        <color theme="1"/>
        <rFont val="Times New Roman"/>
        <family val="1"/>
        <charset val="186"/>
      </rPr>
      <t>euro</t>
    </r>
    <r>
      <rPr>
        <sz val="12"/>
        <color theme="1"/>
        <rFont val="Times New Roman"/>
        <family val="1"/>
        <charset val="186"/>
      </rPr>
      <t xml:space="preserve"> gadā * 0.205 (iznomātās platības koeficients) = 34,06 </t>
    </r>
    <r>
      <rPr>
        <i/>
        <sz val="12"/>
        <color theme="1"/>
        <rFont val="Times New Roman"/>
        <family val="1"/>
        <charset val="186"/>
      </rPr>
      <t>euro</t>
    </r>
    <r>
      <rPr>
        <sz val="12"/>
        <color theme="1"/>
        <rFont val="Times New Roman"/>
        <family val="1"/>
        <charset val="186"/>
      </rPr>
      <t>.</t>
    </r>
  </si>
  <si>
    <t>Izdevumi par dabas gāzi 7,15 euro gadā * 0.205 (iznomātās platības koeficients) = 1,47 euro.</t>
  </si>
  <si>
    <r>
      <t xml:space="preserve">Trauksmes un apsardzes signalizāciju tehniskā apkope, Ugunsdzēsības sistēmas pārbaude, Apkures sistēmas pieslēgšana un remonts, Ugunsdzēsības krānu un hidrantu pārbaude, ugunsdzēsības ūdensvada apsekošana, kā arī citu iekārtu apkope un remonts, avāriju bojājumu novēršanas izdevumi 70,76 </t>
    </r>
    <r>
      <rPr>
        <i/>
        <sz val="12"/>
        <color theme="1"/>
        <rFont val="Times New Roman"/>
        <family val="1"/>
        <charset val="186"/>
      </rPr>
      <t>euro</t>
    </r>
    <r>
      <rPr>
        <sz val="12"/>
        <color theme="1"/>
        <rFont val="Times New Roman"/>
        <family val="1"/>
        <charset val="186"/>
      </rPr>
      <t xml:space="preserve"> gadā * 0.205 (iznomātās platības koeficients) = 14,51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</si>
  <si>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1 435,92 </t>
    </r>
    <r>
      <rPr>
        <i/>
        <sz val="12"/>
        <color theme="1"/>
        <rFont val="Times New Roman"/>
        <family val="1"/>
        <charset val="186"/>
      </rPr>
      <t>euro</t>
    </r>
    <r>
      <rPr>
        <sz val="12"/>
        <color theme="1"/>
        <rFont val="Times New Roman"/>
        <family val="1"/>
        <charset val="186"/>
      </rPr>
      <t xml:space="preserve"> gadā * 0.205 (iznomātās platības koeficients) = 294,36 </t>
    </r>
    <r>
      <rPr>
        <i/>
        <sz val="12"/>
        <color theme="1"/>
        <rFont val="Times New Roman"/>
        <family val="1"/>
        <charset val="186"/>
      </rPr>
      <t>euro</t>
    </r>
    <r>
      <rPr>
        <sz val="12"/>
        <color theme="1"/>
        <rFont val="Times New Roman"/>
        <family val="1"/>
        <charset val="186"/>
      </rPr>
      <t>.</t>
    </r>
  </si>
  <si>
    <t>Izdevumi par pārējiem remontdarbu un iestāžu uzturēšanas pakalpojumiem 86,70 euro gadā * 0.205 (iznomātās platības koeficients) = 17,77 euro.</t>
  </si>
  <si>
    <r>
      <t xml:space="preserve">Inventāra iegādes izdevumi 4,77 </t>
    </r>
    <r>
      <rPr>
        <i/>
        <sz val="12"/>
        <color theme="1"/>
        <rFont val="Times New Roman"/>
        <family val="1"/>
        <charset val="186"/>
      </rPr>
      <t>euro</t>
    </r>
    <r>
      <rPr>
        <sz val="12"/>
        <color theme="1"/>
        <rFont val="Times New Roman"/>
        <family val="1"/>
        <charset val="186"/>
      </rPr>
      <t xml:space="preserve"> gadā * 0.205 (iznomātās platības koeficients) = 0,98 </t>
    </r>
    <r>
      <rPr>
        <i/>
        <sz val="12"/>
        <color theme="1"/>
        <rFont val="Times New Roman"/>
        <family val="1"/>
        <charset val="186"/>
      </rPr>
      <t>euro.</t>
    </r>
  </si>
  <si>
    <r>
      <t xml:space="preserve">Saimniecības inventāra un materiālu (spuldzes, higiēnas preces, birstes u.tml.) iegādes izdevumi 43,38 </t>
    </r>
    <r>
      <rPr>
        <i/>
        <sz val="12"/>
        <color theme="1"/>
        <rFont val="Times New Roman"/>
        <family val="1"/>
        <charset val="186"/>
      </rPr>
      <t>euro</t>
    </r>
    <r>
      <rPr>
        <sz val="12"/>
        <color theme="1"/>
        <rFont val="Times New Roman"/>
        <family val="1"/>
        <charset val="186"/>
      </rPr>
      <t xml:space="preserve"> gadā * 0.205 (iznomātās platības koeficients) = 8,89 </t>
    </r>
    <r>
      <rPr>
        <i/>
        <sz val="12"/>
        <color theme="1"/>
        <rFont val="Times New Roman"/>
        <family val="1"/>
        <charset val="186"/>
      </rPr>
      <t>euro</t>
    </r>
    <r>
      <rPr>
        <sz val="12"/>
        <color theme="1"/>
        <rFont val="Times New Roman"/>
        <family val="1"/>
        <charset val="186"/>
      </rPr>
      <t>.</t>
    </r>
  </si>
  <si>
    <r>
      <t xml:space="preserve">Nekustamā īpašuma nodoklis 101,27 </t>
    </r>
    <r>
      <rPr>
        <i/>
        <sz val="12"/>
        <color theme="1"/>
        <rFont val="Times New Roman"/>
        <family val="1"/>
        <charset val="186"/>
      </rPr>
      <t>euro</t>
    </r>
    <r>
      <rPr>
        <sz val="12"/>
        <color theme="1"/>
        <rFont val="Times New Roman"/>
        <family val="1"/>
        <charset val="186"/>
      </rPr>
      <t xml:space="preserve"> gadā * 0.205 (iznomātās platības koeficients) = 20,76 </t>
    </r>
    <r>
      <rPr>
        <i/>
        <sz val="12"/>
        <color theme="1"/>
        <rFont val="Times New Roman"/>
        <family val="1"/>
        <charset val="186"/>
      </rPr>
      <t>euro</t>
    </r>
    <r>
      <rPr>
        <sz val="12"/>
        <color theme="1"/>
        <rFont val="Times New Roman"/>
        <family val="1"/>
        <charset val="186"/>
      </rPr>
      <t>.</t>
    </r>
  </si>
  <si>
    <r>
      <t xml:space="preserve">Izdevumi par apkuri 1 459,30 </t>
    </r>
    <r>
      <rPr>
        <i/>
        <sz val="12"/>
        <color theme="1"/>
        <rFont val="Times New Roman"/>
        <family val="1"/>
        <charset val="186"/>
      </rPr>
      <t>euro</t>
    </r>
    <r>
      <rPr>
        <sz val="12"/>
        <color theme="1"/>
        <rFont val="Times New Roman"/>
        <family val="1"/>
        <charset val="186"/>
      </rPr>
      <t xml:space="preserve"> gadā * 0.794 (iznomātās platības koeficients) = 1 158,68 </t>
    </r>
    <r>
      <rPr>
        <i/>
        <sz val="12"/>
        <color theme="1"/>
        <rFont val="Times New Roman"/>
        <family val="1"/>
        <charset val="186"/>
      </rPr>
      <t>euro.</t>
    </r>
  </si>
  <si>
    <r>
      <t xml:space="preserve">Izdevumi par ūdeni un kanalizāciju 128,76 </t>
    </r>
    <r>
      <rPr>
        <i/>
        <sz val="12"/>
        <color theme="1"/>
        <rFont val="Times New Roman"/>
        <family val="1"/>
        <charset val="186"/>
      </rPr>
      <t>euro</t>
    </r>
    <r>
      <rPr>
        <sz val="12"/>
        <color theme="1"/>
        <rFont val="Times New Roman"/>
        <family val="1"/>
        <charset val="186"/>
      </rPr>
      <t xml:space="preserve"> gadā * 0.794 (iznomātās platības koeficients) = 102,24 </t>
    </r>
    <r>
      <rPr>
        <i/>
        <sz val="12"/>
        <color theme="1"/>
        <rFont val="Times New Roman"/>
        <family val="1"/>
        <charset val="186"/>
      </rPr>
      <t>euro.</t>
    </r>
  </si>
  <si>
    <r>
      <t xml:space="preserve">Izdevumi par elektroenerģiju 941,09 </t>
    </r>
    <r>
      <rPr>
        <i/>
        <sz val="12"/>
        <color theme="1"/>
        <rFont val="Times New Roman"/>
        <family val="1"/>
        <charset val="186"/>
      </rPr>
      <t>euro</t>
    </r>
    <r>
      <rPr>
        <sz val="12"/>
        <color theme="1"/>
        <rFont val="Times New Roman"/>
        <family val="1"/>
        <charset val="186"/>
      </rPr>
      <t xml:space="preserve"> gadā * 0.794 (iznomātās platības koeficients) = 747,23 </t>
    </r>
    <r>
      <rPr>
        <i/>
        <sz val="12"/>
        <color theme="1"/>
        <rFont val="Times New Roman"/>
        <family val="1"/>
        <charset val="186"/>
      </rPr>
      <t>euro.</t>
    </r>
  </si>
  <si>
    <r>
      <t xml:space="preserve">Izdevumi par atkritumu izvešanu 166,16 </t>
    </r>
    <r>
      <rPr>
        <i/>
        <sz val="12"/>
        <color theme="1"/>
        <rFont val="Times New Roman"/>
        <family val="1"/>
        <charset val="186"/>
      </rPr>
      <t>euro</t>
    </r>
    <r>
      <rPr>
        <sz val="12"/>
        <color theme="1"/>
        <rFont val="Times New Roman"/>
        <family val="1"/>
        <charset val="186"/>
      </rPr>
      <t xml:space="preserve"> gadā * 0.794 (iznomātās platības koeficients) = 131,93 </t>
    </r>
    <r>
      <rPr>
        <i/>
        <sz val="12"/>
        <color theme="1"/>
        <rFont val="Times New Roman"/>
        <family val="1"/>
        <charset val="186"/>
      </rPr>
      <t>euro</t>
    </r>
    <r>
      <rPr>
        <sz val="12"/>
        <color theme="1"/>
        <rFont val="Times New Roman"/>
        <family val="1"/>
        <charset val="186"/>
      </rPr>
      <t>.</t>
    </r>
  </si>
  <si>
    <r>
      <t xml:space="preserve">Izdevumi par dabas gāzi 7,15 </t>
    </r>
    <r>
      <rPr>
        <i/>
        <sz val="12"/>
        <color theme="1"/>
        <rFont val="Times New Roman"/>
        <family val="1"/>
        <charset val="186"/>
      </rPr>
      <t>euro</t>
    </r>
    <r>
      <rPr>
        <sz val="12"/>
        <color theme="1"/>
        <rFont val="Times New Roman"/>
        <family val="1"/>
        <charset val="186"/>
      </rPr>
      <t xml:space="preserve"> gadā * 0.794 (iznomātās platības koeficients) = 5,68 </t>
    </r>
    <r>
      <rPr>
        <i/>
        <sz val="12"/>
        <color theme="1"/>
        <rFont val="Times New Roman"/>
        <family val="1"/>
        <charset val="186"/>
      </rPr>
      <t>euro</t>
    </r>
    <r>
      <rPr>
        <sz val="12"/>
        <color theme="1"/>
        <rFont val="Times New Roman"/>
        <family val="1"/>
        <charset val="186"/>
      </rPr>
      <t>.</t>
    </r>
  </si>
  <si>
    <r>
      <t xml:space="preserve">Trauksmes un apsardzes signalizāciju tehniskā apkope, Ugunsdzēsības sistēmas pārbaude, Apkures sistēmas pieslēgšana un remonts, Ugunsdzēsības krānu un hidrantu pārbaude, ugunsdzēsības ūdensvada apsekošana, kā arī citu iekārtu apkope un remonts, avāriju bojājumu novēršanas izdevumi 70,76 </t>
    </r>
    <r>
      <rPr>
        <i/>
        <sz val="12"/>
        <color theme="1"/>
        <rFont val="Times New Roman"/>
        <family val="1"/>
        <charset val="186"/>
      </rPr>
      <t>euro</t>
    </r>
    <r>
      <rPr>
        <sz val="12"/>
        <color theme="1"/>
        <rFont val="Times New Roman"/>
        <family val="1"/>
        <charset val="186"/>
      </rPr>
      <t xml:space="preserve"> gadā * 0.794 (iznomātās platības koeficients) = 56,18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</si>
  <si>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1 435,92 </t>
    </r>
    <r>
      <rPr>
        <i/>
        <sz val="12"/>
        <color theme="1"/>
        <rFont val="Times New Roman"/>
        <family val="1"/>
        <charset val="186"/>
      </rPr>
      <t>euro</t>
    </r>
    <r>
      <rPr>
        <sz val="12"/>
        <color theme="1"/>
        <rFont val="Times New Roman"/>
        <family val="1"/>
        <charset val="186"/>
      </rPr>
      <t xml:space="preserve"> gadā * 0.794 (iznomātās platības koeficients) = 1 140,12 </t>
    </r>
    <r>
      <rPr>
        <i/>
        <sz val="12"/>
        <color theme="1"/>
        <rFont val="Times New Roman"/>
        <family val="1"/>
        <charset val="186"/>
      </rPr>
      <t>euro.</t>
    </r>
  </si>
  <si>
    <t>Izdevumi par pārējiem remontdarbu un iestāžu uzturēšanas pakalpojumiem 86,70 euro gadā * 0.794 (iznomātās platības koeficients) = 68,84 euro.</t>
  </si>
  <si>
    <r>
      <t xml:space="preserve">Inventāra iegādes izdevumi 4,77 </t>
    </r>
    <r>
      <rPr>
        <i/>
        <sz val="12"/>
        <color theme="1"/>
        <rFont val="Times New Roman"/>
        <family val="1"/>
        <charset val="186"/>
      </rPr>
      <t>euro</t>
    </r>
    <r>
      <rPr>
        <sz val="12"/>
        <color theme="1"/>
        <rFont val="Times New Roman"/>
        <family val="1"/>
        <charset val="186"/>
      </rPr>
      <t xml:space="preserve"> gadā * 0.794 (iznomātās platības koeficients) = 3,79 </t>
    </r>
    <r>
      <rPr>
        <i/>
        <sz val="12"/>
        <color theme="1"/>
        <rFont val="Times New Roman"/>
        <family val="1"/>
        <charset val="186"/>
      </rPr>
      <t>euro.</t>
    </r>
  </si>
  <si>
    <r>
      <t xml:space="preserve">Saimniecības inventāra un materiālu (spuldzes, higiēnas preces, birstes u.tml.) iegādes izdevumi 43,38 </t>
    </r>
    <r>
      <rPr>
        <i/>
        <sz val="12"/>
        <color theme="1"/>
        <rFont val="Times New Roman"/>
        <family val="1"/>
        <charset val="186"/>
      </rPr>
      <t>euro</t>
    </r>
    <r>
      <rPr>
        <sz val="12"/>
        <color theme="1"/>
        <rFont val="Times New Roman"/>
        <family val="1"/>
        <charset val="186"/>
      </rPr>
      <t xml:space="preserve"> gadā * 0.794 (iznomātās platības koeficients)  = 34,44 </t>
    </r>
    <r>
      <rPr>
        <i/>
        <sz val="12"/>
        <color theme="1"/>
        <rFont val="Times New Roman"/>
        <family val="1"/>
        <charset val="186"/>
      </rPr>
      <t>euro.</t>
    </r>
  </si>
  <si>
    <r>
      <t xml:space="preserve">Nekustamā īpašuma nodoklis 101,27 </t>
    </r>
    <r>
      <rPr>
        <i/>
        <sz val="12"/>
        <color theme="1"/>
        <rFont val="Times New Roman"/>
        <family val="1"/>
        <charset val="186"/>
      </rPr>
      <t>euro</t>
    </r>
    <r>
      <rPr>
        <sz val="12"/>
        <color theme="1"/>
        <rFont val="Times New Roman"/>
        <family val="1"/>
        <charset val="186"/>
      </rPr>
      <t xml:space="preserve"> gadā * 0.794 (iznomātās platības koeficients) = 80,41 </t>
    </r>
    <r>
      <rPr>
        <i/>
        <sz val="12"/>
        <color theme="1"/>
        <rFont val="Times New Roman"/>
        <family val="1"/>
        <charset val="186"/>
      </rPr>
      <t>euro.</t>
    </r>
  </si>
  <si>
    <r>
      <t xml:space="preserve">Izdevumi par apkuri 27 311,02 </t>
    </r>
    <r>
      <rPr>
        <i/>
        <sz val="12"/>
        <color theme="1"/>
        <rFont val="Times New Roman"/>
        <family val="1"/>
        <charset val="186"/>
      </rPr>
      <t>euro</t>
    </r>
    <r>
      <rPr>
        <sz val="12"/>
        <color theme="1"/>
        <rFont val="Times New Roman"/>
        <family val="1"/>
        <charset val="186"/>
      </rPr>
      <t xml:space="preserve"> gadā * 0.0087 (iznomātās platības koeficients) = 237,61 </t>
    </r>
    <r>
      <rPr>
        <i/>
        <sz val="12"/>
        <color theme="1"/>
        <rFont val="Times New Roman"/>
        <family val="1"/>
        <charset val="186"/>
      </rPr>
      <t>euro.</t>
    </r>
  </si>
  <si>
    <r>
      <t xml:space="preserve">Izdevumi par ūdeni un kanalizāciju 55 363,67 </t>
    </r>
    <r>
      <rPr>
        <i/>
        <sz val="12"/>
        <color theme="1"/>
        <rFont val="Times New Roman"/>
        <family val="1"/>
        <charset val="186"/>
      </rPr>
      <t>euro</t>
    </r>
    <r>
      <rPr>
        <sz val="12"/>
        <color theme="1"/>
        <rFont val="Times New Roman"/>
        <family val="1"/>
        <charset val="186"/>
      </rPr>
      <t xml:space="preserve"> gadā * 0.0087 (iznomātās platības koeficients) = 481,66 </t>
    </r>
    <r>
      <rPr>
        <i/>
        <sz val="12"/>
        <color theme="1"/>
        <rFont val="Times New Roman"/>
        <family val="1"/>
        <charset val="186"/>
      </rPr>
      <t>euro</t>
    </r>
    <r>
      <rPr>
        <sz val="12"/>
        <color theme="1"/>
        <rFont val="Times New Roman"/>
        <family val="1"/>
        <charset val="186"/>
      </rPr>
      <t>.</t>
    </r>
  </si>
  <si>
    <r>
      <t xml:space="preserve">Izdevumi par atkritumu izvešanu 27 012,56 </t>
    </r>
    <r>
      <rPr>
        <i/>
        <sz val="12"/>
        <color theme="1"/>
        <rFont val="Times New Roman"/>
        <family val="1"/>
        <charset val="186"/>
      </rPr>
      <t>euro</t>
    </r>
    <r>
      <rPr>
        <sz val="12"/>
        <color theme="1"/>
        <rFont val="Times New Roman"/>
        <family val="1"/>
        <charset val="186"/>
      </rPr>
      <t xml:space="preserve"> gadā * 0.0087 (iznomātās platības koeficients) = 235,01 </t>
    </r>
    <r>
      <rPr>
        <i/>
        <sz val="12"/>
        <color theme="1"/>
        <rFont val="Times New Roman"/>
        <family val="1"/>
        <charset val="186"/>
      </rPr>
      <t>euro.</t>
    </r>
  </si>
  <si>
    <r>
      <t xml:space="preserve">Kārtējā remonta izdevumi 36 705,92 </t>
    </r>
    <r>
      <rPr>
        <i/>
        <sz val="12"/>
        <color theme="1"/>
        <rFont val="Times New Roman"/>
        <family val="1"/>
        <charset val="186"/>
      </rPr>
      <t>euro</t>
    </r>
    <r>
      <rPr>
        <sz val="12"/>
        <color theme="1"/>
        <rFont val="Times New Roman"/>
        <family val="1"/>
        <charset val="186"/>
      </rPr>
      <t xml:space="preserve"> gadā * 0.0087 (iznomātās platības koeficients) = 319,34 </t>
    </r>
    <r>
      <rPr>
        <i/>
        <sz val="12"/>
        <color theme="1"/>
        <rFont val="Times New Roman"/>
        <family val="1"/>
        <charset val="186"/>
      </rPr>
      <t>euro</t>
    </r>
    <r>
      <rPr>
        <sz val="12"/>
        <color theme="1"/>
        <rFont val="Times New Roman"/>
        <family val="1"/>
        <charset val="186"/>
      </rPr>
      <t>.</t>
    </r>
  </si>
  <si>
    <r>
      <t xml:space="preserve">Video novērošanas un apsardzes signalizācijas sistēmas tehniskā apkope, Ugunsdzēsības krānu, ūdensvada, sirēnu iekārtu un citu iekārtu apkope un remonts, evakuācijas plānu izstrāde, avāriju bojājumu novēršanas izdevumi 2 550,98 </t>
    </r>
    <r>
      <rPr>
        <i/>
        <sz val="12"/>
        <color theme="1"/>
        <rFont val="Times New Roman"/>
        <family val="1"/>
        <charset val="186"/>
      </rPr>
      <t>euro</t>
    </r>
    <r>
      <rPr>
        <sz val="12"/>
        <color theme="1"/>
        <rFont val="Times New Roman"/>
        <family val="1"/>
        <charset val="186"/>
      </rPr>
      <t xml:space="preserve"> gadā * 0.0087 (iznomātās platības koeficients) = 22,19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</si>
  <si>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201 856,75 </t>
    </r>
    <r>
      <rPr>
        <i/>
        <sz val="12"/>
        <color theme="1"/>
        <rFont val="Times New Roman"/>
        <family val="1"/>
        <charset val="186"/>
      </rPr>
      <t>euro</t>
    </r>
    <r>
      <rPr>
        <sz val="12"/>
        <color theme="1"/>
        <rFont val="Times New Roman"/>
        <family val="1"/>
        <charset val="186"/>
      </rPr>
      <t xml:space="preserve"> gadā * 0.0087 (iznomātās platības koeficients) = 1 756,15 </t>
    </r>
    <r>
      <rPr>
        <i/>
        <sz val="12"/>
        <color theme="1"/>
        <rFont val="Times New Roman"/>
        <family val="1"/>
        <charset val="186"/>
      </rPr>
      <t>euro.</t>
    </r>
  </si>
  <si>
    <r>
      <t xml:space="preserve">Pārējie uzturēšanas izdevumi 2 767,46 </t>
    </r>
    <r>
      <rPr>
        <i/>
        <sz val="12"/>
        <color theme="1"/>
        <rFont val="Times New Roman"/>
        <family val="1"/>
        <charset val="186"/>
      </rPr>
      <t>euro</t>
    </r>
    <r>
      <rPr>
        <sz val="12"/>
        <color theme="1"/>
        <rFont val="Times New Roman"/>
        <family val="1"/>
        <charset val="186"/>
      </rPr>
      <t xml:space="preserve"> gadā * 0.0087 (iznomātās platības koeficients) = 24,08 </t>
    </r>
    <r>
      <rPr>
        <i/>
        <sz val="12"/>
        <color theme="1"/>
        <rFont val="Times New Roman"/>
        <family val="1"/>
        <charset val="186"/>
      </rPr>
      <t>euro.</t>
    </r>
  </si>
  <si>
    <r>
      <t xml:space="preserve">Saimniecības inventāra un materiālu (izlietnes krāni, dušas krāni, dušas pievadi, aizkari, podu vāki, u.c. higiēnas, saimniecības preces) iegādes izdevumi 300,93 </t>
    </r>
    <r>
      <rPr>
        <i/>
        <sz val="12"/>
        <color theme="1"/>
        <rFont val="Times New Roman"/>
        <family val="1"/>
        <charset val="186"/>
      </rPr>
      <t>euro</t>
    </r>
    <r>
      <rPr>
        <sz val="12"/>
        <color theme="1"/>
        <rFont val="Times New Roman"/>
        <family val="1"/>
        <charset val="186"/>
      </rPr>
      <t xml:space="preserve"> gadā * 0.0087 (iznomātās platības koeficients) = 2,62 </t>
    </r>
    <r>
      <rPr>
        <i/>
        <sz val="12"/>
        <color theme="1"/>
        <rFont val="Times New Roman"/>
        <family val="1"/>
        <charset val="186"/>
      </rPr>
      <t>euro.</t>
    </r>
  </si>
  <si>
    <r>
      <t xml:space="preserve">Nekustamā īpašuma nodoklis 10 554,74 </t>
    </r>
    <r>
      <rPr>
        <i/>
        <sz val="12"/>
        <color theme="1"/>
        <rFont val="Times New Roman"/>
        <family val="1"/>
        <charset val="186"/>
      </rPr>
      <t>euro</t>
    </r>
    <r>
      <rPr>
        <sz val="12"/>
        <color theme="1"/>
        <rFont val="Times New Roman"/>
        <family val="1"/>
        <charset val="186"/>
      </rPr>
      <t xml:space="preserve"> gadā * 0.0087 (iznomātās platības koeficients) = 91,83 </t>
    </r>
    <r>
      <rPr>
        <i/>
        <sz val="12"/>
        <color theme="1"/>
        <rFont val="Times New Roman"/>
        <family val="1"/>
        <charset val="186"/>
      </rPr>
      <t>euro</t>
    </r>
    <r>
      <rPr>
        <sz val="12"/>
        <color theme="1"/>
        <rFont val="Times New Roman"/>
        <family val="1"/>
        <charset val="186"/>
      </rPr>
      <t>.</t>
    </r>
  </si>
  <si>
    <r>
      <t xml:space="preserve">Izdevumi par apkuri 27 311,02 </t>
    </r>
    <r>
      <rPr>
        <i/>
        <sz val="12"/>
        <color theme="1"/>
        <rFont val="Times New Roman"/>
        <family val="1"/>
        <charset val="186"/>
      </rPr>
      <t>euro</t>
    </r>
    <r>
      <rPr>
        <sz val="12"/>
        <color theme="1"/>
        <rFont val="Times New Roman"/>
        <family val="1"/>
        <charset val="186"/>
      </rPr>
      <t xml:space="preserve"> gadā * 0.0155  (iznomātās platības koeficients) = 423,32 </t>
    </r>
    <r>
      <rPr>
        <i/>
        <sz val="12"/>
        <color theme="1"/>
        <rFont val="Times New Roman"/>
        <family val="1"/>
        <charset val="186"/>
      </rPr>
      <t>euro.</t>
    </r>
  </si>
  <si>
    <r>
      <t xml:space="preserve">Izdevumi par ūdeni un kanalizāciju 55 363,67 </t>
    </r>
    <r>
      <rPr>
        <i/>
        <sz val="12"/>
        <color theme="1"/>
        <rFont val="Times New Roman"/>
        <family val="1"/>
        <charset val="186"/>
      </rPr>
      <t>euro</t>
    </r>
    <r>
      <rPr>
        <sz val="12"/>
        <color theme="1"/>
        <rFont val="Times New Roman"/>
        <family val="1"/>
        <charset val="186"/>
      </rPr>
      <t xml:space="preserve"> gadā * 0.0155  (iznomātās platības koeficients) = 858,14 </t>
    </r>
    <r>
      <rPr>
        <i/>
        <sz val="12"/>
        <color theme="1"/>
        <rFont val="Times New Roman"/>
        <family val="1"/>
        <charset val="186"/>
      </rPr>
      <t>euro</t>
    </r>
    <r>
      <rPr>
        <sz val="12"/>
        <color theme="1"/>
        <rFont val="Times New Roman"/>
        <family val="1"/>
        <charset val="186"/>
      </rPr>
      <t>.</t>
    </r>
  </si>
  <si>
    <r>
      <t xml:space="preserve">Izdevumi par atkritumu izvešanu 27 012,56 </t>
    </r>
    <r>
      <rPr>
        <i/>
        <sz val="12"/>
        <color theme="1"/>
        <rFont val="Times New Roman"/>
        <family val="1"/>
        <charset val="186"/>
      </rPr>
      <t>euro</t>
    </r>
    <r>
      <rPr>
        <sz val="12"/>
        <color theme="1"/>
        <rFont val="Times New Roman"/>
        <family val="1"/>
        <charset val="186"/>
      </rPr>
      <t xml:space="preserve"> gadā * 0.0155 (iznomātās platības koeficients) = 418,69 </t>
    </r>
    <r>
      <rPr>
        <i/>
        <sz val="12"/>
        <color theme="1"/>
        <rFont val="Times New Roman"/>
        <family val="1"/>
        <charset val="186"/>
      </rPr>
      <t>euro.</t>
    </r>
  </si>
  <si>
    <r>
      <t xml:space="preserve">Video novērošanas un apsardzes signalizācijas sistēmas tehniskā apkope, Ugunsdzēsības krānu, ūdensvada, sirēnu iekārtu un citu iekārtu apkope un remonts, evakuācijas plānu izstrāde, avāriju bojājumu novēršanas izdevumi 2 550,98 </t>
    </r>
    <r>
      <rPr>
        <i/>
        <sz val="12"/>
        <color theme="1"/>
        <rFont val="Times New Roman"/>
        <family val="1"/>
        <charset val="186"/>
      </rPr>
      <t>euro</t>
    </r>
    <r>
      <rPr>
        <sz val="12"/>
        <color theme="1"/>
        <rFont val="Times New Roman"/>
        <family val="1"/>
        <charset val="186"/>
      </rPr>
      <t xml:space="preserve"> gadā * 0.0155  (iznomātās platības koeficients) = 39,54 </t>
    </r>
    <r>
      <rPr>
        <i/>
        <sz val="12"/>
        <color theme="1"/>
        <rFont val="Times New Roman"/>
        <family val="1"/>
        <charset val="186"/>
      </rPr>
      <t>euro.</t>
    </r>
  </si>
  <si>
    <r>
      <t xml:space="preserve">Telpu, teritorijas uzkopšanas, apsardzes, apsaimniekošanas, apdrošināšanas izdevumi 201 856,75 </t>
    </r>
    <r>
      <rPr>
        <i/>
        <sz val="12"/>
        <color theme="1"/>
        <rFont val="Times New Roman"/>
        <family val="1"/>
        <charset val="186"/>
      </rPr>
      <t>euro</t>
    </r>
    <r>
      <rPr>
        <sz val="12"/>
        <color theme="1"/>
        <rFont val="Times New Roman"/>
        <family val="1"/>
        <charset val="186"/>
      </rPr>
      <t xml:space="preserve"> gadā * 0.0155 (iznomātās platības koeficients) = 3 128,78 </t>
    </r>
    <r>
      <rPr>
        <i/>
        <sz val="12"/>
        <color theme="1"/>
        <rFont val="Times New Roman"/>
        <family val="1"/>
        <charset val="186"/>
      </rPr>
      <t>euro</t>
    </r>
    <r>
      <rPr>
        <sz val="12"/>
        <color theme="1"/>
        <rFont val="Times New Roman"/>
        <family val="1"/>
        <charset val="186"/>
      </rPr>
      <t>.</t>
    </r>
  </si>
  <si>
    <r>
      <t xml:space="preserve">Pārējie uzturēšanas izdevumi 2 767,46 </t>
    </r>
    <r>
      <rPr>
        <i/>
        <sz val="12"/>
        <color theme="1"/>
        <rFont val="Times New Roman"/>
        <family val="1"/>
        <charset val="186"/>
      </rPr>
      <t>euro</t>
    </r>
    <r>
      <rPr>
        <sz val="12"/>
        <color theme="1"/>
        <rFont val="Times New Roman"/>
        <family val="1"/>
        <charset val="186"/>
      </rPr>
      <t xml:space="preserve"> gadā * 0.0155 (iznomātās platības koeficients) = 42,90 </t>
    </r>
    <r>
      <rPr>
        <i/>
        <sz val="12"/>
        <color theme="1"/>
        <rFont val="Times New Roman"/>
        <family val="1"/>
        <charset val="186"/>
      </rPr>
      <t>euro</t>
    </r>
    <r>
      <rPr>
        <sz val="12"/>
        <color theme="1"/>
        <rFont val="Times New Roman"/>
        <family val="1"/>
        <charset val="186"/>
      </rPr>
      <t>.</t>
    </r>
  </si>
  <si>
    <r>
      <t xml:space="preserve">Saimniecības inventāra un materiālu (izlietnes krāni, dušas krāni, dušas pievadi, aizkari, podu vāki, u.c. higiēnas, saimniecības preces) iegādes izdevumi 300,93 </t>
    </r>
    <r>
      <rPr>
        <i/>
        <sz val="12"/>
        <color theme="1"/>
        <rFont val="Times New Roman"/>
        <family val="1"/>
        <charset val="186"/>
      </rPr>
      <t>euro</t>
    </r>
    <r>
      <rPr>
        <sz val="12"/>
        <color theme="1"/>
        <rFont val="Times New Roman"/>
        <family val="1"/>
        <charset val="186"/>
      </rPr>
      <t xml:space="preserve"> gadā * 0.0155 (iznomātās platības koeficients) = 4,66 </t>
    </r>
    <r>
      <rPr>
        <i/>
        <sz val="12"/>
        <color theme="1"/>
        <rFont val="Times New Roman"/>
        <family val="1"/>
        <charset val="186"/>
      </rPr>
      <t>euro.</t>
    </r>
  </si>
  <si>
    <r>
      <t xml:space="preserve">Nekustamā īpašuma nodoklis 10 554,74 </t>
    </r>
    <r>
      <rPr>
        <i/>
        <sz val="12"/>
        <color theme="1"/>
        <rFont val="Times New Roman"/>
        <family val="1"/>
        <charset val="186"/>
      </rPr>
      <t>euro</t>
    </r>
    <r>
      <rPr>
        <sz val="12"/>
        <color theme="1"/>
        <rFont val="Times New Roman"/>
        <family val="1"/>
        <charset val="186"/>
      </rPr>
      <t xml:space="preserve"> gadā * 0.0155 (iznomātās platības koeficients) = 163,60 </t>
    </r>
    <r>
      <rPr>
        <i/>
        <sz val="12"/>
        <color theme="1"/>
        <rFont val="Times New Roman"/>
        <family val="1"/>
        <charset val="186"/>
      </rPr>
      <t>euro.</t>
    </r>
  </si>
  <si>
    <r>
      <t xml:space="preserve">Izdevumi par apkuri 27 311,02 </t>
    </r>
    <r>
      <rPr>
        <i/>
        <sz val="12"/>
        <color theme="1"/>
        <rFont val="Times New Roman"/>
        <family val="1"/>
        <charset val="186"/>
      </rPr>
      <t>euro</t>
    </r>
    <r>
      <rPr>
        <sz val="12"/>
        <color theme="1"/>
        <rFont val="Times New Roman"/>
        <family val="1"/>
        <charset val="186"/>
      </rPr>
      <t xml:space="preserve"> gadā * 0.0107 (iznomātās platības koeficients) = 292,23 </t>
    </r>
    <r>
      <rPr>
        <i/>
        <sz val="12"/>
        <color theme="1"/>
        <rFont val="Times New Roman"/>
        <family val="1"/>
        <charset val="186"/>
      </rPr>
      <t>euro.</t>
    </r>
  </si>
  <si>
    <r>
      <t xml:space="preserve">Izdevumi par ūdeni un kanalizāciju 55 363,67 </t>
    </r>
    <r>
      <rPr>
        <i/>
        <sz val="12"/>
        <color theme="1"/>
        <rFont val="Times New Roman"/>
        <family val="1"/>
        <charset val="186"/>
      </rPr>
      <t>euro</t>
    </r>
    <r>
      <rPr>
        <sz val="12"/>
        <color theme="1"/>
        <rFont val="Times New Roman"/>
        <family val="1"/>
        <charset val="186"/>
      </rPr>
      <t xml:space="preserve"> gadā * 0.0107 (iznomātās platības koeficients) = 592,39 </t>
    </r>
    <r>
      <rPr>
        <i/>
        <sz val="12"/>
        <color theme="1"/>
        <rFont val="Times New Roman"/>
        <family val="1"/>
        <charset val="186"/>
      </rPr>
      <t>euro</t>
    </r>
    <r>
      <rPr>
        <sz val="12"/>
        <color theme="1"/>
        <rFont val="Times New Roman"/>
        <family val="1"/>
        <charset val="186"/>
      </rPr>
      <t>.</t>
    </r>
  </si>
  <si>
    <r>
      <t xml:space="preserve">Izdevumi par atkritumu izvešanu 27 012,56 </t>
    </r>
    <r>
      <rPr>
        <i/>
        <sz val="12"/>
        <color theme="1"/>
        <rFont val="Times New Roman"/>
        <family val="1"/>
        <charset val="186"/>
      </rPr>
      <t>euro</t>
    </r>
    <r>
      <rPr>
        <sz val="12"/>
        <color theme="1"/>
        <rFont val="Times New Roman"/>
        <family val="1"/>
        <charset val="186"/>
      </rPr>
      <t xml:space="preserve"> gadā * 0.0107 (iznomātās platības koeficients) = 289,03 </t>
    </r>
    <r>
      <rPr>
        <i/>
        <sz val="12"/>
        <color theme="1"/>
        <rFont val="Times New Roman"/>
        <family val="1"/>
        <charset val="186"/>
      </rPr>
      <t>euro.</t>
    </r>
  </si>
  <si>
    <r>
      <t xml:space="preserve">Telpu, teritorijas uzkopšanas, apsardzes, apsaimniekošanas, apdrošināšanas izdevumi 201 856,75 </t>
    </r>
    <r>
      <rPr>
        <i/>
        <sz val="12"/>
        <color theme="1"/>
        <rFont val="Times New Roman"/>
        <family val="1"/>
        <charset val="186"/>
      </rPr>
      <t>euro</t>
    </r>
    <r>
      <rPr>
        <sz val="12"/>
        <color theme="1"/>
        <rFont val="Times New Roman"/>
        <family val="1"/>
        <charset val="186"/>
      </rPr>
      <t xml:space="preserve"> gadā * 0.0107 (iznomātās platības koeficients) = 2 159,87 </t>
    </r>
    <r>
      <rPr>
        <i/>
        <sz val="12"/>
        <color theme="1"/>
        <rFont val="Times New Roman"/>
        <family val="1"/>
        <charset val="186"/>
      </rPr>
      <t>euro.</t>
    </r>
  </si>
  <si>
    <r>
      <t xml:space="preserve">Pārējie uzturēšanas izdevumi 2 767,46 </t>
    </r>
    <r>
      <rPr>
        <i/>
        <sz val="12"/>
        <color theme="1"/>
        <rFont val="Times New Roman"/>
        <family val="1"/>
        <charset val="186"/>
      </rPr>
      <t>euro</t>
    </r>
    <r>
      <rPr>
        <sz val="12"/>
        <color theme="1"/>
        <rFont val="Times New Roman"/>
        <family val="1"/>
        <charset val="186"/>
      </rPr>
      <t xml:space="preserve"> gadā * 0.0107 (iznomātās platības koeficients) = 29,61 </t>
    </r>
    <r>
      <rPr>
        <i/>
        <sz val="12"/>
        <color theme="1"/>
        <rFont val="Times New Roman"/>
        <family val="1"/>
        <charset val="186"/>
      </rPr>
      <t>euro.</t>
    </r>
  </si>
  <si>
    <r>
      <t xml:space="preserve">Saimniecības inventāra un materiālu (izlietnes krāni, dušas krāni, dušas pievadi, aizkari, podu vāki, u.c. higiēnas, saimniecības preces) iegādes izdevumi 300,93 </t>
    </r>
    <r>
      <rPr>
        <i/>
        <sz val="12"/>
        <color theme="1"/>
        <rFont val="Times New Roman"/>
        <family val="1"/>
        <charset val="186"/>
      </rPr>
      <t>euro</t>
    </r>
    <r>
      <rPr>
        <sz val="12"/>
        <color theme="1"/>
        <rFont val="Times New Roman"/>
        <family val="1"/>
        <charset val="186"/>
      </rPr>
      <t xml:space="preserve"> gadā * 0.0107 (iznomātās platības koeficients) = 3,22 </t>
    </r>
    <r>
      <rPr>
        <i/>
        <sz val="12"/>
        <color theme="1"/>
        <rFont val="Times New Roman"/>
        <family val="1"/>
        <charset val="186"/>
      </rPr>
      <t>euro</t>
    </r>
    <r>
      <rPr>
        <sz val="12"/>
        <color theme="1"/>
        <rFont val="Times New Roman"/>
        <family val="1"/>
        <charset val="186"/>
      </rPr>
      <t>.</t>
    </r>
  </si>
  <si>
    <r>
      <t xml:space="preserve">Nekustamā īpašuma nodoklis 10 554,74 </t>
    </r>
    <r>
      <rPr>
        <i/>
        <sz val="12"/>
        <color theme="1"/>
        <rFont val="Times New Roman"/>
        <family val="1"/>
        <charset val="186"/>
      </rPr>
      <t>euro</t>
    </r>
    <r>
      <rPr>
        <sz val="12"/>
        <color theme="1"/>
        <rFont val="Times New Roman"/>
        <family val="1"/>
        <charset val="186"/>
      </rPr>
      <t xml:space="preserve"> gadā * 0.0107 (iznomātās platības koeficients) = 112,94 </t>
    </r>
    <r>
      <rPr>
        <i/>
        <sz val="12"/>
        <color theme="1"/>
        <rFont val="Times New Roman"/>
        <family val="1"/>
        <charset val="186"/>
      </rPr>
      <t>euro</t>
    </r>
    <r>
      <rPr>
        <sz val="12"/>
        <color theme="1"/>
        <rFont val="Times New Roman"/>
        <family val="1"/>
        <charset val="186"/>
      </rPr>
      <t>.</t>
    </r>
  </si>
  <si>
    <r>
      <t xml:space="preserve">Izdevumi par apkuri 27 311,02 </t>
    </r>
    <r>
      <rPr>
        <i/>
        <sz val="12"/>
        <color theme="1"/>
        <rFont val="Times New Roman"/>
        <family val="1"/>
        <charset val="186"/>
      </rPr>
      <t>euro</t>
    </r>
    <r>
      <rPr>
        <sz val="12"/>
        <color theme="1"/>
        <rFont val="Times New Roman"/>
        <family val="1"/>
        <charset val="186"/>
      </rPr>
      <t xml:space="preserve"> gadā * 0.4169 (iznomātās platības koeficients) = 11 385,96 </t>
    </r>
    <r>
      <rPr>
        <i/>
        <sz val="12"/>
        <color theme="1"/>
        <rFont val="Times New Roman"/>
        <family val="1"/>
        <charset val="186"/>
      </rPr>
      <t>euro.</t>
    </r>
  </si>
  <si>
    <r>
      <t xml:space="preserve">Izdevumi par ūdeni un kanalizāciju 55 363,67 </t>
    </r>
    <r>
      <rPr>
        <i/>
        <sz val="12"/>
        <color theme="1"/>
        <rFont val="Times New Roman"/>
        <family val="1"/>
        <charset val="186"/>
      </rPr>
      <t>euro</t>
    </r>
    <r>
      <rPr>
        <sz val="12"/>
        <color theme="1"/>
        <rFont val="Times New Roman"/>
        <family val="1"/>
        <charset val="186"/>
      </rPr>
      <t xml:space="preserve"> gadā * 0.4169 (iznomātās platības koeficients) = 23 081,11 </t>
    </r>
    <r>
      <rPr>
        <i/>
        <sz val="12"/>
        <color theme="1"/>
        <rFont val="Times New Roman"/>
        <family val="1"/>
        <charset val="186"/>
      </rPr>
      <t>euro</t>
    </r>
    <r>
      <rPr>
        <sz val="12"/>
        <color theme="1"/>
        <rFont val="Times New Roman"/>
        <family val="1"/>
        <charset val="186"/>
      </rPr>
      <t>.</t>
    </r>
  </si>
  <si>
    <r>
      <t xml:space="preserve">Video novērošanas un apsardzes signalizācijas sistēmas tehniskā apkope, Ugunsdzēsības krānu, ūdensvada, sirēnu iekārtu un citu iekārtu apkope un remonts, evakuācijas plānu izstrāde, avāriju bojājumu novēršanas  izdevumi 2 550,98 </t>
    </r>
    <r>
      <rPr>
        <i/>
        <sz val="12"/>
        <color theme="1"/>
        <rFont val="Times New Roman"/>
        <family val="1"/>
        <charset val="186"/>
      </rPr>
      <t>euro</t>
    </r>
    <r>
      <rPr>
        <sz val="12"/>
        <color theme="1"/>
        <rFont val="Times New Roman"/>
        <family val="1"/>
        <charset val="186"/>
      </rPr>
      <t xml:space="preserve"> gadā * 0.4169 (iznomātās platības koeficients) = 1 063,50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</si>
  <si>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201 856,75 </t>
    </r>
    <r>
      <rPr>
        <i/>
        <sz val="12"/>
        <color theme="1"/>
        <rFont val="Times New Roman"/>
        <family val="1"/>
        <charset val="186"/>
      </rPr>
      <t>euro</t>
    </r>
    <r>
      <rPr>
        <sz val="12"/>
        <color theme="1"/>
        <rFont val="Times New Roman"/>
        <family val="1"/>
        <charset val="186"/>
      </rPr>
      <t xml:space="preserve"> gadā * 0.4169 (iznomātās platības koeficients) = 84 154,08 </t>
    </r>
    <r>
      <rPr>
        <i/>
        <sz val="12"/>
        <color theme="1"/>
        <rFont val="Times New Roman"/>
        <family val="1"/>
        <charset val="186"/>
      </rPr>
      <t>euro</t>
    </r>
    <r>
      <rPr>
        <sz val="12"/>
        <color theme="1"/>
        <rFont val="Times New Roman"/>
        <family val="1"/>
        <charset val="186"/>
      </rPr>
      <t>.</t>
    </r>
  </si>
  <si>
    <r>
      <t xml:space="preserve">Pārējie uzturēšanas izdevumi 2 767,46 </t>
    </r>
    <r>
      <rPr>
        <i/>
        <sz val="12"/>
        <color theme="1"/>
        <rFont val="Times New Roman"/>
        <family val="1"/>
        <charset val="186"/>
      </rPr>
      <t>euro</t>
    </r>
    <r>
      <rPr>
        <sz val="12"/>
        <color theme="1"/>
        <rFont val="Times New Roman"/>
        <family val="1"/>
        <charset val="186"/>
      </rPr>
      <t xml:space="preserve"> gadā * 0.4169 (iznomātās platības koeficients) = 1 153,75 </t>
    </r>
    <r>
      <rPr>
        <i/>
        <sz val="12"/>
        <color theme="1"/>
        <rFont val="Times New Roman"/>
        <family val="1"/>
        <charset val="186"/>
      </rPr>
      <t>euro</t>
    </r>
    <r>
      <rPr>
        <sz val="12"/>
        <color theme="1"/>
        <rFont val="Times New Roman"/>
        <family val="1"/>
        <charset val="186"/>
      </rPr>
      <t>.</t>
    </r>
  </si>
  <si>
    <r>
      <t xml:space="preserve">Saimniecības inventāra un materiālu (izlietnes krāni, dušas krāni, dušas pievadi, aizkari, podu vāki, u.c. higiēnas, saimniecības preces) iegādes izdevumi 300,93 </t>
    </r>
    <r>
      <rPr>
        <i/>
        <sz val="12"/>
        <color theme="1"/>
        <rFont val="Times New Roman"/>
        <family val="1"/>
        <charset val="186"/>
      </rPr>
      <t>euro</t>
    </r>
    <r>
      <rPr>
        <sz val="12"/>
        <color theme="1"/>
        <rFont val="Times New Roman"/>
        <family val="1"/>
        <charset val="186"/>
      </rPr>
      <t xml:space="preserve"> gadā * 0.4169 (iznomātās platības koeficients) = 125,46 </t>
    </r>
    <r>
      <rPr>
        <i/>
        <sz val="12"/>
        <color theme="1"/>
        <rFont val="Times New Roman"/>
        <family val="1"/>
        <charset val="186"/>
      </rPr>
      <t>euro</t>
    </r>
    <r>
      <rPr>
        <sz val="12"/>
        <color theme="1"/>
        <rFont val="Times New Roman"/>
        <family val="1"/>
        <charset val="186"/>
      </rPr>
      <t>.</t>
    </r>
  </si>
  <si>
    <r>
      <t xml:space="preserve">Nekustamā īpašuma nodoklis 10 554,74 </t>
    </r>
    <r>
      <rPr>
        <i/>
        <sz val="12"/>
        <color theme="1"/>
        <rFont val="Times New Roman"/>
        <family val="1"/>
        <charset val="186"/>
      </rPr>
      <t>euro</t>
    </r>
    <r>
      <rPr>
        <sz val="12"/>
        <color theme="1"/>
        <rFont val="Times New Roman"/>
        <family val="1"/>
        <charset val="186"/>
      </rPr>
      <t xml:space="preserve"> gadā * 0.4169 (iznomātās platības koeficients) = 4 400,27 </t>
    </r>
    <r>
      <rPr>
        <i/>
        <sz val="12"/>
        <color theme="1"/>
        <rFont val="Times New Roman"/>
        <family val="1"/>
        <charset val="186"/>
      </rPr>
      <t>euro</t>
    </r>
    <r>
      <rPr>
        <sz val="12"/>
        <color theme="1"/>
        <rFont val="Times New Roman"/>
        <family val="1"/>
        <charset val="186"/>
      </rPr>
      <t>.</t>
    </r>
  </si>
  <si>
    <r>
      <t xml:space="preserve">Izdevumi par apkuri 27 311,02 </t>
    </r>
    <r>
      <rPr>
        <i/>
        <sz val="12"/>
        <color theme="1"/>
        <rFont val="Times New Roman"/>
        <family val="1"/>
        <charset val="186"/>
      </rPr>
      <t>euro</t>
    </r>
    <r>
      <rPr>
        <sz val="12"/>
        <color theme="1"/>
        <rFont val="Times New Roman"/>
        <family val="1"/>
        <charset val="186"/>
      </rPr>
      <t xml:space="preserve"> gadā * 0.05073 (iznomātās platības koeficients) = 1 385,49 </t>
    </r>
    <r>
      <rPr>
        <i/>
        <sz val="12"/>
        <color theme="1"/>
        <rFont val="Times New Roman"/>
        <family val="1"/>
        <charset val="186"/>
      </rPr>
      <t>euro</t>
    </r>
    <r>
      <rPr>
        <sz val="12"/>
        <color theme="1"/>
        <rFont val="Times New Roman"/>
        <family val="1"/>
        <charset val="186"/>
      </rPr>
      <t>.</t>
    </r>
  </si>
  <si>
    <r>
      <t xml:space="preserve">Izdevumi par ūdeni un kanalizāciju 55 363,67 </t>
    </r>
    <r>
      <rPr>
        <i/>
        <sz val="12"/>
        <color theme="1"/>
        <rFont val="Times New Roman"/>
        <family val="1"/>
        <charset val="186"/>
      </rPr>
      <t>euro</t>
    </r>
    <r>
      <rPr>
        <sz val="12"/>
        <color theme="1"/>
        <rFont val="Times New Roman"/>
        <family val="1"/>
        <charset val="186"/>
      </rPr>
      <t xml:space="preserve"> gadā * 0.05073 (iznomātās platības koeficients) = 2 808,60 </t>
    </r>
    <r>
      <rPr>
        <i/>
        <sz val="12"/>
        <color theme="1"/>
        <rFont val="Times New Roman"/>
        <family val="1"/>
        <charset val="186"/>
      </rPr>
      <t>euro</t>
    </r>
    <r>
      <rPr>
        <sz val="12"/>
        <color theme="1"/>
        <rFont val="Times New Roman"/>
        <family val="1"/>
        <charset val="186"/>
      </rPr>
      <t>.</t>
    </r>
  </si>
  <si>
    <r>
      <t xml:space="preserve">Izdevumi par atkritumu izvešanu 27 012,56 </t>
    </r>
    <r>
      <rPr>
        <i/>
        <sz val="12"/>
        <color theme="1"/>
        <rFont val="Times New Roman"/>
        <family val="1"/>
        <charset val="186"/>
      </rPr>
      <t>euro</t>
    </r>
    <r>
      <rPr>
        <sz val="12"/>
        <color theme="1"/>
        <rFont val="Times New Roman"/>
        <family val="1"/>
        <charset val="186"/>
      </rPr>
      <t xml:space="preserve"> gadā * 0.05073 (iznomātās platības koeficients) = 1 370,35 </t>
    </r>
    <r>
      <rPr>
        <i/>
        <sz val="12"/>
        <color theme="1"/>
        <rFont val="Times New Roman"/>
        <family val="1"/>
        <charset val="186"/>
      </rPr>
      <t>euro</t>
    </r>
    <r>
      <rPr>
        <sz val="12"/>
        <color theme="1"/>
        <rFont val="Times New Roman"/>
        <family val="1"/>
        <charset val="186"/>
      </rPr>
      <t>.</t>
    </r>
  </si>
  <si>
    <r>
      <t xml:space="preserve">Video novērošanas un apsardzes signalizācijas sistēmas tehniskā apkope, Ugunsdzēsības krānu, ūdensvada, sirēnu iekārtu un citu iekārtu apkope un remonts, evakuācijas plānu izstrāde, avāriju bojājumu novēršanas izdevumi 2 550,98 </t>
    </r>
    <r>
      <rPr>
        <i/>
        <sz val="12"/>
        <color theme="1"/>
        <rFont val="Times New Roman"/>
        <family val="1"/>
        <charset val="186"/>
      </rPr>
      <t>euro</t>
    </r>
    <r>
      <rPr>
        <sz val="12"/>
        <color theme="1"/>
        <rFont val="Times New Roman"/>
        <family val="1"/>
        <charset val="186"/>
      </rPr>
      <t xml:space="preserve"> gadā * 0.05073 (iznomātās platības koeficients) = 129,41 </t>
    </r>
    <r>
      <rPr>
        <i/>
        <sz val="12"/>
        <color theme="1"/>
        <rFont val="Times New Roman"/>
        <family val="1"/>
        <charset val="186"/>
      </rPr>
      <t>euro.</t>
    </r>
  </si>
  <si>
    <r>
      <t xml:space="preserve">Telpu, teritorijas uzkopšanas, apsardzes, apsaimniekošanas, apdrošināšanas izdevumi 201 856,75 </t>
    </r>
    <r>
      <rPr>
        <i/>
        <sz val="12"/>
        <color theme="1"/>
        <rFont val="Times New Roman"/>
        <family val="1"/>
        <charset val="186"/>
      </rPr>
      <t>euro</t>
    </r>
    <r>
      <rPr>
        <sz val="12"/>
        <color theme="1"/>
        <rFont val="Times New Roman"/>
        <family val="1"/>
        <charset val="186"/>
      </rPr>
      <t xml:space="preserve"> gadā * 0.05073 (iznomātās platības koeficients) = 10 240,19 </t>
    </r>
    <r>
      <rPr>
        <i/>
        <sz val="12"/>
        <color theme="1"/>
        <rFont val="Times New Roman"/>
        <family val="1"/>
        <charset val="186"/>
      </rPr>
      <t>euro</t>
    </r>
    <r>
      <rPr>
        <sz val="12"/>
        <color theme="1"/>
        <rFont val="Times New Roman"/>
        <family val="1"/>
        <charset val="186"/>
      </rPr>
      <t>.</t>
    </r>
  </si>
  <si>
    <r>
      <t xml:space="preserve">Pārējie uzturēšanas izdevumi 2 767,46 </t>
    </r>
    <r>
      <rPr>
        <i/>
        <sz val="12"/>
        <color theme="1"/>
        <rFont val="Times New Roman"/>
        <family val="1"/>
        <charset val="186"/>
      </rPr>
      <t>euro</t>
    </r>
    <r>
      <rPr>
        <sz val="12"/>
        <color theme="1"/>
        <rFont val="Times New Roman"/>
        <family val="1"/>
        <charset val="186"/>
      </rPr>
      <t xml:space="preserve"> gadā * 0.05073 (iznomātās platības koeficients) = 140,39 </t>
    </r>
    <r>
      <rPr>
        <i/>
        <sz val="12"/>
        <color theme="1"/>
        <rFont val="Times New Roman"/>
        <family val="1"/>
        <charset val="186"/>
      </rPr>
      <t>euro.</t>
    </r>
  </si>
  <si>
    <r>
      <t xml:space="preserve">Saimniecības inventāra un materiālu (izlietnes krāni, dušas krāni, dušas pievadi, aizkari, podu vāki, u.c. higiēnas, saimniecības preces) iegādes izdevumi 300,93 </t>
    </r>
    <r>
      <rPr>
        <i/>
        <sz val="12"/>
        <color theme="1"/>
        <rFont val="Times New Roman"/>
        <family val="1"/>
        <charset val="186"/>
      </rPr>
      <t>euro</t>
    </r>
    <r>
      <rPr>
        <sz val="12"/>
        <color theme="1"/>
        <rFont val="Times New Roman"/>
        <family val="1"/>
        <charset val="186"/>
      </rPr>
      <t xml:space="preserve"> gadā * 0.05073 (iznomātās platības koeficients) = 15,27 </t>
    </r>
    <r>
      <rPr>
        <i/>
        <sz val="12"/>
        <color theme="1"/>
        <rFont val="Times New Roman"/>
        <family val="1"/>
        <charset val="186"/>
      </rPr>
      <t>euro</t>
    </r>
    <r>
      <rPr>
        <sz val="12"/>
        <color theme="1"/>
        <rFont val="Times New Roman"/>
        <family val="1"/>
        <charset val="186"/>
      </rPr>
      <t>.</t>
    </r>
  </si>
  <si>
    <r>
      <t xml:space="preserve">Nekustamā īpašuma nodoklis 10 554,74 </t>
    </r>
    <r>
      <rPr>
        <i/>
        <sz val="12"/>
        <color theme="1"/>
        <rFont val="Times New Roman"/>
        <family val="1"/>
        <charset val="186"/>
      </rPr>
      <t>euro</t>
    </r>
    <r>
      <rPr>
        <sz val="12"/>
        <color theme="1"/>
        <rFont val="Times New Roman"/>
        <family val="1"/>
        <charset val="186"/>
      </rPr>
      <t xml:space="preserve"> gadā * 0.05073 (iznomātās platības koeficients) = 535,44 </t>
    </r>
    <r>
      <rPr>
        <i/>
        <sz val="12"/>
        <color theme="1"/>
        <rFont val="Times New Roman"/>
        <family val="1"/>
        <charset val="186"/>
      </rPr>
      <t>euro</t>
    </r>
    <r>
      <rPr>
        <sz val="12"/>
        <color theme="1"/>
        <rFont val="Times New Roman"/>
        <family val="1"/>
        <charset val="186"/>
      </rPr>
      <t>.</t>
    </r>
  </si>
  <si>
    <r>
      <t xml:space="preserve">Izdevumi par apkuri 27 311,02 </t>
    </r>
    <r>
      <rPr>
        <i/>
        <sz val="12"/>
        <color theme="1"/>
        <rFont val="Times New Roman"/>
        <family val="1"/>
        <charset val="186"/>
      </rPr>
      <t>euro</t>
    </r>
    <r>
      <rPr>
        <sz val="12"/>
        <color theme="1"/>
        <rFont val="Times New Roman"/>
        <family val="1"/>
        <charset val="186"/>
      </rPr>
      <t xml:space="preserve"> gadā * 0.2444 (iznomātās platības koeficients) = 6 674,81 </t>
    </r>
    <r>
      <rPr>
        <i/>
        <sz val="12"/>
        <color theme="1"/>
        <rFont val="Times New Roman"/>
        <family val="1"/>
        <charset val="186"/>
      </rPr>
      <t>euro.</t>
    </r>
  </si>
  <si>
    <r>
      <t xml:space="preserve">Izdevumi par ūdeni un kanalizāciju 55 363,67 </t>
    </r>
    <r>
      <rPr>
        <i/>
        <sz val="12"/>
        <color theme="1"/>
        <rFont val="Times New Roman"/>
        <family val="1"/>
        <charset val="186"/>
      </rPr>
      <t>euro</t>
    </r>
    <r>
      <rPr>
        <sz val="12"/>
        <color theme="1"/>
        <rFont val="Times New Roman"/>
        <family val="1"/>
        <charset val="186"/>
      </rPr>
      <t xml:space="preserve"> gadā * 0.2444 (iznomātās platības koeficients) = 13 530,88 </t>
    </r>
    <r>
      <rPr>
        <i/>
        <sz val="12"/>
        <color theme="1"/>
        <rFont val="Times New Roman"/>
        <family val="1"/>
        <charset val="186"/>
      </rPr>
      <t>euro</t>
    </r>
    <r>
      <rPr>
        <sz val="12"/>
        <color theme="1"/>
        <rFont val="Times New Roman"/>
        <family val="1"/>
        <charset val="186"/>
      </rPr>
      <t>.</t>
    </r>
  </si>
  <si>
    <r>
      <t xml:space="preserve">Izdevumi par atkritumu izvešanu 27 012,56 </t>
    </r>
    <r>
      <rPr>
        <i/>
        <sz val="12"/>
        <color theme="1"/>
        <rFont val="Times New Roman"/>
        <family val="1"/>
        <charset val="186"/>
      </rPr>
      <t>euro</t>
    </r>
    <r>
      <rPr>
        <sz val="12"/>
        <color theme="1"/>
        <rFont val="Times New Roman"/>
        <family val="1"/>
        <charset val="186"/>
      </rPr>
      <t xml:space="preserve"> gadā * 0.2444 (iznomātās platības koeficients) = 6 601,87 </t>
    </r>
    <r>
      <rPr>
        <i/>
        <sz val="12"/>
        <color theme="1"/>
        <rFont val="Times New Roman"/>
        <family val="1"/>
        <charset val="186"/>
      </rPr>
      <t>euro.</t>
    </r>
  </si>
  <si>
    <r>
      <t xml:space="preserve">Video novērošanas un apsardzes signalizācijas sistēmas tehniskā apkope, Ugunsdzēsības krānu, ūdensvada, sirēnu iekārtu un citu iekārtu apkope un remonts, evakuācijas plānu izstrāde, avāriju bojājumu novēršanas izdevumi 2 550,98 </t>
    </r>
    <r>
      <rPr>
        <i/>
        <sz val="12"/>
        <color theme="1"/>
        <rFont val="Times New Roman"/>
        <family val="1"/>
        <charset val="186"/>
      </rPr>
      <t>euro</t>
    </r>
    <r>
      <rPr>
        <sz val="12"/>
        <color theme="1"/>
        <rFont val="Times New Roman"/>
        <family val="1"/>
        <charset val="186"/>
      </rPr>
      <t xml:space="preserve"> gadā * 0.2444 (iznomātās platības koeficients) = 623,46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</si>
  <si>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201 856,75 </t>
    </r>
    <r>
      <rPr>
        <i/>
        <sz val="12"/>
        <color theme="1"/>
        <rFont val="Times New Roman"/>
        <family val="1"/>
        <charset val="186"/>
      </rPr>
      <t>euro</t>
    </r>
    <r>
      <rPr>
        <sz val="12"/>
        <color theme="1"/>
        <rFont val="Times New Roman"/>
        <family val="1"/>
        <charset val="186"/>
      </rPr>
      <t xml:space="preserve"> gadā * 0.2444 (iznomātās platības koeficients) = 49 333,79 </t>
    </r>
    <r>
      <rPr>
        <i/>
        <sz val="12"/>
        <color theme="1"/>
        <rFont val="Times New Roman"/>
        <family val="1"/>
        <charset val="186"/>
      </rPr>
      <t>euro</t>
    </r>
    <r>
      <rPr>
        <sz val="12"/>
        <color theme="1"/>
        <rFont val="Times New Roman"/>
        <family val="1"/>
        <charset val="186"/>
      </rPr>
      <t>.</t>
    </r>
  </si>
  <si>
    <r>
      <t xml:space="preserve">Pārējie uzturēšanas izdevumi 2 767,46 </t>
    </r>
    <r>
      <rPr>
        <i/>
        <sz val="12"/>
        <color theme="1"/>
        <rFont val="Times New Roman"/>
        <family val="1"/>
        <charset val="186"/>
      </rPr>
      <t>euro</t>
    </r>
    <r>
      <rPr>
        <sz val="12"/>
        <color theme="1"/>
        <rFont val="Times New Roman"/>
        <family val="1"/>
        <charset val="186"/>
      </rPr>
      <t xml:space="preserve"> gadā * 0.2444 (iznomātās platības koeficients) = 676,37 </t>
    </r>
    <r>
      <rPr>
        <i/>
        <sz val="12"/>
        <color theme="1"/>
        <rFont val="Times New Roman"/>
        <family val="1"/>
        <charset val="186"/>
      </rPr>
      <t>euro</t>
    </r>
    <r>
      <rPr>
        <sz val="12"/>
        <color theme="1"/>
        <rFont val="Times New Roman"/>
        <family val="1"/>
        <charset val="186"/>
      </rPr>
      <t>.</t>
    </r>
  </si>
  <si>
    <r>
      <t xml:space="preserve">Saimniecības inventāra un materiālu (izlietnes krāni, dušas krāni, dušas pievadi, aizkari, podu vāki, u.c. higiēnas, saimniecības preces) iegādes izdevumi 300,93 </t>
    </r>
    <r>
      <rPr>
        <i/>
        <sz val="12"/>
        <color theme="1"/>
        <rFont val="Times New Roman"/>
        <family val="1"/>
        <charset val="186"/>
      </rPr>
      <t>euro</t>
    </r>
    <r>
      <rPr>
        <sz val="12"/>
        <color theme="1"/>
        <rFont val="Times New Roman"/>
        <family val="1"/>
        <charset val="186"/>
      </rPr>
      <t xml:space="preserve"> gadā * 0.2444 (iznomātās platības koeficients) = 73,55 </t>
    </r>
    <r>
      <rPr>
        <i/>
        <sz val="12"/>
        <color theme="1"/>
        <rFont val="Times New Roman"/>
        <family val="1"/>
        <charset val="186"/>
      </rPr>
      <t>euro</t>
    </r>
    <r>
      <rPr>
        <sz val="12"/>
        <color theme="1"/>
        <rFont val="Times New Roman"/>
        <family val="1"/>
        <charset val="186"/>
      </rPr>
      <t>.</t>
    </r>
  </si>
  <si>
    <r>
      <t xml:space="preserve">Nekustamā īpašuma nodoklis 10 554,74 </t>
    </r>
    <r>
      <rPr>
        <i/>
        <sz val="12"/>
        <color theme="1"/>
        <rFont val="Times New Roman"/>
        <family val="1"/>
        <charset val="186"/>
      </rPr>
      <t>euro</t>
    </r>
    <r>
      <rPr>
        <sz val="12"/>
        <color theme="1"/>
        <rFont val="Times New Roman"/>
        <family val="1"/>
        <charset val="186"/>
      </rPr>
      <t xml:space="preserve"> gadā * 0.2444 (iznomātās platības koeficients) = 2 579,58 </t>
    </r>
    <r>
      <rPr>
        <i/>
        <sz val="12"/>
        <color theme="1"/>
        <rFont val="Times New Roman"/>
        <family val="1"/>
        <charset val="186"/>
      </rPr>
      <t>euro</t>
    </r>
    <r>
      <rPr>
        <sz val="12"/>
        <color theme="1"/>
        <rFont val="Times New Roman"/>
        <family val="1"/>
        <charset val="186"/>
      </rPr>
      <t>.</t>
    </r>
  </si>
  <si>
    <r>
      <t xml:space="preserve">Izdevumi par apkuri 27 311,02 </t>
    </r>
    <r>
      <rPr>
        <i/>
        <sz val="12"/>
        <color theme="1"/>
        <rFont val="Times New Roman"/>
        <family val="1"/>
        <charset val="186"/>
      </rPr>
      <t>euro</t>
    </r>
    <r>
      <rPr>
        <sz val="12"/>
        <color theme="1"/>
        <rFont val="Times New Roman"/>
        <family val="1"/>
        <charset val="186"/>
      </rPr>
      <t xml:space="preserve"> gadā * 0.0026 (iznomātās platības koeficients) = 71,01 </t>
    </r>
    <r>
      <rPr>
        <i/>
        <sz val="12"/>
        <color theme="1"/>
        <rFont val="Times New Roman"/>
        <family val="1"/>
        <charset val="186"/>
      </rPr>
      <t>euro</t>
    </r>
    <r>
      <rPr>
        <sz val="12"/>
        <color theme="1"/>
        <rFont val="Times New Roman"/>
        <family val="1"/>
        <charset val="186"/>
      </rPr>
      <t>.</t>
    </r>
  </si>
  <si>
    <r>
      <t xml:space="preserve">Izdevumi par ūdeni un kanalizāciju 55 363,67 </t>
    </r>
    <r>
      <rPr>
        <i/>
        <sz val="12"/>
        <color theme="1"/>
        <rFont val="Times New Roman"/>
        <family val="1"/>
        <charset val="186"/>
      </rPr>
      <t>euro</t>
    </r>
    <r>
      <rPr>
        <sz val="12"/>
        <color theme="1"/>
        <rFont val="Times New Roman"/>
        <family val="1"/>
        <charset val="186"/>
      </rPr>
      <t xml:space="preserve"> gadā * 0.0026 (iznomātās platības koeficients) = 143,95 </t>
    </r>
    <r>
      <rPr>
        <i/>
        <sz val="12"/>
        <color theme="1"/>
        <rFont val="Times New Roman"/>
        <family val="1"/>
        <charset val="186"/>
      </rPr>
      <t>euro</t>
    </r>
    <r>
      <rPr>
        <sz val="12"/>
        <color theme="1"/>
        <rFont val="Times New Roman"/>
        <family val="1"/>
        <charset val="186"/>
      </rPr>
      <t>.</t>
    </r>
  </si>
  <si>
    <r>
      <t xml:space="preserve">Izdevumi par atkritumu izvešanu 27 012,56 </t>
    </r>
    <r>
      <rPr>
        <i/>
        <sz val="12"/>
        <color theme="1"/>
        <rFont val="Times New Roman"/>
        <family val="1"/>
        <charset val="186"/>
      </rPr>
      <t>euro</t>
    </r>
    <r>
      <rPr>
        <sz val="12"/>
        <color theme="1"/>
        <rFont val="Times New Roman"/>
        <family val="1"/>
        <charset val="186"/>
      </rPr>
      <t xml:space="preserve"> gadā * 0.0026 (iznomātās platības koeficients) = 70,23 </t>
    </r>
    <r>
      <rPr>
        <i/>
        <sz val="12"/>
        <color theme="1"/>
        <rFont val="Times New Roman"/>
        <family val="1"/>
        <charset val="186"/>
      </rPr>
      <t>euro</t>
    </r>
    <r>
      <rPr>
        <sz val="12"/>
        <color theme="1"/>
        <rFont val="Times New Roman"/>
        <family val="1"/>
        <charset val="186"/>
      </rPr>
      <t>.</t>
    </r>
  </si>
  <si>
    <r>
      <t xml:space="preserve">Video novērošanas un apsardzes signalizācijas sistēmas tehniskā apkope, Ugunsdzēsības krānu, ūdensvada, sirēnu iekārtu un citu iekārtu apkope un remonts, evakuācijas plānu izstrāde, avāriju bojājumu novēršanas izdevumi 2 550,98 </t>
    </r>
    <r>
      <rPr>
        <i/>
        <sz val="12"/>
        <color theme="1"/>
        <rFont val="Times New Roman"/>
        <family val="1"/>
        <charset val="186"/>
      </rPr>
      <t>euro</t>
    </r>
    <r>
      <rPr>
        <sz val="12"/>
        <color theme="1"/>
        <rFont val="Times New Roman"/>
        <family val="1"/>
        <charset val="186"/>
      </rPr>
      <t xml:space="preserve"> gadā * 0.0026 (iznomātās platības koeficients) = 6,63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</si>
  <si>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201 856,75 </t>
    </r>
    <r>
      <rPr>
        <i/>
        <sz val="12"/>
        <color theme="1"/>
        <rFont val="Times New Roman"/>
        <family val="1"/>
        <charset val="186"/>
      </rPr>
      <t>euro</t>
    </r>
    <r>
      <rPr>
        <sz val="12"/>
        <color theme="1"/>
        <rFont val="Times New Roman"/>
        <family val="1"/>
        <charset val="186"/>
      </rPr>
      <t xml:space="preserve"> gadā * 0.0026 (iznomātās platības koeficients) = 524,83 </t>
    </r>
    <r>
      <rPr>
        <i/>
        <sz val="12"/>
        <color theme="1"/>
        <rFont val="Times New Roman"/>
        <family val="1"/>
        <charset val="186"/>
      </rPr>
      <t>euro</t>
    </r>
    <r>
      <rPr>
        <sz val="12"/>
        <color theme="1"/>
        <rFont val="Times New Roman"/>
        <family val="1"/>
        <charset val="186"/>
      </rPr>
      <t>.</t>
    </r>
  </si>
  <si>
    <r>
      <t xml:space="preserve">Pārējie uzturēšanas izdevumi 2 767,46 </t>
    </r>
    <r>
      <rPr>
        <i/>
        <sz val="12"/>
        <color theme="1"/>
        <rFont val="Times New Roman"/>
        <family val="1"/>
        <charset val="186"/>
      </rPr>
      <t>euro</t>
    </r>
    <r>
      <rPr>
        <sz val="12"/>
        <color theme="1"/>
        <rFont val="Times New Roman"/>
        <family val="1"/>
        <charset val="186"/>
      </rPr>
      <t xml:space="preserve"> gadā * 0.0026 (iznomātās platības koeficients) = 7,20 </t>
    </r>
    <r>
      <rPr>
        <i/>
        <sz val="12"/>
        <color theme="1"/>
        <rFont val="Times New Roman"/>
        <family val="1"/>
        <charset val="186"/>
      </rPr>
      <t>euro</t>
    </r>
    <r>
      <rPr>
        <sz val="12"/>
        <color theme="1"/>
        <rFont val="Times New Roman"/>
        <family val="1"/>
        <charset val="186"/>
      </rPr>
      <t>.</t>
    </r>
  </si>
  <si>
    <r>
      <t xml:space="preserve">Saimniecības inventāra un materiālu (izlietnes krāni, dušas krāni, dušas pievadi, aizkari, podu vāki, u.c. higiēnas, saimniecības preces) iegādes izdevumi 300,93 </t>
    </r>
    <r>
      <rPr>
        <i/>
        <sz val="12"/>
        <color theme="1"/>
        <rFont val="Times New Roman"/>
        <family val="1"/>
        <charset val="186"/>
      </rPr>
      <t>euro</t>
    </r>
    <r>
      <rPr>
        <sz val="12"/>
        <color theme="1"/>
        <rFont val="Times New Roman"/>
        <family val="1"/>
        <charset val="186"/>
      </rPr>
      <t xml:space="preserve"> gadā * 0.0026 (iznomātās platības koeficients) = 0,78 </t>
    </r>
    <r>
      <rPr>
        <i/>
        <sz val="12"/>
        <color theme="1"/>
        <rFont val="Times New Roman"/>
        <family val="1"/>
        <charset val="186"/>
      </rPr>
      <t>euro</t>
    </r>
    <r>
      <rPr>
        <sz val="12"/>
        <color theme="1"/>
        <rFont val="Times New Roman"/>
        <family val="1"/>
        <charset val="186"/>
      </rPr>
      <t>.</t>
    </r>
  </si>
  <si>
    <r>
      <t xml:space="preserve">Nekustamā īpašuma nodoklis 10 554,74 </t>
    </r>
    <r>
      <rPr>
        <i/>
        <sz val="12"/>
        <color theme="1"/>
        <rFont val="Times New Roman"/>
        <family val="1"/>
        <charset val="186"/>
      </rPr>
      <t>euro</t>
    </r>
    <r>
      <rPr>
        <sz val="12"/>
        <color theme="1"/>
        <rFont val="Times New Roman"/>
        <family val="1"/>
        <charset val="186"/>
      </rPr>
      <t xml:space="preserve"> gadā * 0.0026 (iznomātās platības koeficients) = 27,44 </t>
    </r>
    <r>
      <rPr>
        <i/>
        <sz val="12"/>
        <color theme="1"/>
        <rFont val="Times New Roman"/>
        <family val="1"/>
        <charset val="186"/>
      </rPr>
      <t>euro</t>
    </r>
    <r>
      <rPr>
        <sz val="12"/>
        <color theme="1"/>
        <rFont val="Times New Roman"/>
        <family val="1"/>
        <charset val="186"/>
      </rPr>
      <t>.</t>
    </r>
  </si>
  <si>
    <r>
      <t xml:space="preserve">Izdevumi par apkuri 27 311,02 </t>
    </r>
    <r>
      <rPr>
        <i/>
        <sz val="12"/>
        <color theme="1"/>
        <rFont val="Times New Roman"/>
        <family val="1"/>
        <charset val="186"/>
      </rPr>
      <t>euro</t>
    </r>
    <r>
      <rPr>
        <sz val="12"/>
        <color theme="1"/>
        <rFont val="Times New Roman"/>
        <family val="1"/>
        <charset val="186"/>
      </rPr>
      <t xml:space="preserve"> gadā * 0.0117 (iznomātās platības koeficients) = 319,54 </t>
    </r>
    <r>
      <rPr>
        <i/>
        <sz val="12"/>
        <color theme="1"/>
        <rFont val="Times New Roman"/>
        <family val="1"/>
        <charset val="186"/>
      </rPr>
      <t>euro.</t>
    </r>
  </si>
  <si>
    <r>
      <t xml:space="preserve">Izdevumi par ūdeni un kanalizāciju 55 363,67 </t>
    </r>
    <r>
      <rPr>
        <i/>
        <sz val="12"/>
        <color theme="1"/>
        <rFont val="Times New Roman"/>
        <family val="1"/>
        <charset val="186"/>
      </rPr>
      <t>euro</t>
    </r>
    <r>
      <rPr>
        <sz val="12"/>
        <color theme="1"/>
        <rFont val="Times New Roman"/>
        <family val="1"/>
        <charset val="186"/>
      </rPr>
      <t xml:space="preserve"> gadā * 0.0117 (iznomātās platības koeficients) = 647,75 </t>
    </r>
    <r>
      <rPr>
        <i/>
        <sz val="12"/>
        <color theme="1"/>
        <rFont val="Times New Roman"/>
        <family val="1"/>
        <charset val="186"/>
      </rPr>
      <t>euro.</t>
    </r>
  </si>
  <si>
    <r>
      <t xml:space="preserve">Izdevumi par atkritumu izvešanu 27 012,56 </t>
    </r>
    <r>
      <rPr>
        <i/>
        <sz val="12"/>
        <color theme="1"/>
        <rFont val="Times New Roman"/>
        <family val="1"/>
        <charset val="186"/>
      </rPr>
      <t>euro</t>
    </r>
    <r>
      <rPr>
        <sz val="12"/>
        <color theme="1"/>
        <rFont val="Times New Roman"/>
        <family val="1"/>
        <charset val="186"/>
      </rPr>
      <t xml:space="preserve"> gadā * 0.0117 (iznomātās platības koeficients) = 316,05 </t>
    </r>
    <r>
      <rPr>
        <i/>
        <sz val="12"/>
        <color theme="1"/>
        <rFont val="Times New Roman"/>
        <family val="1"/>
        <charset val="186"/>
      </rPr>
      <t>euro</t>
    </r>
    <r>
      <rPr>
        <sz val="12"/>
        <color theme="1"/>
        <rFont val="Times New Roman"/>
        <family val="1"/>
        <charset val="186"/>
      </rPr>
      <t>.</t>
    </r>
  </si>
  <si>
    <r>
      <t xml:space="preserve">Video novērošanas un apsardzes signalizācijas sistēmas tehniskā apkope, Ugunsdzēsības krānu, ūdensvada, sirēnu iekārtu un citu iekārtu apkope un remonts, evakuācijas plānu izstrāde, avāriju bojājumu novēršanas izdevumi 2 550,98 </t>
    </r>
    <r>
      <rPr>
        <i/>
        <sz val="12"/>
        <color theme="1"/>
        <rFont val="Times New Roman"/>
        <family val="1"/>
        <charset val="186"/>
      </rPr>
      <t>euro</t>
    </r>
    <r>
      <rPr>
        <sz val="12"/>
        <color theme="1"/>
        <rFont val="Times New Roman"/>
        <family val="1"/>
        <charset val="186"/>
      </rPr>
      <t xml:space="preserve"> gadā * 0.0117 (iznomātās platības koeficients) = 29,85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</si>
  <si>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201 856,75 </t>
    </r>
    <r>
      <rPr>
        <i/>
        <sz val="12"/>
        <color theme="1"/>
        <rFont val="Times New Roman"/>
        <family val="1"/>
        <charset val="186"/>
      </rPr>
      <t>euro</t>
    </r>
    <r>
      <rPr>
        <sz val="12"/>
        <color theme="1"/>
        <rFont val="Times New Roman"/>
        <family val="1"/>
        <charset val="186"/>
      </rPr>
      <t xml:space="preserve"> gadā * 0.0117 (iznomātās platības koeficients) = 2 361,72 </t>
    </r>
    <r>
      <rPr>
        <i/>
        <sz val="12"/>
        <color theme="1"/>
        <rFont val="Times New Roman"/>
        <family val="1"/>
        <charset val="186"/>
      </rPr>
      <t>euro</t>
    </r>
    <r>
      <rPr>
        <sz val="12"/>
        <color theme="1"/>
        <rFont val="Times New Roman"/>
        <family val="1"/>
        <charset val="186"/>
      </rPr>
      <t>.</t>
    </r>
  </si>
  <si>
    <r>
      <t xml:space="preserve">Pārējie uzturēšanas izdevumi 2 767,46 </t>
    </r>
    <r>
      <rPr>
        <i/>
        <sz val="12"/>
        <color theme="1"/>
        <rFont val="Times New Roman"/>
        <family val="1"/>
        <charset val="186"/>
      </rPr>
      <t>euro</t>
    </r>
    <r>
      <rPr>
        <sz val="12"/>
        <color theme="1"/>
        <rFont val="Times New Roman"/>
        <family val="1"/>
        <charset val="186"/>
      </rPr>
      <t xml:space="preserve"> gadā * 0.0117 (iznomātās platības koeficients) = 32,38 </t>
    </r>
    <r>
      <rPr>
        <i/>
        <sz val="12"/>
        <color theme="1"/>
        <rFont val="Times New Roman"/>
        <family val="1"/>
        <charset val="186"/>
      </rPr>
      <t>euro</t>
    </r>
    <r>
      <rPr>
        <sz val="12"/>
        <color theme="1"/>
        <rFont val="Times New Roman"/>
        <family val="1"/>
        <charset val="186"/>
      </rPr>
      <t>.</t>
    </r>
  </si>
  <si>
    <r>
      <t xml:space="preserve">Saimniecības inventāra un materiālu (izlietnes krāni, dušas krāni, dušas pievadi, podu vāki, u.c. higiēnas, saimniecības preces) iegādes izdevumi 300,93 </t>
    </r>
    <r>
      <rPr>
        <i/>
        <sz val="12"/>
        <color theme="1"/>
        <rFont val="Times New Roman"/>
        <family val="1"/>
        <charset val="186"/>
      </rPr>
      <t>euro</t>
    </r>
    <r>
      <rPr>
        <sz val="12"/>
        <color theme="1"/>
        <rFont val="Times New Roman"/>
        <family val="1"/>
        <charset val="186"/>
      </rPr>
      <t xml:space="preserve"> gadā * 0.0117 (iznomātās platības koeficients) = 3,52 </t>
    </r>
    <r>
      <rPr>
        <i/>
        <sz val="12"/>
        <color theme="1"/>
        <rFont val="Times New Roman"/>
        <family val="1"/>
        <charset val="186"/>
      </rPr>
      <t>euro</t>
    </r>
    <r>
      <rPr>
        <sz val="12"/>
        <color theme="1"/>
        <rFont val="Times New Roman"/>
        <family val="1"/>
        <charset val="186"/>
      </rPr>
      <t>.</t>
    </r>
  </si>
  <si>
    <r>
      <t xml:space="preserve">Nekustamā īpašuma nodoklis 10 554,74 </t>
    </r>
    <r>
      <rPr>
        <i/>
        <sz val="12"/>
        <color theme="1"/>
        <rFont val="Times New Roman"/>
        <family val="1"/>
        <charset val="186"/>
      </rPr>
      <t>euro</t>
    </r>
    <r>
      <rPr>
        <sz val="12"/>
        <color theme="1"/>
        <rFont val="Times New Roman"/>
        <family val="1"/>
        <charset val="186"/>
      </rPr>
      <t xml:space="preserve"> gadā * 0.0117 (iznomātās platības koeficients) = 123,49 </t>
    </r>
    <r>
      <rPr>
        <i/>
        <sz val="12"/>
        <color theme="1"/>
        <rFont val="Times New Roman"/>
        <family val="1"/>
        <charset val="186"/>
      </rPr>
      <t>euro</t>
    </r>
    <r>
      <rPr>
        <sz val="12"/>
        <color theme="1"/>
        <rFont val="Times New Roman"/>
        <family val="1"/>
        <charset val="186"/>
      </rPr>
      <t>.</t>
    </r>
  </si>
  <si>
    <r>
      <t xml:space="preserve">Izdevumi par apkuri 27 311,02 </t>
    </r>
    <r>
      <rPr>
        <i/>
        <sz val="12"/>
        <color theme="1"/>
        <rFont val="Times New Roman"/>
        <family val="1"/>
        <charset val="186"/>
      </rPr>
      <t>euro</t>
    </r>
    <r>
      <rPr>
        <sz val="12"/>
        <color theme="1"/>
        <rFont val="Times New Roman"/>
        <family val="1"/>
        <charset val="186"/>
      </rPr>
      <t xml:space="preserve"> gadā * 0.2415 (iznomātās platības koeficients) = 6 595,61 </t>
    </r>
    <r>
      <rPr>
        <i/>
        <sz val="12"/>
        <color theme="1"/>
        <rFont val="Times New Roman"/>
        <family val="1"/>
        <charset val="186"/>
      </rPr>
      <t>euro</t>
    </r>
    <r>
      <rPr>
        <sz val="12"/>
        <color theme="1"/>
        <rFont val="Times New Roman"/>
        <family val="1"/>
        <charset val="186"/>
      </rPr>
      <t>.</t>
    </r>
  </si>
  <si>
    <r>
      <t xml:space="preserve">Izdevumi par ūdeni un kanalizāciju 55 363,67 </t>
    </r>
    <r>
      <rPr>
        <i/>
        <sz val="12"/>
        <color theme="1"/>
        <rFont val="Times New Roman"/>
        <family val="1"/>
        <charset val="186"/>
      </rPr>
      <t>euro</t>
    </r>
    <r>
      <rPr>
        <sz val="12"/>
        <color theme="1"/>
        <rFont val="Times New Roman"/>
        <family val="1"/>
        <charset val="186"/>
      </rPr>
      <t xml:space="preserve"> gadā * 0.2415 (iznomātās platības koeficients) = 13 370,33 </t>
    </r>
    <r>
      <rPr>
        <i/>
        <sz val="12"/>
        <color theme="1"/>
        <rFont val="Times New Roman"/>
        <family val="1"/>
        <charset val="186"/>
      </rPr>
      <t>euro</t>
    </r>
    <r>
      <rPr>
        <sz val="12"/>
        <color theme="1"/>
        <rFont val="Times New Roman"/>
        <family val="1"/>
        <charset val="186"/>
      </rPr>
      <t>.</t>
    </r>
  </si>
  <si>
    <r>
      <t xml:space="preserve">Izdevumi par atkritumu izvešanu 27 012,56 </t>
    </r>
    <r>
      <rPr>
        <i/>
        <sz val="12"/>
        <color theme="1"/>
        <rFont val="Times New Roman"/>
        <family val="1"/>
        <charset val="186"/>
      </rPr>
      <t>euro</t>
    </r>
    <r>
      <rPr>
        <sz val="12"/>
        <color theme="1"/>
        <rFont val="Times New Roman"/>
        <family val="1"/>
        <charset val="186"/>
      </rPr>
      <t xml:space="preserve"> gadā * 0.2415 (iznomātās platības koeficients) = 6 523,53 </t>
    </r>
    <r>
      <rPr>
        <i/>
        <sz val="12"/>
        <color theme="1"/>
        <rFont val="Times New Roman"/>
        <family val="1"/>
        <charset val="186"/>
      </rPr>
      <t>euro</t>
    </r>
    <r>
      <rPr>
        <sz val="12"/>
        <color theme="1"/>
        <rFont val="Times New Roman"/>
        <family val="1"/>
        <charset val="186"/>
      </rPr>
      <t>.</t>
    </r>
  </si>
  <si>
    <r>
      <t xml:space="preserve">Video novērošanas un apsardzes signalizācijas sistēmas tehniskā apkope, Ugunsdzēsības krānu, ūdensvada, sirēnu iekārtu un citu iekārtu apkope un remonts, evakuācijas plānu izstrāde, avāriju bojājumu novēršanas izdevumi 2 550,98 </t>
    </r>
    <r>
      <rPr>
        <i/>
        <sz val="12"/>
        <color theme="1"/>
        <rFont val="Times New Roman"/>
        <family val="1"/>
        <charset val="186"/>
      </rPr>
      <t>euro</t>
    </r>
    <r>
      <rPr>
        <sz val="12"/>
        <color theme="1"/>
        <rFont val="Times New Roman"/>
        <family val="1"/>
        <charset val="186"/>
      </rPr>
      <t xml:space="preserve"> gadā * 0.2415 (iznomātās platības koeficients) = 616,06 </t>
    </r>
    <r>
      <rPr>
        <i/>
        <sz val="12"/>
        <color theme="1"/>
        <rFont val="Times New Roman"/>
        <family val="1"/>
        <charset val="186"/>
      </rPr>
      <t>euro.</t>
    </r>
  </si>
  <si>
    <r>
      <t xml:space="preserve">Telpu, teritorijas uzkopšanas, apsardzes, apsaimniekošanas, apdrošināšanas izdevumi 201 856,75 </t>
    </r>
    <r>
      <rPr>
        <i/>
        <sz val="12"/>
        <color theme="1"/>
        <rFont val="Times New Roman"/>
        <family val="1"/>
        <charset val="186"/>
      </rPr>
      <t>euro</t>
    </r>
    <r>
      <rPr>
        <sz val="12"/>
        <color theme="1"/>
        <rFont val="Times New Roman"/>
        <family val="1"/>
        <charset val="186"/>
      </rPr>
      <t xml:space="preserve"> gadā * 0.2415 (iznomātās platības koeficients) = 48 748,41 </t>
    </r>
    <r>
      <rPr>
        <i/>
        <sz val="12"/>
        <color theme="1"/>
        <rFont val="Times New Roman"/>
        <family val="1"/>
        <charset val="186"/>
      </rPr>
      <t>euro.</t>
    </r>
  </si>
  <si>
    <r>
      <t xml:space="preserve">Pārējie uzturēšanas izdevumi 2 767,46 </t>
    </r>
    <r>
      <rPr>
        <i/>
        <sz val="12"/>
        <color theme="1"/>
        <rFont val="Times New Roman"/>
        <family val="1"/>
        <charset val="186"/>
      </rPr>
      <t>euro</t>
    </r>
    <r>
      <rPr>
        <sz val="12"/>
        <color theme="1"/>
        <rFont val="Times New Roman"/>
        <family val="1"/>
        <charset val="186"/>
      </rPr>
      <t xml:space="preserve"> gadā * 0.2415 (iznomātās platības koeficients) = 668,35 </t>
    </r>
    <r>
      <rPr>
        <i/>
        <sz val="12"/>
        <color theme="1"/>
        <rFont val="Times New Roman"/>
        <family val="1"/>
        <charset val="186"/>
      </rPr>
      <t>euro</t>
    </r>
    <r>
      <rPr>
        <sz val="12"/>
        <color theme="1"/>
        <rFont val="Times New Roman"/>
        <family val="1"/>
        <charset val="186"/>
      </rPr>
      <t>.</t>
    </r>
  </si>
  <si>
    <r>
      <t xml:space="preserve">Saimniecības inventāra un materiālu (izlietnes krāni, dušas krāni, dušas pievadi, podu vāki, u.c. higiēnas, saimniecības preces) iegādes izdevumi 300,93 </t>
    </r>
    <r>
      <rPr>
        <i/>
        <sz val="12"/>
        <color theme="1"/>
        <rFont val="Times New Roman"/>
        <family val="1"/>
        <charset val="186"/>
      </rPr>
      <t>euro</t>
    </r>
    <r>
      <rPr>
        <sz val="12"/>
        <color theme="1"/>
        <rFont val="Times New Roman"/>
        <family val="1"/>
        <charset val="186"/>
      </rPr>
      <t xml:space="preserve"> gadā * 0.2415 (iznomātās platības koeficients) = 72,67 </t>
    </r>
    <r>
      <rPr>
        <i/>
        <sz val="12"/>
        <color theme="1"/>
        <rFont val="Times New Roman"/>
        <family val="1"/>
        <charset val="186"/>
      </rPr>
      <t>euro</t>
    </r>
    <r>
      <rPr>
        <sz val="12"/>
        <color theme="1"/>
        <rFont val="Times New Roman"/>
        <family val="1"/>
        <charset val="186"/>
      </rPr>
      <t>.</t>
    </r>
  </si>
  <si>
    <r>
      <t xml:space="preserve">Nekustamā īpašuma nodoklis 10 554,74 </t>
    </r>
    <r>
      <rPr>
        <i/>
        <sz val="12"/>
        <color theme="1"/>
        <rFont val="Times New Roman"/>
        <family val="1"/>
        <charset val="186"/>
      </rPr>
      <t>euro</t>
    </r>
    <r>
      <rPr>
        <sz val="12"/>
        <color theme="1"/>
        <rFont val="Times New Roman"/>
        <family val="1"/>
        <charset val="186"/>
      </rPr>
      <t xml:space="preserve"> gadā * 0.2415 (iznomātās platības koeficients) = 2 548,97 </t>
    </r>
    <r>
      <rPr>
        <i/>
        <sz val="12"/>
        <color theme="1"/>
        <rFont val="Times New Roman"/>
        <family val="1"/>
        <charset val="186"/>
      </rPr>
      <t>euro</t>
    </r>
    <r>
      <rPr>
        <sz val="12"/>
        <color theme="1"/>
        <rFont val="Times New Roman"/>
        <family val="1"/>
        <charset val="186"/>
      </rPr>
      <t>.</t>
    </r>
  </si>
  <si>
    <r>
      <t xml:space="preserve">Izdevumi par apkuri 3 292,99 </t>
    </r>
    <r>
      <rPr>
        <i/>
        <sz val="12"/>
        <color theme="1"/>
        <rFont val="Times New Roman"/>
        <family val="1"/>
        <charset val="186"/>
      </rPr>
      <t>euro</t>
    </r>
    <r>
      <rPr>
        <sz val="12"/>
        <color theme="1"/>
        <rFont val="Times New Roman"/>
        <family val="1"/>
        <charset val="186"/>
      </rPr>
      <t xml:space="preserve"> gadā * 0.6049 (iznomātās platības koeficients) = 1 991,93 </t>
    </r>
    <r>
      <rPr>
        <i/>
        <sz val="12"/>
        <color theme="1"/>
        <rFont val="Times New Roman"/>
        <family val="1"/>
        <charset val="186"/>
      </rPr>
      <t>euro</t>
    </r>
    <r>
      <rPr>
        <sz val="12"/>
        <color theme="1"/>
        <rFont val="Times New Roman"/>
        <family val="1"/>
        <charset val="186"/>
      </rPr>
      <t>.</t>
    </r>
  </si>
  <si>
    <r>
      <t xml:space="preserve">Izdevumi par ūdeni un kanalizāciju 290,56 </t>
    </r>
    <r>
      <rPr>
        <i/>
        <sz val="12"/>
        <color theme="1"/>
        <rFont val="Times New Roman"/>
        <family val="1"/>
        <charset val="186"/>
      </rPr>
      <t>euro</t>
    </r>
    <r>
      <rPr>
        <sz val="12"/>
        <color theme="1"/>
        <rFont val="Times New Roman"/>
        <family val="1"/>
        <charset val="186"/>
      </rPr>
      <t xml:space="preserve"> gadā * 0.6049 (iznomātās platības koeficients) = 175,76 </t>
    </r>
    <r>
      <rPr>
        <i/>
        <sz val="12"/>
        <color theme="1"/>
        <rFont val="Times New Roman"/>
        <family val="1"/>
        <charset val="186"/>
      </rPr>
      <t>euro</t>
    </r>
    <r>
      <rPr>
        <sz val="12"/>
        <color theme="1"/>
        <rFont val="Times New Roman"/>
        <family val="1"/>
        <charset val="186"/>
      </rPr>
      <t>.</t>
    </r>
  </si>
  <si>
    <r>
      <t xml:space="preserve">Izdevumi par elektroenerģiju 2 123,63 </t>
    </r>
    <r>
      <rPr>
        <i/>
        <sz val="12"/>
        <color theme="1"/>
        <rFont val="Times New Roman"/>
        <family val="1"/>
        <charset val="186"/>
      </rPr>
      <t>euro</t>
    </r>
    <r>
      <rPr>
        <sz val="12"/>
        <color theme="1"/>
        <rFont val="Times New Roman"/>
        <family val="1"/>
        <charset val="186"/>
      </rPr>
      <t xml:space="preserve"> gadā * 0.6049 (iznomātās platības koeficients) = 1 284,58 </t>
    </r>
    <r>
      <rPr>
        <i/>
        <sz val="12"/>
        <color theme="1"/>
        <rFont val="Times New Roman"/>
        <family val="1"/>
        <charset val="186"/>
      </rPr>
      <t>euro</t>
    </r>
    <r>
      <rPr>
        <sz val="12"/>
        <color theme="1"/>
        <rFont val="Times New Roman"/>
        <family val="1"/>
        <charset val="186"/>
      </rPr>
      <t>.</t>
    </r>
  </si>
  <si>
    <r>
      <t xml:space="preserve">Izdevumi par atkritumu izvešanu 374,96 </t>
    </r>
    <r>
      <rPr>
        <i/>
        <sz val="12"/>
        <color theme="1"/>
        <rFont val="Times New Roman"/>
        <family val="1"/>
        <charset val="186"/>
      </rPr>
      <t>euro</t>
    </r>
    <r>
      <rPr>
        <sz val="12"/>
        <color theme="1"/>
        <rFont val="Times New Roman"/>
        <family val="1"/>
        <charset val="186"/>
      </rPr>
      <t xml:space="preserve"> gadā * 0.6049 (iznomātās platības koeficients) = 226,81 </t>
    </r>
    <r>
      <rPr>
        <i/>
        <sz val="12"/>
        <color theme="1"/>
        <rFont val="Times New Roman"/>
        <family val="1"/>
        <charset val="186"/>
      </rPr>
      <t>euro</t>
    </r>
    <r>
      <rPr>
        <sz val="12"/>
        <color theme="1"/>
        <rFont val="Times New Roman"/>
        <family val="1"/>
        <charset val="186"/>
      </rPr>
      <t>.</t>
    </r>
  </si>
  <si>
    <r>
      <t xml:space="preserve">Izdevumi par dabas gāzi 16,14 </t>
    </r>
    <r>
      <rPr>
        <i/>
        <sz val="12"/>
        <color theme="1"/>
        <rFont val="Times New Roman"/>
        <family val="1"/>
        <charset val="186"/>
      </rPr>
      <t>euro</t>
    </r>
    <r>
      <rPr>
        <sz val="12"/>
        <color theme="1"/>
        <rFont val="Times New Roman"/>
        <family val="1"/>
        <charset val="186"/>
      </rPr>
      <t xml:space="preserve"> gadā * 0.6049 (iznomātās platības koeficients) = 9,76 </t>
    </r>
    <r>
      <rPr>
        <i/>
        <sz val="12"/>
        <color theme="1"/>
        <rFont val="Times New Roman"/>
        <family val="1"/>
        <charset val="186"/>
      </rPr>
      <t>euro</t>
    </r>
    <r>
      <rPr>
        <sz val="12"/>
        <color theme="1"/>
        <rFont val="Times New Roman"/>
        <family val="1"/>
        <charset val="186"/>
      </rPr>
      <t>.</t>
    </r>
  </si>
  <si>
    <r>
      <t xml:space="preserve">Ēku sistēmu apkope, iekārtu un citu iekārtu apkope un remonts, avāriju bojājumu novēršanas izdevumi 159,67 </t>
    </r>
    <r>
      <rPr>
        <i/>
        <sz val="12"/>
        <color theme="1"/>
        <rFont val="Times New Roman"/>
        <family val="1"/>
        <charset val="186"/>
      </rPr>
      <t>euro</t>
    </r>
    <r>
      <rPr>
        <sz val="12"/>
        <color theme="1"/>
        <rFont val="Times New Roman"/>
        <family val="1"/>
        <charset val="186"/>
      </rPr>
      <t xml:space="preserve"> gadā * 0.6049 (iznomātās platības koeficients) = 96,58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</si>
  <si>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3 240,24 </t>
    </r>
    <r>
      <rPr>
        <i/>
        <sz val="12"/>
        <color theme="1"/>
        <rFont val="Times New Roman"/>
        <family val="1"/>
        <charset val="186"/>
      </rPr>
      <t>euro</t>
    </r>
    <r>
      <rPr>
        <sz val="12"/>
        <color theme="1"/>
        <rFont val="Times New Roman"/>
        <family val="1"/>
        <charset val="186"/>
      </rPr>
      <t xml:space="preserve"> gadā * 0.6049 (iznomātās platības koeficients) = 1 960,02 </t>
    </r>
    <r>
      <rPr>
        <i/>
        <sz val="12"/>
        <color theme="1"/>
        <rFont val="Times New Roman"/>
        <family val="1"/>
        <charset val="186"/>
      </rPr>
      <t>euro</t>
    </r>
    <r>
      <rPr>
        <sz val="12"/>
        <color theme="1"/>
        <rFont val="Times New Roman"/>
        <family val="1"/>
        <charset val="186"/>
      </rPr>
      <t>.</t>
    </r>
  </si>
  <si>
    <r>
      <t xml:space="preserve">Inventāra iegādes izdevumi 10,76 </t>
    </r>
    <r>
      <rPr>
        <i/>
        <sz val="12"/>
        <color theme="1"/>
        <rFont val="Times New Roman"/>
        <family val="1"/>
        <charset val="186"/>
      </rPr>
      <t>euro gadā</t>
    </r>
    <r>
      <rPr>
        <sz val="12"/>
        <color theme="1"/>
        <rFont val="Times New Roman"/>
        <family val="1"/>
        <charset val="186"/>
      </rPr>
      <t xml:space="preserve"> * 0.6049 (pakalpojuma īpatsvars kopējos ēkā sniegtajos pakalpojumos) = 6,51 </t>
    </r>
    <r>
      <rPr>
        <i/>
        <sz val="12"/>
        <color theme="1"/>
        <rFont val="Times New Roman"/>
        <family val="1"/>
        <charset val="186"/>
      </rPr>
      <t>euro.</t>
    </r>
  </si>
  <si>
    <r>
      <t xml:space="preserve">Saimniecības inventāra un materiālu (spuldzes, higiēnas preces, birstes u.tml.) iegādes izdevumi 97,89 </t>
    </r>
    <r>
      <rPr>
        <i/>
        <sz val="12"/>
        <color theme="1"/>
        <rFont val="Times New Roman"/>
        <family val="1"/>
        <charset val="186"/>
      </rPr>
      <t>euro</t>
    </r>
    <r>
      <rPr>
        <sz val="12"/>
        <color theme="1"/>
        <rFont val="Times New Roman"/>
        <family val="1"/>
        <charset val="186"/>
      </rPr>
      <t xml:space="preserve"> gadā * 0.6049 (iznomātās platības koeficients) = 59,21 </t>
    </r>
    <r>
      <rPr>
        <i/>
        <sz val="12"/>
        <color theme="1"/>
        <rFont val="Times New Roman"/>
        <family val="1"/>
        <charset val="186"/>
      </rPr>
      <t>euro.</t>
    </r>
  </si>
  <si>
    <r>
      <t xml:space="preserve">Nekustamā īpašuma nodoklis 228,53 </t>
    </r>
    <r>
      <rPr>
        <i/>
        <sz val="12"/>
        <color theme="1"/>
        <rFont val="Times New Roman"/>
        <family val="1"/>
        <charset val="186"/>
      </rPr>
      <t>euro</t>
    </r>
    <r>
      <rPr>
        <sz val="12"/>
        <color theme="1"/>
        <rFont val="Times New Roman"/>
        <family val="1"/>
        <charset val="186"/>
      </rPr>
      <t xml:space="preserve"> gadā * 0.6049 (iznomātās platības koeficients) = 138,24 </t>
    </r>
    <r>
      <rPr>
        <i/>
        <sz val="12"/>
        <color theme="1"/>
        <rFont val="Times New Roman"/>
        <family val="1"/>
        <charset val="186"/>
      </rPr>
      <t>euro</t>
    </r>
    <r>
      <rPr>
        <sz val="12"/>
        <color theme="1"/>
        <rFont val="Times New Roman"/>
        <family val="1"/>
        <charset val="186"/>
      </rPr>
      <t>.</t>
    </r>
  </si>
  <si>
    <r>
      <t xml:space="preserve">Izdevumi par apkuri 3 292,99 </t>
    </r>
    <r>
      <rPr>
        <i/>
        <sz val="12"/>
        <color theme="1"/>
        <rFont val="Times New Roman"/>
        <family val="1"/>
        <charset val="186"/>
      </rPr>
      <t>euro</t>
    </r>
    <r>
      <rPr>
        <sz val="12"/>
        <color theme="1"/>
        <rFont val="Times New Roman"/>
        <family val="1"/>
        <charset val="186"/>
      </rPr>
      <t xml:space="preserve"> gadā * 0.3951 (iznomātās platības koeficients) = 1 301,06 </t>
    </r>
    <r>
      <rPr>
        <i/>
        <sz val="12"/>
        <color theme="1"/>
        <rFont val="Times New Roman"/>
        <family val="1"/>
        <charset val="186"/>
      </rPr>
      <t>euro</t>
    </r>
    <r>
      <rPr>
        <sz val="12"/>
        <color theme="1"/>
        <rFont val="Times New Roman"/>
        <family val="1"/>
        <charset val="186"/>
      </rPr>
      <t>.</t>
    </r>
  </si>
  <si>
    <r>
      <t xml:space="preserve">Izdevumi par ūdeni un kanalizāciju 290,56 </t>
    </r>
    <r>
      <rPr>
        <i/>
        <sz val="12"/>
        <color theme="1"/>
        <rFont val="Times New Roman"/>
        <family val="1"/>
        <charset val="186"/>
      </rPr>
      <t>euro</t>
    </r>
    <r>
      <rPr>
        <sz val="12"/>
        <color theme="1"/>
        <rFont val="Times New Roman"/>
        <family val="1"/>
        <charset val="186"/>
      </rPr>
      <t xml:space="preserve"> gadā * 0.3951 (iznomātās platības koeficients) = 114,80 </t>
    </r>
    <r>
      <rPr>
        <i/>
        <sz val="12"/>
        <color theme="1"/>
        <rFont val="Times New Roman"/>
        <family val="1"/>
        <charset val="186"/>
      </rPr>
      <t>euro</t>
    </r>
    <r>
      <rPr>
        <sz val="12"/>
        <color theme="1"/>
        <rFont val="Times New Roman"/>
        <family val="1"/>
        <charset val="186"/>
      </rPr>
      <t>.</t>
    </r>
  </si>
  <si>
    <r>
      <t xml:space="preserve">Izdevumi par elektroenerģiju 2 123,63 </t>
    </r>
    <r>
      <rPr>
        <i/>
        <sz val="12"/>
        <color theme="1"/>
        <rFont val="Times New Roman"/>
        <family val="1"/>
        <charset val="186"/>
      </rPr>
      <t>euro</t>
    </r>
    <r>
      <rPr>
        <sz val="12"/>
        <color theme="1"/>
        <rFont val="Times New Roman"/>
        <family val="1"/>
        <charset val="186"/>
      </rPr>
      <t xml:space="preserve"> gadā * 0.3951 (iznomātās platības koeficients) = 839,05 </t>
    </r>
    <r>
      <rPr>
        <i/>
        <sz val="12"/>
        <color theme="1"/>
        <rFont val="Times New Roman"/>
        <family val="1"/>
        <charset val="186"/>
      </rPr>
      <t>euro</t>
    </r>
    <r>
      <rPr>
        <sz val="12"/>
        <color theme="1"/>
        <rFont val="Times New Roman"/>
        <family val="1"/>
        <charset val="186"/>
      </rPr>
      <t>.</t>
    </r>
  </si>
  <si>
    <r>
      <t xml:space="preserve">Izdevumi par atkritumu izvešanu 374,96 </t>
    </r>
    <r>
      <rPr>
        <i/>
        <sz val="12"/>
        <color theme="1"/>
        <rFont val="Times New Roman"/>
        <family val="1"/>
        <charset val="186"/>
      </rPr>
      <t>euro</t>
    </r>
    <r>
      <rPr>
        <sz val="12"/>
        <color theme="1"/>
        <rFont val="Times New Roman"/>
        <family val="1"/>
        <charset val="186"/>
      </rPr>
      <t xml:space="preserve"> gadā * 0.3951 (iznomātās platības koeficients)= 148,15 </t>
    </r>
    <r>
      <rPr>
        <i/>
        <sz val="12"/>
        <color theme="1"/>
        <rFont val="Times New Roman"/>
        <family val="1"/>
        <charset val="186"/>
      </rPr>
      <t>euro</t>
    </r>
    <r>
      <rPr>
        <sz val="12"/>
        <color theme="1"/>
        <rFont val="Times New Roman"/>
        <family val="1"/>
        <charset val="186"/>
      </rPr>
      <t>.</t>
    </r>
  </si>
  <si>
    <r>
      <t xml:space="preserve">Izdevumi par dabas gāzi 16,14 </t>
    </r>
    <r>
      <rPr>
        <i/>
        <sz val="12"/>
        <color theme="1"/>
        <rFont val="Times New Roman"/>
        <family val="1"/>
        <charset val="186"/>
      </rPr>
      <t>euro</t>
    </r>
    <r>
      <rPr>
        <sz val="12"/>
        <color theme="1"/>
        <rFont val="Times New Roman"/>
        <family val="1"/>
        <charset val="186"/>
      </rPr>
      <t xml:space="preserve"> gadā * 0.3951 (iznomātās platības koeficients) = 6,38 </t>
    </r>
    <r>
      <rPr>
        <i/>
        <sz val="12"/>
        <color theme="1"/>
        <rFont val="Times New Roman"/>
        <family val="1"/>
        <charset val="186"/>
      </rPr>
      <t>euro</t>
    </r>
    <r>
      <rPr>
        <sz val="12"/>
        <color theme="1"/>
        <rFont val="Times New Roman"/>
        <family val="1"/>
        <charset val="186"/>
      </rPr>
      <t>.</t>
    </r>
  </si>
  <si>
    <r>
      <t xml:space="preserve">Ēku sistēmu apkope, iekārtu un citu iekārtu apkope un remonts, avāriju bojājumu novēršanas izdevumi 159,67 </t>
    </r>
    <r>
      <rPr>
        <i/>
        <sz val="12"/>
        <color theme="1"/>
        <rFont val="Times New Roman"/>
        <family val="1"/>
        <charset val="186"/>
      </rPr>
      <t>euro</t>
    </r>
    <r>
      <rPr>
        <sz val="12"/>
        <color theme="1"/>
        <rFont val="Times New Roman"/>
        <family val="1"/>
        <charset val="186"/>
      </rPr>
      <t xml:space="preserve"> gadā * 0.3951(iznomātās platības koeficients) = 63,09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</si>
  <si>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3 240,24 </t>
    </r>
    <r>
      <rPr>
        <i/>
        <sz val="12"/>
        <color theme="1"/>
        <rFont val="Times New Roman"/>
        <family val="1"/>
        <charset val="186"/>
      </rPr>
      <t>euro</t>
    </r>
    <r>
      <rPr>
        <sz val="12"/>
        <color theme="1"/>
        <rFont val="Times New Roman"/>
        <family val="1"/>
        <charset val="186"/>
      </rPr>
      <t xml:space="preserve"> gadā * 0.3951 (iznomātās platības koeficients)= 1 280,22 </t>
    </r>
    <r>
      <rPr>
        <i/>
        <sz val="12"/>
        <color theme="1"/>
        <rFont val="Times New Roman"/>
        <family val="1"/>
        <charset val="186"/>
      </rPr>
      <t>euro</t>
    </r>
    <r>
      <rPr>
        <sz val="12"/>
        <color theme="1"/>
        <rFont val="Times New Roman"/>
        <family val="1"/>
        <charset val="186"/>
      </rPr>
      <t>.</t>
    </r>
  </si>
  <si>
    <r>
      <t xml:space="preserve">Inventāra iegādes izdevumi 10,76 </t>
    </r>
    <r>
      <rPr>
        <i/>
        <sz val="12"/>
        <color theme="1"/>
        <rFont val="Times New Roman"/>
        <family val="1"/>
        <charset val="186"/>
      </rPr>
      <t>euro gadā</t>
    </r>
    <r>
      <rPr>
        <sz val="12"/>
        <color theme="1"/>
        <rFont val="Times New Roman"/>
        <family val="1"/>
        <charset val="186"/>
      </rPr>
      <t xml:space="preserve"> * 0.3951 (pakalpojuma īpatsvars kopējos ēkā sniegtajos pakalpojumos) = 4,25 </t>
    </r>
    <r>
      <rPr>
        <i/>
        <sz val="12"/>
        <color theme="1"/>
        <rFont val="Times New Roman"/>
        <family val="1"/>
        <charset val="186"/>
      </rPr>
      <t>euro.</t>
    </r>
  </si>
  <si>
    <r>
      <t xml:space="preserve">Saimniecības inventāra un materiālu (spuldzes, higiēnas preces, birstes u.tml.) iegādes izdevumi 97,89 </t>
    </r>
    <r>
      <rPr>
        <i/>
        <sz val="12"/>
        <color theme="1"/>
        <rFont val="Times New Roman"/>
        <family val="1"/>
        <charset val="186"/>
      </rPr>
      <t>euro</t>
    </r>
    <r>
      <rPr>
        <sz val="12"/>
        <color theme="1"/>
        <rFont val="Times New Roman"/>
        <family val="1"/>
        <charset val="186"/>
      </rPr>
      <t xml:space="preserve"> gadā * 0.3951 (iznomātās platības koeficients) = 38,68 </t>
    </r>
    <r>
      <rPr>
        <i/>
        <sz val="12"/>
        <color theme="1"/>
        <rFont val="Times New Roman"/>
        <family val="1"/>
        <charset val="186"/>
      </rPr>
      <t>euro</t>
    </r>
    <r>
      <rPr>
        <sz val="12"/>
        <color theme="1"/>
        <rFont val="Times New Roman"/>
        <family val="1"/>
        <charset val="186"/>
      </rPr>
      <t>.</t>
    </r>
  </si>
  <si>
    <r>
      <t xml:space="preserve">Nekustamā īpašuma nodoklis 228,53 </t>
    </r>
    <r>
      <rPr>
        <i/>
        <sz val="12"/>
        <color theme="1"/>
        <rFont val="Times New Roman"/>
        <family val="1"/>
        <charset val="186"/>
      </rPr>
      <t>euro</t>
    </r>
    <r>
      <rPr>
        <sz val="12"/>
        <color theme="1"/>
        <rFont val="Times New Roman"/>
        <family val="1"/>
        <charset val="186"/>
      </rPr>
      <t xml:space="preserve"> gadā * 0.3951 (iznomātās platības koeficients) = 90,29 </t>
    </r>
    <r>
      <rPr>
        <i/>
        <sz val="12"/>
        <color theme="1"/>
        <rFont val="Times New Roman"/>
        <family val="1"/>
        <charset val="186"/>
      </rPr>
      <t>euro</t>
    </r>
    <r>
      <rPr>
        <sz val="12"/>
        <color theme="1"/>
        <rFont val="Times New Roman"/>
        <family val="1"/>
        <charset val="186"/>
      </rPr>
      <t>.</t>
    </r>
  </si>
  <si>
    <r>
      <t xml:space="preserve">Izdevumi par apkuri 33 283,81 </t>
    </r>
    <r>
      <rPr>
        <i/>
        <sz val="12"/>
        <color theme="1"/>
        <rFont val="Times New Roman"/>
        <family val="1"/>
        <charset val="186"/>
      </rPr>
      <t>euro</t>
    </r>
    <r>
      <rPr>
        <sz val="12"/>
        <color theme="1"/>
        <rFont val="Times New Roman"/>
        <family val="1"/>
        <charset val="186"/>
      </rPr>
      <t xml:space="preserve"> gadā x 0.021 (iznomātās platības koeficients) = 698,96 </t>
    </r>
    <r>
      <rPr>
        <i/>
        <sz val="12"/>
        <color theme="1"/>
        <rFont val="Times New Roman"/>
        <family val="1"/>
        <charset val="186"/>
      </rPr>
      <t>euro</t>
    </r>
    <r>
      <rPr>
        <sz val="12"/>
        <color theme="1"/>
        <rFont val="Times New Roman"/>
        <family val="1"/>
        <charset val="186"/>
      </rPr>
      <t>.</t>
    </r>
  </si>
  <si>
    <r>
      <t xml:space="preserve">Izdevumi par ūdeni un kanalizāciju 28 638,11 </t>
    </r>
    <r>
      <rPr>
        <i/>
        <sz val="12"/>
        <color theme="1"/>
        <rFont val="Times New Roman"/>
        <family val="1"/>
        <charset val="186"/>
      </rPr>
      <t>euro</t>
    </r>
    <r>
      <rPr>
        <sz val="12"/>
        <color theme="1"/>
        <rFont val="Times New Roman"/>
        <family val="1"/>
        <charset val="186"/>
      </rPr>
      <t xml:space="preserve"> gadā * 0.021 (iznomātās platības koeficients) = 601,40 </t>
    </r>
    <r>
      <rPr>
        <i/>
        <sz val="12"/>
        <color theme="1"/>
        <rFont val="Times New Roman"/>
        <family val="1"/>
        <charset val="186"/>
      </rPr>
      <t>euro.</t>
    </r>
  </si>
  <si>
    <r>
      <t xml:space="preserve">Izdevumi par elektroenerģiju 19 105,01 </t>
    </r>
    <r>
      <rPr>
        <i/>
        <sz val="12"/>
        <color theme="1"/>
        <rFont val="Times New Roman"/>
        <family val="1"/>
        <charset val="186"/>
      </rPr>
      <t>euro</t>
    </r>
    <r>
      <rPr>
        <sz val="12"/>
        <color theme="1"/>
        <rFont val="Times New Roman"/>
        <family val="1"/>
        <charset val="186"/>
      </rPr>
      <t xml:space="preserve"> gadā x 0.021 (iznomātās platības koeficients)= 401,21 </t>
    </r>
    <r>
      <rPr>
        <i/>
        <sz val="12"/>
        <color theme="1"/>
        <rFont val="Times New Roman"/>
        <family val="1"/>
        <charset val="186"/>
      </rPr>
      <t>euro</t>
    </r>
    <r>
      <rPr>
        <sz val="12"/>
        <color theme="1"/>
        <rFont val="Times New Roman"/>
        <family val="1"/>
        <charset val="186"/>
      </rPr>
      <t>.</t>
    </r>
  </si>
  <si>
    <r>
      <t xml:space="preserve">Izdevumi par evakuācijas plānu izstrādi un ugunsdrošības instrukciju izstrādi 84,70 </t>
    </r>
    <r>
      <rPr>
        <i/>
        <sz val="12"/>
        <color theme="1"/>
        <rFont val="Times New Roman"/>
        <family val="1"/>
        <charset val="186"/>
      </rPr>
      <t xml:space="preserve">euro </t>
    </r>
    <r>
      <rPr>
        <sz val="12"/>
        <color theme="1"/>
        <rFont val="Times New Roman"/>
        <family val="1"/>
        <charset val="186"/>
      </rPr>
      <t>gadā x 0.021 (zinomātās platības koeficients) = 1,78</t>
    </r>
  </si>
  <si>
    <r>
      <t xml:space="preserve">Ugunsdzēsības aparātu apkope, trauksmes un signalizācijas sistēmu apkope, kā arī citu sistēmu un iekārtu apkope un remonts, avāriju bojājumu novēršanas izdevumi 3 019,67 </t>
    </r>
    <r>
      <rPr>
        <i/>
        <sz val="12"/>
        <color theme="1"/>
        <rFont val="Times New Roman"/>
        <family val="1"/>
        <charset val="186"/>
      </rPr>
      <t>euro</t>
    </r>
    <r>
      <rPr>
        <sz val="12"/>
        <color theme="1"/>
        <rFont val="Times New Roman"/>
        <family val="1"/>
        <charset val="186"/>
      </rPr>
      <t xml:space="preserve"> gadā x 0.021 (iznomātās platības koeficients) = 63,41 </t>
    </r>
    <r>
      <rPr>
        <i/>
        <sz val="12"/>
        <color theme="1"/>
        <rFont val="Times New Roman"/>
        <family val="1"/>
        <charset val="186"/>
      </rPr>
      <t>euro</t>
    </r>
    <r>
      <rPr>
        <sz val="12"/>
        <color theme="1"/>
        <rFont val="Times New Roman"/>
        <family val="1"/>
        <charset val="186"/>
      </rPr>
      <t>.</t>
    </r>
  </si>
  <si>
    <r>
      <t xml:space="preserve">Telpu, teritorijas uzkopšana, apsardze, apsaimniekošana, apdrošināšanas izdevumi  13 283,48 </t>
    </r>
    <r>
      <rPr>
        <i/>
        <sz val="12"/>
        <color theme="1"/>
        <rFont val="Times New Roman"/>
        <family val="1"/>
        <charset val="186"/>
      </rPr>
      <t>euro</t>
    </r>
    <r>
      <rPr>
        <sz val="12"/>
        <color theme="1"/>
        <rFont val="Times New Roman"/>
        <family val="1"/>
        <charset val="186"/>
      </rPr>
      <t xml:space="preserve"> * 0.021 (iznomātās platības koeficients) = 278,95 </t>
    </r>
    <r>
      <rPr>
        <i/>
        <sz val="12"/>
        <color theme="1"/>
        <rFont val="Times New Roman"/>
        <family val="1"/>
        <charset val="186"/>
      </rPr>
      <t>euro.</t>
    </r>
  </si>
  <si>
    <r>
      <t xml:space="preserve">Izdevumi par apkuri 54 700,57 </t>
    </r>
    <r>
      <rPr>
        <i/>
        <sz val="12"/>
        <color theme="1"/>
        <rFont val="Times New Roman"/>
        <family val="1"/>
        <charset val="186"/>
      </rPr>
      <t>euro</t>
    </r>
    <r>
      <rPr>
        <sz val="12"/>
        <color theme="1"/>
        <rFont val="Times New Roman"/>
        <family val="1"/>
        <charset val="186"/>
      </rPr>
      <t xml:space="preserve"> gadā * 0.0813 (iznomātās platības koeficients) = 4 447,16 </t>
    </r>
    <r>
      <rPr>
        <i/>
        <sz val="12"/>
        <color theme="1"/>
        <rFont val="Times New Roman"/>
        <family val="1"/>
        <charset val="186"/>
      </rPr>
      <t>euro</t>
    </r>
    <r>
      <rPr>
        <sz val="12"/>
        <color theme="1"/>
        <rFont val="Times New Roman"/>
        <family val="1"/>
        <charset val="186"/>
      </rPr>
      <t>.</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</si>
  <si>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0.0813 (iznomātās platības koeficients) = 616,89 </t>
    </r>
    <r>
      <rPr>
        <i/>
        <sz val="12"/>
        <color theme="1"/>
        <rFont val="Times New Roman"/>
        <family val="1"/>
        <charset val="186"/>
      </rPr>
      <t>euro</t>
    </r>
    <r>
      <rPr>
        <sz val="12"/>
        <color theme="1"/>
        <rFont val="Times New Roman"/>
        <family val="1"/>
        <charset val="186"/>
      </rPr>
      <t>.</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</si>
  <si>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0.0813 (iznomātās platības koeficients) = 882,25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</si>
  <si>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0.0813 (iznomātās platības koeficients) = 61,94 </t>
    </r>
    <r>
      <rPr>
        <i/>
        <sz val="12"/>
        <color theme="1"/>
        <rFont val="Times New Roman"/>
        <family val="1"/>
        <charset val="186"/>
      </rPr>
      <t>euro</t>
    </r>
    <r>
      <rPr>
        <sz val="12"/>
        <color theme="1"/>
        <rFont val="Times New Roman"/>
        <family val="1"/>
        <charset val="186"/>
      </rPr>
      <t>.</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</si>
  <si>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0.0813 (iznomātās platības koeficients) = 18,25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</si>
  <si>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0.0813 (iznomātās platības koeficients) = 162,04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</si>
  <si>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0.0813 (iznomātās platības koeficients) = 606,24 </t>
    </r>
    <r>
      <rPr>
        <i/>
        <sz val="12"/>
        <color theme="1"/>
        <rFont val="Times New Roman"/>
        <family val="1"/>
        <charset val="186"/>
      </rPr>
      <t>euro</t>
    </r>
    <r>
      <rPr>
        <sz val="12"/>
        <color theme="1"/>
        <rFont val="Times New Roman"/>
        <family val="1"/>
        <charset val="186"/>
      </rPr>
      <t>.</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</si>
  <si>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0.0813 (iznomātās platības koeficients) = 856,00 </t>
    </r>
    <r>
      <rPr>
        <i/>
        <sz val="12"/>
        <color theme="1"/>
        <rFont val="Times New Roman"/>
        <family val="1"/>
        <charset val="186"/>
      </rPr>
      <t>euro</t>
    </r>
    <r>
      <rPr>
        <sz val="12"/>
        <color theme="1"/>
        <rFont val="Times New Roman"/>
        <family val="1"/>
        <charset val="186"/>
      </rPr>
      <t>.</t>
    </r>
  </si>
  <si>
    <r>
      <t xml:space="preserve">Inventāra iegādes izdevumi 737,42 </t>
    </r>
    <r>
      <rPr>
        <i/>
        <sz val="12"/>
        <color theme="1"/>
        <rFont val="Times New Roman"/>
        <family val="1"/>
        <charset val="186"/>
      </rPr>
      <t>euro</t>
    </r>
    <r>
      <rPr>
        <sz val="12"/>
        <color theme="1"/>
        <rFont val="Times New Roman"/>
        <family val="1"/>
        <charset val="186"/>
      </rPr>
      <t xml:space="preserve"> gadā * 0.0813 (iznomātās platības koeficients) = 59,95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</si>
  <si>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780,26 </t>
    </r>
    <r>
      <rPr>
        <i/>
        <sz val="12"/>
        <rFont val="Times New Roman"/>
        <family val="1"/>
        <charset val="186"/>
      </rPr>
      <t>euro</t>
    </r>
    <r>
      <rPr>
        <sz val="12"/>
        <rFont val="Times New Roman"/>
        <family val="1"/>
        <charset val="186"/>
      </rPr>
      <t xml:space="preserve"> gadā * 0.0813 (iznomātās platības koeficients) = 63,44 </t>
    </r>
    <r>
      <rPr>
        <i/>
        <sz val="12"/>
        <rFont val="Times New Roman"/>
        <family val="1"/>
        <charset val="186"/>
      </rPr>
      <t>euro</t>
    </r>
    <r>
      <rPr>
        <sz val="12"/>
        <rFont val="Times New Roman"/>
        <family val="1"/>
        <charset val="186"/>
      </rPr>
      <t>.</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</si>
  <si>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0.0813 (iznomātās platības koeficients) = 1 189,74 </t>
    </r>
    <r>
      <rPr>
        <i/>
        <sz val="12"/>
        <color theme="1"/>
        <rFont val="Times New Roman"/>
        <family val="1"/>
        <charset val="186"/>
      </rPr>
      <t>euro</t>
    </r>
    <r>
      <rPr>
        <sz val="12"/>
        <color theme="1"/>
        <rFont val="Times New Roman"/>
        <family val="1"/>
        <charset val="186"/>
      </rPr>
      <t>.</t>
    </r>
  </si>
  <si>
    <r>
      <t xml:space="preserve">Dabas resursu nodoklis 1 964,86 </t>
    </r>
    <r>
      <rPr>
        <i/>
        <sz val="12"/>
        <color theme="1"/>
        <rFont val="Times New Roman"/>
        <family val="1"/>
        <charset val="186"/>
      </rPr>
      <t>euro</t>
    </r>
    <r>
      <rPr>
        <sz val="12"/>
        <color theme="1"/>
        <rFont val="Times New Roman"/>
        <family val="1"/>
        <charset val="186"/>
      </rPr>
      <t xml:space="preserve"> gadā * 0.0813 (iznomātās platības koeficients) = 159,74 </t>
    </r>
    <r>
      <rPr>
        <i/>
        <sz val="12"/>
        <color theme="1"/>
        <rFont val="Times New Roman"/>
        <family val="1"/>
        <charset val="186"/>
      </rPr>
      <t>euro</t>
    </r>
    <r>
      <rPr>
        <sz val="12"/>
        <color theme="1"/>
        <rFont val="Times New Roman"/>
        <family val="1"/>
        <charset val="186"/>
      </rPr>
      <t>.</t>
    </r>
  </si>
  <si>
    <r>
      <t xml:space="preserve">Izdevumi par apkuri 54 700.57 </t>
    </r>
    <r>
      <rPr>
        <i/>
        <sz val="12"/>
        <color theme="1"/>
        <rFont val="Times New Roman"/>
        <family val="1"/>
        <charset val="186"/>
      </rPr>
      <t>euro</t>
    </r>
    <r>
      <rPr>
        <sz val="12"/>
        <color theme="1"/>
        <rFont val="Times New Roman"/>
        <family val="1"/>
        <charset val="186"/>
      </rPr>
      <t xml:space="preserve"> gadā * 0.009 (iznomātās platības koeficients) = 492,31 </t>
    </r>
    <r>
      <rPr>
        <i/>
        <sz val="12"/>
        <color theme="1"/>
        <rFont val="Times New Roman"/>
        <family val="1"/>
        <charset val="186"/>
      </rPr>
      <t>euro</t>
    </r>
    <r>
      <rPr>
        <sz val="12"/>
        <color theme="1"/>
        <rFont val="Times New Roman"/>
        <family val="1"/>
        <charset val="186"/>
      </rPr>
      <t>.</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</si>
  <si>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0.009 (iznomātās platības koeficients) = 68,29 </t>
    </r>
    <r>
      <rPr>
        <i/>
        <sz val="12"/>
        <color theme="1"/>
        <rFont val="Times New Roman"/>
        <family val="1"/>
        <charset val="186"/>
      </rPr>
      <t>euro</t>
    </r>
    <r>
      <rPr>
        <sz val="12"/>
        <color theme="1"/>
        <rFont val="Times New Roman"/>
        <family val="1"/>
        <charset val="186"/>
      </rPr>
      <t>.</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</si>
  <si>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0.009 (iznomātās platības koeficients) = 97,67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</si>
  <si>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0.009  (iznomātās platības koeficients) = 6,86 </t>
    </r>
    <r>
      <rPr>
        <i/>
        <sz val="12"/>
        <color theme="1"/>
        <rFont val="Times New Roman"/>
        <family val="1"/>
        <charset val="186"/>
      </rPr>
      <t>euro</t>
    </r>
    <r>
      <rPr>
        <sz val="12"/>
        <color theme="1"/>
        <rFont val="Times New Roman"/>
        <family val="1"/>
        <charset val="186"/>
      </rPr>
      <t>.</t>
    </r>
  </si>
  <si>
    <r>
      <t xml:space="preserve">Izdevumi par atļauja izmantot autoru darbus 224,51 </t>
    </r>
    <r>
      <rPr>
        <i/>
        <sz val="12"/>
        <color theme="1"/>
        <rFont val="Times New Roman"/>
        <family val="1"/>
        <charset val="186"/>
      </rPr>
      <t>euro</t>
    </r>
    <r>
      <rPr>
        <sz val="12"/>
        <color theme="1"/>
        <rFont val="Times New Roman"/>
        <family val="1"/>
        <charset val="186"/>
      </rPr>
      <t xml:space="preserve"> gadā * 0.009 (iznomātās platības koeficients) = 2,02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</si>
  <si>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0.009  (iznomātās platības koeficients) =17,94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</si>
  <si>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0.009 (iznomātās platības koeficients) = 67,11 </t>
    </r>
    <r>
      <rPr>
        <i/>
        <sz val="12"/>
        <color theme="1"/>
        <rFont val="Times New Roman"/>
        <family val="1"/>
        <charset val="186"/>
      </rPr>
      <t>euro</t>
    </r>
    <r>
      <rPr>
        <sz val="12"/>
        <color theme="1"/>
        <rFont val="Times New Roman"/>
        <family val="1"/>
        <charset val="186"/>
      </rPr>
      <t>.</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</si>
  <si>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0.009  (iznomātās platības koeficients) = 94,76 </t>
    </r>
    <r>
      <rPr>
        <i/>
        <sz val="12"/>
        <color theme="1"/>
        <rFont val="Times New Roman"/>
        <family val="1"/>
        <charset val="186"/>
      </rPr>
      <t>euro</t>
    </r>
    <r>
      <rPr>
        <sz val="12"/>
        <color theme="1"/>
        <rFont val="Times New Roman"/>
        <family val="1"/>
        <charset val="186"/>
      </rPr>
      <t>.</t>
    </r>
  </si>
  <si>
    <r>
      <t xml:space="preserve">Inventāra iegādes izdevumi 737,42 </t>
    </r>
    <r>
      <rPr>
        <i/>
        <sz val="12"/>
        <color theme="1"/>
        <rFont val="Times New Roman"/>
        <family val="1"/>
        <charset val="186"/>
      </rPr>
      <t>euro</t>
    </r>
    <r>
      <rPr>
        <sz val="12"/>
        <color theme="1"/>
        <rFont val="Times New Roman"/>
        <family val="1"/>
        <charset val="186"/>
      </rPr>
      <t xml:space="preserve"> gadā * 0.009 (iznomātās platības koeficients) = 6,64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</si>
  <si>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780,26 </t>
    </r>
    <r>
      <rPr>
        <i/>
        <sz val="12"/>
        <rFont val="Times New Roman"/>
        <family val="1"/>
        <charset val="186"/>
      </rPr>
      <t>euro</t>
    </r>
    <r>
      <rPr>
        <sz val="12"/>
        <rFont val="Times New Roman"/>
        <family val="1"/>
        <charset val="186"/>
      </rPr>
      <t xml:space="preserve"> gadā * 0.009 (iznomātās platības koeficients) = 7,02 </t>
    </r>
    <r>
      <rPr>
        <i/>
        <sz val="12"/>
        <rFont val="Times New Roman"/>
        <family val="1"/>
        <charset val="186"/>
      </rPr>
      <t>euro</t>
    </r>
    <r>
      <rPr>
        <sz val="12"/>
        <rFont val="Times New Roman"/>
        <family val="1"/>
        <charset val="186"/>
      </rPr>
      <t>.</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</si>
  <si>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0.009 (iznomātās platības koeficients)= 131,71 </t>
    </r>
    <r>
      <rPr>
        <i/>
        <sz val="12"/>
        <color theme="1"/>
        <rFont val="Times New Roman"/>
        <family val="1"/>
        <charset val="186"/>
      </rPr>
      <t>euro</t>
    </r>
    <r>
      <rPr>
        <sz val="12"/>
        <color theme="1"/>
        <rFont val="Times New Roman"/>
        <family val="1"/>
        <charset val="186"/>
      </rPr>
      <t>.</t>
    </r>
  </si>
  <si>
    <r>
      <t xml:space="preserve">Dabas resursu nodoklis 1 964,86 </t>
    </r>
    <r>
      <rPr>
        <i/>
        <sz val="12"/>
        <color theme="1"/>
        <rFont val="Times New Roman"/>
        <family val="1"/>
        <charset val="186"/>
      </rPr>
      <t>euro</t>
    </r>
    <r>
      <rPr>
        <sz val="12"/>
        <color theme="1"/>
        <rFont val="Times New Roman"/>
        <family val="1"/>
        <charset val="186"/>
      </rPr>
      <t xml:space="preserve"> gadā * 0.009 (iznomātās platības koeficients) = 17,68 </t>
    </r>
    <r>
      <rPr>
        <i/>
        <sz val="12"/>
        <color theme="1"/>
        <rFont val="Times New Roman"/>
        <family val="1"/>
        <charset val="186"/>
      </rPr>
      <t>euro</t>
    </r>
    <r>
      <rPr>
        <sz val="12"/>
        <color theme="1"/>
        <rFont val="Times New Roman"/>
        <family val="1"/>
        <charset val="186"/>
      </rPr>
      <t>.</t>
    </r>
  </si>
  <si>
    <r>
      <t xml:space="preserve">Izdevumi par apkuri 54 700.57 </t>
    </r>
    <r>
      <rPr>
        <i/>
        <sz val="12"/>
        <color theme="1"/>
        <rFont val="Times New Roman"/>
        <family val="1"/>
        <charset val="186"/>
      </rPr>
      <t>euro</t>
    </r>
    <r>
      <rPr>
        <sz val="12"/>
        <color theme="1"/>
        <rFont val="Times New Roman"/>
        <family val="1"/>
        <charset val="186"/>
      </rPr>
      <t xml:space="preserve"> gadā * 0.051 (iznomātās platības koeficients) = 2 789,73 </t>
    </r>
    <r>
      <rPr>
        <i/>
        <sz val="12"/>
        <color theme="1"/>
        <rFont val="Times New Roman"/>
        <family val="1"/>
        <charset val="186"/>
      </rPr>
      <t>euro</t>
    </r>
    <r>
      <rPr>
        <sz val="12"/>
        <color theme="1"/>
        <rFont val="Times New Roman"/>
        <family val="1"/>
        <charset val="186"/>
      </rPr>
      <t>.</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</si>
  <si>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0.051 (iznomātās platības koeficients) = 386,98 </t>
    </r>
    <r>
      <rPr>
        <i/>
        <sz val="12"/>
        <color theme="1"/>
        <rFont val="Times New Roman"/>
        <family val="1"/>
        <charset val="186"/>
      </rPr>
      <t>euro</t>
    </r>
    <r>
      <rPr>
        <sz val="12"/>
        <color theme="1"/>
        <rFont val="Times New Roman"/>
        <family val="1"/>
        <charset val="186"/>
      </rPr>
      <t>.</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</si>
  <si>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0.051 (iznomātās platības koeficients) = 553,44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</si>
  <si>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0.051 (iznomātās platības koeficients) = 38,85 </t>
    </r>
    <r>
      <rPr>
        <i/>
        <sz val="12"/>
        <color theme="1"/>
        <rFont val="Times New Roman"/>
        <family val="1"/>
        <charset val="186"/>
      </rPr>
      <t>euro</t>
    </r>
    <r>
      <rPr>
        <sz val="12"/>
        <color theme="1"/>
        <rFont val="Times New Roman"/>
        <family val="1"/>
        <charset val="186"/>
      </rPr>
      <t>.</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</si>
  <si>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0.051  (iznomātās platības koeficients) = 11,45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</si>
  <si>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 1 993,08 </t>
    </r>
    <r>
      <rPr>
        <i/>
        <sz val="12"/>
        <color theme="1"/>
        <rFont val="Times New Roman"/>
        <family val="1"/>
        <charset val="186"/>
      </rPr>
      <t>euro</t>
    </r>
    <r>
      <rPr>
        <sz val="12"/>
        <color theme="1"/>
        <rFont val="Times New Roman"/>
        <family val="1"/>
        <charset val="186"/>
      </rPr>
      <t xml:space="preserve"> gadā * 0.051 (iznomātās platības koeficients) = 101,65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</si>
  <si>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0.051 (iznomātās platības koeficients) = 380,30 </t>
    </r>
    <r>
      <rPr>
        <i/>
        <sz val="12"/>
        <color theme="1"/>
        <rFont val="Times New Roman"/>
        <family val="1"/>
        <charset val="186"/>
      </rPr>
      <t>euro</t>
    </r>
    <r>
      <rPr>
        <sz val="12"/>
        <color theme="1"/>
        <rFont val="Times New Roman"/>
        <family val="1"/>
        <charset val="186"/>
      </rPr>
      <t>.</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</si>
  <si>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0.051 (iznomātās platības koeficients) = 536,97 </t>
    </r>
    <r>
      <rPr>
        <i/>
        <sz val="12"/>
        <color theme="1"/>
        <rFont val="Times New Roman"/>
        <family val="1"/>
        <charset val="186"/>
      </rPr>
      <t>euro</t>
    </r>
    <r>
      <rPr>
        <sz val="12"/>
        <color theme="1"/>
        <rFont val="Times New Roman"/>
        <family val="1"/>
        <charset val="186"/>
      </rPr>
      <t>.</t>
    </r>
  </si>
  <si>
    <r>
      <t xml:space="preserve">Inventāra iegādes izdevumi 737,42 </t>
    </r>
    <r>
      <rPr>
        <i/>
        <sz val="12"/>
        <color theme="1"/>
        <rFont val="Times New Roman"/>
        <family val="1"/>
        <charset val="186"/>
      </rPr>
      <t>euro</t>
    </r>
    <r>
      <rPr>
        <sz val="12"/>
        <color theme="1"/>
        <rFont val="Times New Roman"/>
        <family val="1"/>
        <charset val="186"/>
      </rPr>
      <t xml:space="preserve"> gadā * 0.051 (iznomātās platības koeficients) = 37,63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</si>
  <si>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0.051 (iznomātās platības koeficients) = 39,79 </t>
    </r>
    <r>
      <rPr>
        <i/>
        <sz val="12"/>
        <color theme="1"/>
        <rFont val="Times New Roman"/>
        <family val="1"/>
        <charset val="186"/>
      </rPr>
      <t>euro.</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</si>
  <si>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0.051 (iznomātās platības koeficients) = 746,33 </t>
    </r>
    <r>
      <rPr>
        <i/>
        <sz val="12"/>
        <color theme="1"/>
        <rFont val="Times New Roman"/>
        <family val="1"/>
        <charset val="186"/>
      </rPr>
      <t>euro</t>
    </r>
    <r>
      <rPr>
        <sz val="12"/>
        <color theme="1"/>
        <rFont val="Times New Roman"/>
        <family val="1"/>
        <charset val="186"/>
      </rPr>
      <t>.</t>
    </r>
  </si>
  <si>
    <r>
      <t xml:space="preserve">Dabas resursu nodoklis 1 964,86 </t>
    </r>
    <r>
      <rPr>
        <i/>
        <sz val="12"/>
        <color theme="1"/>
        <rFont val="Times New Roman"/>
        <family val="1"/>
        <charset val="186"/>
      </rPr>
      <t>euro</t>
    </r>
    <r>
      <rPr>
        <sz val="12"/>
        <color theme="1"/>
        <rFont val="Times New Roman"/>
        <family val="1"/>
        <charset val="186"/>
      </rPr>
      <t xml:space="preserve"> gadā * 0.051 (iznomātās platības koeficients) = 100,21 </t>
    </r>
    <r>
      <rPr>
        <i/>
        <sz val="12"/>
        <color theme="1"/>
        <rFont val="Times New Roman"/>
        <family val="1"/>
        <charset val="186"/>
      </rPr>
      <t>euro</t>
    </r>
    <r>
      <rPr>
        <sz val="12"/>
        <color theme="1"/>
        <rFont val="Times New Roman"/>
        <family val="1"/>
        <charset val="186"/>
      </rPr>
      <t>.</t>
    </r>
  </si>
  <si>
    <r>
      <t xml:space="preserve">Izdevumi par apkuri 54 700.57 </t>
    </r>
    <r>
      <rPr>
        <i/>
        <sz val="12"/>
        <color theme="1"/>
        <rFont val="Times New Roman"/>
        <family val="1"/>
        <charset val="186"/>
      </rPr>
      <t>euro</t>
    </r>
    <r>
      <rPr>
        <sz val="12"/>
        <color theme="1"/>
        <rFont val="Times New Roman"/>
        <family val="1"/>
        <charset val="186"/>
      </rPr>
      <t xml:space="preserve"> gadā * 0.0085 (iznomātās platības koeficients) = 464,95 </t>
    </r>
    <r>
      <rPr>
        <i/>
        <sz val="12"/>
        <color theme="1"/>
        <rFont val="Times New Roman"/>
        <family val="1"/>
        <charset val="186"/>
      </rPr>
      <t>euro</t>
    </r>
    <r>
      <rPr>
        <sz val="12"/>
        <color theme="1"/>
        <rFont val="Times New Roman"/>
        <family val="1"/>
        <charset val="186"/>
      </rPr>
      <t>.</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</si>
  <si>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0.0085 (iznomātās platības koeficients) = 64,50 </t>
    </r>
    <r>
      <rPr>
        <i/>
        <sz val="12"/>
        <color theme="1"/>
        <rFont val="Times New Roman"/>
        <family val="1"/>
        <charset val="186"/>
      </rPr>
      <t>euro</t>
    </r>
    <r>
      <rPr>
        <sz val="12"/>
        <color theme="1"/>
        <rFont val="Times New Roman"/>
        <family val="1"/>
        <charset val="186"/>
      </rPr>
      <t>.</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</si>
  <si>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0.0085 (iznomātās platības koeficients) = 92,24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</si>
  <si>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0.0085 (iznomātās platības koeficients) =  6,48 </t>
    </r>
    <r>
      <rPr>
        <i/>
        <sz val="12"/>
        <color theme="1"/>
        <rFont val="Times New Roman"/>
        <family val="1"/>
        <charset val="186"/>
      </rPr>
      <t>euro</t>
    </r>
    <r>
      <rPr>
        <sz val="12"/>
        <color theme="1"/>
        <rFont val="Times New Roman"/>
        <family val="1"/>
        <charset val="186"/>
      </rPr>
      <t>.</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</si>
  <si>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0.0085 (iznomātās platības koeficients) = 1,91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</si>
  <si>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0.0085 (iznomātās platības koeficients) = 16,94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</si>
  <si>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0.0085 (iznomātās platības koeficients) = 63,38 </t>
    </r>
    <r>
      <rPr>
        <i/>
        <sz val="12"/>
        <color theme="1"/>
        <rFont val="Times New Roman"/>
        <family val="1"/>
        <charset val="186"/>
      </rPr>
      <t>euro.</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</si>
  <si>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0.0085 (iznomātās platības koeficients) = 89,50 </t>
    </r>
    <r>
      <rPr>
        <i/>
        <sz val="12"/>
        <color theme="1"/>
        <rFont val="Times New Roman"/>
        <family val="1"/>
        <charset val="186"/>
      </rPr>
      <t>euro.</t>
    </r>
  </si>
  <si>
    <r>
      <t xml:space="preserve">Inventāra iegādes izdevumi 737,42 </t>
    </r>
    <r>
      <rPr>
        <i/>
        <sz val="12"/>
        <color theme="1"/>
        <rFont val="Times New Roman"/>
        <family val="1"/>
        <charset val="186"/>
      </rPr>
      <t>euro</t>
    </r>
    <r>
      <rPr>
        <sz val="12"/>
        <color theme="1"/>
        <rFont val="Times New Roman"/>
        <family val="1"/>
        <charset val="186"/>
      </rPr>
      <t xml:space="preserve"> gadā * 0.0085 (iznomātās platības koeficients) = 6,27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</si>
  <si>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0.0085 (iznomātās platības koeficients) = 6,63 </t>
    </r>
    <r>
      <rPr>
        <i/>
        <sz val="12"/>
        <color theme="1"/>
        <rFont val="Times New Roman"/>
        <family val="1"/>
        <charset val="186"/>
      </rPr>
      <t>euro</t>
    </r>
    <r>
      <rPr>
        <sz val="12"/>
        <color theme="1"/>
        <rFont val="Times New Roman"/>
        <family val="1"/>
        <charset val="186"/>
      </rPr>
      <t>.</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</si>
  <si>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0.0085 (iznomātās platības koeficients) = 124,39 </t>
    </r>
    <r>
      <rPr>
        <i/>
        <sz val="12"/>
        <color theme="1"/>
        <rFont val="Times New Roman"/>
        <family val="1"/>
        <charset val="186"/>
      </rPr>
      <t>euro.</t>
    </r>
  </si>
  <si>
    <r>
      <t xml:space="preserve">Dabas resursu nodoklis 1 964,86 </t>
    </r>
    <r>
      <rPr>
        <i/>
        <sz val="12"/>
        <color theme="1"/>
        <rFont val="Times New Roman"/>
        <family val="1"/>
        <charset val="186"/>
      </rPr>
      <t>euro</t>
    </r>
    <r>
      <rPr>
        <sz val="12"/>
        <color theme="1"/>
        <rFont val="Times New Roman"/>
        <family val="1"/>
        <charset val="186"/>
      </rPr>
      <t xml:space="preserve"> gadā * 0.0085 (iznomātās platības koeficients) = 16,70 </t>
    </r>
    <r>
      <rPr>
        <i/>
        <sz val="12"/>
        <color theme="1"/>
        <rFont val="Times New Roman"/>
        <family val="1"/>
        <charset val="186"/>
      </rPr>
      <t>euro</t>
    </r>
    <r>
      <rPr>
        <sz val="12"/>
        <color theme="1"/>
        <rFont val="Times New Roman"/>
        <family val="1"/>
        <charset val="186"/>
      </rPr>
      <t>.</t>
    </r>
  </si>
  <si>
    <r>
      <t xml:space="preserve">Izdevumi par apkuri 54 700.57 </t>
    </r>
    <r>
      <rPr>
        <i/>
        <sz val="12"/>
        <color theme="1"/>
        <rFont val="Times New Roman"/>
        <family val="1"/>
        <charset val="186"/>
      </rPr>
      <t>euro</t>
    </r>
    <r>
      <rPr>
        <sz val="12"/>
        <color theme="1"/>
        <rFont val="Times New Roman"/>
        <family val="1"/>
        <charset val="186"/>
      </rPr>
      <t xml:space="preserve"> gadā * 0.0263 (iznomātās platības koeficients) = 1 438,62 </t>
    </r>
    <r>
      <rPr>
        <i/>
        <sz val="12"/>
        <color theme="1"/>
        <rFont val="Times New Roman"/>
        <family val="1"/>
        <charset val="186"/>
      </rPr>
      <t>euro</t>
    </r>
    <r>
      <rPr>
        <sz val="12"/>
        <color theme="1"/>
        <rFont val="Times New Roman"/>
        <family val="1"/>
        <charset val="186"/>
      </rPr>
      <t>.</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</si>
  <si>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0.0263 (iznomātās platības koeficients) = 199,56 </t>
    </r>
    <r>
      <rPr>
        <i/>
        <sz val="12"/>
        <color theme="1"/>
        <rFont val="Times New Roman"/>
        <family val="1"/>
        <charset val="186"/>
      </rPr>
      <t>euro</t>
    </r>
    <r>
      <rPr>
        <sz val="12"/>
        <color theme="1"/>
        <rFont val="Times New Roman"/>
        <family val="1"/>
        <charset val="186"/>
      </rPr>
      <t>.</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</si>
  <si>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0.0263 (iznomātās platības koeficients) = 285,40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</si>
  <si>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0.0263 (iznomātās platības koeficients) = 20,04 </t>
    </r>
    <r>
      <rPr>
        <i/>
        <sz val="12"/>
        <color theme="1"/>
        <rFont val="Times New Roman"/>
        <family val="1"/>
        <charset val="186"/>
      </rPr>
      <t>euro</t>
    </r>
    <r>
      <rPr>
        <sz val="12"/>
        <color theme="1"/>
        <rFont val="Times New Roman"/>
        <family val="1"/>
        <charset val="186"/>
      </rPr>
      <t>.</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</si>
  <si>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0.0263 (iznomātās platības koeficients) = 5,90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</si>
  <si>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0.0263 (iznomātās platības koeficients) = 52,42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</si>
  <si>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0.0263 (iznomātās platības koeficients) = 196,11 </t>
    </r>
    <r>
      <rPr>
        <i/>
        <sz val="12"/>
        <color theme="1"/>
        <rFont val="Times New Roman"/>
        <family val="1"/>
        <charset val="186"/>
      </rPr>
      <t>euro</t>
    </r>
    <r>
      <rPr>
        <sz val="12"/>
        <color theme="1"/>
        <rFont val="Times New Roman"/>
        <family val="1"/>
        <charset val="186"/>
      </rPr>
      <t>.</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</si>
  <si>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0.0263 (iznomātās platības koeficients) = 276,91 </t>
    </r>
    <r>
      <rPr>
        <i/>
        <sz val="12"/>
        <color theme="1"/>
        <rFont val="Times New Roman"/>
        <family val="1"/>
        <charset val="186"/>
      </rPr>
      <t>euro</t>
    </r>
    <r>
      <rPr>
        <sz val="12"/>
        <color theme="1"/>
        <rFont val="Times New Roman"/>
        <family val="1"/>
        <charset val="186"/>
      </rPr>
      <t>.</t>
    </r>
  </si>
  <si>
    <r>
      <t xml:space="preserve">Inventāra iegādes izdevumi 737,42 </t>
    </r>
    <r>
      <rPr>
        <i/>
        <sz val="12"/>
        <color theme="1"/>
        <rFont val="Times New Roman"/>
        <family val="1"/>
        <charset val="186"/>
      </rPr>
      <t>euro</t>
    </r>
    <r>
      <rPr>
        <sz val="12"/>
        <color theme="1"/>
        <rFont val="Times New Roman"/>
        <family val="1"/>
        <charset val="186"/>
      </rPr>
      <t xml:space="preserve"> gadā * 0.0263 (iznomātās platības koeficients) = 19,39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</si>
  <si>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0.0263 (iznomātās platības koeficients)  = 20,52 </t>
    </r>
    <r>
      <rPr>
        <i/>
        <sz val="12"/>
        <color theme="1"/>
        <rFont val="Times New Roman"/>
        <family val="1"/>
        <charset val="186"/>
      </rPr>
      <t>euro</t>
    </r>
    <r>
      <rPr>
        <sz val="12"/>
        <color theme="1"/>
        <rFont val="Times New Roman"/>
        <family val="1"/>
        <charset val="186"/>
      </rPr>
      <t>.</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</si>
  <si>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0.0263 (iznomātās platības koeficients) = 384,87 </t>
    </r>
    <r>
      <rPr>
        <i/>
        <sz val="12"/>
        <color theme="1"/>
        <rFont val="Times New Roman"/>
        <family val="1"/>
        <charset val="186"/>
      </rPr>
      <t>euro</t>
    </r>
    <r>
      <rPr>
        <sz val="12"/>
        <color theme="1"/>
        <rFont val="Times New Roman"/>
        <family val="1"/>
        <charset val="186"/>
      </rPr>
      <t>.</t>
    </r>
  </si>
  <si>
    <r>
      <t xml:space="preserve">Dabas resursu nodoklis 1 964,86 </t>
    </r>
    <r>
      <rPr>
        <i/>
        <sz val="12"/>
        <color theme="1"/>
        <rFont val="Times New Roman"/>
        <family val="1"/>
        <charset val="186"/>
      </rPr>
      <t>euro</t>
    </r>
    <r>
      <rPr>
        <sz val="12"/>
        <color theme="1"/>
        <rFont val="Times New Roman"/>
        <family val="1"/>
        <charset val="186"/>
      </rPr>
      <t xml:space="preserve"> gadā * 0.0263 (iznomātās platības koeficients) = 51,68 </t>
    </r>
    <r>
      <rPr>
        <i/>
        <sz val="12"/>
        <color theme="1"/>
        <rFont val="Times New Roman"/>
        <family val="1"/>
        <charset val="186"/>
      </rPr>
      <t>euro</t>
    </r>
    <r>
      <rPr>
        <sz val="12"/>
        <color theme="1"/>
        <rFont val="Times New Roman"/>
        <family val="1"/>
        <charset val="186"/>
      </rPr>
      <t>.</t>
    </r>
  </si>
  <si>
    <r>
      <t xml:space="preserve">Izdevumi par apkuri 54 700.57 </t>
    </r>
    <r>
      <rPr>
        <i/>
        <sz val="12"/>
        <color theme="1"/>
        <rFont val="Times New Roman"/>
        <family val="1"/>
        <charset val="186"/>
      </rPr>
      <t>euro</t>
    </r>
    <r>
      <rPr>
        <sz val="12"/>
        <color theme="1"/>
        <rFont val="Times New Roman"/>
        <family val="1"/>
        <charset val="186"/>
      </rPr>
      <t xml:space="preserve"> gadā * 0.3646 (iznomātās platības koeficients) = 19 943,83 </t>
    </r>
    <r>
      <rPr>
        <i/>
        <sz val="12"/>
        <color theme="1"/>
        <rFont val="Times New Roman"/>
        <family val="1"/>
        <charset val="186"/>
      </rPr>
      <t>euro</t>
    </r>
    <r>
      <rPr>
        <sz val="12"/>
        <color theme="1"/>
        <rFont val="Times New Roman"/>
        <family val="1"/>
        <charset val="186"/>
      </rPr>
      <t>.</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</si>
  <si>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0.3646 (iznomātās platības koeficients) = 2 766,50 </t>
    </r>
    <r>
      <rPr>
        <i/>
        <sz val="12"/>
        <color theme="1"/>
        <rFont val="Times New Roman"/>
        <family val="1"/>
        <charset val="186"/>
      </rPr>
      <t>euro</t>
    </r>
    <r>
      <rPr>
        <sz val="12"/>
        <color theme="1"/>
        <rFont val="Times New Roman"/>
        <family val="1"/>
        <charset val="186"/>
      </rPr>
      <t>.</t>
    </r>
  </si>
  <si>
    <r>
      <t xml:space="preserve">Izdevumi par elektroenerģiju 10 851,74 </t>
    </r>
    <r>
      <rPr>
        <i/>
        <sz val="12"/>
        <color theme="1"/>
        <rFont val="Times New Roman"/>
        <family val="1"/>
        <charset val="186"/>
      </rPr>
      <t>euro</t>
    </r>
    <r>
      <rPr>
        <sz val="12"/>
        <color theme="1"/>
        <rFont val="Times New Roman"/>
        <family val="1"/>
        <charset val="186"/>
      </rPr>
      <t xml:space="preserve"> gadā * 0.3646 (iznomātās platības koeficients) = 3 956,54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</si>
  <si>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0.3646 (iznomātās platības koeficients) = 277,76 </t>
    </r>
    <r>
      <rPr>
        <i/>
        <sz val="12"/>
        <color theme="1"/>
        <rFont val="Times New Roman"/>
        <family val="1"/>
        <charset val="186"/>
      </rPr>
      <t>euro</t>
    </r>
    <r>
      <rPr>
        <sz val="12"/>
        <color theme="1"/>
        <rFont val="Times New Roman"/>
        <family val="1"/>
        <charset val="186"/>
      </rPr>
      <t>.</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</si>
  <si>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0.3646 (iznomātās platības koeficients) = 81,86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</si>
  <si>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0.3646 (iznomātās platības koeficients) = 726,68 </t>
    </r>
    <r>
      <rPr>
        <i/>
        <sz val="12"/>
        <color theme="1"/>
        <rFont val="Times New Roman"/>
        <family val="1"/>
        <charset val="186"/>
      </rPr>
      <t>euro.</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</si>
  <si>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0.3646 (iznomātās platības koeficients) = 1 351,18 </t>
    </r>
    <r>
      <rPr>
        <i/>
        <sz val="12"/>
        <color theme="1"/>
        <rFont val="Times New Roman"/>
        <family val="1"/>
        <charset val="186"/>
      </rPr>
      <t>euro</t>
    </r>
    <r>
      <rPr>
        <sz val="12"/>
        <color theme="1"/>
        <rFont val="Times New Roman"/>
        <family val="1"/>
        <charset val="186"/>
      </rPr>
      <t>.</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</si>
  <si>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0.3646 (iznomātās platības koeficients) = 3 838,84 </t>
    </r>
    <r>
      <rPr>
        <i/>
        <sz val="12"/>
        <color theme="1"/>
        <rFont val="Times New Roman"/>
        <family val="1"/>
        <charset val="186"/>
      </rPr>
      <t>euro</t>
    </r>
    <r>
      <rPr>
        <sz val="12"/>
        <color theme="1"/>
        <rFont val="Times New Roman"/>
        <family val="1"/>
        <charset val="186"/>
      </rPr>
      <t>.</t>
    </r>
  </si>
  <si>
    <r>
      <t xml:space="preserve">Inventāra iegādes izdevumi 737,42 </t>
    </r>
    <r>
      <rPr>
        <i/>
        <sz val="12"/>
        <color theme="1"/>
        <rFont val="Times New Roman"/>
        <family val="1"/>
        <charset val="186"/>
      </rPr>
      <t>euro</t>
    </r>
    <r>
      <rPr>
        <sz val="12"/>
        <color theme="1"/>
        <rFont val="Times New Roman"/>
        <family val="1"/>
        <charset val="186"/>
      </rPr>
      <t xml:space="preserve"> gadā * 0.3646 (iznomātās platības koeficients) = 268,86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</si>
  <si>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0.3646 (iznomātās platības koeficients) = 284,48 </t>
    </r>
    <r>
      <rPr>
        <i/>
        <sz val="12"/>
        <color theme="1"/>
        <rFont val="Times New Roman"/>
        <family val="1"/>
        <charset val="186"/>
      </rPr>
      <t>euro</t>
    </r>
    <r>
      <rPr>
        <sz val="12"/>
        <color theme="1"/>
        <rFont val="Times New Roman"/>
        <family val="1"/>
        <charset val="186"/>
      </rPr>
      <t>.</t>
    </r>
  </si>
  <si>
    <r>
      <t xml:space="preserve">Nekustamā īpašuma nodoklis 14 633,92 </t>
    </r>
    <r>
      <rPr>
        <i/>
        <sz val="12"/>
        <color theme="1"/>
        <rFont val="Times New Roman"/>
        <family val="1"/>
        <charset val="186"/>
      </rPr>
      <t>euro</t>
    </r>
    <r>
      <rPr>
        <sz val="12"/>
        <color theme="1"/>
        <rFont val="Times New Roman"/>
        <family val="1"/>
        <charset val="186"/>
      </rPr>
      <t xml:space="preserve"> gadā * 0.3646 (iznomātās platības koeficients) = 5 335,53 </t>
    </r>
    <r>
      <rPr>
        <i/>
        <sz val="12"/>
        <color theme="1"/>
        <rFont val="Times New Roman"/>
        <family val="1"/>
        <charset val="186"/>
      </rPr>
      <t>euro</t>
    </r>
    <r>
      <rPr>
        <sz val="12"/>
        <color theme="1"/>
        <rFont val="Times New Roman"/>
        <family val="1"/>
        <charset val="186"/>
      </rPr>
      <t>.</t>
    </r>
  </si>
  <si>
    <r>
      <t xml:space="preserve">Dabas resursu nodoklis 1 964,86 </t>
    </r>
    <r>
      <rPr>
        <i/>
        <sz val="12"/>
        <color theme="1"/>
        <rFont val="Times New Roman"/>
        <family val="1"/>
        <charset val="186"/>
      </rPr>
      <t>euro</t>
    </r>
    <r>
      <rPr>
        <sz val="12"/>
        <color theme="1"/>
        <rFont val="Times New Roman"/>
        <family val="1"/>
        <charset val="186"/>
      </rPr>
      <t xml:space="preserve"> gadā * 0.3646 (iznomātās platības koeficients) = 716,39 </t>
    </r>
    <r>
      <rPr>
        <i/>
        <sz val="12"/>
        <color theme="1"/>
        <rFont val="Times New Roman"/>
        <family val="1"/>
        <charset val="186"/>
      </rPr>
      <t>euro.</t>
    </r>
  </si>
  <si>
    <r>
      <t xml:space="preserve">Izdevumi par apkuri 54 700.57 </t>
    </r>
    <r>
      <rPr>
        <i/>
        <sz val="12"/>
        <color theme="1"/>
        <rFont val="Times New Roman"/>
        <family val="1"/>
        <charset val="186"/>
      </rPr>
      <t>euro</t>
    </r>
    <r>
      <rPr>
        <sz val="12"/>
        <color theme="1"/>
        <rFont val="Times New Roman"/>
        <family val="1"/>
        <charset val="186"/>
      </rPr>
      <t xml:space="preserve"> gadā * 0.0553 (iznomātās platības koeficients) = 3 024,94 </t>
    </r>
    <r>
      <rPr>
        <i/>
        <sz val="12"/>
        <color theme="1"/>
        <rFont val="Times New Roman"/>
        <family val="1"/>
        <charset val="186"/>
      </rPr>
      <t>euro</t>
    </r>
    <r>
      <rPr>
        <sz val="12"/>
        <color theme="1"/>
        <rFont val="Times New Roman"/>
        <family val="1"/>
        <charset val="186"/>
      </rPr>
      <t>.</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</si>
  <si>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0.0553 (iznomātās platības koeficients) = 419,60 </t>
    </r>
    <r>
      <rPr>
        <i/>
        <sz val="12"/>
        <color theme="1"/>
        <rFont val="Times New Roman"/>
        <family val="1"/>
        <charset val="186"/>
      </rPr>
      <t>euro</t>
    </r>
    <r>
      <rPr>
        <sz val="12"/>
        <color theme="1"/>
        <rFont val="Times New Roman"/>
        <family val="1"/>
        <charset val="186"/>
      </rPr>
      <t>.</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</si>
  <si>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0.0553 (iznomātās platības koeficients) = 600,10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</si>
  <si>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0.0553 (iznomātās platības koeficients) =  42,13 </t>
    </r>
    <r>
      <rPr>
        <i/>
        <sz val="12"/>
        <color theme="1"/>
        <rFont val="Times New Roman"/>
        <family val="1"/>
        <charset val="186"/>
      </rPr>
      <t>euro</t>
    </r>
    <r>
      <rPr>
        <sz val="12"/>
        <color theme="1"/>
        <rFont val="Times New Roman"/>
        <family val="1"/>
        <charset val="186"/>
      </rPr>
      <t>.</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</si>
  <si>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0.0553 (iznomātās platības koeficients) = 12,42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</si>
  <si>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0.0553 (iznomātās platības koeficients) = 110,22 </t>
    </r>
    <r>
      <rPr>
        <i/>
        <sz val="12"/>
        <color theme="1"/>
        <rFont val="Times New Roman"/>
        <family val="1"/>
        <charset val="186"/>
      </rPr>
      <t>euro.</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</si>
  <si>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0.0553 (iznomātās platības koeficients) = 412,36 </t>
    </r>
    <r>
      <rPr>
        <i/>
        <sz val="12"/>
        <color theme="1"/>
        <rFont val="Times New Roman"/>
        <family val="1"/>
        <charset val="186"/>
      </rPr>
      <t>euro</t>
    </r>
    <r>
      <rPr>
        <sz val="12"/>
        <color theme="1"/>
        <rFont val="Times New Roman"/>
        <family val="1"/>
        <charset val="186"/>
      </rPr>
      <t>.</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</si>
  <si>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0.0553 (iznomātās platības koeficients) = 582,25 </t>
    </r>
    <r>
      <rPr>
        <i/>
        <sz val="12"/>
        <color theme="1"/>
        <rFont val="Times New Roman"/>
        <family val="1"/>
        <charset val="186"/>
      </rPr>
      <t>euro</t>
    </r>
    <r>
      <rPr>
        <sz val="12"/>
        <color theme="1"/>
        <rFont val="Times New Roman"/>
        <family val="1"/>
        <charset val="186"/>
      </rPr>
      <t>.</t>
    </r>
  </si>
  <si>
    <r>
      <t xml:space="preserve">Inventāra iegādes izdevumi 737,42 </t>
    </r>
    <r>
      <rPr>
        <i/>
        <sz val="12"/>
        <color theme="1"/>
        <rFont val="Times New Roman"/>
        <family val="1"/>
        <charset val="186"/>
      </rPr>
      <t>euro</t>
    </r>
    <r>
      <rPr>
        <sz val="12"/>
        <color theme="1"/>
        <rFont val="Times New Roman"/>
        <family val="1"/>
        <charset val="186"/>
      </rPr>
      <t xml:space="preserve"> gadā * 0.0553 (iznomātās platības koeficients) = 40,78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</si>
  <si>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0.0553 (iznomātās platības koeficients) = 43,15 </t>
    </r>
    <r>
      <rPr>
        <i/>
        <sz val="12"/>
        <color theme="1"/>
        <rFont val="Times New Roman"/>
        <family val="1"/>
        <charset val="186"/>
      </rPr>
      <t>euro</t>
    </r>
    <r>
      <rPr>
        <sz val="12"/>
        <color theme="1"/>
        <rFont val="Times New Roman"/>
        <family val="1"/>
        <charset val="186"/>
      </rPr>
      <t>.</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</si>
  <si>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0.0553 (iznomātās platības koeficients) = 809,26 </t>
    </r>
    <r>
      <rPr>
        <i/>
        <sz val="12"/>
        <color theme="1"/>
        <rFont val="Times New Roman"/>
        <family val="1"/>
        <charset val="186"/>
      </rPr>
      <t>euro</t>
    </r>
    <r>
      <rPr>
        <sz val="12"/>
        <color theme="1"/>
        <rFont val="Times New Roman"/>
        <family val="1"/>
        <charset val="186"/>
      </rPr>
      <t>.</t>
    </r>
  </si>
  <si>
    <r>
      <t xml:space="preserve">Dabas resursu nodoklis 1 964,86 </t>
    </r>
    <r>
      <rPr>
        <i/>
        <sz val="12"/>
        <color theme="1"/>
        <rFont val="Times New Roman"/>
        <family val="1"/>
        <charset val="186"/>
      </rPr>
      <t>euro</t>
    </r>
    <r>
      <rPr>
        <sz val="12"/>
        <color theme="1"/>
        <rFont val="Times New Roman"/>
        <family val="1"/>
        <charset val="186"/>
      </rPr>
      <t xml:space="preserve"> gadā * 0.0553 (iznomātās platības koeficients) = 108,66 </t>
    </r>
    <r>
      <rPr>
        <i/>
        <sz val="12"/>
        <color theme="1"/>
        <rFont val="Times New Roman"/>
        <family val="1"/>
        <charset val="186"/>
      </rPr>
      <t>euro</t>
    </r>
    <r>
      <rPr>
        <sz val="12"/>
        <color theme="1"/>
        <rFont val="Times New Roman"/>
        <family val="1"/>
        <charset val="186"/>
      </rPr>
      <t>.</t>
    </r>
  </si>
  <si>
    <r>
      <t xml:space="preserve">Izdevumi par apkuri 54 700.57 </t>
    </r>
    <r>
      <rPr>
        <i/>
        <sz val="12"/>
        <color theme="1"/>
        <rFont val="Times New Roman"/>
        <family val="1"/>
        <charset val="186"/>
      </rPr>
      <t>euro</t>
    </r>
    <r>
      <rPr>
        <sz val="12"/>
        <color theme="1"/>
        <rFont val="Times New Roman"/>
        <family val="1"/>
        <charset val="186"/>
      </rPr>
      <t xml:space="preserve"> gadā * 0.033 (iznomātās platības koeficients) = 1 805,12 </t>
    </r>
    <r>
      <rPr>
        <i/>
        <sz val="12"/>
        <color theme="1"/>
        <rFont val="Times New Roman"/>
        <family val="1"/>
        <charset val="186"/>
      </rPr>
      <t>euro.</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</si>
  <si>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0.033 (iznomātās platības koeficients) = 250,40 </t>
    </r>
    <r>
      <rPr>
        <i/>
        <sz val="12"/>
        <color theme="1"/>
        <rFont val="Times New Roman"/>
        <family val="1"/>
        <charset val="186"/>
      </rPr>
      <t>euro.</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</si>
  <si>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0.033 (iznomātās platības koeficients) = 358,11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</si>
  <si>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0.033 (iznomātās platības koeficients) =  25,14 </t>
    </r>
    <r>
      <rPr>
        <i/>
        <sz val="12"/>
        <color theme="1"/>
        <rFont val="Times New Roman"/>
        <family val="1"/>
        <charset val="186"/>
      </rPr>
      <t>euro</t>
    </r>
    <r>
      <rPr>
        <sz val="12"/>
        <color theme="1"/>
        <rFont val="Times New Roman"/>
        <family val="1"/>
        <charset val="186"/>
      </rPr>
      <t>.</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</si>
  <si>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0.033 (iznomātās platības koeficients) = 7,41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</si>
  <si>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0.033 (iznomātās platības koeficients) = 65,77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</si>
  <si>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0.033 (iznomātās platības koeficients) = 246,08 </t>
    </r>
    <r>
      <rPr>
        <i/>
        <sz val="12"/>
        <color theme="1"/>
        <rFont val="Times New Roman"/>
        <family val="1"/>
        <charset val="186"/>
      </rPr>
      <t>euro</t>
    </r>
    <r>
      <rPr>
        <sz val="12"/>
        <color theme="1"/>
        <rFont val="Times New Roman"/>
        <family val="1"/>
        <charset val="186"/>
      </rPr>
      <t>.</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</si>
  <si>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0.033 (iznomātās platības koeficients) = 347,45 </t>
    </r>
    <r>
      <rPr>
        <i/>
        <sz val="12"/>
        <color theme="1"/>
        <rFont val="Times New Roman"/>
        <family val="1"/>
        <charset val="186"/>
      </rPr>
      <t>euro</t>
    </r>
    <r>
      <rPr>
        <sz val="12"/>
        <color theme="1"/>
        <rFont val="Times New Roman"/>
        <family val="1"/>
        <charset val="186"/>
      </rPr>
      <t>.</t>
    </r>
  </si>
  <si>
    <r>
      <t xml:space="preserve">Inventāra iegādes izdevumi 737,42 </t>
    </r>
    <r>
      <rPr>
        <i/>
        <sz val="12"/>
        <color theme="1"/>
        <rFont val="Times New Roman"/>
        <family val="1"/>
        <charset val="186"/>
      </rPr>
      <t>euro</t>
    </r>
    <r>
      <rPr>
        <sz val="12"/>
        <color theme="1"/>
        <rFont val="Times New Roman"/>
        <family val="1"/>
        <charset val="186"/>
      </rPr>
      <t xml:space="preserve"> gadā * 0.033 (iznomātās platības koeficients) = 24,33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</si>
  <si>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0.033 (iznomātās platības koeficients) = 25,75 </t>
    </r>
    <r>
      <rPr>
        <i/>
        <sz val="12"/>
        <color theme="1"/>
        <rFont val="Times New Roman"/>
        <family val="1"/>
        <charset val="186"/>
      </rPr>
      <t>euro</t>
    </r>
    <r>
      <rPr>
        <sz val="12"/>
        <color theme="1"/>
        <rFont val="Times New Roman"/>
        <family val="1"/>
        <charset val="186"/>
      </rPr>
      <t>.</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</si>
  <si>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0.033 (iznomātās platības koeficients) = 482,92 </t>
    </r>
    <r>
      <rPr>
        <i/>
        <sz val="12"/>
        <color theme="1"/>
        <rFont val="Times New Roman"/>
        <family val="1"/>
        <charset val="186"/>
      </rPr>
      <t>euro</t>
    </r>
    <r>
      <rPr>
        <sz val="12"/>
        <color theme="1"/>
        <rFont val="Times New Roman"/>
        <family val="1"/>
        <charset val="186"/>
      </rPr>
      <t>.</t>
    </r>
  </si>
  <si>
    <r>
      <t xml:space="preserve">Dabas resursu nodoklis 1 964,86 </t>
    </r>
    <r>
      <rPr>
        <i/>
        <sz val="12"/>
        <color theme="1"/>
        <rFont val="Times New Roman"/>
        <family val="1"/>
        <charset val="186"/>
      </rPr>
      <t>euro</t>
    </r>
    <r>
      <rPr>
        <sz val="12"/>
        <color theme="1"/>
        <rFont val="Times New Roman"/>
        <family val="1"/>
        <charset val="186"/>
      </rPr>
      <t xml:space="preserve"> gadā * 0.033 (iznomātās platības koeficients) = 64,84 </t>
    </r>
    <r>
      <rPr>
        <i/>
        <sz val="12"/>
        <color theme="1"/>
        <rFont val="Times New Roman"/>
        <family val="1"/>
        <charset val="186"/>
      </rPr>
      <t>euro</t>
    </r>
    <r>
      <rPr>
        <sz val="12"/>
        <color theme="1"/>
        <rFont val="Times New Roman"/>
        <family val="1"/>
        <charset val="186"/>
      </rPr>
      <t>.</t>
    </r>
  </si>
  <si>
    <r>
      <t xml:space="preserve">Izdevumi par apkuri 54 700.57 </t>
    </r>
    <r>
      <rPr>
        <i/>
        <sz val="12"/>
        <color theme="1"/>
        <rFont val="Times New Roman"/>
        <family val="1"/>
        <charset val="186"/>
      </rPr>
      <t>euro</t>
    </r>
    <r>
      <rPr>
        <sz val="12"/>
        <color theme="1"/>
        <rFont val="Times New Roman"/>
        <family val="1"/>
        <charset val="186"/>
      </rPr>
      <t xml:space="preserve"> gadā * 0.0164 (iznomātās platības koeficients) = 897,09 </t>
    </r>
    <r>
      <rPr>
        <i/>
        <sz val="12"/>
        <color theme="1"/>
        <rFont val="Times New Roman"/>
        <family val="1"/>
        <charset val="186"/>
      </rPr>
      <t>euro</t>
    </r>
    <r>
      <rPr>
        <sz val="12"/>
        <color theme="1"/>
        <rFont val="Times New Roman"/>
        <family val="1"/>
        <charset val="186"/>
      </rPr>
      <t>.</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</si>
  <si>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0.0164 (iznomātās platības koeficients) = 124,44 </t>
    </r>
    <r>
      <rPr>
        <i/>
        <sz val="12"/>
        <color theme="1"/>
        <rFont val="Times New Roman"/>
        <family val="1"/>
        <charset val="186"/>
      </rPr>
      <t>euro</t>
    </r>
    <r>
      <rPr>
        <sz val="12"/>
        <color theme="1"/>
        <rFont val="Times New Roman"/>
        <family val="1"/>
        <charset val="186"/>
      </rPr>
      <t>.</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</si>
  <si>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0.0164 (iznomātās platības koeficients) = 177,97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</si>
  <si>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0.0164 (iznomātās platības koeficients) =  12,49 </t>
    </r>
    <r>
      <rPr>
        <i/>
        <sz val="12"/>
        <color theme="1"/>
        <rFont val="Times New Roman"/>
        <family val="1"/>
        <charset val="186"/>
      </rPr>
      <t>euro</t>
    </r>
    <r>
      <rPr>
        <sz val="12"/>
        <color theme="1"/>
        <rFont val="Times New Roman"/>
        <family val="1"/>
        <charset val="186"/>
      </rPr>
      <t>.</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</si>
  <si>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0.0164 (iznomātās platības koeficients) = 3,68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</si>
  <si>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0.0164 (iznomātās platības koeficients) = 32,69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</si>
  <si>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0.0164 (iznomātās platības koeficients) = 122,29 </t>
    </r>
    <r>
      <rPr>
        <i/>
        <sz val="12"/>
        <color theme="1"/>
        <rFont val="Times New Roman"/>
        <family val="1"/>
        <charset val="186"/>
      </rPr>
      <t>euro.</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</si>
  <si>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0.0164 (iznomātās platības koeficients) = 172,67 </t>
    </r>
    <r>
      <rPr>
        <i/>
        <sz val="12"/>
        <color theme="1"/>
        <rFont val="Times New Roman"/>
        <family val="1"/>
        <charset val="186"/>
      </rPr>
      <t>euro.</t>
    </r>
  </si>
  <si>
    <r>
      <t xml:space="preserve">Inventāra iegādes izdevumi 737,42 </t>
    </r>
    <r>
      <rPr>
        <i/>
        <sz val="12"/>
        <color theme="1"/>
        <rFont val="Times New Roman"/>
        <family val="1"/>
        <charset val="186"/>
      </rPr>
      <t>euro</t>
    </r>
    <r>
      <rPr>
        <sz val="12"/>
        <color theme="1"/>
        <rFont val="Times New Roman"/>
        <family val="1"/>
        <charset val="186"/>
      </rPr>
      <t xml:space="preserve"> gadā * 0.0164 (iznomātās platības koeficients) = 12,09 </t>
    </r>
    <r>
      <rPr>
        <i/>
        <sz val="12"/>
        <color theme="1"/>
        <rFont val="Times New Roman"/>
        <family val="1"/>
        <charset val="186"/>
      </rPr>
      <t>euro.</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</si>
  <si>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0.0164 (iznomātās platības koeficients) = 12,80 </t>
    </r>
    <r>
      <rPr>
        <i/>
        <sz val="12"/>
        <color theme="1"/>
        <rFont val="Times New Roman"/>
        <family val="1"/>
        <charset val="186"/>
      </rPr>
      <t>euro.</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</si>
  <si>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0.0164 (iznomātās platības koeficients) = 240,00 </t>
    </r>
    <r>
      <rPr>
        <i/>
        <sz val="12"/>
        <color theme="1"/>
        <rFont val="Times New Roman"/>
        <family val="1"/>
        <charset val="186"/>
      </rPr>
      <t>euro.</t>
    </r>
  </si>
  <si>
    <r>
      <t xml:space="preserve">Dabas resursu nodoklis 1 964,86 </t>
    </r>
    <r>
      <rPr>
        <i/>
        <sz val="12"/>
        <color theme="1"/>
        <rFont val="Times New Roman"/>
        <family val="1"/>
        <charset val="186"/>
      </rPr>
      <t>euro</t>
    </r>
    <r>
      <rPr>
        <sz val="12"/>
        <color theme="1"/>
        <rFont val="Times New Roman"/>
        <family val="1"/>
        <charset val="186"/>
      </rPr>
      <t xml:space="preserve"> gadā * 0.0164 (iznomātās platības koeficients) = 32,22 </t>
    </r>
    <r>
      <rPr>
        <i/>
        <sz val="12"/>
        <color theme="1"/>
        <rFont val="Times New Roman"/>
        <family val="1"/>
        <charset val="186"/>
      </rPr>
      <t>euro.</t>
    </r>
  </si>
  <si>
    <r>
      <t xml:space="preserve">Izdevumi par apkuri 54 700.57 </t>
    </r>
    <r>
      <rPr>
        <i/>
        <sz val="12"/>
        <color theme="1"/>
        <rFont val="Times New Roman"/>
        <family val="1"/>
        <charset val="186"/>
      </rPr>
      <t>euro</t>
    </r>
    <r>
      <rPr>
        <sz val="12"/>
        <color theme="1"/>
        <rFont val="Times New Roman"/>
        <family val="1"/>
        <charset val="186"/>
      </rPr>
      <t xml:space="preserve"> gadā * 0.072 (iznomātās platības koeficients) = 3 938,44 </t>
    </r>
    <r>
      <rPr>
        <i/>
        <sz val="12"/>
        <color theme="1"/>
        <rFont val="Times New Roman"/>
        <family val="1"/>
        <charset val="186"/>
      </rPr>
      <t>euro</t>
    </r>
    <r>
      <rPr>
        <sz val="12"/>
        <color theme="1"/>
        <rFont val="Times New Roman"/>
        <family val="1"/>
        <charset val="186"/>
      </rPr>
      <t>.</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</si>
  <si>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0.072 (iznomātās platības koeficients) = 546,32 </t>
    </r>
    <r>
      <rPr>
        <i/>
        <sz val="12"/>
        <color theme="1"/>
        <rFont val="Times New Roman"/>
        <family val="1"/>
        <charset val="186"/>
      </rPr>
      <t>euro</t>
    </r>
    <r>
      <rPr>
        <sz val="12"/>
        <color theme="1"/>
        <rFont val="Times New Roman"/>
        <family val="1"/>
        <charset val="186"/>
      </rPr>
      <t>.</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</si>
  <si>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0.072 (iznomātās platības koeficients) = 781,33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</si>
  <si>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0.072 (iznomātās platības koeficients) = 54,85 </t>
    </r>
    <r>
      <rPr>
        <i/>
        <sz val="12"/>
        <color theme="1"/>
        <rFont val="Times New Roman"/>
        <family val="1"/>
        <charset val="186"/>
      </rPr>
      <t>euro</t>
    </r>
    <r>
      <rPr>
        <sz val="12"/>
        <color theme="1"/>
        <rFont val="Times New Roman"/>
        <family val="1"/>
        <charset val="186"/>
      </rPr>
      <t>.</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</si>
  <si>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0.072 (iznomātās platības koeficients) = 16,16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</si>
  <si>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0.072 (iznomātās platības koeficients) = 143,50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</si>
  <si>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0.072 (iznomātās platības koeficients) = 536,89 </t>
    </r>
    <r>
      <rPr>
        <i/>
        <sz val="12"/>
        <color theme="1"/>
        <rFont val="Times New Roman"/>
        <family val="1"/>
        <charset val="186"/>
      </rPr>
      <t>euro</t>
    </r>
    <r>
      <rPr>
        <sz val="12"/>
        <color theme="1"/>
        <rFont val="Times New Roman"/>
        <family val="1"/>
        <charset val="186"/>
      </rPr>
      <t>.</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</si>
  <si>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0.072 (iznomātās platības koeficients) = 758,08 </t>
    </r>
    <r>
      <rPr>
        <i/>
        <sz val="12"/>
        <color theme="1"/>
        <rFont val="Times New Roman"/>
        <family val="1"/>
        <charset val="186"/>
      </rPr>
      <t>euro</t>
    </r>
    <r>
      <rPr>
        <sz val="12"/>
        <color theme="1"/>
        <rFont val="Times New Roman"/>
        <family val="1"/>
        <charset val="186"/>
      </rPr>
      <t>.</t>
    </r>
  </si>
  <si>
    <r>
      <t xml:space="preserve">Inventāra iegādes izdevumi 737,42 </t>
    </r>
    <r>
      <rPr>
        <i/>
        <sz val="12"/>
        <color theme="1"/>
        <rFont val="Times New Roman"/>
        <family val="1"/>
        <charset val="186"/>
      </rPr>
      <t>euro</t>
    </r>
    <r>
      <rPr>
        <sz val="12"/>
        <color theme="1"/>
        <rFont val="Times New Roman"/>
        <family val="1"/>
        <charset val="186"/>
      </rPr>
      <t xml:space="preserve"> gadā * 0.072 (iznomātās platības koeficients) = 53,09 </t>
    </r>
    <r>
      <rPr>
        <i/>
        <sz val="12"/>
        <color theme="1"/>
        <rFont val="Times New Roman"/>
        <family val="1"/>
        <charset val="186"/>
      </rPr>
      <t>euro</t>
    </r>
    <r>
      <rPr>
        <sz val="12"/>
        <color theme="1"/>
        <rFont val="Times New Roman"/>
        <family val="1"/>
        <charset val="186"/>
      </rPr>
      <t>.</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</si>
  <si>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0.072 (iznomātās platības koeficients) = 56.18 </t>
    </r>
    <r>
      <rPr>
        <i/>
        <sz val="12"/>
        <color theme="1"/>
        <rFont val="Times New Roman"/>
        <family val="1"/>
        <charset val="186"/>
      </rPr>
      <t>euro</t>
    </r>
    <r>
      <rPr>
        <sz val="12"/>
        <color theme="1"/>
        <rFont val="Times New Roman"/>
        <family val="1"/>
        <charset val="186"/>
      </rPr>
      <t>.</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</si>
  <si>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0.072 (iznomātās platības koeficients) = 1 053,64 </t>
    </r>
    <r>
      <rPr>
        <i/>
        <sz val="12"/>
        <color theme="1"/>
        <rFont val="Times New Roman"/>
        <family val="1"/>
        <charset val="186"/>
      </rPr>
      <t>euro</t>
    </r>
    <r>
      <rPr>
        <sz val="12"/>
        <color theme="1"/>
        <rFont val="Times New Roman"/>
        <family val="1"/>
        <charset val="186"/>
      </rPr>
      <t>.</t>
    </r>
  </si>
  <si>
    <r>
      <t xml:space="preserve">Dabas resursu nodoklis 1 964,86 </t>
    </r>
    <r>
      <rPr>
        <i/>
        <sz val="12"/>
        <color theme="1"/>
        <rFont val="Times New Roman"/>
        <family val="1"/>
        <charset val="186"/>
      </rPr>
      <t>euro</t>
    </r>
    <r>
      <rPr>
        <sz val="12"/>
        <color theme="1"/>
        <rFont val="Times New Roman"/>
        <family val="1"/>
        <charset val="186"/>
      </rPr>
      <t xml:space="preserve"> gadā * 0.072 (iznomātās platības koeficients) = 141,47 </t>
    </r>
    <r>
      <rPr>
        <i/>
        <sz val="12"/>
        <color theme="1"/>
        <rFont val="Times New Roman"/>
        <family val="1"/>
        <charset val="186"/>
      </rPr>
      <t>euro</t>
    </r>
    <r>
      <rPr>
        <sz val="12"/>
        <color theme="1"/>
        <rFont val="Times New Roman"/>
        <family val="1"/>
        <charset val="186"/>
      </rPr>
      <t>.</t>
    </r>
  </si>
  <si>
    <r>
      <t xml:space="preserve">Izdevumi par apkuri 54 700,57 </t>
    </r>
    <r>
      <rPr>
        <i/>
        <sz val="12"/>
        <color theme="1"/>
        <rFont val="Times New Roman"/>
        <family val="1"/>
        <charset val="186"/>
      </rPr>
      <t>euro</t>
    </r>
    <r>
      <rPr>
        <sz val="12"/>
        <color theme="1"/>
        <rFont val="Times New Roman"/>
        <family val="1"/>
        <charset val="186"/>
      </rPr>
      <t xml:space="preserve"> gadā * 0.0115 (iznomātās platības koeficients) = 629,06 </t>
    </r>
    <r>
      <rPr>
        <i/>
        <sz val="12"/>
        <color theme="1"/>
        <rFont val="Times New Roman"/>
        <family val="1"/>
        <charset val="186"/>
      </rPr>
      <t>euro.</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</si>
  <si>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0.0115 (iznomātās platības koeficients) = 87,26 </t>
    </r>
    <r>
      <rPr>
        <i/>
        <sz val="12"/>
        <color theme="1"/>
        <rFont val="Times New Roman"/>
        <family val="1"/>
        <charset val="186"/>
      </rPr>
      <t>euro.</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</si>
  <si>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0.072 (iznomātās platības koeficients) = 124,80 </t>
    </r>
    <r>
      <rPr>
        <i/>
        <sz val="12"/>
        <color theme="1"/>
        <rFont val="Times New Roman"/>
        <family val="1"/>
        <charset val="186"/>
      </rPr>
      <t>euro.</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</si>
  <si>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0.0115 (iznomātās platības koeficients) = 8,76 </t>
    </r>
    <r>
      <rPr>
        <i/>
        <sz val="12"/>
        <color theme="1"/>
        <rFont val="Times New Roman"/>
        <family val="1"/>
        <charset val="186"/>
      </rPr>
      <t>euro.</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</si>
  <si>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0.0115 (iznomātās platības koeficients) = 2,58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</si>
  <si>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0.0115 (iznomātās platības koeficients) = 22,92 </t>
    </r>
    <r>
      <rPr>
        <i/>
        <sz val="12"/>
        <color theme="1"/>
        <rFont val="Times New Roman"/>
        <family val="1"/>
        <charset val="186"/>
      </rPr>
      <t>euro.</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</si>
  <si>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0.0115 (iznomātās platības koeficients) = 85,75 </t>
    </r>
    <r>
      <rPr>
        <i/>
        <sz val="12"/>
        <color theme="1"/>
        <rFont val="Times New Roman"/>
        <family val="1"/>
        <charset val="186"/>
      </rPr>
      <t>euro.</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</si>
  <si>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0.0115 (iznomātās platības koeficients) = 121,08 </t>
    </r>
    <r>
      <rPr>
        <i/>
        <sz val="12"/>
        <color theme="1"/>
        <rFont val="Times New Roman"/>
        <family val="1"/>
        <charset val="186"/>
      </rPr>
      <t>euro.</t>
    </r>
  </si>
  <si>
    <r>
      <t xml:space="preserve">Inventāra iegādes izdevumi 737,42 </t>
    </r>
    <r>
      <rPr>
        <i/>
        <sz val="12"/>
        <color theme="1"/>
        <rFont val="Times New Roman"/>
        <family val="1"/>
        <charset val="186"/>
      </rPr>
      <t>euro</t>
    </r>
    <r>
      <rPr>
        <sz val="12"/>
        <color theme="1"/>
        <rFont val="Times New Roman"/>
        <family val="1"/>
        <charset val="186"/>
      </rPr>
      <t xml:space="preserve"> gadā * 0.0115 (iznomātās platības koeficients) = 8,48 </t>
    </r>
    <r>
      <rPr>
        <i/>
        <sz val="12"/>
        <color theme="1"/>
        <rFont val="Times New Roman"/>
        <family val="1"/>
        <charset val="186"/>
      </rPr>
      <t>euro.</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</si>
  <si>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0.0115 (iznomātās platības koeficients) = 8,97 </t>
    </r>
    <r>
      <rPr>
        <i/>
        <sz val="12"/>
        <color theme="1"/>
        <rFont val="Times New Roman"/>
        <family val="1"/>
        <charset val="186"/>
      </rPr>
      <t>euro.</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</si>
  <si>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0.0115 (iznomātās platības koeficients) = 168,29 </t>
    </r>
    <r>
      <rPr>
        <i/>
        <sz val="12"/>
        <color theme="1"/>
        <rFont val="Times New Roman"/>
        <family val="1"/>
        <charset val="186"/>
      </rPr>
      <t>euro.</t>
    </r>
  </si>
  <si>
    <r>
      <t xml:space="preserve">Dabas resursu nodoklis 1 964,86 </t>
    </r>
    <r>
      <rPr>
        <i/>
        <sz val="12"/>
        <color theme="1"/>
        <rFont val="Times New Roman"/>
        <family val="1"/>
        <charset val="186"/>
      </rPr>
      <t>euro</t>
    </r>
    <r>
      <rPr>
        <sz val="12"/>
        <color theme="1"/>
        <rFont val="Times New Roman"/>
        <family val="1"/>
        <charset val="186"/>
      </rPr>
      <t xml:space="preserve"> gadā * 0.0115 (iznomātās platības koeficients) = 22,60 </t>
    </r>
    <r>
      <rPr>
        <i/>
        <sz val="12"/>
        <color theme="1"/>
        <rFont val="Times New Roman"/>
        <family val="1"/>
        <charset val="186"/>
      </rPr>
      <t>euro</t>
    </r>
    <r>
      <rPr>
        <sz val="12"/>
        <color theme="1"/>
        <rFont val="Times New Roman"/>
        <family val="1"/>
        <charset val="186"/>
      </rPr>
      <t>.</t>
    </r>
  </si>
  <si>
    <r>
      <t xml:space="preserve">Izdevumi par apkuri 54 700.57 </t>
    </r>
    <r>
      <rPr>
        <i/>
        <sz val="12"/>
        <color theme="1"/>
        <rFont val="Times New Roman"/>
        <family val="1"/>
        <charset val="186"/>
      </rPr>
      <t>euro</t>
    </r>
    <r>
      <rPr>
        <sz val="12"/>
        <color theme="1"/>
        <rFont val="Times New Roman"/>
        <family val="1"/>
        <charset val="186"/>
      </rPr>
      <t xml:space="preserve"> gadā * 0.0217 (iznomātās platības koeficients) = 1 187,00 </t>
    </r>
    <r>
      <rPr>
        <i/>
        <sz val="12"/>
        <color theme="1"/>
        <rFont val="Times New Roman"/>
        <family val="1"/>
        <charset val="186"/>
      </rPr>
      <t>euro</t>
    </r>
    <r>
      <rPr>
        <sz val="12"/>
        <color theme="1"/>
        <rFont val="Times New Roman"/>
        <family val="1"/>
        <charset val="186"/>
      </rPr>
      <t xml:space="preserve">. </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</si>
  <si>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0.0217 (iznomātās platības koeficients) = 164,65 </t>
    </r>
    <r>
      <rPr>
        <i/>
        <sz val="12"/>
        <color theme="1"/>
        <rFont val="Times New Roman"/>
        <family val="1"/>
        <charset val="186"/>
      </rPr>
      <t>euro.</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</si>
  <si>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0.0217 (iznomātās platības koeficients) = 235,48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</si>
  <si>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0.0217 (iznomātās platības koeficients) = 16,53 </t>
    </r>
    <r>
      <rPr>
        <i/>
        <sz val="12"/>
        <color theme="1"/>
        <rFont val="Times New Roman"/>
        <family val="1"/>
        <charset val="186"/>
      </rPr>
      <t>euro.</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</si>
  <si>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0.0217 (iznomātās platības koeficients) = 4,87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</si>
  <si>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0.0217 (iznomātās platības koeficients) = 43,25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</si>
  <si>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0.0217 (iznomātās platības koeficients) = 161,81 </t>
    </r>
    <r>
      <rPr>
        <i/>
        <sz val="12"/>
        <color theme="1"/>
        <rFont val="Times New Roman"/>
        <family val="1"/>
        <charset val="186"/>
      </rPr>
      <t>euro.</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</si>
  <si>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0.0217 (iznomātās platības koeficients) = 228,48 </t>
    </r>
    <r>
      <rPr>
        <i/>
        <sz val="12"/>
        <color theme="1"/>
        <rFont val="Times New Roman"/>
        <family val="1"/>
        <charset val="186"/>
      </rPr>
      <t>euro</t>
    </r>
    <r>
      <rPr>
        <sz val="12"/>
        <color theme="1"/>
        <rFont val="Times New Roman"/>
        <family val="1"/>
        <charset val="186"/>
      </rPr>
      <t>.</t>
    </r>
  </si>
  <si>
    <r>
      <t xml:space="preserve">Inventāra iegādes izdevumi 737,42 </t>
    </r>
    <r>
      <rPr>
        <i/>
        <sz val="12"/>
        <color theme="1"/>
        <rFont val="Times New Roman"/>
        <family val="1"/>
        <charset val="186"/>
      </rPr>
      <t>euro</t>
    </r>
    <r>
      <rPr>
        <sz val="12"/>
        <color theme="1"/>
        <rFont val="Times New Roman"/>
        <family val="1"/>
        <charset val="186"/>
      </rPr>
      <t xml:space="preserve"> gadā * 0.0217 (iznomātās platības koeficients) = 16,00 </t>
    </r>
    <r>
      <rPr>
        <i/>
        <sz val="12"/>
        <color theme="1"/>
        <rFont val="Times New Roman"/>
        <family val="1"/>
        <charset val="186"/>
      </rPr>
      <t>euro.</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</si>
  <si>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0.0217 (iznomātās platības koeficients) = 16,93 </t>
    </r>
    <r>
      <rPr>
        <i/>
        <sz val="12"/>
        <color theme="1"/>
        <rFont val="Times New Roman"/>
        <family val="1"/>
        <charset val="186"/>
      </rPr>
      <t>euro.</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</si>
  <si>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0.0217 (iznomātās platības koeficients) = 317,56 </t>
    </r>
    <r>
      <rPr>
        <i/>
        <sz val="12"/>
        <color theme="1"/>
        <rFont val="Times New Roman"/>
        <family val="1"/>
        <charset val="186"/>
      </rPr>
      <t>euro.</t>
    </r>
  </si>
  <si>
    <r>
      <t xml:space="preserve">Dabas resursu nodoklis 1 964,86 </t>
    </r>
    <r>
      <rPr>
        <i/>
        <sz val="12"/>
        <color theme="1"/>
        <rFont val="Times New Roman"/>
        <family val="1"/>
        <charset val="186"/>
      </rPr>
      <t>euro</t>
    </r>
    <r>
      <rPr>
        <sz val="12"/>
        <color theme="1"/>
        <rFont val="Times New Roman"/>
        <family val="1"/>
        <charset val="186"/>
      </rPr>
      <t xml:space="preserve"> gadā * 0.0217 (iznomātās platības koeficients) = 42,64 </t>
    </r>
    <r>
      <rPr>
        <i/>
        <sz val="12"/>
        <color theme="1"/>
        <rFont val="Times New Roman"/>
        <family val="1"/>
        <charset val="186"/>
      </rPr>
      <t>euro.</t>
    </r>
  </si>
  <si>
    <r>
      <t xml:space="preserve">Izdevumi par apkuri 54 700,57 </t>
    </r>
    <r>
      <rPr>
        <i/>
        <sz val="12"/>
        <color theme="1"/>
        <rFont val="Times New Roman"/>
        <family val="1"/>
        <charset val="186"/>
      </rPr>
      <t>euro</t>
    </r>
    <r>
      <rPr>
        <sz val="12"/>
        <color theme="1"/>
        <rFont val="Times New Roman"/>
        <family val="1"/>
        <charset val="186"/>
      </rPr>
      <t xml:space="preserve"> gadā * 0.0562 (iznomātās platības koeficients) = 3 074,17 </t>
    </r>
    <r>
      <rPr>
        <i/>
        <sz val="12"/>
        <color theme="1"/>
        <rFont val="Times New Roman"/>
        <family val="1"/>
        <charset val="186"/>
      </rPr>
      <t>euro.</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</si>
  <si>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0.0562 (iznomātās platības koeficients) = 426,43 </t>
    </r>
    <r>
      <rPr>
        <i/>
        <sz val="12"/>
        <color theme="1"/>
        <rFont val="Times New Roman"/>
        <family val="1"/>
        <charset val="186"/>
      </rPr>
      <t>euro</t>
    </r>
    <r>
      <rPr>
        <sz val="12"/>
        <color theme="1"/>
        <rFont val="Times New Roman"/>
        <family val="1"/>
        <charset val="186"/>
      </rPr>
      <t>.</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</si>
  <si>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0.0562 (iznomātās platības koeficients) = 609,87 </t>
    </r>
    <r>
      <rPr>
        <i/>
        <sz val="12"/>
        <color theme="1"/>
        <rFont val="Times New Roman"/>
        <family val="1"/>
        <charset val="186"/>
      </rPr>
      <t>euro.</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</si>
  <si>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0.0562 (iznomātās platības koeficients) = 42,81 </t>
    </r>
    <r>
      <rPr>
        <i/>
        <sz val="12"/>
        <color theme="1"/>
        <rFont val="Times New Roman"/>
        <family val="1"/>
        <charset val="186"/>
      </rPr>
      <t>euro.</t>
    </r>
  </si>
  <si>
    <r>
      <t xml:space="preserve">Izdevumi atļauju izmantot autoru darbus 224,51 </t>
    </r>
    <r>
      <rPr>
        <i/>
        <sz val="12"/>
        <color theme="1"/>
        <rFont val="Times New Roman"/>
        <family val="1"/>
        <charset val="186"/>
      </rPr>
      <t>euro</t>
    </r>
    <r>
      <rPr>
        <sz val="12"/>
        <color theme="1"/>
        <rFont val="Times New Roman"/>
        <family val="1"/>
        <charset val="186"/>
      </rPr>
      <t xml:space="preserve"> gadā * 0.0562 (iznomātās platības koeficients) = 12,62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</si>
  <si>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0.0562 (iznomātās platības koeficients) = 112,01 </t>
    </r>
    <r>
      <rPr>
        <i/>
        <sz val="12"/>
        <color theme="1"/>
        <rFont val="Times New Roman"/>
        <family val="1"/>
        <charset val="186"/>
      </rPr>
      <t>euro.</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</si>
  <si>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0.0562 (iznomātās platības koeficients) = 419,07 </t>
    </r>
    <r>
      <rPr>
        <i/>
        <sz val="12"/>
        <color theme="1"/>
        <rFont val="Times New Roman"/>
        <family val="1"/>
        <charset val="186"/>
      </rPr>
      <t>euro.</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</si>
  <si>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0.0562 (iznomātās platības koeficients) = 591,72 </t>
    </r>
    <r>
      <rPr>
        <i/>
        <sz val="12"/>
        <color theme="1"/>
        <rFont val="Times New Roman"/>
        <family val="1"/>
        <charset val="186"/>
      </rPr>
      <t>euro.</t>
    </r>
  </si>
  <si>
    <r>
      <t xml:space="preserve">Inventāra iegādes izdevumi 737,42 </t>
    </r>
    <r>
      <rPr>
        <i/>
        <sz val="12"/>
        <color theme="1"/>
        <rFont val="Times New Roman"/>
        <family val="1"/>
        <charset val="186"/>
      </rPr>
      <t>euro</t>
    </r>
    <r>
      <rPr>
        <sz val="12"/>
        <color theme="1"/>
        <rFont val="Times New Roman"/>
        <family val="1"/>
        <charset val="186"/>
      </rPr>
      <t xml:space="preserve"> gadā * 0.0562 (iznomātās platības koeficients) = 41,44 </t>
    </r>
    <r>
      <rPr>
        <i/>
        <sz val="12"/>
        <color theme="1"/>
        <rFont val="Times New Roman"/>
        <family val="1"/>
        <charset val="186"/>
      </rPr>
      <t>euro.</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</si>
  <si>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0.0562 (iznomātās platības koeficients) = 43,85 </t>
    </r>
    <r>
      <rPr>
        <i/>
        <sz val="12"/>
        <color theme="1"/>
        <rFont val="Times New Roman"/>
        <family val="1"/>
        <charset val="186"/>
      </rPr>
      <t>euro</t>
    </r>
    <r>
      <rPr>
        <sz val="12"/>
        <color theme="1"/>
        <rFont val="Times New Roman"/>
        <family val="1"/>
        <charset val="186"/>
      </rPr>
      <t>.</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</si>
  <si>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0.0562 (iznomātās platības koeficients) = 822,43 </t>
    </r>
    <r>
      <rPr>
        <i/>
        <sz val="12"/>
        <color theme="1"/>
        <rFont val="Times New Roman"/>
        <family val="1"/>
        <charset val="186"/>
      </rPr>
      <t>euro</t>
    </r>
    <r>
      <rPr>
        <sz val="12"/>
        <color theme="1"/>
        <rFont val="Times New Roman"/>
        <family val="1"/>
        <charset val="186"/>
      </rPr>
      <t>.</t>
    </r>
  </si>
  <si>
    <r>
      <t xml:space="preserve">Dabas resursu nodoklis 1 964,86 </t>
    </r>
    <r>
      <rPr>
        <i/>
        <sz val="12"/>
        <color theme="1"/>
        <rFont val="Times New Roman"/>
        <family val="1"/>
        <charset val="186"/>
      </rPr>
      <t>euro</t>
    </r>
    <r>
      <rPr>
        <sz val="12"/>
        <color theme="1"/>
        <rFont val="Times New Roman"/>
        <family val="1"/>
        <charset val="186"/>
      </rPr>
      <t xml:space="preserve"> gadā * 0.0562 (iznomātās platības koeficients) = 110,43 </t>
    </r>
    <r>
      <rPr>
        <i/>
        <sz val="12"/>
        <color theme="1"/>
        <rFont val="Times New Roman"/>
        <family val="1"/>
        <charset val="186"/>
      </rPr>
      <t>euro.</t>
    </r>
  </si>
  <si>
    <r>
      <t xml:space="preserve">Izdevumi par apkuri 54 700,57 </t>
    </r>
    <r>
      <rPr>
        <i/>
        <sz val="12"/>
        <color theme="1"/>
        <rFont val="Times New Roman"/>
        <family val="1"/>
        <charset val="186"/>
      </rPr>
      <t>euro</t>
    </r>
    <r>
      <rPr>
        <sz val="12"/>
        <color theme="1"/>
        <rFont val="Times New Roman"/>
        <family val="1"/>
        <charset val="186"/>
      </rPr>
      <t xml:space="preserve"> gadā * 0.159 (iznomātās platības koeficients) = 8 697,39 </t>
    </r>
    <r>
      <rPr>
        <i/>
        <sz val="12"/>
        <color theme="1"/>
        <rFont val="Times New Roman"/>
        <family val="1"/>
        <charset val="186"/>
      </rPr>
      <t>euro.</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</si>
  <si>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0.159 (iznomātās platības koeficients) = 1 206,46 </t>
    </r>
    <r>
      <rPr>
        <i/>
        <sz val="12"/>
        <color theme="1"/>
        <rFont val="Times New Roman"/>
        <family val="1"/>
        <charset val="186"/>
      </rPr>
      <t>euro.</t>
    </r>
  </si>
  <si>
    <r>
      <t xml:space="preserve">Izdevumi par elektroenerģiju 10 851,74 </t>
    </r>
    <r>
      <rPr>
        <i/>
        <sz val="12"/>
        <color theme="1"/>
        <rFont val="Times New Roman"/>
        <family val="1"/>
        <charset val="186"/>
      </rPr>
      <t>euro</t>
    </r>
    <r>
      <rPr>
        <sz val="12"/>
        <color theme="1"/>
        <rFont val="Times New Roman"/>
        <family val="1"/>
        <charset val="186"/>
      </rPr>
      <t xml:space="preserve"> gadā * 0.159 (iznomātās platības koeficients) = 1 725,43 </t>
    </r>
    <r>
      <rPr>
        <i/>
        <sz val="12"/>
        <color theme="1"/>
        <rFont val="Times New Roman"/>
        <family val="1"/>
        <charset val="186"/>
      </rPr>
      <t>euro</t>
    </r>
    <r>
      <rPr>
        <sz val="12"/>
        <color theme="1"/>
        <rFont val="Times New Roman"/>
        <family val="1"/>
        <charset val="186"/>
      </rPr>
      <t>.</t>
    </r>
  </si>
  <si>
    <r>
      <t xml:space="preserve">Izdevumi par atkritumu izvešanu 761,81 </t>
    </r>
    <r>
      <rPr>
        <i/>
        <sz val="12"/>
        <color theme="1"/>
        <rFont val="Times New Roman"/>
        <family val="1"/>
        <charset val="186"/>
      </rPr>
      <t>euro</t>
    </r>
    <r>
      <rPr>
        <sz val="12"/>
        <color theme="1"/>
        <rFont val="Times New Roman"/>
        <family val="1"/>
        <charset val="186"/>
      </rPr>
      <t xml:space="preserve"> gadā * 0.159  (iznomātās platības koeficients) = 121,13 </t>
    </r>
    <r>
      <rPr>
        <i/>
        <sz val="12"/>
        <color theme="1"/>
        <rFont val="Times New Roman"/>
        <family val="1"/>
        <charset val="186"/>
      </rPr>
      <t>euro.</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</si>
  <si>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0.159  (iznomātās platības koeficients)  = 35,70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</si>
  <si>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0.159  (iznomātās platības koeficients) = 316,90 </t>
    </r>
    <r>
      <rPr>
        <i/>
        <sz val="12"/>
        <color theme="1"/>
        <rFont val="Times New Roman"/>
        <family val="1"/>
        <charset val="186"/>
      </rPr>
      <t>euro.</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</si>
  <si>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0.159  (iznomātās platības koeficients) = 1 185,64 </t>
    </r>
    <r>
      <rPr>
        <i/>
        <sz val="12"/>
        <color theme="1"/>
        <rFont val="Times New Roman"/>
        <family val="1"/>
        <charset val="186"/>
      </rPr>
      <t>euro.</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</si>
  <si>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0.159  (iznomātās platības koeficients) = 1 674,10 </t>
    </r>
    <r>
      <rPr>
        <i/>
        <sz val="12"/>
        <color theme="1"/>
        <rFont val="Times New Roman"/>
        <family val="1"/>
        <charset val="186"/>
      </rPr>
      <t>euro.</t>
    </r>
  </si>
  <si>
    <r>
      <t xml:space="preserve">Inventāra iegādes izdevumi 737,42 </t>
    </r>
    <r>
      <rPr>
        <i/>
        <sz val="12"/>
        <color theme="1"/>
        <rFont val="Times New Roman"/>
        <family val="1"/>
        <charset val="186"/>
      </rPr>
      <t>euro</t>
    </r>
    <r>
      <rPr>
        <sz val="12"/>
        <color theme="1"/>
        <rFont val="Times New Roman"/>
        <family val="1"/>
        <charset val="186"/>
      </rPr>
      <t xml:space="preserve"> gadā * 0.159 (iznomātās platības koeficients) = 117,25 </t>
    </r>
    <r>
      <rPr>
        <i/>
        <sz val="12"/>
        <color theme="1"/>
        <rFont val="Times New Roman"/>
        <family val="1"/>
        <charset val="186"/>
      </rPr>
      <t>euro.</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</si>
  <si>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0.159  (iznomātās platības koeficients) = 124,06 </t>
    </r>
    <r>
      <rPr>
        <i/>
        <sz val="12"/>
        <color theme="1"/>
        <rFont val="Times New Roman"/>
        <family val="1"/>
        <charset val="186"/>
      </rPr>
      <t>euro.</t>
    </r>
  </si>
  <si>
    <r>
      <t xml:space="preserve">Nekustamā īpašuma nodoklis 14 633,92 </t>
    </r>
    <r>
      <rPr>
        <i/>
        <sz val="12"/>
        <color theme="1"/>
        <rFont val="Times New Roman"/>
        <family val="1"/>
        <charset val="186"/>
      </rPr>
      <t>euro</t>
    </r>
    <r>
      <rPr>
        <sz val="12"/>
        <color theme="1"/>
        <rFont val="Times New Roman"/>
        <family val="1"/>
        <charset val="186"/>
      </rPr>
      <t xml:space="preserve"> gadā * 0.159 (iznomātās platības koeficients) = 2 326,79 </t>
    </r>
    <r>
      <rPr>
        <i/>
        <sz val="12"/>
        <color theme="1"/>
        <rFont val="Times New Roman"/>
        <family val="1"/>
        <charset val="186"/>
      </rPr>
      <t>euro.</t>
    </r>
  </si>
  <si>
    <r>
      <t xml:space="preserve">Dabas resursu nodoklis 1 964,86 </t>
    </r>
    <r>
      <rPr>
        <i/>
        <sz val="12"/>
        <color theme="1"/>
        <rFont val="Times New Roman"/>
        <family val="1"/>
        <charset val="186"/>
      </rPr>
      <t>euro</t>
    </r>
    <r>
      <rPr>
        <sz val="12"/>
        <color theme="1"/>
        <rFont val="Times New Roman"/>
        <family val="1"/>
        <charset val="186"/>
      </rPr>
      <t xml:space="preserve"> gadā * 0.159 (iznomātās platības koeficients) = 312,41 </t>
    </r>
    <r>
      <rPr>
        <i/>
        <sz val="12"/>
        <color theme="1"/>
        <rFont val="Times New Roman"/>
        <family val="1"/>
        <charset val="186"/>
      </rPr>
      <t>euro.</t>
    </r>
  </si>
  <si>
    <r>
      <t xml:space="preserve">Izdevumi par apkuri 54 700.57 </t>
    </r>
    <r>
      <rPr>
        <i/>
        <sz val="12"/>
        <color theme="1"/>
        <rFont val="Times New Roman"/>
        <family val="1"/>
        <charset val="186"/>
      </rPr>
      <t>euro</t>
    </r>
    <r>
      <rPr>
        <sz val="12"/>
        <color theme="1"/>
        <rFont val="Times New Roman"/>
        <family val="1"/>
        <charset val="186"/>
      </rPr>
      <t xml:space="preserve"> gadā * 0.0342 (iznomātās platības koeficients) = 1 870,76 </t>
    </r>
    <r>
      <rPr>
        <i/>
        <sz val="12"/>
        <color theme="1"/>
        <rFont val="Times New Roman"/>
        <family val="1"/>
        <charset val="186"/>
      </rPr>
      <t>euro.</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</si>
  <si>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0.0342 (iznomātās platības koeficients) = 259,50 </t>
    </r>
    <r>
      <rPr>
        <i/>
        <sz val="12"/>
        <color theme="1"/>
        <rFont val="Times New Roman"/>
        <family val="1"/>
        <charset val="186"/>
      </rPr>
      <t>euro.</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</si>
  <si>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0.0342 (iznomātās platības koeficients) = 371,13 </t>
    </r>
    <r>
      <rPr>
        <i/>
        <sz val="12"/>
        <color theme="1"/>
        <rFont val="Times New Roman"/>
        <family val="1"/>
        <charset val="186"/>
      </rPr>
      <t>euro.</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</si>
  <si>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0.0342 (iznomātās platības koeficients) = 26,05 </t>
    </r>
    <r>
      <rPr>
        <i/>
        <sz val="12"/>
        <color theme="1"/>
        <rFont val="Times New Roman"/>
        <family val="1"/>
        <charset val="186"/>
      </rPr>
      <t>euro</t>
    </r>
    <r>
      <rPr>
        <sz val="12"/>
        <color theme="1"/>
        <rFont val="Times New Roman"/>
        <family val="1"/>
        <charset val="186"/>
      </rPr>
      <t>.</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</si>
  <si>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0.0342 (iznomātās platības koeficients) = 7,68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</si>
  <si>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0.0342 (iznomātās platības koeficients)= 68,16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</si>
  <si>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0.0342 (iznomātās platības koeficients) = 255,02 </t>
    </r>
    <r>
      <rPr>
        <i/>
        <sz val="12"/>
        <color theme="1"/>
        <rFont val="Times New Roman"/>
        <family val="1"/>
        <charset val="186"/>
      </rPr>
      <t>euro.</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</si>
  <si>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0.0342 (iznomātās platības koeficients) = 360,09 </t>
    </r>
    <r>
      <rPr>
        <i/>
        <sz val="12"/>
        <color theme="1"/>
        <rFont val="Times New Roman"/>
        <family val="1"/>
        <charset val="186"/>
      </rPr>
      <t>euro.</t>
    </r>
  </si>
  <si>
    <r>
      <t xml:space="preserve">Inventāra iegādes izdevumi 737,42 </t>
    </r>
    <r>
      <rPr>
        <i/>
        <sz val="12"/>
        <color theme="1"/>
        <rFont val="Times New Roman"/>
        <family val="1"/>
        <charset val="186"/>
      </rPr>
      <t>euro</t>
    </r>
    <r>
      <rPr>
        <sz val="12"/>
        <color theme="1"/>
        <rFont val="Times New Roman"/>
        <family val="1"/>
        <charset val="186"/>
      </rPr>
      <t xml:space="preserve"> gadā * 0.0342 (iznomātās platības koeficients) = 25,22 </t>
    </r>
    <r>
      <rPr>
        <i/>
        <sz val="12"/>
        <color theme="1"/>
        <rFont val="Times New Roman"/>
        <family val="1"/>
        <charset val="186"/>
      </rPr>
      <t>euro.</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</si>
  <si>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0.0342 (iznomātās platības koeficients) = 26,68 </t>
    </r>
    <r>
      <rPr>
        <i/>
        <sz val="12"/>
        <color theme="1"/>
        <rFont val="Times New Roman"/>
        <family val="1"/>
        <charset val="186"/>
      </rPr>
      <t>euro.</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</si>
  <si>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0.0342 (iznomātās platības koeficients) = 500,48 </t>
    </r>
    <r>
      <rPr>
        <i/>
        <sz val="12"/>
        <color theme="1"/>
        <rFont val="Times New Roman"/>
        <family val="1"/>
        <charset val="186"/>
      </rPr>
      <t>euro</t>
    </r>
    <r>
      <rPr>
        <sz val="12"/>
        <color theme="1"/>
        <rFont val="Times New Roman"/>
        <family val="1"/>
        <charset val="186"/>
      </rPr>
      <t>.</t>
    </r>
  </si>
  <si>
    <r>
      <t xml:space="preserve">Dabas resursu nodoklis 1 964,86 </t>
    </r>
    <r>
      <rPr>
        <i/>
        <sz val="12"/>
        <color theme="1"/>
        <rFont val="Times New Roman"/>
        <family val="1"/>
        <charset val="186"/>
      </rPr>
      <t>euro</t>
    </r>
    <r>
      <rPr>
        <sz val="12"/>
        <color theme="1"/>
        <rFont val="Times New Roman"/>
        <family val="1"/>
        <charset val="186"/>
      </rPr>
      <t xml:space="preserve"> gadā * 0.0342 (iznomātās platības koeficients) = 67,20 </t>
    </r>
    <r>
      <rPr>
        <i/>
        <sz val="12"/>
        <color theme="1"/>
        <rFont val="Times New Roman"/>
        <family val="1"/>
        <charset val="186"/>
      </rPr>
      <t>euro</t>
    </r>
    <r>
      <rPr>
        <sz val="12"/>
        <color theme="1"/>
        <rFont val="Times New Roman"/>
        <family val="1"/>
        <charset val="186"/>
      </rPr>
      <t>.</t>
    </r>
  </si>
  <si>
    <r>
      <t xml:space="preserve">Izdevumi par apkuri 54 700,57 </t>
    </r>
    <r>
      <rPr>
        <i/>
        <sz val="12"/>
        <color theme="1"/>
        <rFont val="Times New Roman"/>
        <family val="1"/>
        <charset val="186"/>
      </rPr>
      <t>euro</t>
    </r>
    <r>
      <rPr>
        <sz val="12"/>
        <color theme="1"/>
        <rFont val="Times New Roman"/>
        <family val="1"/>
        <charset val="186"/>
      </rPr>
      <t xml:space="preserve"> gadā * 0.0012 (iznomātās platības koeficients) = 65,64 </t>
    </r>
    <r>
      <rPr>
        <i/>
        <sz val="12"/>
        <color theme="1"/>
        <rFont val="Times New Roman"/>
        <family val="1"/>
        <charset val="186"/>
      </rPr>
      <t>euro.</t>
    </r>
  </si>
  <si>
    <r>
      <t xml:space="preserve">Izdevumi par ūdeni un kanalizāciju 7 587,77 </t>
    </r>
    <r>
      <rPr>
        <i/>
        <sz val="12"/>
        <color theme="1"/>
        <rFont val="Times New Roman"/>
        <family val="1"/>
        <charset val="186"/>
      </rPr>
      <t>euro</t>
    </r>
    <r>
      <rPr>
        <sz val="12"/>
        <color theme="1"/>
        <rFont val="Times New Roman"/>
        <family val="1"/>
        <charset val="186"/>
      </rPr>
      <t xml:space="preserve"> gadā * 0.0012 (iznomātās platības koeficients) = 9,11 </t>
    </r>
    <r>
      <rPr>
        <i/>
        <sz val="12"/>
        <color theme="1"/>
        <rFont val="Times New Roman"/>
        <family val="1"/>
        <charset val="186"/>
      </rPr>
      <t>euro.</t>
    </r>
  </si>
  <si>
    <r>
      <t xml:space="preserve">Izdevumi par elektroenerģiju 10 851,74 </t>
    </r>
    <r>
      <rPr>
        <i/>
        <sz val="12"/>
        <color theme="1"/>
        <rFont val="Times New Roman"/>
        <family val="1"/>
        <charset val="186"/>
      </rPr>
      <t>euro</t>
    </r>
    <r>
      <rPr>
        <sz val="12"/>
        <color theme="1"/>
        <rFont val="Times New Roman"/>
        <family val="1"/>
        <charset val="186"/>
      </rPr>
      <t xml:space="preserve"> gadā * 0.0012 (iznomātās platības koeficients) = 13,02 </t>
    </r>
    <r>
      <rPr>
        <i/>
        <sz val="12"/>
        <color theme="1"/>
        <rFont val="Times New Roman"/>
        <family val="1"/>
        <charset val="186"/>
      </rPr>
      <t>euro.</t>
    </r>
  </si>
  <si>
    <r>
      <t xml:space="preserve">Izdevumi par atkritumu izvešanu 761,81 </t>
    </r>
    <r>
      <rPr>
        <i/>
        <sz val="12"/>
        <color theme="1"/>
        <rFont val="Times New Roman"/>
        <family val="1"/>
        <charset val="186"/>
      </rPr>
      <t>euro</t>
    </r>
    <r>
      <rPr>
        <sz val="12"/>
        <color theme="1"/>
        <rFont val="Times New Roman"/>
        <family val="1"/>
        <charset val="186"/>
      </rPr>
      <t xml:space="preserve"> gadā * 0.0012 (iznomātās platības koeficients) =  0,91 </t>
    </r>
    <r>
      <rPr>
        <i/>
        <sz val="12"/>
        <color theme="1"/>
        <rFont val="Times New Roman"/>
        <family val="1"/>
        <charset val="186"/>
      </rPr>
      <t>euro</t>
    </r>
    <r>
      <rPr>
        <sz val="12"/>
        <color theme="1"/>
        <rFont val="Times New Roman"/>
        <family val="1"/>
        <charset val="186"/>
      </rPr>
      <t>.</t>
    </r>
  </si>
  <si>
    <r>
      <t xml:space="preserve">Izdevumi par atļauju izmantot autoru darbus 224,51 </t>
    </r>
    <r>
      <rPr>
        <i/>
        <sz val="12"/>
        <color theme="1"/>
        <rFont val="Times New Roman"/>
        <family val="1"/>
        <charset val="186"/>
      </rPr>
      <t>euro</t>
    </r>
    <r>
      <rPr>
        <sz val="12"/>
        <color theme="1"/>
        <rFont val="Times New Roman"/>
        <family val="1"/>
        <charset val="186"/>
      </rPr>
      <t xml:space="preserve"> gadā * 0.0012 (iznomātās platības koeficients) = 0,27 </t>
    </r>
    <r>
      <rPr>
        <i/>
        <sz val="12"/>
        <color theme="1"/>
        <rFont val="Times New Roman"/>
        <family val="1"/>
        <charset val="186"/>
      </rPr>
      <t>euro</t>
    </r>
    <r>
      <rPr>
        <sz val="12"/>
        <color theme="1"/>
        <rFont val="Times New Roman"/>
        <family val="1"/>
        <charset val="186"/>
      </rPr>
      <t>.</t>
    </r>
  </si>
  <si>
    <r>
      <t xml:space="preserve">Ēku kompleksa iekārtu, inventāra apkope un remonts, avāriju bojājumu novēršanas izdevumi 1 993,08 </t>
    </r>
    <r>
      <rPr>
        <i/>
        <sz val="12"/>
        <color theme="1"/>
        <rFont val="Times New Roman"/>
        <family val="1"/>
        <charset val="186"/>
      </rPr>
      <t>euro</t>
    </r>
    <r>
      <rPr>
        <sz val="12"/>
        <color theme="1"/>
        <rFont val="Times New Roman"/>
        <family val="1"/>
        <charset val="186"/>
      </rPr>
      <t xml:space="preserve"> gadā * 0.0012 (iznomātās platības koeficients) = 2,39 </t>
    </r>
    <r>
      <rPr>
        <i/>
        <sz val="12"/>
        <color theme="1"/>
        <rFont val="Times New Roman"/>
        <family val="1"/>
        <charset val="186"/>
      </rPr>
      <t>euro.</t>
    </r>
  </si>
  <si>
    <r>
      <t xml:space="preserve">Telpu, teritorijas uzkopšanas, apsardzes, apsaimniekošanas, apdrošināšanas izdevumi 7 456,84 </t>
    </r>
    <r>
      <rPr>
        <i/>
        <sz val="12"/>
        <color theme="1"/>
        <rFont val="Times New Roman"/>
        <family val="1"/>
        <charset val="186"/>
      </rPr>
      <t>euro</t>
    </r>
    <r>
      <rPr>
        <sz val="12"/>
        <color theme="1"/>
        <rFont val="Times New Roman"/>
        <family val="1"/>
        <charset val="186"/>
      </rPr>
      <t xml:space="preserve"> gadā * 0.0012 (iznomātās platības koeficients) = 8,95 </t>
    </r>
    <r>
      <rPr>
        <i/>
        <sz val="12"/>
        <color theme="1"/>
        <rFont val="Times New Roman"/>
        <family val="1"/>
        <charset val="186"/>
      </rPr>
      <t>euro</t>
    </r>
    <r>
      <rPr>
        <sz val="12"/>
        <color theme="1"/>
        <rFont val="Times New Roman"/>
        <family val="1"/>
        <charset val="186"/>
      </rPr>
      <t>.</t>
    </r>
  </si>
  <si>
    <r>
      <t xml:space="preserve">Pārējie uzturēšanas izdevumi 10 528,91 </t>
    </r>
    <r>
      <rPr>
        <i/>
        <sz val="12"/>
        <color theme="1"/>
        <rFont val="Times New Roman"/>
        <family val="1"/>
        <charset val="186"/>
      </rPr>
      <t>euro</t>
    </r>
    <r>
      <rPr>
        <sz val="12"/>
        <color theme="1"/>
        <rFont val="Times New Roman"/>
        <family val="1"/>
        <charset val="186"/>
      </rPr>
      <t xml:space="preserve"> gadā * 0.0012 (iznomātās platības koeficients) = 12,63 </t>
    </r>
    <r>
      <rPr>
        <i/>
        <sz val="12"/>
        <color theme="1"/>
        <rFont val="Times New Roman"/>
        <family val="1"/>
        <charset val="186"/>
      </rPr>
      <t>euro</t>
    </r>
  </si>
  <si>
    <r>
      <t xml:space="preserve">Inventāra iegādes izdevumi 737,42 </t>
    </r>
    <r>
      <rPr>
        <i/>
        <sz val="12"/>
        <color theme="1"/>
        <rFont val="Times New Roman"/>
        <family val="1"/>
        <charset val="186"/>
      </rPr>
      <t>euro</t>
    </r>
    <r>
      <rPr>
        <sz val="12"/>
        <color theme="1"/>
        <rFont val="Times New Roman"/>
        <family val="1"/>
        <charset val="186"/>
      </rPr>
      <t xml:space="preserve"> gadā * 0.0012 (iznomātās platības koeficients) = 0,88 </t>
    </r>
    <r>
      <rPr>
        <i/>
        <sz val="12"/>
        <color theme="1"/>
        <rFont val="Times New Roman"/>
        <family val="1"/>
        <charset val="186"/>
      </rPr>
      <t>euro.</t>
    </r>
  </si>
  <si>
    <r>
      <t xml:space="preserve">Saimniecības, remonta materiālu un transportlīdzekļu uzturēšanas materiālu iegādes izdevumi 780,26 </t>
    </r>
    <r>
      <rPr>
        <i/>
        <sz val="12"/>
        <color theme="1"/>
        <rFont val="Times New Roman"/>
        <family val="1"/>
        <charset val="186"/>
      </rPr>
      <t>euro</t>
    </r>
    <r>
      <rPr>
        <sz val="12"/>
        <color theme="1"/>
        <rFont val="Times New Roman"/>
        <family val="1"/>
        <charset val="186"/>
      </rPr>
      <t xml:space="preserve"> gadā * 0.0012 (iznomātās platības koeficients) = 0,94 </t>
    </r>
    <r>
      <rPr>
        <i/>
        <sz val="12"/>
        <color theme="1"/>
        <rFont val="Times New Roman"/>
        <family val="1"/>
        <charset val="186"/>
      </rPr>
      <t>euro</t>
    </r>
    <r>
      <rPr>
        <sz val="12"/>
        <color theme="1"/>
        <rFont val="Times New Roman"/>
        <family val="1"/>
        <charset val="186"/>
      </rPr>
      <t>.</t>
    </r>
  </si>
  <si>
    <r>
      <t xml:space="preserve">Nekustamā īpašuma nodoklis 14 633,92 </t>
    </r>
    <r>
      <rPr>
        <i/>
        <sz val="12"/>
        <color theme="1"/>
        <rFont val="Times New Roman"/>
        <family val="1"/>
        <charset val="186"/>
      </rPr>
      <t>euro</t>
    </r>
    <r>
      <rPr>
        <sz val="12"/>
        <color theme="1"/>
        <rFont val="Times New Roman"/>
        <family val="1"/>
        <charset val="186"/>
      </rPr>
      <t xml:space="preserve"> gadā * 0.0012 (iznomātās platības koeficients) = 17,56 </t>
    </r>
    <r>
      <rPr>
        <i/>
        <sz val="12"/>
        <color theme="1"/>
        <rFont val="Times New Roman"/>
        <family val="1"/>
        <charset val="186"/>
      </rPr>
      <t>euro.</t>
    </r>
  </si>
  <si>
    <r>
      <t xml:space="preserve">Dabas resursu nodoklis 1 964,86 </t>
    </r>
    <r>
      <rPr>
        <i/>
        <sz val="12"/>
        <color theme="1"/>
        <rFont val="Times New Roman"/>
        <family val="1"/>
        <charset val="186"/>
      </rPr>
      <t>euro</t>
    </r>
    <r>
      <rPr>
        <sz val="12"/>
        <color theme="1"/>
        <rFont val="Times New Roman"/>
        <family val="1"/>
        <charset val="186"/>
      </rPr>
      <t xml:space="preserve"> gadā * 0.0012 (iznomātās platības koeficients) = 2,36 </t>
    </r>
    <r>
      <rPr>
        <i/>
        <sz val="12"/>
        <color theme="1"/>
        <rFont val="Times New Roman"/>
        <family val="1"/>
        <charset val="186"/>
      </rPr>
      <t>euro</t>
    </r>
    <r>
      <rPr>
        <sz val="12"/>
        <color theme="1"/>
        <rFont val="Times New Roman"/>
        <family val="1"/>
        <charset val="186"/>
      </rPr>
      <t>.</t>
    </r>
  </si>
  <si>
    <r>
      <t xml:space="preserve">Ēku amortizācija 3 278,26 </t>
    </r>
    <r>
      <rPr>
        <i/>
        <sz val="12"/>
        <color theme="1"/>
        <rFont val="Times New Roman"/>
        <family val="1"/>
        <charset val="186"/>
      </rPr>
      <t xml:space="preserve">euro </t>
    </r>
    <r>
      <rPr>
        <sz val="12"/>
        <color theme="1"/>
        <rFont val="Times New Roman"/>
        <family val="1"/>
        <charset val="186"/>
      </rPr>
      <t xml:space="preserve">gadā * 0.45 (pakalpojuma īpatsvars kopējos ēkā sniegtajos maksas pakalpojumos) = 1 475,22 </t>
    </r>
    <r>
      <rPr>
        <i/>
        <sz val="12"/>
        <color theme="1"/>
        <rFont val="Times New Roman"/>
        <family val="1"/>
        <charset val="186"/>
      </rPr>
      <t>euro</t>
    </r>
    <r>
      <rPr>
        <sz val="12"/>
        <color theme="1"/>
        <rFont val="Times New Roman"/>
        <family val="1"/>
        <charset val="186"/>
      </rPr>
      <t>.</t>
    </r>
  </si>
  <si>
    <r>
      <t xml:space="preserve">Asfalta un bruģa seguma amortizācija 632,81 </t>
    </r>
    <r>
      <rPr>
        <i/>
        <sz val="12"/>
        <color theme="1"/>
        <rFont val="Times New Roman"/>
        <family val="1"/>
        <charset val="186"/>
      </rPr>
      <t xml:space="preserve">euro </t>
    </r>
    <r>
      <rPr>
        <sz val="12"/>
        <color theme="1"/>
        <rFont val="Times New Roman"/>
        <family val="1"/>
        <charset val="186"/>
      </rPr>
      <t>gadā</t>
    </r>
    <r>
      <rPr>
        <i/>
        <sz val="12"/>
        <color theme="1"/>
        <rFont val="Times New Roman"/>
        <family val="1"/>
        <charset val="186"/>
      </rPr>
      <t xml:space="preserve"> </t>
    </r>
    <r>
      <rPr>
        <sz val="12"/>
        <color theme="1"/>
        <rFont val="Times New Roman"/>
        <family val="1"/>
        <charset val="186"/>
      </rPr>
      <t xml:space="preserve"> * 0.45 (pakalpojuma īpatsvars kopējos ēkā sniegtajos maksas pakalpojumos) = 284,76 </t>
    </r>
    <r>
      <rPr>
        <i/>
        <sz val="12"/>
        <color theme="1"/>
        <rFont val="Times New Roman"/>
        <family val="1"/>
        <charset val="186"/>
      </rPr>
      <t>euro.</t>
    </r>
  </si>
  <si>
    <r>
      <t xml:space="preserve">Pamatlīdzekļu amortizācija 706,36 </t>
    </r>
    <r>
      <rPr>
        <i/>
        <sz val="12"/>
        <color theme="1"/>
        <rFont val="Times New Roman"/>
        <family val="1"/>
        <charset val="186"/>
      </rPr>
      <t xml:space="preserve">euro </t>
    </r>
    <r>
      <rPr>
        <sz val="12"/>
        <color theme="1"/>
        <rFont val="Times New Roman"/>
        <family val="1"/>
        <charset val="186"/>
      </rPr>
      <t>gadā</t>
    </r>
    <r>
      <rPr>
        <i/>
        <sz val="12"/>
        <color theme="1"/>
        <rFont val="Times New Roman"/>
        <family val="1"/>
        <charset val="186"/>
      </rPr>
      <t xml:space="preserve"> </t>
    </r>
    <r>
      <rPr>
        <sz val="12"/>
        <color theme="1"/>
        <rFont val="Times New Roman"/>
        <family val="1"/>
        <charset val="186"/>
      </rPr>
      <t xml:space="preserve">* 0.45 (pakalpojuma īpatsvars kopējos ēkā sniegtajos maksas pakalpojumos) = 317,86 </t>
    </r>
    <r>
      <rPr>
        <i/>
        <sz val="12"/>
        <color theme="1"/>
        <rFont val="Times New Roman"/>
        <family val="1"/>
        <charset val="186"/>
      </rPr>
      <t>euro</t>
    </r>
    <r>
      <rPr>
        <sz val="12"/>
        <color theme="1"/>
        <rFont val="Times New Roman"/>
        <family val="1"/>
        <charset val="186"/>
      </rPr>
      <t>.</t>
    </r>
  </si>
  <si>
    <r>
      <t xml:space="preserve">Pamatlīdzekļu amortizācija 106,11 </t>
    </r>
    <r>
      <rPr>
        <i/>
        <sz val="12"/>
        <color theme="1"/>
        <rFont val="Times New Roman"/>
        <family val="1"/>
        <charset val="186"/>
      </rPr>
      <t xml:space="preserve">euro </t>
    </r>
    <r>
      <rPr>
        <sz val="12"/>
        <color theme="1"/>
        <rFont val="Times New Roman"/>
        <family val="1"/>
        <charset val="186"/>
      </rPr>
      <t xml:space="preserve">gadā * 0.45 (pakalpojuma īpatsvars kopējos ēkā sniegtajos maksas pakalpojumos) = 47,75 </t>
    </r>
    <r>
      <rPr>
        <i/>
        <sz val="12"/>
        <color theme="1"/>
        <rFont val="Times New Roman"/>
        <family val="1"/>
        <charset val="186"/>
      </rPr>
      <t>euro</t>
    </r>
    <r>
      <rPr>
        <sz val="12"/>
        <color theme="1"/>
        <rFont val="Times New Roman"/>
        <family val="1"/>
        <charset val="186"/>
      </rPr>
      <t>.</t>
    </r>
  </si>
  <si>
    <r>
      <t xml:space="preserve">Sporta inventāra un pamatlīdzekļu amortizācija 968,57 </t>
    </r>
    <r>
      <rPr>
        <i/>
        <sz val="12"/>
        <color theme="1"/>
        <rFont val="Times New Roman"/>
        <family val="1"/>
        <charset val="186"/>
      </rPr>
      <t xml:space="preserve">euro </t>
    </r>
    <r>
      <rPr>
        <sz val="12"/>
        <color theme="1"/>
        <rFont val="Times New Roman"/>
        <family val="1"/>
        <charset val="186"/>
      </rPr>
      <t xml:space="preserve">gadā * 0.45 (pakalpojuma īpatsvars kopējos ēkā sniegtajos maksas pakalpojumos) = 435,86 </t>
    </r>
    <r>
      <rPr>
        <i/>
        <sz val="12"/>
        <color theme="1"/>
        <rFont val="Times New Roman"/>
        <family val="1"/>
        <charset val="186"/>
      </rPr>
      <t>euro.</t>
    </r>
  </si>
  <si>
    <r>
      <t xml:space="preserve">Pamatlīdzekļu amortizācija 2 374,69 </t>
    </r>
    <r>
      <rPr>
        <i/>
        <sz val="12"/>
        <color theme="1"/>
        <rFont val="Times New Roman"/>
        <family val="1"/>
        <charset val="186"/>
      </rPr>
      <t xml:space="preserve">euro </t>
    </r>
    <r>
      <rPr>
        <sz val="12"/>
        <color theme="1"/>
        <rFont val="Times New Roman"/>
        <family val="1"/>
        <charset val="186"/>
      </rPr>
      <t>gadā</t>
    </r>
    <r>
      <rPr>
        <i/>
        <sz val="12"/>
        <color theme="1"/>
        <rFont val="Times New Roman"/>
        <family val="1"/>
        <charset val="186"/>
      </rPr>
      <t xml:space="preserve"> </t>
    </r>
    <r>
      <rPr>
        <sz val="12"/>
        <color theme="1"/>
        <rFont val="Times New Roman"/>
        <family val="1"/>
        <charset val="186"/>
      </rPr>
      <t xml:space="preserve">* 0.45 (pakalpojuma īpatsvars kopējos ēkā sniegtajos maksas pakalpojumos) = 1 068,61 </t>
    </r>
    <r>
      <rPr>
        <i/>
        <sz val="12"/>
        <color theme="1"/>
        <rFont val="Times New Roman"/>
        <family val="1"/>
        <charset val="186"/>
      </rPr>
      <t>euro.</t>
    </r>
  </si>
  <si>
    <t>Kapitālais remonts un rekonstrukcija</t>
  </si>
  <si>
    <r>
      <t xml:space="preserve">Pamatlīdzekļu amortizācija 711,38 </t>
    </r>
    <r>
      <rPr>
        <i/>
        <sz val="12"/>
        <color theme="1"/>
        <rFont val="Times New Roman"/>
        <family val="1"/>
        <charset val="186"/>
      </rPr>
      <t xml:space="preserve">euro </t>
    </r>
    <r>
      <rPr>
        <sz val="12"/>
        <color theme="1"/>
        <rFont val="Times New Roman"/>
        <family val="1"/>
        <charset val="186"/>
      </rPr>
      <t>gadā</t>
    </r>
    <r>
      <rPr>
        <i/>
        <sz val="12"/>
        <color theme="1"/>
        <rFont val="Times New Roman"/>
        <family val="1"/>
        <charset val="186"/>
      </rPr>
      <t xml:space="preserve"> </t>
    </r>
    <r>
      <rPr>
        <sz val="12"/>
        <color theme="1"/>
        <rFont val="Times New Roman"/>
        <family val="1"/>
        <charset val="186"/>
      </rPr>
      <t xml:space="preserve">* 0.45 (pakalpojuma īpatsvars kopējos ēkā sniegtajos maksas pakalpojumos) = 320,12 </t>
    </r>
    <r>
      <rPr>
        <i/>
        <sz val="12"/>
        <color theme="1"/>
        <rFont val="Times New Roman"/>
        <family val="1"/>
        <charset val="186"/>
      </rPr>
      <t>euro.</t>
    </r>
  </si>
  <si>
    <t xml:space="preserve">Izdevumi par profesionālās darbības pakalpojumiem </t>
  </si>
  <si>
    <r>
      <t xml:space="preserve">Izdevumi par profesionālās darbības pakalpojumiem 40,09 </t>
    </r>
    <r>
      <rPr>
        <i/>
        <sz val="12"/>
        <color theme="1"/>
        <rFont val="Times New Roman"/>
        <family val="1"/>
        <charset val="186"/>
      </rPr>
      <t xml:space="preserve">euro gadā </t>
    </r>
    <r>
      <rPr>
        <sz val="12"/>
        <color theme="1"/>
        <rFont val="Times New Roman"/>
        <family val="1"/>
        <charset val="186"/>
      </rPr>
      <t>* 0.45 (pakalpojuma īpatsvars kopējos ēkā sniegtajos maksas paklpojumos) = 40,54</t>
    </r>
  </si>
  <si>
    <r>
      <t xml:space="preserve">Izdevumi par pārējiem remontdarbu un iestāžu uzturēšanas pakalpojumiem 64,73 </t>
    </r>
    <r>
      <rPr>
        <i/>
        <sz val="12"/>
        <color theme="1"/>
        <rFont val="Times New Roman"/>
        <family val="1"/>
        <charset val="186"/>
      </rPr>
      <t xml:space="preserve">euro gadā </t>
    </r>
    <r>
      <rPr>
        <sz val="12"/>
        <color theme="1"/>
        <rFont val="Times New Roman"/>
        <family val="1"/>
        <charset val="186"/>
      </rPr>
      <t xml:space="preserve">* 0.45 (pakalpojuma īpatsvars kopējos ēkā sniegtajos maksas pakalpojumos) = 29,13 </t>
    </r>
    <r>
      <rPr>
        <i/>
        <sz val="12"/>
        <color theme="1"/>
        <rFont val="Times New Roman"/>
        <family val="1"/>
        <charset val="186"/>
      </rPr>
      <t>euro</t>
    </r>
  </si>
  <si>
    <r>
      <t xml:space="preserve">Izdevumi par profesionālās darbības pakalpojumiem 90,09 </t>
    </r>
    <r>
      <rPr>
        <i/>
        <sz val="12"/>
        <color theme="1"/>
        <rFont val="Times New Roman"/>
        <family val="1"/>
        <charset val="186"/>
      </rPr>
      <t xml:space="preserve">euro gadā </t>
    </r>
    <r>
      <rPr>
        <sz val="12"/>
        <color theme="1"/>
        <rFont val="Times New Roman"/>
        <family val="1"/>
        <charset val="186"/>
      </rPr>
      <t>* 0.077 (pakalpojuma īpatsvars kopējos ēkā sniegtajos maksas paklpojumos) = 6,94</t>
    </r>
  </si>
  <si>
    <r>
      <t xml:space="preserve">Izdevumi par pārējiem remontdarbu un iestāžu uzturēšanas pakalpojumiem 64,73 </t>
    </r>
    <r>
      <rPr>
        <i/>
        <sz val="12"/>
        <color theme="1"/>
        <rFont val="Times New Roman"/>
        <family val="1"/>
        <charset val="186"/>
      </rPr>
      <t xml:space="preserve">euro gadā </t>
    </r>
    <r>
      <rPr>
        <sz val="12"/>
        <color theme="1"/>
        <rFont val="Times New Roman"/>
        <family val="1"/>
        <charset val="186"/>
      </rPr>
      <t xml:space="preserve">* 0.077 (pakalpojuma īpatsvars kopējos ēkā sniegtajos maksas pakalpojumos) = 4,98 </t>
    </r>
    <r>
      <rPr>
        <i/>
        <sz val="12"/>
        <color theme="1"/>
        <rFont val="Times New Roman"/>
        <family val="1"/>
        <charset val="186"/>
      </rPr>
      <t>euro</t>
    </r>
  </si>
  <si>
    <r>
      <t xml:space="preserve">Ēku amortizācija 3 278,26 </t>
    </r>
    <r>
      <rPr>
        <i/>
        <sz val="12"/>
        <color theme="1"/>
        <rFont val="Times New Roman"/>
        <family val="1"/>
        <charset val="186"/>
      </rPr>
      <t>euro</t>
    </r>
    <r>
      <rPr>
        <sz val="12"/>
        <color theme="1"/>
        <rFont val="Times New Roman"/>
        <family val="1"/>
        <charset val="186"/>
      </rPr>
      <t xml:space="preserve"> * 0.077 (pakalpojuma īpatsvars kopējos ēkā sniegtajos maksas pakalpojumos) = 252,43 </t>
    </r>
    <r>
      <rPr>
        <i/>
        <sz val="12"/>
        <color theme="1"/>
        <rFont val="Times New Roman"/>
        <family val="1"/>
        <charset val="186"/>
      </rPr>
      <t>euro.</t>
    </r>
  </si>
  <si>
    <r>
      <t xml:space="preserve">Asfalta un bruģa seguma amortizācija 632,81 </t>
    </r>
    <r>
      <rPr>
        <i/>
        <sz val="12"/>
        <color theme="1"/>
        <rFont val="Times New Roman"/>
        <family val="1"/>
        <charset val="186"/>
      </rPr>
      <t>euro</t>
    </r>
    <r>
      <rPr>
        <sz val="12"/>
        <color theme="1"/>
        <rFont val="Times New Roman"/>
        <family val="1"/>
        <charset val="186"/>
      </rPr>
      <t xml:space="preserve"> * 0.077 (pakalpojuma īpatsvars kopējos ēkā sniegtajos maksas pakalpojumos) = 48.73 </t>
    </r>
    <r>
      <rPr>
        <i/>
        <sz val="12"/>
        <color theme="1"/>
        <rFont val="Times New Roman"/>
        <family val="1"/>
        <charset val="186"/>
      </rPr>
      <t>euro.</t>
    </r>
  </si>
  <si>
    <r>
      <t xml:space="preserve">Pamatlīdzekļu amortizācija 706,36 </t>
    </r>
    <r>
      <rPr>
        <i/>
        <sz val="12"/>
        <color theme="1"/>
        <rFont val="Times New Roman"/>
        <family val="1"/>
        <charset val="186"/>
      </rPr>
      <t>euro</t>
    </r>
    <r>
      <rPr>
        <sz val="12"/>
        <color theme="1"/>
        <rFont val="Times New Roman"/>
        <family val="1"/>
        <charset val="186"/>
      </rPr>
      <t xml:space="preserve"> * 0.077 (pakalpojuma īpatsvars kopējos ēkā sniegtajos maksas pakalpojumos) = 54,39 </t>
    </r>
    <r>
      <rPr>
        <i/>
        <sz val="12"/>
        <color theme="1"/>
        <rFont val="Times New Roman"/>
        <family val="1"/>
        <charset val="186"/>
      </rPr>
      <t>euro</t>
    </r>
    <r>
      <rPr>
        <sz val="12"/>
        <color theme="1"/>
        <rFont val="Times New Roman"/>
        <family val="1"/>
        <charset val="186"/>
      </rPr>
      <t>.</t>
    </r>
  </si>
  <si>
    <r>
      <t xml:space="preserve">Pamatlīdzekļu amortizācija 106,11 </t>
    </r>
    <r>
      <rPr>
        <i/>
        <sz val="12"/>
        <color theme="1"/>
        <rFont val="Times New Roman"/>
        <family val="1"/>
        <charset val="186"/>
      </rPr>
      <t>euro</t>
    </r>
    <r>
      <rPr>
        <sz val="12"/>
        <color theme="1"/>
        <rFont val="Times New Roman"/>
        <family val="1"/>
        <charset val="186"/>
      </rPr>
      <t xml:space="preserve"> * 0.077 (pakalpojuma īpatsvars kopējos ēkā sniegtajos maksas pakalpojumos) = 8,17 </t>
    </r>
    <r>
      <rPr>
        <i/>
        <sz val="12"/>
        <color theme="1"/>
        <rFont val="Times New Roman"/>
        <family val="1"/>
        <charset val="186"/>
      </rPr>
      <t>euro.</t>
    </r>
  </si>
  <si>
    <r>
      <t xml:space="preserve">Sporta inventāra un pamatlīdzekļu amortizācija 968,57 </t>
    </r>
    <r>
      <rPr>
        <i/>
        <sz val="12"/>
        <color theme="1"/>
        <rFont val="Times New Roman"/>
        <family val="1"/>
        <charset val="186"/>
      </rPr>
      <t>euro</t>
    </r>
    <r>
      <rPr>
        <sz val="12"/>
        <color theme="1"/>
        <rFont val="Times New Roman"/>
        <family val="1"/>
        <charset val="186"/>
      </rPr>
      <t xml:space="preserve"> * 0.077 (pakalpojuma īpatsvars kopējos ēkā sniegtajos maksas pakalpojumos) = 74,58 </t>
    </r>
    <r>
      <rPr>
        <i/>
        <sz val="12"/>
        <color theme="1"/>
        <rFont val="Times New Roman"/>
        <family val="1"/>
        <charset val="186"/>
      </rPr>
      <t>euro.</t>
    </r>
  </si>
  <si>
    <r>
      <t xml:space="preserve">Pamatlīdzekļu amortizācija 2 374,69 </t>
    </r>
    <r>
      <rPr>
        <i/>
        <sz val="12"/>
        <color theme="1"/>
        <rFont val="Times New Roman"/>
        <family val="1"/>
        <charset val="186"/>
      </rPr>
      <t xml:space="preserve">euro </t>
    </r>
    <r>
      <rPr>
        <sz val="12"/>
        <color theme="1"/>
        <rFont val="Times New Roman"/>
        <family val="1"/>
        <charset val="186"/>
      </rPr>
      <t>gadā</t>
    </r>
    <r>
      <rPr>
        <i/>
        <sz val="12"/>
        <color theme="1"/>
        <rFont val="Times New Roman"/>
        <family val="1"/>
        <charset val="186"/>
      </rPr>
      <t xml:space="preserve"> </t>
    </r>
    <r>
      <rPr>
        <sz val="12"/>
        <color theme="1"/>
        <rFont val="Times New Roman"/>
        <family val="1"/>
        <charset val="186"/>
      </rPr>
      <t xml:space="preserve">* 0.077 (pakalpojuma īpatsvars kopējos ēkā sniegtajos maksas pakalpojumos) = 182,85 </t>
    </r>
    <r>
      <rPr>
        <i/>
        <sz val="12"/>
        <color theme="1"/>
        <rFont val="Times New Roman"/>
        <family val="1"/>
        <charset val="186"/>
      </rPr>
      <t>euro.</t>
    </r>
  </si>
  <si>
    <r>
      <t xml:space="preserve">Pamatlīdzekļu amortizācija 711,38 </t>
    </r>
    <r>
      <rPr>
        <i/>
        <sz val="12"/>
        <color theme="1"/>
        <rFont val="Times New Roman"/>
        <family val="1"/>
        <charset val="186"/>
      </rPr>
      <t xml:space="preserve">euro </t>
    </r>
    <r>
      <rPr>
        <sz val="12"/>
        <color theme="1"/>
        <rFont val="Times New Roman"/>
        <family val="1"/>
        <charset val="186"/>
      </rPr>
      <t>gadā</t>
    </r>
    <r>
      <rPr>
        <i/>
        <sz val="12"/>
        <color theme="1"/>
        <rFont val="Times New Roman"/>
        <family val="1"/>
        <charset val="186"/>
      </rPr>
      <t xml:space="preserve"> </t>
    </r>
    <r>
      <rPr>
        <sz val="12"/>
        <color theme="1"/>
        <rFont val="Times New Roman"/>
        <family val="1"/>
        <charset val="186"/>
      </rPr>
      <t xml:space="preserve">* 0.077 (pakalpojuma īpatsvars kopējos ēkā sniegtajos maksas pakalpojumos) = 54,78 </t>
    </r>
    <r>
      <rPr>
        <i/>
        <sz val="12"/>
        <color theme="1"/>
        <rFont val="Times New Roman"/>
        <family val="1"/>
        <charset val="186"/>
      </rPr>
      <t>euro.</t>
    </r>
  </si>
  <si>
    <t>Transportlīdzekļi</t>
  </si>
  <si>
    <r>
      <t xml:space="preserve">Ēku amortizācija 11 995,68 </t>
    </r>
    <r>
      <rPr>
        <i/>
        <sz val="12"/>
        <color theme="1"/>
        <rFont val="Times New Roman"/>
        <family val="1"/>
        <charset val="186"/>
      </rPr>
      <t>euro</t>
    </r>
    <r>
      <rPr>
        <sz val="12"/>
        <color theme="1"/>
        <rFont val="Times New Roman"/>
        <family val="1"/>
        <charset val="186"/>
      </rPr>
      <t xml:space="preserve"> gadā x 0.021 (iznomātās platības koeficients) = 251,91 </t>
    </r>
    <r>
      <rPr>
        <i/>
        <sz val="12"/>
        <color theme="1"/>
        <rFont val="Times New Roman"/>
        <family val="1"/>
        <charset val="186"/>
      </rPr>
      <t>euro.</t>
    </r>
  </si>
  <si>
    <r>
      <t xml:space="preserve">Pamatlīdzekļu amortizācija 3 891,96 </t>
    </r>
    <r>
      <rPr>
        <i/>
        <sz val="12"/>
        <color theme="1"/>
        <rFont val="Times New Roman"/>
        <family val="1"/>
        <charset val="186"/>
      </rPr>
      <t>euro</t>
    </r>
    <r>
      <rPr>
        <sz val="12"/>
        <color theme="1"/>
        <rFont val="Times New Roman"/>
        <family val="1"/>
        <charset val="186"/>
      </rPr>
      <t xml:space="preserve"> gadā x 0.021 (iznomātās platības koeficients) = 81,73 </t>
    </r>
    <r>
      <rPr>
        <i/>
        <sz val="12"/>
        <color theme="1"/>
        <rFont val="Times New Roman"/>
        <family val="1"/>
        <charset val="186"/>
      </rPr>
      <t>euro.</t>
    </r>
  </si>
  <si>
    <r>
      <t xml:space="preserve">Pamatlīdzekļu amortizācija 13 995,48 </t>
    </r>
    <r>
      <rPr>
        <i/>
        <sz val="12"/>
        <color theme="1"/>
        <rFont val="Times New Roman"/>
        <family val="1"/>
        <charset val="186"/>
      </rPr>
      <t>euro</t>
    </r>
    <r>
      <rPr>
        <sz val="12"/>
        <color theme="1"/>
        <rFont val="Times New Roman"/>
        <family val="1"/>
        <charset val="186"/>
      </rPr>
      <t xml:space="preserve"> gadā x 0.021 (iznomātās platības koeficients) = 293,91 </t>
    </r>
    <r>
      <rPr>
        <i/>
        <sz val="12"/>
        <color theme="1"/>
        <rFont val="Times New Roman"/>
        <family val="1"/>
        <charset val="186"/>
      </rPr>
      <t>euro.</t>
    </r>
  </si>
  <si>
    <r>
      <t xml:space="preserve">Ēku amortizācija 1 181,38 </t>
    </r>
    <r>
      <rPr>
        <i/>
        <sz val="12"/>
        <color theme="1"/>
        <rFont val="Times New Roman"/>
        <family val="1"/>
        <charset val="186"/>
      </rPr>
      <t>euro</t>
    </r>
    <r>
      <rPr>
        <sz val="12"/>
        <color theme="1"/>
        <rFont val="Times New Roman"/>
        <family val="1"/>
        <charset val="186"/>
      </rPr>
      <t xml:space="preserve"> gadā * 0.944 (iznomātās platības koeficients) = 1 115,22 </t>
    </r>
    <r>
      <rPr>
        <i/>
        <sz val="12"/>
        <color theme="1"/>
        <rFont val="Times New Roman"/>
        <family val="1"/>
        <charset val="186"/>
      </rPr>
      <t>euro</t>
    </r>
    <r>
      <rPr>
        <sz val="12"/>
        <color theme="1"/>
        <rFont val="Times New Roman"/>
        <family val="1"/>
        <charset val="186"/>
      </rPr>
      <t>.</t>
    </r>
  </si>
  <si>
    <r>
      <t xml:space="preserve">Pamatlīdzekļu amortizācija 5,31 </t>
    </r>
    <r>
      <rPr>
        <i/>
        <sz val="12"/>
        <color theme="1"/>
        <rFont val="Times New Roman"/>
        <family val="1"/>
        <charset val="186"/>
      </rPr>
      <t>euro</t>
    </r>
    <r>
      <rPr>
        <sz val="12"/>
        <color theme="1"/>
        <rFont val="Times New Roman"/>
        <family val="1"/>
        <charset val="186"/>
      </rPr>
      <t xml:space="preserve"> gadā * 0.944 (iznomātās platības koeficients) = 5,01 </t>
    </r>
    <r>
      <rPr>
        <i/>
        <sz val="12"/>
        <color theme="1"/>
        <rFont val="Times New Roman"/>
        <family val="1"/>
        <charset val="186"/>
      </rPr>
      <t>euro</t>
    </r>
    <r>
      <rPr>
        <sz val="12"/>
        <color theme="1"/>
        <rFont val="Times New Roman"/>
        <family val="1"/>
        <charset val="186"/>
      </rPr>
      <t>.</t>
    </r>
  </si>
  <si>
    <r>
      <t xml:space="preserve">Pamatlīdzekļu amortizācija 62,79 </t>
    </r>
    <r>
      <rPr>
        <i/>
        <sz val="12"/>
        <color theme="1"/>
        <rFont val="Times New Roman"/>
        <family val="1"/>
        <charset val="186"/>
      </rPr>
      <t>euro</t>
    </r>
    <r>
      <rPr>
        <sz val="12"/>
        <color theme="1"/>
        <rFont val="Times New Roman"/>
        <family val="1"/>
        <charset val="186"/>
      </rPr>
      <t xml:space="preserve"> gadā * 0.944 (iznomātās platības koeficients) = 59,27 </t>
    </r>
    <r>
      <rPr>
        <i/>
        <sz val="12"/>
        <color theme="1"/>
        <rFont val="Times New Roman"/>
        <family val="1"/>
        <charset val="186"/>
      </rPr>
      <t>euro</t>
    </r>
    <r>
      <rPr>
        <sz val="12"/>
        <color theme="1"/>
        <rFont val="Times New Roman"/>
        <family val="1"/>
        <charset val="186"/>
      </rPr>
      <t>.</t>
    </r>
  </si>
  <si>
    <r>
      <t xml:space="preserve">Pamatlīdzekļu amortizācija 1 430,41 </t>
    </r>
    <r>
      <rPr>
        <i/>
        <sz val="12"/>
        <color theme="1"/>
        <rFont val="Times New Roman"/>
        <family val="1"/>
        <charset val="186"/>
      </rPr>
      <t>euro</t>
    </r>
    <r>
      <rPr>
        <sz val="12"/>
        <color theme="1"/>
        <rFont val="Times New Roman"/>
        <family val="1"/>
        <charset val="186"/>
      </rPr>
      <t xml:space="preserve"> gadā * 0.944 (iznomātās platības koeficients) = 1 350,31 </t>
    </r>
    <r>
      <rPr>
        <i/>
        <sz val="12"/>
        <color theme="1"/>
        <rFont val="Times New Roman"/>
        <family val="1"/>
        <charset val="186"/>
      </rPr>
      <t>euro</t>
    </r>
    <r>
      <rPr>
        <sz val="12"/>
        <color theme="1"/>
        <rFont val="Times New Roman"/>
        <family val="1"/>
        <charset val="186"/>
      </rPr>
      <t>.</t>
    </r>
  </si>
  <si>
    <r>
      <t xml:space="preserve">Izdevumi par evakuācijas plānu izsstrādi un ugunsdrošības instrukciju izstrādi 5,43 </t>
    </r>
    <r>
      <rPr>
        <i/>
        <sz val="12"/>
        <color theme="1"/>
        <rFont val="Times New Roman"/>
        <family val="1"/>
        <charset val="186"/>
      </rPr>
      <t xml:space="preserve">euro </t>
    </r>
    <r>
      <rPr>
        <sz val="12"/>
        <color theme="1"/>
        <rFont val="Times New Roman"/>
        <family val="1"/>
        <charset val="186"/>
      </rPr>
      <t xml:space="preserve">gadā * 0.944 (iznomātās platības koeficients) = 5,13 </t>
    </r>
    <r>
      <rPr>
        <i/>
        <sz val="12"/>
        <color theme="1"/>
        <rFont val="Times New Roman"/>
        <family val="1"/>
        <charset val="186"/>
      </rPr>
      <t>euro.</t>
    </r>
  </si>
  <si>
    <r>
      <t xml:space="preserve">Izdevumi par evakuācijas plānu izsstrādi un ugunsdrošības instrukciju izstrādi 5,43 </t>
    </r>
    <r>
      <rPr>
        <i/>
        <sz val="12"/>
        <color theme="1"/>
        <rFont val="Times New Roman"/>
        <family val="1"/>
        <charset val="186"/>
      </rPr>
      <t xml:space="preserve">euro </t>
    </r>
    <r>
      <rPr>
        <sz val="12"/>
        <color theme="1"/>
        <rFont val="Times New Roman"/>
        <family val="1"/>
        <charset val="186"/>
      </rPr>
      <t xml:space="preserve">gadā * 0.056 (iznomātās platības koeficients) = 0,3 </t>
    </r>
    <r>
      <rPr>
        <i/>
        <sz val="12"/>
        <color theme="1"/>
        <rFont val="Times New Roman"/>
        <family val="1"/>
        <charset val="186"/>
      </rPr>
      <t>euro.</t>
    </r>
  </si>
  <si>
    <r>
      <t xml:space="preserve">Ēku amortizācija 1 181,38 </t>
    </r>
    <r>
      <rPr>
        <i/>
        <sz val="12"/>
        <color theme="1"/>
        <rFont val="Times New Roman"/>
        <family val="1"/>
        <charset val="186"/>
      </rPr>
      <t>euro</t>
    </r>
    <r>
      <rPr>
        <sz val="12"/>
        <color theme="1"/>
        <rFont val="Times New Roman"/>
        <family val="1"/>
        <charset val="186"/>
      </rPr>
      <t xml:space="preserve"> gadā * 0.056 (iznomātās platības koeficients) = 66,16 </t>
    </r>
    <r>
      <rPr>
        <i/>
        <sz val="12"/>
        <color theme="1"/>
        <rFont val="Times New Roman"/>
        <family val="1"/>
        <charset val="186"/>
      </rPr>
      <t>euro</t>
    </r>
    <r>
      <rPr>
        <sz val="12"/>
        <color theme="1"/>
        <rFont val="Times New Roman"/>
        <family val="1"/>
        <charset val="186"/>
      </rPr>
      <t>.</t>
    </r>
  </si>
  <si>
    <r>
      <t xml:space="preserve">Pamatlīdzekļu amortizācija 5,31 </t>
    </r>
    <r>
      <rPr>
        <i/>
        <sz val="12"/>
        <color theme="1"/>
        <rFont val="Times New Roman"/>
        <family val="1"/>
        <charset val="186"/>
      </rPr>
      <t>euro</t>
    </r>
    <r>
      <rPr>
        <sz val="12"/>
        <color theme="1"/>
        <rFont val="Times New Roman"/>
        <family val="1"/>
        <charset val="186"/>
      </rPr>
      <t xml:space="preserve"> gadā * 0.056 (iznomātās platības koeficients) = 0,30 </t>
    </r>
    <r>
      <rPr>
        <i/>
        <sz val="12"/>
        <color theme="1"/>
        <rFont val="Times New Roman"/>
        <family val="1"/>
        <charset val="186"/>
      </rPr>
      <t>euro</t>
    </r>
    <r>
      <rPr>
        <sz val="12"/>
        <color theme="1"/>
        <rFont val="Times New Roman"/>
        <family val="1"/>
        <charset val="186"/>
      </rPr>
      <t>.</t>
    </r>
  </si>
  <si>
    <r>
      <t xml:space="preserve">Pamatlīdzekļu amortizācija 62,79 </t>
    </r>
    <r>
      <rPr>
        <i/>
        <sz val="12"/>
        <color theme="1"/>
        <rFont val="Times New Roman"/>
        <family val="1"/>
        <charset val="186"/>
      </rPr>
      <t>euro</t>
    </r>
    <r>
      <rPr>
        <sz val="12"/>
        <color theme="1"/>
        <rFont val="Times New Roman"/>
        <family val="1"/>
        <charset val="186"/>
      </rPr>
      <t xml:space="preserve"> gadā * 0.056 (iznomātās platības koeficients) = 3,52 </t>
    </r>
    <r>
      <rPr>
        <i/>
        <sz val="12"/>
        <color theme="1"/>
        <rFont val="Times New Roman"/>
        <family val="1"/>
        <charset val="186"/>
      </rPr>
      <t>euro</t>
    </r>
    <r>
      <rPr>
        <sz val="12"/>
        <color theme="1"/>
        <rFont val="Times New Roman"/>
        <family val="1"/>
        <charset val="186"/>
      </rPr>
      <t>.</t>
    </r>
  </si>
  <si>
    <r>
      <t xml:space="preserve">Pamatlīdzekļu amortizācija 1 430,41 </t>
    </r>
    <r>
      <rPr>
        <i/>
        <sz val="12"/>
        <color theme="1"/>
        <rFont val="Times New Roman"/>
        <family val="1"/>
        <charset val="186"/>
      </rPr>
      <t>euro</t>
    </r>
    <r>
      <rPr>
        <sz val="12"/>
        <color theme="1"/>
        <rFont val="Times New Roman"/>
        <family val="1"/>
        <charset val="186"/>
      </rPr>
      <t xml:space="preserve"> gadā * 0.056 (iznomātās platības koeficients) = 80,10 </t>
    </r>
    <r>
      <rPr>
        <i/>
        <sz val="12"/>
        <color theme="1"/>
        <rFont val="Times New Roman"/>
        <family val="1"/>
        <charset val="186"/>
      </rPr>
      <t>euro</t>
    </r>
    <r>
      <rPr>
        <sz val="12"/>
        <color theme="1"/>
        <rFont val="Times New Roman"/>
        <family val="1"/>
        <charset val="186"/>
      </rPr>
      <t>.</t>
    </r>
  </si>
  <si>
    <r>
      <t xml:space="preserve">Pamatlīdzekļu amortizācija 158,25 </t>
    </r>
    <r>
      <rPr>
        <i/>
        <sz val="12"/>
        <color theme="1"/>
        <rFont val="Times New Roman"/>
        <family val="1"/>
        <charset val="186"/>
      </rPr>
      <t>euro</t>
    </r>
    <r>
      <rPr>
        <sz val="12"/>
        <color theme="1"/>
        <rFont val="Times New Roman"/>
        <family val="1"/>
        <charset val="186"/>
      </rPr>
      <t xml:space="preserve"> gadā * 0.0813 (iznomātās platības koeficients) = 12,87 </t>
    </r>
    <r>
      <rPr>
        <i/>
        <sz val="12"/>
        <color theme="1"/>
        <rFont val="Times New Roman"/>
        <family val="1"/>
        <charset val="186"/>
      </rPr>
      <t>euro</t>
    </r>
    <r>
      <rPr>
        <sz val="12"/>
        <color theme="1"/>
        <rFont val="Times New Roman"/>
        <family val="1"/>
        <charset val="186"/>
      </rPr>
      <t>.</t>
    </r>
  </si>
  <si>
    <r>
      <t xml:space="preserve">Pamatlīdzekļu amortizācija 3 538,20 </t>
    </r>
    <r>
      <rPr>
        <i/>
        <sz val="12"/>
        <color theme="1"/>
        <rFont val="Times New Roman"/>
        <family val="1"/>
        <charset val="186"/>
      </rPr>
      <t>euro</t>
    </r>
    <r>
      <rPr>
        <sz val="12"/>
        <color theme="1"/>
        <rFont val="Times New Roman"/>
        <family val="1"/>
        <charset val="186"/>
      </rPr>
      <t xml:space="preserve"> gadā * 0.0813 (iznomātās platības koeficients) = 287,66 </t>
    </r>
    <r>
      <rPr>
        <i/>
        <sz val="12"/>
        <color theme="1"/>
        <rFont val="Times New Roman"/>
        <family val="1"/>
        <charset val="186"/>
      </rPr>
      <t>euro</t>
    </r>
    <r>
      <rPr>
        <sz val="12"/>
        <color theme="1"/>
        <rFont val="Times New Roman"/>
        <family val="1"/>
        <charset val="186"/>
      </rPr>
      <t>.</t>
    </r>
  </si>
  <si>
    <r>
      <t xml:space="preserve">Pamatlīdzekļu amortizācija 5 366,12 </t>
    </r>
    <r>
      <rPr>
        <i/>
        <sz val="12"/>
        <color theme="1"/>
        <rFont val="Times New Roman"/>
        <family val="1"/>
        <charset val="186"/>
      </rPr>
      <t>euro</t>
    </r>
    <r>
      <rPr>
        <sz val="12"/>
        <color theme="1"/>
        <rFont val="Times New Roman"/>
        <family val="1"/>
        <charset val="186"/>
      </rPr>
      <t xml:space="preserve"> gadā * 0.0813 (iznomātās platības koeficients) = 436,27 </t>
    </r>
    <r>
      <rPr>
        <i/>
        <sz val="12"/>
        <color theme="1"/>
        <rFont val="Times New Roman"/>
        <family val="1"/>
        <charset val="186"/>
      </rPr>
      <t>euro</t>
    </r>
    <r>
      <rPr>
        <sz val="12"/>
        <color theme="1"/>
        <rFont val="Times New Roman"/>
        <family val="1"/>
        <charset val="186"/>
      </rPr>
      <t>.</t>
    </r>
  </si>
  <si>
    <r>
      <t xml:space="preserve">Pamatlīdzekļu amortizācija 158,25 </t>
    </r>
    <r>
      <rPr>
        <i/>
        <sz val="12"/>
        <color theme="1"/>
        <rFont val="Times New Roman"/>
        <family val="1"/>
        <charset val="186"/>
      </rPr>
      <t>euro</t>
    </r>
    <r>
      <rPr>
        <sz val="12"/>
        <color theme="1"/>
        <rFont val="Times New Roman"/>
        <family val="1"/>
        <charset val="186"/>
      </rPr>
      <t xml:space="preserve"> gadā * 0.009 (iznomātās platības koeficients) = 1,42 </t>
    </r>
    <r>
      <rPr>
        <i/>
        <sz val="12"/>
        <color theme="1"/>
        <rFont val="Times New Roman"/>
        <family val="1"/>
        <charset val="186"/>
      </rPr>
      <t>euro</t>
    </r>
    <r>
      <rPr>
        <sz val="12"/>
        <color theme="1"/>
        <rFont val="Times New Roman"/>
        <family val="1"/>
        <charset val="186"/>
      </rPr>
      <t>.</t>
    </r>
  </si>
  <si>
    <r>
      <t xml:space="preserve">Pamatlīdzekļu amortizācija 3 538,20 </t>
    </r>
    <r>
      <rPr>
        <i/>
        <sz val="12"/>
        <color theme="1"/>
        <rFont val="Times New Roman"/>
        <family val="1"/>
        <charset val="186"/>
      </rPr>
      <t>euro</t>
    </r>
    <r>
      <rPr>
        <sz val="12"/>
        <color theme="1"/>
        <rFont val="Times New Roman"/>
        <family val="1"/>
        <charset val="186"/>
      </rPr>
      <t xml:space="preserve"> gadā * 0.009 (iznomātās platības koeficients) = 31,84 </t>
    </r>
    <r>
      <rPr>
        <i/>
        <sz val="12"/>
        <color theme="1"/>
        <rFont val="Times New Roman"/>
        <family val="1"/>
        <charset val="186"/>
      </rPr>
      <t>euro</t>
    </r>
    <r>
      <rPr>
        <sz val="12"/>
        <color theme="1"/>
        <rFont val="Times New Roman"/>
        <family val="1"/>
        <charset val="186"/>
      </rPr>
      <t>.</t>
    </r>
  </si>
  <si>
    <r>
      <t xml:space="preserve">Pamatlīdzekļu amortizācija 5 366,12 </t>
    </r>
    <r>
      <rPr>
        <i/>
        <sz val="12"/>
        <color theme="1"/>
        <rFont val="Times New Roman"/>
        <family val="1"/>
        <charset val="186"/>
      </rPr>
      <t>euro</t>
    </r>
    <r>
      <rPr>
        <sz val="12"/>
        <color theme="1"/>
        <rFont val="Times New Roman"/>
        <family val="1"/>
        <charset val="186"/>
      </rPr>
      <t xml:space="preserve"> gadā * 0.009 (iznomātās platības koeficients) = 48,30 </t>
    </r>
    <r>
      <rPr>
        <i/>
        <sz val="12"/>
        <color theme="1"/>
        <rFont val="Times New Roman"/>
        <family val="1"/>
        <charset val="186"/>
      </rPr>
      <t>euro</t>
    </r>
    <r>
      <rPr>
        <sz val="12"/>
        <color theme="1"/>
        <rFont val="Times New Roman"/>
        <family val="1"/>
        <charset val="186"/>
      </rPr>
      <t>.</t>
    </r>
  </si>
  <si>
    <r>
      <t xml:space="preserve">Ēku amortizācija 633,07 </t>
    </r>
    <r>
      <rPr>
        <i/>
        <sz val="12"/>
        <color theme="1"/>
        <rFont val="Times New Roman"/>
        <family val="1"/>
        <charset val="186"/>
      </rPr>
      <t>euro</t>
    </r>
    <r>
      <rPr>
        <sz val="12"/>
        <color theme="1"/>
        <rFont val="Times New Roman"/>
        <family val="1"/>
        <charset val="186"/>
      </rPr>
      <t xml:space="preserve"> gadā * 0.205 (iznomātās platības koeficients) = 129,78 </t>
    </r>
    <r>
      <rPr>
        <i/>
        <sz val="12"/>
        <color theme="1"/>
        <rFont val="Times New Roman"/>
        <family val="1"/>
        <charset val="186"/>
      </rPr>
      <t>euro</t>
    </r>
    <r>
      <rPr>
        <sz val="12"/>
        <color theme="1"/>
        <rFont val="Times New Roman"/>
        <family val="1"/>
        <charset val="186"/>
      </rPr>
      <t>.</t>
    </r>
  </si>
  <si>
    <r>
      <t xml:space="preserve">Pamatlīdzekļu amortizācija 452,66 </t>
    </r>
    <r>
      <rPr>
        <i/>
        <sz val="12"/>
        <color theme="1"/>
        <rFont val="Times New Roman"/>
        <family val="1"/>
        <charset val="186"/>
      </rPr>
      <t>euro</t>
    </r>
    <r>
      <rPr>
        <sz val="12"/>
        <color theme="1"/>
        <rFont val="Times New Roman"/>
        <family val="1"/>
        <charset val="186"/>
      </rPr>
      <t xml:space="preserve"> gadā * 0.205 (iznomātās platības koeficients) = 92,80 </t>
    </r>
    <r>
      <rPr>
        <i/>
        <sz val="12"/>
        <color theme="1"/>
        <rFont val="Times New Roman"/>
        <family val="1"/>
        <charset val="186"/>
      </rPr>
      <t>euro</t>
    </r>
    <r>
      <rPr>
        <sz val="12"/>
        <color theme="1"/>
        <rFont val="Times New Roman"/>
        <family val="1"/>
        <charset val="186"/>
      </rPr>
      <t>.</t>
    </r>
  </si>
  <si>
    <r>
      <t xml:space="preserve">Pamatlīdzekļu amortizācija 301,17 </t>
    </r>
    <r>
      <rPr>
        <i/>
        <sz val="12"/>
        <color theme="1"/>
        <rFont val="Times New Roman"/>
        <family val="1"/>
        <charset val="186"/>
      </rPr>
      <t>euro</t>
    </r>
    <r>
      <rPr>
        <sz val="12"/>
        <color theme="1"/>
        <rFont val="Times New Roman"/>
        <family val="1"/>
        <charset val="186"/>
      </rPr>
      <t xml:space="preserve"> gadā * 0.205 (iznomātās platības koeficients) = 61,74 </t>
    </r>
    <r>
      <rPr>
        <i/>
        <sz val="12"/>
        <color theme="1"/>
        <rFont val="Times New Roman"/>
        <family val="1"/>
        <charset val="186"/>
      </rPr>
      <t>euro</t>
    </r>
    <r>
      <rPr>
        <sz val="12"/>
        <color theme="1"/>
        <rFont val="Times New Roman"/>
        <family val="1"/>
        <charset val="186"/>
      </rPr>
      <t>.</t>
    </r>
  </si>
  <si>
    <r>
      <t xml:space="preserve">Pamatlīdzekļu amortizācija 382,77 </t>
    </r>
    <r>
      <rPr>
        <i/>
        <sz val="12"/>
        <color theme="1"/>
        <rFont val="Times New Roman"/>
        <family val="1"/>
        <charset val="186"/>
      </rPr>
      <t>euro</t>
    </r>
    <r>
      <rPr>
        <sz val="12"/>
        <color theme="1"/>
        <rFont val="Times New Roman"/>
        <family val="1"/>
        <charset val="186"/>
      </rPr>
      <t xml:space="preserve"> gadā * 0.205 (iznomātās platības koeficients) = 78,47 </t>
    </r>
    <r>
      <rPr>
        <i/>
        <sz val="12"/>
        <color theme="1"/>
        <rFont val="Times New Roman"/>
        <family val="1"/>
        <charset val="186"/>
      </rPr>
      <t>euro</t>
    </r>
    <r>
      <rPr>
        <sz val="12"/>
        <color theme="1"/>
        <rFont val="Times New Roman"/>
        <family val="1"/>
        <charset val="186"/>
      </rPr>
      <t>.</t>
    </r>
  </si>
  <si>
    <r>
      <t xml:space="preserve">Ēku amortizācija 633,07 </t>
    </r>
    <r>
      <rPr>
        <i/>
        <sz val="12"/>
        <color theme="1"/>
        <rFont val="Times New Roman"/>
        <family val="1"/>
        <charset val="186"/>
      </rPr>
      <t>euro</t>
    </r>
    <r>
      <rPr>
        <sz val="12"/>
        <color theme="1"/>
        <rFont val="Times New Roman"/>
        <family val="1"/>
        <charset val="186"/>
      </rPr>
      <t xml:space="preserve"> gadā * 0.794 (iznomātās platības koeficients) = 502,66 </t>
    </r>
    <r>
      <rPr>
        <i/>
        <sz val="12"/>
        <color theme="1"/>
        <rFont val="Times New Roman"/>
        <family val="1"/>
        <charset val="186"/>
      </rPr>
      <t>euro.</t>
    </r>
  </si>
  <si>
    <r>
      <t xml:space="preserve">Pamatlīdzekļu amortizācija 452,66 </t>
    </r>
    <r>
      <rPr>
        <i/>
        <sz val="12"/>
        <color theme="1"/>
        <rFont val="Times New Roman"/>
        <family val="1"/>
        <charset val="186"/>
      </rPr>
      <t>euro</t>
    </r>
    <r>
      <rPr>
        <sz val="12"/>
        <color theme="1"/>
        <rFont val="Times New Roman"/>
        <family val="1"/>
        <charset val="186"/>
      </rPr>
      <t xml:space="preserve"> gadā * 0.794 (iznomātās platības koeficients) = 359,41 </t>
    </r>
    <r>
      <rPr>
        <i/>
        <sz val="12"/>
        <color theme="1"/>
        <rFont val="Times New Roman"/>
        <family val="1"/>
        <charset val="186"/>
      </rPr>
      <t>euro.</t>
    </r>
  </si>
  <si>
    <r>
      <t xml:space="preserve">Pamatlīdzekļu amortizācija 301,17 </t>
    </r>
    <r>
      <rPr>
        <i/>
        <sz val="12"/>
        <color theme="1"/>
        <rFont val="Times New Roman"/>
        <family val="1"/>
        <charset val="186"/>
      </rPr>
      <t>euro</t>
    </r>
    <r>
      <rPr>
        <sz val="12"/>
        <color theme="1"/>
        <rFont val="Times New Roman"/>
        <family val="1"/>
        <charset val="186"/>
      </rPr>
      <t xml:space="preserve"> gadā * 0.794 (iznomātās platības koeficients) = 239,13 </t>
    </r>
    <r>
      <rPr>
        <i/>
        <sz val="12"/>
        <color theme="1"/>
        <rFont val="Times New Roman"/>
        <family val="1"/>
        <charset val="186"/>
      </rPr>
      <t>euro.</t>
    </r>
  </si>
  <si>
    <r>
      <t xml:space="preserve">Pamatlīdzekļu amortizācija 382,77 </t>
    </r>
    <r>
      <rPr>
        <i/>
        <sz val="12"/>
        <color theme="1"/>
        <rFont val="Times New Roman"/>
        <family val="1"/>
        <charset val="186"/>
      </rPr>
      <t>euro</t>
    </r>
    <r>
      <rPr>
        <sz val="12"/>
        <color theme="1"/>
        <rFont val="Times New Roman"/>
        <family val="1"/>
        <charset val="186"/>
      </rPr>
      <t xml:space="preserve"> gadā * 0.794 (iznomātās platības koeficients) = 303,92 </t>
    </r>
    <r>
      <rPr>
        <i/>
        <sz val="12"/>
        <color theme="1"/>
        <rFont val="Times New Roman"/>
        <family val="1"/>
        <charset val="186"/>
      </rPr>
      <t>euro.</t>
    </r>
  </si>
  <si>
    <r>
      <t xml:space="preserve">Pamatlīdzekļu amortizācija 158,25 </t>
    </r>
    <r>
      <rPr>
        <i/>
        <sz val="12"/>
        <color theme="1"/>
        <rFont val="Times New Roman"/>
        <family val="1"/>
        <charset val="186"/>
      </rPr>
      <t>euro</t>
    </r>
    <r>
      <rPr>
        <sz val="12"/>
        <color theme="1"/>
        <rFont val="Times New Roman"/>
        <family val="1"/>
        <charset val="186"/>
      </rPr>
      <t xml:space="preserve"> gadā * 0.051 (iznomātās platības koeficients) = 8,07 </t>
    </r>
    <r>
      <rPr>
        <i/>
        <sz val="12"/>
        <color theme="1"/>
        <rFont val="Times New Roman"/>
        <family val="1"/>
        <charset val="186"/>
      </rPr>
      <t>euro.</t>
    </r>
  </si>
  <si>
    <r>
      <t xml:space="preserve">Pamatlīdzekļu amortizācija 3 538,20 </t>
    </r>
    <r>
      <rPr>
        <i/>
        <sz val="12"/>
        <color theme="1"/>
        <rFont val="Times New Roman"/>
        <family val="1"/>
        <charset val="186"/>
      </rPr>
      <t>euro</t>
    </r>
    <r>
      <rPr>
        <sz val="12"/>
        <color theme="1"/>
        <rFont val="Times New Roman"/>
        <family val="1"/>
        <charset val="186"/>
      </rPr>
      <t xml:space="preserve"> gadā * 0.051 (iznomātās platības koeficients) = 180,45 </t>
    </r>
    <r>
      <rPr>
        <i/>
        <sz val="12"/>
        <color theme="1"/>
        <rFont val="Times New Roman"/>
        <family val="1"/>
        <charset val="186"/>
      </rPr>
      <t>euro</t>
    </r>
  </si>
  <si>
    <r>
      <t xml:space="preserve">Pamatlīdzekļu amortizācija 5 366,12 </t>
    </r>
    <r>
      <rPr>
        <i/>
        <sz val="12"/>
        <color theme="1"/>
        <rFont val="Times New Roman"/>
        <family val="1"/>
        <charset val="186"/>
      </rPr>
      <t>euro</t>
    </r>
    <r>
      <rPr>
        <sz val="12"/>
        <color theme="1"/>
        <rFont val="Times New Roman"/>
        <family val="1"/>
        <charset val="186"/>
      </rPr>
      <t xml:space="preserve"> gadā * 0.051 (iznomātās platības koeficients) = 273,67 </t>
    </r>
    <r>
      <rPr>
        <i/>
        <sz val="12"/>
        <color theme="1"/>
        <rFont val="Times New Roman"/>
        <family val="1"/>
        <charset val="186"/>
      </rPr>
      <t>euro</t>
    </r>
  </si>
  <si>
    <r>
      <t xml:space="preserve">Pamatlīdzekļu amortizācija 158,25 </t>
    </r>
    <r>
      <rPr>
        <i/>
        <sz val="12"/>
        <color theme="1"/>
        <rFont val="Times New Roman"/>
        <family val="1"/>
        <charset val="186"/>
      </rPr>
      <t>euro</t>
    </r>
    <r>
      <rPr>
        <sz val="12"/>
        <color theme="1"/>
        <rFont val="Times New Roman"/>
        <family val="1"/>
        <charset val="186"/>
      </rPr>
      <t xml:space="preserve"> gadā * 0.0085 (iznomātās platības koeficients) = 1,35 </t>
    </r>
    <r>
      <rPr>
        <i/>
        <sz val="12"/>
        <color theme="1"/>
        <rFont val="Times New Roman"/>
        <family val="1"/>
        <charset val="186"/>
      </rPr>
      <t>euro.</t>
    </r>
  </si>
  <si>
    <r>
      <t xml:space="preserve">Pamatlīdzekļu amortizācija 3 538,20 </t>
    </r>
    <r>
      <rPr>
        <i/>
        <sz val="12"/>
        <color theme="1"/>
        <rFont val="Times New Roman"/>
        <family val="1"/>
        <charset val="186"/>
      </rPr>
      <t>euro</t>
    </r>
    <r>
      <rPr>
        <sz val="12"/>
        <color theme="1"/>
        <rFont val="Times New Roman"/>
        <family val="1"/>
        <charset val="186"/>
      </rPr>
      <t xml:space="preserve"> gadā * 0.0085 (iznomātās platības koeficients) = 30,07 </t>
    </r>
    <r>
      <rPr>
        <i/>
        <sz val="12"/>
        <color theme="1"/>
        <rFont val="Times New Roman"/>
        <family val="1"/>
        <charset val="186"/>
      </rPr>
      <t>euro.</t>
    </r>
  </si>
  <si>
    <r>
      <t xml:space="preserve">Pamatlīdzekļu amortizācija 5 366,12 </t>
    </r>
    <r>
      <rPr>
        <i/>
        <sz val="12"/>
        <color theme="1"/>
        <rFont val="Times New Roman"/>
        <family val="1"/>
        <charset val="186"/>
      </rPr>
      <t>euro</t>
    </r>
    <r>
      <rPr>
        <sz val="12"/>
        <color theme="1"/>
        <rFont val="Times New Roman"/>
        <family val="1"/>
        <charset val="186"/>
      </rPr>
      <t xml:space="preserve"> gadā * 0.0085 (iznomātās platības koeficients) = 45,61 </t>
    </r>
    <r>
      <rPr>
        <i/>
        <sz val="12"/>
        <color theme="1"/>
        <rFont val="Times New Roman"/>
        <family val="1"/>
        <charset val="186"/>
      </rPr>
      <t>euro.</t>
    </r>
  </si>
  <si>
    <r>
      <t xml:space="preserve">Pamatlīdzekļu amortizācija 158,25 </t>
    </r>
    <r>
      <rPr>
        <i/>
        <sz val="12"/>
        <color theme="1"/>
        <rFont val="Times New Roman"/>
        <family val="1"/>
        <charset val="186"/>
      </rPr>
      <t>euro</t>
    </r>
    <r>
      <rPr>
        <sz val="12"/>
        <color theme="1"/>
        <rFont val="Times New Roman"/>
        <family val="1"/>
        <charset val="186"/>
      </rPr>
      <t xml:space="preserve"> gadā * 0.0263 (iznomātās platības koeficients) = 4,16 </t>
    </r>
    <r>
      <rPr>
        <i/>
        <sz val="12"/>
        <color theme="1"/>
        <rFont val="Times New Roman"/>
        <family val="1"/>
        <charset val="186"/>
      </rPr>
      <t>euro.</t>
    </r>
  </si>
  <si>
    <r>
      <t xml:space="preserve">Pamatlīdzekļu amortizācija 3 538,20 </t>
    </r>
    <r>
      <rPr>
        <i/>
        <sz val="12"/>
        <color theme="1"/>
        <rFont val="Times New Roman"/>
        <family val="1"/>
        <charset val="186"/>
      </rPr>
      <t>euro</t>
    </r>
    <r>
      <rPr>
        <sz val="12"/>
        <color theme="1"/>
        <rFont val="Times New Roman"/>
        <family val="1"/>
        <charset val="186"/>
      </rPr>
      <t xml:space="preserve"> gadā * 0.0263 (iznomātās platības koeficients) = 93,05 </t>
    </r>
    <r>
      <rPr>
        <i/>
        <sz val="12"/>
        <color theme="1"/>
        <rFont val="Times New Roman"/>
        <family val="1"/>
        <charset val="186"/>
      </rPr>
      <t>euro</t>
    </r>
    <r>
      <rPr>
        <sz val="12"/>
        <color theme="1"/>
        <rFont val="Times New Roman"/>
        <family val="1"/>
        <charset val="186"/>
      </rPr>
      <t>.</t>
    </r>
  </si>
  <si>
    <r>
      <t xml:space="preserve">Pamatlīdzekļu amortizācija 5 366,12 </t>
    </r>
    <r>
      <rPr>
        <i/>
        <sz val="12"/>
        <color theme="1"/>
        <rFont val="Times New Roman"/>
        <family val="1"/>
        <charset val="186"/>
      </rPr>
      <t>euro</t>
    </r>
    <r>
      <rPr>
        <sz val="12"/>
        <color theme="1"/>
        <rFont val="Times New Roman"/>
        <family val="1"/>
        <charset val="186"/>
      </rPr>
      <t xml:space="preserve"> gadā * 0.0263 (iznomātās platības koeficients) = 141,13 </t>
    </r>
    <r>
      <rPr>
        <i/>
        <sz val="12"/>
        <color theme="1"/>
        <rFont val="Times New Roman"/>
        <family val="1"/>
        <charset val="186"/>
      </rPr>
      <t>euro</t>
    </r>
    <r>
      <rPr>
        <sz val="12"/>
        <color theme="1"/>
        <rFont val="Times New Roman"/>
        <family val="1"/>
        <charset val="186"/>
      </rPr>
      <t>.</t>
    </r>
  </si>
  <si>
    <r>
      <t xml:space="preserve">Pamatlīdzekļu amortizācija 158,25 </t>
    </r>
    <r>
      <rPr>
        <i/>
        <sz val="12"/>
        <color theme="1"/>
        <rFont val="Times New Roman"/>
        <family val="1"/>
        <charset val="186"/>
      </rPr>
      <t>euro</t>
    </r>
    <r>
      <rPr>
        <sz val="12"/>
        <color theme="1"/>
        <rFont val="Times New Roman"/>
        <family val="1"/>
        <charset val="186"/>
      </rPr>
      <t xml:space="preserve"> gadā * 0.3646 (iznomātās platības koeficients) = 57,70 </t>
    </r>
    <r>
      <rPr>
        <i/>
        <sz val="12"/>
        <color theme="1"/>
        <rFont val="Times New Roman"/>
        <family val="1"/>
        <charset val="186"/>
      </rPr>
      <t>euro</t>
    </r>
    <r>
      <rPr>
        <sz val="12"/>
        <color theme="1"/>
        <rFont val="Times New Roman"/>
        <family val="1"/>
        <charset val="186"/>
      </rPr>
      <t>.</t>
    </r>
  </si>
  <si>
    <r>
      <t xml:space="preserve">Pamatlīdzekļu amortizācija 3 538,20 </t>
    </r>
    <r>
      <rPr>
        <i/>
        <sz val="12"/>
        <color theme="1"/>
        <rFont val="Times New Roman"/>
        <family val="1"/>
        <charset val="186"/>
      </rPr>
      <t>euro</t>
    </r>
    <r>
      <rPr>
        <sz val="12"/>
        <color theme="1"/>
        <rFont val="Times New Roman"/>
        <family val="1"/>
        <charset val="186"/>
      </rPr>
      <t xml:space="preserve"> gadā * 0.3646 (iznomātās platības koeficients) = 1 290,03 </t>
    </r>
    <r>
      <rPr>
        <i/>
        <sz val="12"/>
        <color theme="1"/>
        <rFont val="Times New Roman"/>
        <family val="1"/>
        <charset val="186"/>
      </rPr>
      <t>euro.</t>
    </r>
  </si>
  <si>
    <r>
      <t xml:space="preserve">Pamatlīdzekļu amortizācija 5 366,12 </t>
    </r>
    <r>
      <rPr>
        <i/>
        <sz val="12"/>
        <color theme="1"/>
        <rFont val="Times New Roman"/>
        <family val="1"/>
        <charset val="186"/>
      </rPr>
      <t>euro</t>
    </r>
    <r>
      <rPr>
        <sz val="12"/>
        <color theme="1"/>
        <rFont val="Times New Roman"/>
        <family val="1"/>
        <charset val="186"/>
      </rPr>
      <t xml:space="preserve"> gadā * 0.3646 (iznomātās platības koeficients) = 1 956,49 </t>
    </r>
    <r>
      <rPr>
        <i/>
        <sz val="12"/>
        <color theme="1"/>
        <rFont val="Times New Roman"/>
        <family val="1"/>
        <charset val="186"/>
      </rPr>
      <t>euro</t>
    </r>
    <r>
      <rPr>
        <sz val="12"/>
        <color theme="1"/>
        <rFont val="Times New Roman"/>
        <family val="1"/>
        <charset val="186"/>
      </rPr>
      <t>.</t>
    </r>
  </si>
  <si>
    <r>
      <t xml:space="preserve">Pamatlīdzekļu amortizācija 158,25 </t>
    </r>
    <r>
      <rPr>
        <i/>
        <sz val="12"/>
        <color theme="1"/>
        <rFont val="Times New Roman"/>
        <family val="1"/>
        <charset val="186"/>
      </rPr>
      <t>euro</t>
    </r>
    <r>
      <rPr>
        <sz val="12"/>
        <color theme="1"/>
        <rFont val="Times New Roman"/>
        <family val="1"/>
        <charset val="186"/>
      </rPr>
      <t xml:space="preserve"> gadā * 0.0553 (iznomātās platības koeficients) = 8,75 </t>
    </r>
    <r>
      <rPr>
        <i/>
        <sz val="12"/>
        <color theme="1"/>
        <rFont val="Times New Roman"/>
        <family val="1"/>
        <charset val="186"/>
      </rPr>
      <t>euro</t>
    </r>
    <r>
      <rPr>
        <sz val="12"/>
        <color theme="1"/>
        <rFont val="Times New Roman"/>
        <family val="1"/>
        <charset val="186"/>
      </rPr>
      <t>.</t>
    </r>
  </si>
  <si>
    <r>
      <t xml:space="preserve">Pamatlīdzekļu amortizācija 3 538,20 </t>
    </r>
    <r>
      <rPr>
        <i/>
        <sz val="12"/>
        <color theme="1"/>
        <rFont val="Times New Roman"/>
        <family val="1"/>
        <charset val="186"/>
      </rPr>
      <t>euro</t>
    </r>
    <r>
      <rPr>
        <sz val="12"/>
        <color theme="1"/>
        <rFont val="Times New Roman"/>
        <family val="1"/>
        <charset val="186"/>
      </rPr>
      <t xml:space="preserve"> gadā * 0.0553 (iznomātās platības koeficients) = 195,66 </t>
    </r>
    <r>
      <rPr>
        <i/>
        <sz val="12"/>
        <color theme="1"/>
        <rFont val="Times New Roman"/>
        <family val="1"/>
        <charset val="186"/>
      </rPr>
      <t>euro</t>
    </r>
    <r>
      <rPr>
        <sz val="12"/>
        <color theme="1"/>
        <rFont val="Times New Roman"/>
        <family val="1"/>
        <charset val="186"/>
      </rPr>
      <t>.</t>
    </r>
  </si>
  <si>
    <r>
      <t xml:space="preserve">Pamatlīdzekļu amortizācija 5 366,12 </t>
    </r>
    <r>
      <rPr>
        <i/>
        <sz val="12"/>
        <color theme="1"/>
        <rFont val="Times New Roman"/>
        <family val="1"/>
        <charset val="186"/>
      </rPr>
      <t>euro</t>
    </r>
    <r>
      <rPr>
        <sz val="12"/>
        <color theme="1"/>
        <rFont val="Times New Roman"/>
        <family val="1"/>
        <charset val="186"/>
      </rPr>
      <t xml:space="preserve"> gadā * 0.0553 (iznomātās platības koeficients) = 296,75 </t>
    </r>
    <r>
      <rPr>
        <i/>
        <sz val="12"/>
        <color theme="1"/>
        <rFont val="Times New Roman"/>
        <family val="1"/>
        <charset val="186"/>
      </rPr>
      <t>euro</t>
    </r>
    <r>
      <rPr>
        <sz val="12"/>
        <color theme="1"/>
        <rFont val="Times New Roman"/>
        <family val="1"/>
        <charset val="186"/>
      </rPr>
      <t>.</t>
    </r>
  </si>
  <si>
    <r>
      <t xml:space="preserve">Pamatlīdzekļu amortizācija 158,25 </t>
    </r>
    <r>
      <rPr>
        <i/>
        <sz val="12"/>
        <color theme="1"/>
        <rFont val="Times New Roman"/>
        <family val="1"/>
        <charset val="186"/>
      </rPr>
      <t>euro</t>
    </r>
    <r>
      <rPr>
        <sz val="12"/>
        <color theme="1"/>
        <rFont val="Times New Roman"/>
        <family val="1"/>
        <charset val="186"/>
      </rPr>
      <t xml:space="preserve"> gadā * 0.033 (pakalpojuma īpatsvars kopējos ēkā sniegtajos maksas pakalpojumos) = 5,22 </t>
    </r>
    <r>
      <rPr>
        <i/>
        <sz val="12"/>
        <color theme="1"/>
        <rFont val="Times New Roman"/>
        <family val="1"/>
        <charset val="186"/>
      </rPr>
      <t>euro</t>
    </r>
    <r>
      <rPr>
        <sz val="12"/>
        <color theme="1"/>
        <rFont val="Times New Roman"/>
        <family val="1"/>
        <charset val="186"/>
      </rPr>
      <t>.</t>
    </r>
  </si>
  <si>
    <r>
      <t xml:space="preserve">Pamatlīdzekļu amortizācija 3 538,20 </t>
    </r>
    <r>
      <rPr>
        <i/>
        <sz val="12"/>
        <color theme="1"/>
        <rFont val="Times New Roman"/>
        <family val="1"/>
        <charset val="186"/>
      </rPr>
      <t>euro</t>
    </r>
    <r>
      <rPr>
        <sz val="12"/>
        <color theme="1"/>
        <rFont val="Times New Roman"/>
        <family val="1"/>
        <charset val="186"/>
      </rPr>
      <t xml:space="preserve"> gadā * 0.033 (pakalpojuma īpatsvars kopējos ēkā sniegtajos maksas pakalpojumos) = 116,76 </t>
    </r>
    <r>
      <rPr>
        <i/>
        <sz val="12"/>
        <color theme="1"/>
        <rFont val="Times New Roman"/>
        <family val="1"/>
        <charset val="186"/>
      </rPr>
      <t>euro.</t>
    </r>
  </si>
  <si>
    <r>
      <t xml:space="preserve">Pamatlīdzekļu amortizācija 5 366,12 </t>
    </r>
    <r>
      <rPr>
        <i/>
        <sz val="12"/>
        <color theme="1"/>
        <rFont val="Times New Roman"/>
        <family val="1"/>
        <charset val="186"/>
      </rPr>
      <t>euro</t>
    </r>
    <r>
      <rPr>
        <sz val="12"/>
        <color theme="1"/>
        <rFont val="Times New Roman"/>
        <family val="1"/>
        <charset val="186"/>
      </rPr>
      <t xml:space="preserve"> gadā * 0.033 (pakalpojuma īpatsvars kopējos ēkā sniegtajos maksas pakalpojumos) = 177,08 </t>
    </r>
    <r>
      <rPr>
        <i/>
        <sz val="12"/>
        <color theme="1"/>
        <rFont val="Times New Roman"/>
        <family val="1"/>
        <charset val="186"/>
      </rPr>
      <t>euro.</t>
    </r>
  </si>
  <si>
    <r>
      <t xml:space="preserve">Pamatlīdzekļu amortizācija 158,25 </t>
    </r>
    <r>
      <rPr>
        <i/>
        <sz val="12"/>
        <color theme="1"/>
        <rFont val="Times New Roman"/>
        <family val="1"/>
        <charset val="186"/>
      </rPr>
      <t>euro</t>
    </r>
    <r>
      <rPr>
        <sz val="12"/>
        <color theme="1"/>
        <rFont val="Times New Roman"/>
        <family val="1"/>
        <charset val="186"/>
      </rPr>
      <t xml:space="preserve"> gadā * 0.0164 (iznomātās platības koeficients) = 2,60 </t>
    </r>
    <r>
      <rPr>
        <i/>
        <sz val="12"/>
        <color theme="1"/>
        <rFont val="Times New Roman"/>
        <family val="1"/>
        <charset val="186"/>
      </rPr>
      <t>euro.</t>
    </r>
  </si>
  <si>
    <r>
      <t xml:space="preserve">Pamatlīdzekļu amortizācija 3 538,20 </t>
    </r>
    <r>
      <rPr>
        <i/>
        <sz val="12"/>
        <color theme="1"/>
        <rFont val="Times New Roman"/>
        <family val="1"/>
        <charset val="186"/>
      </rPr>
      <t>euro</t>
    </r>
    <r>
      <rPr>
        <sz val="12"/>
        <color theme="1"/>
        <rFont val="Times New Roman"/>
        <family val="1"/>
        <charset val="186"/>
      </rPr>
      <t xml:space="preserve"> gadā * 0.0164 (iznomātās platības koeficients) = 58,03 </t>
    </r>
    <r>
      <rPr>
        <i/>
        <sz val="12"/>
        <color theme="1"/>
        <rFont val="Times New Roman"/>
        <family val="1"/>
        <charset val="186"/>
      </rPr>
      <t>euro.</t>
    </r>
  </si>
  <si>
    <t>Pamatlīdzekļu amortizācija 5 366,12 euro gadā * 0.0164 (iznomātās platības koeficients) = 88,00 euro</t>
  </si>
  <si>
    <r>
      <t xml:space="preserve">Pamatlīdzekļu amortizācija 158,25 </t>
    </r>
    <r>
      <rPr>
        <i/>
        <sz val="12"/>
        <color theme="1"/>
        <rFont val="Times New Roman"/>
        <family val="1"/>
        <charset val="186"/>
      </rPr>
      <t>euro</t>
    </r>
    <r>
      <rPr>
        <sz val="12"/>
        <color theme="1"/>
        <rFont val="Times New Roman"/>
        <family val="1"/>
        <charset val="186"/>
      </rPr>
      <t xml:space="preserve"> gadā * 0.072 (iznomātās platības koeficients) = 11,39 </t>
    </r>
    <r>
      <rPr>
        <i/>
        <sz val="12"/>
        <color theme="1"/>
        <rFont val="Times New Roman"/>
        <family val="1"/>
        <charset val="186"/>
      </rPr>
      <t>euro</t>
    </r>
    <r>
      <rPr>
        <sz val="12"/>
        <color theme="1"/>
        <rFont val="Times New Roman"/>
        <family val="1"/>
        <charset val="186"/>
      </rPr>
      <t>.</t>
    </r>
  </si>
  <si>
    <r>
      <t xml:space="preserve">Pamatlīdzekļu amortizācija 3 538,20 </t>
    </r>
    <r>
      <rPr>
        <i/>
        <sz val="12"/>
        <color theme="1"/>
        <rFont val="Times New Roman"/>
        <family val="1"/>
        <charset val="186"/>
      </rPr>
      <t>euro</t>
    </r>
    <r>
      <rPr>
        <sz val="12"/>
        <color theme="1"/>
        <rFont val="Times New Roman"/>
        <family val="1"/>
        <charset val="186"/>
      </rPr>
      <t xml:space="preserve"> gadā * 0.072 (iznomātās platības koeficients) = 254,75 </t>
    </r>
    <r>
      <rPr>
        <i/>
        <sz val="12"/>
        <color theme="1"/>
        <rFont val="Times New Roman"/>
        <family val="1"/>
        <charset val="186"/>
      </rPr>
      <t>euro</t>
    </r>
    <r>
      <rPr>
        <sz val="12"/>
        <color theme="1"/>
        <rFont val="Times New Roman"/>
        <family val="1"/>
        <charset val="186"/>
      </rPr>
      <t>.</t>
    </r>
  </si>
  <si>
    <r>
      <t xml:space="preserve">Pamatlīdzekļu amortizācija 5 366,12 </t>
    </r>
    <r>
      <rPr>
        <i/>
        <sz val="12"/>
        <color theme="1"/>
        <rFont val="Times New Roman"/>
        <family val="1"/>
        <charset val="186"/>
      </rPr>
      <t>euro</t>
    </r>
    <r>
      <rPr>
        <sz val="12"/>
        <color theme="1"/>
        <rFont val="Times New Roman"/>
        <family val="1"/>
        <charset val="186"/>
      </rPr>
      <t xml:space="preserve"> gadā * 0.072 (iznomātās platības koeficients) = 386,36 </t>
    </r>
    <r>
      <rPr>
        <i/>
        <sz val="12"/>
        <color theme="1"/>
        <rFont val="Times New Roman"/>
        <family val="1"/>
        <charset val="186"/>
      </rPr>
      <t>euro</t>
    </r>
    <r>
      <rPr>
        <sz val="12"/>
        <color theme="1"/>
        <rFont val="Times New Roman"/>
        <family val="1"/>
        <charset val="186"/>
      </rPr>
      <t>.</t>
    </r>
  </si>
  <si>
    <r>
      <t xml:space="preserve">Pamatlīdzekļu amortizācija 158,25 </t>
    </r>
    <r>
      <rPr>
        <i/>
        <sz val="12"/>
        <color theme="1"/>
        <rFont val="Times New Roman"/>
        <family val="1"/>
        <charset val="186"/>
      </rPr>
      <t>euro</t>
    </r>
    <r>
      <rPr>
        <sz val="12"/>
        <color theme="1"/>
        <rFont val="Times New Roman"/>
        <family val="1"/>
        <charset val="186"/>
      </rPr>
      <t xml:space="preserve"> gadā * 0.0115 (iznomātās platības koeficients) = 1,82 </t>
    </r>
    <r>
      <rPr>
        <i/>
        <sz val="12"/>
        <color theme="1"/>
        <rFont val="Times New Roman"/>
        <family val="1"/>
        <charset val="186"/>
      </rPr>
      <t>euro.</t>
    </r>
  </si>
  <si>
    <r>
      <t xml:space="preserve">Pamatlīdzekļu amortizācija 3 538,20 </t>
    </r>
    <r>
      <rPr>
        <i/>
        <sz val="12"/>
        <color theme="1"/>
        <rFont val="Times New Roman"/>
        <family val="1"/>
        <charset val="186"/>
      </rPr>
      <t>euro</t>
    </r>
    <r>
      <rPr>
        <sz val="12"/>
        <color theme="1"/>
        <rFont val="Times New Roman"/>
        <family val="1"/>
        <charset val="186"/>
      </rPr>
      <t xml:space="preserve"> gadā * 0.0115 (iznomātās platības koeficients) = 40,69 </t>
    </r>
    <r>
      <rPr>
        <i/>
        <sz val="12"/>
        <color theme="1"/>
        <rFont val="Times New Roman"/>
        <family val="1"/>
        <charset val="186"/>
      </rPr>
      <t>euro.</t>
    </r>
  </si>
  <si>
    <r>
      <t xml:space="preserve">Pamatlīdzekļu amortizācija 5 366,12 </t>
    </r>
    <r>
      <rPr>
        <i/>
        <sz val="12"/>
        <color theme="1"/>
        <rFont val="Times New Roman"/>
        <family val="1"/>
        <charset val="186"/>
      </rPr>
      <t>euro</t>
    </r>
    <r>
      <rPr>
        <sz val="12"/>
        <color theme="1"/>
        <rFont val="Times New Roman"/>
        <family val="1"/>
        <charset val="186"/>
      </rPr>
      <t xml:space="preserve"> gadā * 0.0115 (iznomātās platības koeficients) = 61,71 </t>
    </r>
    <r>
      <rPr>
        <i/>
        <sz val="12"/>
        <color theme="1"/>
        <rFont val="Times New Roman"/>
        <family val="1"/>
        <charset val="186"/>
      </rPr>
      <t>euro.</t>
    </r>
  </si>
  <si>
    <r>
      <t xml:space="preserve">Pamatlīdzekļu amortizācija 158,25 </t>
    </r>
    <r>
      <rPr>
        <i/>
        <sz val="12"/>
        <color theme="1"/>
        <rFont val="Times New Roman"/>
        <family val="1"/>
        <charset val="186"/>
      </rPr>
      <t>euro</t>
    </r>
    <r>
      <rPr>
        <sz val="12"/>
        <color theme="1"/>
        <rFont val="Times New Roman"/>
        <family val="1"/>
        <charset val="186"/>
      </rPr>
      <t xml:space="preserve"> gadā * 0.0217 (iznomātās platības koeficients) = 3,43 </t>
    </r>
    <r>
      <rPr>
        <i/>
        <sz val="12"/>
        <color theme="1"/>
        <rFont val="Times New Roman"/>
        <family val="1"/>
        <charset val="186"/>
      </rPr>
      <t>euro.</t>
    </r>
  </si>
  <si>
    <r>
      <t xml:space="preserve">Pamatlīdzekļu amortizācija 3 538,20 </t>
    </r>
    <r>
      <rPr>
        <i/>
        <sz val="12"/>
        <color theme="1"/>
        <rFont val="Times New Roman"/>
        <family val="1"/>
        <charset val="186"/>
      </rPr>
      <t>euro</t>
    </r>
    <r>
      <rPr>
        <sz val="12"/>
        <color theme="1"/>
        <rFont val="Times New Roman"/>
        <family val="1"/>
        <charset val="186"/>
      </rPr>
      <t xml:space="preserve"> gadā * 0.0217 (iznomātās platības koeficients) = 76,78 </t>
    </r>
    <r>
      <rPr>
        <i/>
        <sz val="12"/>
        <color theme="1"/>
        <rFont val="Times New Roman"/>
        <family val="1"/>
        <charset val="186"/>
      </rPr>
      <t>euro.</t>
    </r>
  </si>
  <si>
    <r>
      <t xml:space="preserve">Pamatlīdzekļu amortizācija 5 366,12 </t>
    </r>
    <r>
      <rPr>
        <i/>
        <sz val="12"/>
        <color theme="1"/>
        <rFont val="Times New Roman"/>
        <family val="1"/>
        <charset val="186"/>
      </rPr>
      <t>euro</t>
    </r>
    <r>
      <rPr>
        <sz val="12"/>
        <color theme="1"/>
        <rFont val="Times New Roman"/>
        <family val="1"/>
        <charset val="186"/>
      </rPr>
      <t xml:space="preserve"> gadā * 0.0217 (iznomātās platības koeficients) = 116,44 </t>
    </r>
    <r>
      <rPr>
        <i/>
        <sz val="12"/>
        <color theme="1"/>
        <rFont val="Times New Roman"/>
        <family val="1"/>
        <charset val="186"/>
      </rPr>
      <t>euro.</t>
    </r>
  </si>
  <si>
    <r>
      <t xml:space="preserve">Pamatlīdzekļu amortizācija 158,25 </t>
    </r>
    <r>
      <rPr>
        <i/>
        <sz val="12"/>
        <color theme="1"/>
        <rFont val="Times New Roman"/>
        <family val="1"/>
        <charset val="186"/>
      </rPr>
      <t>euro</t>
    </r>
    <r>
      <rPr>
        <sz val="12"/>
        <color theme="1"/>
        <rFont val="Times New Roman"/>
        <family val="1"/>
        <charset val="186"/>
      </rPr>
      <t xml:space="preserve"> gadā * 0.0562 (iznomātās platības koeficients) = 8,89 </t>
    </r>
    <r>
      <rPr>
        <i/>
        <sz val="12"/>
        <color theme="1"/>
        <rFont val="Times New Roman"/>
        <family val="1"/>
        <charset val="186"/>
      </rPr>
      <t>euro.</t>
    </r>
  </si>
  <si>
    <r>
      <t xml:space="preserve">Pamatlīdzekļu amortizācija 3 538,20 </t>
    </r>
    <r>
      <rPr>
        <i/>
        <sz val="12"/>
        <color theme="1"/>
        <rFont val="Times New Roman"/>
        <family val="1"/>
        <charset val="186"/>
      </rPr>
      <t>euro</t>
    </r>
    <r>
      <rPr>
        <sz val="12"/>
        <color theme="1"/>
        <rFont val="Times New Roman"/>
        <family val="1"/>
        <charset val="186"/>
      </rPr>
      <t xml:space="preserve"> gadā * 0.0562 (iznomātās platības koeficients) = 198,85 </t>
    </r>
    <r>
      <rPr>
        <i/>
        <sz val="12"/>
        <color theme="1"/>
        <rFont val="Times New Roman"/>
        <family val="1"/>
        <charset val="186"/>
      </rPr>
      <t>euro.</t>
    </r>
  </si>
  <si>
    <r>
      <t xml:space="preserve">Pamatlīdzekļu amortizācija 5 366,12 </t>
    </r>
    <r>
      <rPr>
        <i/>
        <sz val="12"/>
        <color theme="1"/>
        <rFont val="Times New Roman"/>
        <family val="1"/>
        <charset val="186"/>
      </rPr>
      <t>euro</t>
    </r>
    <r>
      <rPr>
        <sz val="12"/>
        <color theme="1"/>
        <rFont val="Times New Roman"/>
        <family val="1"/>
        <charset val="186"/>
      </rPr>
      <t xml:space="preserve"> gadā * 0.0562 (iznomātās platības koeficients) = 301,58 </t>
    </r>
    <r>
      <rPr>
        <i/>
        <sz val="12"/>
        <color theme="1"/>
        <rFont val="Times New Roman"/>
        <family val="1"/>
        <charset val="186"/>
      </rPr>
      <t>euro.</t>
    </r>
  </si>
  <si>
    <r>
      <t xml:space="preserve">Pamatlīdzekļu amortizācija 158,25 </t>
    </r>
    <r>
      <rPr>
        <i/>
        <sz val="12"/>
        <color theme="1"/>
        <rFont val="Times New Roman"/>
        <family val="1"/>
        <charset val="186"/>
      </rPr>
      <t>euro</t>
    </r>
    <r>
      <rPr>
        <sz val="12"/>
        <color theme="1"/>
        <rFont val="Times New Roman"/>
        <family val="1"/>
        <charset val="186"/>
      </rPr>
      <t xml:space="preserve"> gadā * 0.159 (iznomātās platības koeficients) = 25,16 </t>
    </r>
    <r>
      <rPr>
        <i/>
        <sz val="12"/>
        <color theme="1"/>
        <rFont val="Times New Roman"/>
        <family val="1"/>
        <charset val="186"/>
      </rPr>
      <t>euro.</t>
    </r>
  </si>
  <si>
    <r>
      <t xml:space="preserve">Pamatlīdzekļu amortizācija 3 538,20 </t>
    </r>
    <r>
      <rPr>
        <i/>
        <sz val="12"/>
        <color theme="1"/>
        <rFont val="Times New Roman"/>
        <family val="1"/>
        <charset val="186"/>
      </rPr>
      <t>euro</t>
    </r>
    <r>
      <rPr>
        <sz val="12"/>
        <color theme="1"/>
        <rFont val="Times New Roman"/>
        <family val="1"/>
        <charset val="186"/>
      </rPr>
      <t xml:space="preserve"> gadā * 0.159 (iznomātās platības koeficients) = 562,57 </t>
    </r>
    <r>
      <rPr>
        <i/>
        <sz val="12"/>
        <color theme="1"/>
        <rFont val="Times New Roman"/>
        <family val="1"/>
        <charset val="186"/>
      </rPr>
      <t>euro.</t>
    </r>
  </si>
  <si>
    <r>
      <t xml:space="preserve">Pamatlīdzekļu amortizācija 5 366,12 </t>
    </r>
    <r>
      <rPr>
        <i/>
        <sz val="12"/>
        <color theme="1"/>
        <rFont val="Times New Roman"/>
        <family val="1"/>
        <charset val="186"/>
      </rPr>
      <t>euro</t>
    </r>
    <r>
      <rPr>
        <sz val="12"/>
        <color theme="1"/>
        <rFont val="Times New Roman"/>
        <family val="1"/>
        <charset val="186"/>
      </rPr>
      <t xml:space="preserve"> gadā * 0.159 (iznomātās platības koeficients) = 853,21 </t>
    </r>
    <r>
      <rPr>
        <i/>
        <sz val="12"/>
        <color theme="1"/>
        <rFont val="Times New Roman"/>
        <family val="1"/>
        <charset val="186"/>
      </rPr>
      <t>euro.</t>
    </r>
  </si>
  <si>
    <r>
      <t xml:space="preserve">Pamatlīdzekļu amortizācija 158,25 </t>
    </r>
    <r>
      <rPr>
        <i/>
        <sz val="12"/>
        <color theme="1"/>
        <rFont val="Times New Roman"/>
        <family val="1"/>
        <charset val="186"/>
      </rPr>
      <t>euro</t>
    </r>
    <r>
      <rPr>
        <sz val="12"/>
        <color theme="1"/>
        <rFont val="Times New Roman"/>
        <family val="1"/>
        <charset val="186"/>
      </rPr>
      <t xml:space="preserve"> gadā * 0.0342 (iznomātās platības koeficients) = 5,41 </t>
    </r>
    <r>
      <rPr>
        <i/>
        <sz val="12"/>
        <color theme="1"/>
        <rFont val="Times New Roman"/>
        <family val="1"/>
        <charset val="186"/>
      </rPr>
      <t>euro.</t>
    </r>
  </si>
  <si>
    <r>
      <t xml:space="preserve">Pamatlīdzekļu amortizācija 3 538,20 </t>
    </r>
    <r>
      <rPr>
        <i/>
        <sz val="12"/>
        <color theme="1"/>
        <rFont val="Times New Roman"/>
        <family val="1"/>
        <charset val="186"/>
      </rPr>
      <t>euro</t>
    </r>
    <r>
      <rPr>
        <sz val="12"/>
        <color theme="1"/>
        <rFont val="Times New Roman"/>
        <family val="1"/>
        <charset val="186"/>
      </rPr>
      <t xml:space="preserve"> gadā * 0.0342 (iznomātās platības koeficients) = 121,01 </t>
    </r>
    <r>
      <rPr>
        <i/>
        <sz val="12"/>
        <color theme="1"/>
        <rFont val="Times New Roman"/>
        <family val="1"/>
        <charset val="186"/>
      </rPr>
      <t>euro.</t>
    </r>
  </si>
  <si>
    <r>
      <t xml:space="preserve">Pamatlīdzekļu amortizācija 5 366,12 </t>
    </r>
    <r>
      <rPr>
        <i/>
        <sz val="12"/>
        <color theme="1"/>
        <rFont val="Times New Roman"/>
        <family val="1"/>
        <charset val="186"/>
      </rPr>
      <t>euro</t>
    </r>
    <r>
      <rPr>
        <sz val="12"/>
        <color theme="1"/>
        <rFont val="Times New Roman"/>
        <family val="1"/>
        <charset val="186"/>
      </rPr>
      <t xml:space="preserve"> gadā * 0.0342 (iznomātās platības koeficients) = 183,52 </t>
    </r>
    <r>
      <rPr>
        <i/>
        <sz val="12"/>
        <color theme="1"/>
        <rFont val="Times New Roman"/>
        <family val="1"/>
        <charset val="186"/>
      </rPr>
      <t>euro.</t>
    </r>
  </si>
  <si>
    <r>
      <t xml:space="preserve">Pamatlīdzekļu amortizācija 158,25 </t>
    </r>
    <r>
      <rPr>
        <i/>
        <sz val="12"/>
        <color theme="1"/>
        <rFont val="Times New Roman"/>
        <family val="1"/>
        <charset val="186"/>
      </rPr>
      <t>euro</t>
    </r>
    <r>
      <rPr>
        <sz val="12"/>
        <color theme="1"/>
        <rFont val="Times New Roman"/>
        <family val="1"/>
        <charset val="186"/>
      </rPr>
      <t xml:space="preserve"> gadā * 0.0012 (iznomātās platības koeficients) = 0,19 </t>
    </r>
    <r>
      <rPr>
        <i/>
        <sz val="12"/>
        <color theme="1"/>
        <rFont val="Times New Roman"/>
        <family val="1"/>
        <charset val="186"/>
      </rPr>
      <t>euro.</t>
    </r>
  </si>
  <si>
    <r>
      <t xml:space="preserve">Pamatlīdzekļu amortizācija 3 538,20 </t>
    </r>
    <r>
      <rPr>
        <i/>
        <sz val="12"/>
        <color theme="1"/>
        <rFont val="Times New Roman"/>
        <family val="1"/>
        <charset val="186"/>
      </rPr>
      <t>euro</t>
    </r>
    <r>
      <rPr>
        <sz val="12"/>
        <color theme="1"/>
        <rFont val="Times New Roman"/>
        <family val="1"/>
        <charset val="186"/>
      </rPr>
      <t xml:space="preserve"> gadā * 0.0012 (iznomātās platības koeficients) = 4,25 </t>
    </r>
    <r>
      <rPr>
        <i/>
        <sz val="12"/>
        <color theme="1"/>
        <rFont val="Times New Roman"/>
        <family val="1"/>
        <charset val="186"/>
      </rPr>
      <t>euro</t>
    </r>
    <r>
      <rPr>
        <sz val="12"/>
        <color theme="1"/>
        <rFont val="Times New Roman"/>
        <family val="1"/>
        <charset val="186"/>
      </rPr>
      <t>.</t>
    </r>
  </si>
  <si>
    <r>
      <t xml:space="preserve">Pamatlīdzekļu amortizācija 5 366,12 </t>
    </r>
    <r>
      <rPr>
        <i/>
        <sz val="12"/>
        <color theme="1"/>
        <rFont val="Times New Roman"/>
        <family val="1"/>
        <charset val="186"/>
      </rPr>
      <t>euro</t>
    </r>
    <r>
      <rPr>
        <sz val="12"/>
        <color theme="1"/>
        <rFont val="Times New Roman"/>
        <family val="1"/>
        <charset val="186"/>
      </rPr>
      <t xml:space="preserve"> gadā * 0.0012 (iznomātās platības koeficients) = 6,44 </t>
    </r>
    <r>
      <rPr>
        <i/>
        <sz val="12"/>
        <color theme="1"/>
        <rFont val="Times New Roman"/>
        <family val="1"/>
        <charset val="186"/>
      </rPr>
      <t>euro.</t>
    </r>
  </si>
  <si>
    <r>
      <t xml:space="preserve">Ēku amortizācija 19 086,29 </t>
    </r>
    <r>
      <rPr>
        <i/>
        <sz val="12"/>
        <color theme="1"/>
        <rFont val="Times New Roman"/>
        <family val="1"/>
        <charset val="186"/>
      </rPr>
      <t>euro</t>
    </r>
    <r>
      <rPr>
        <sz val="12"/>
        <color theme="1"/>
        <rFont val="Times New Roman"/>
        <family val="1"/>
        <charset val="186"/>
      </rPr>
      <t xml:space="preserve"> gadā * 0.0087 (iznomātās platības koeficients) = 166,05 </t>
    </r>
    <r>
      <rPr>
        <i/>
        <sz val="12"/>
        <color theme="1"/>
        <rFont val="Times New Roman"/>
        <family val="1"/>
        <charset val="186"/>
      </rPr>
      <t>euro.</t>
    </r>
  </si>
  <si>
    <r>
      <t xml:space="preserve">Pamatlīdzekļu amortizācija 4 441,97 </t>
    </r>
    <r>
      <rPr>
        <i/>
        <sz val="12"/>
        <color theme="1"/>
        <rFont val="Times New Roman"/>
        <family val="1"/>
        <charset val="186"/>
      </rPr>
      <t>euro</t>
    </r>
    <r>
      <rPr>
        <sz val="12"/>
        <color theme="1"/>
        <rFont val="Times New Roman"/>
        <family val="1"/>
        <charset val="186"/>
      </rPr>
      <t xml:space="preserve"> gadā * 0.0087 (iznomātās platības koeficients) = 38,65 </t>
    </r>
    <r>
      <rPr>
        <i/>
        <sz val="12"/>
        <color theme="1"/>
        <rFont val="Times New Roman"/>
        <family val="1"/>
        <charset val="186"/>
      </rPr>
      <t>euro.</t>
    </r>
  </si>
  <si>
    <r>
      <t xml:space="preserve">Pamatlīdzekļu amortizācija 5 051,93 </t>
    </r>
    <r>
      <rPr>
        <i/>
        <sz val="12"/>
        <color theme="1"/>
        <rFont val="Times New Roman"/>
        <family val="1"/>
        <charset val="186"/>
      </rPr>
      <t>euro</t>
    </r>
    <r>
      <rPr>
        <sz val="12"/>
        <color theme="1"/>
        <rFont val="Times New Roman"/>
        <family val="1"/>
        <charset val="186"/>
      </rPr>
      <t xml:space="preserve"> gadā * 0.0087 (iznomātās platības koeficients) = 43,95 </t>
    </r>
    <r>
      <rPr>
        <i/>
        <sz val="12"/>
        <color theme="1"/>
        <rFont val="Times New Roman"/>
        <family val="1"/>
        <charset val="186"/>
      </rPr>
      <t>euro.</t>
    </r>
  </si>
  <si>
    <r>
      <t xml:space="preserve">Pamatlīdzekļu amortizācija 4 441,97 </t>
    </r>
    <r>
      <rPr>
        <i/>
        <sz val="12"/>
        <color theme="1"/>
        <rFont val="Times New Roman"/>
        <family val="1"/>
        <charset val="186"/>
      </rPr>
      <t>euro</t>
    </r>
    <r>
      <rPr>
        <sz val="12"/>
        <color theme="1"/>
        <rFont val="Times New Roman"/>
        <family val="1"/>
        <charset val="186"/>
      </rPr>
      <t xml:space="preserve"> gadā * 0.0155  (iznomātās platības koeficients) = 68,85 </t>
    </r>
    <r>
      <rPr>
        <i/>
        <sz val="12"/>
        <color theme="1"/>
        <rFont val="Times New Roman"/>
        <family val="1"/>
        <charset val="186"/>
      </rPr>
      <t>euro.</t>
    </r>
  </si>
  <si>
    <r>
      <t xml:space="preserve">Pamatlīdzekļu amortizācija 5 051,93 </t>
    </r>
    <r>
      <rPr>
        <i/>
        <sz val="12"/>
        <color theme="1"/>
        <rFont val="Times New Roman"/>
        <family val="1"/>
        <charset val="186"/>
      </rPr>
      <t>euro</t>
    </r>
    <r>
      <rPr>
        <sz val="12"/>
        <color theme="1"/>
        <rFont val="Times New Roman"/>
        <family val="1"/>
        <charset val="186"/>
      </rPr>
      <t xml:space="preserve"> gadā * 0.0155 (iznomātās platības koeficients) = 78,30 </t>
    </r>
    <r>
      <rPr>
        <i/>
        <sz val="12"/>
        <color theme="1"/>
        <rFont val="Times New Roman"/>
        <family val="1"/>
        <charset val="186"/>
      </rPr>
      <t>euro</t>
    </r>
    <r>
      <rPr>
        <sz val="12"/>
        <color theme="1"/>
        <rFont val="Times New Roman"/>
        <family val="1"/>
        <charset val="186"/>
      </rPr>
      <t>.</t>
    </r>
  </si>
  <si>
    <r>
      <t xml:space="preserve">Pamatlīdzekļu amortizācija 4 441,97 </t>
    </r>
    <r>
      <rPr>
        <i/>
        <sz val="12"/>
        <color theme="1"/>
        <rFont val="Times New Roman"/>
        <family val="1"/>
        <charset val="186"/>
      </rPr>
      <t>euro</t>
    </r>
    <r>
      <rPr>
        <sz val="12"/>
        <color theme="1"/>
        <rFont val="Times New Roman"/>
        <family val="1"/>
        <charset val="186"/>
      </rPr>
      <t xml:space="preserve"> gadā * 0.0107 (iznomātās platības koeficients) = 47,53 </t>
    </r>
    <r>
      <rPr>
        <i/>
        <sz val="12"/>
        <color theme="1"/>
        <rFont val="Times New Roman"/>
        <family val="1"/>
        <charset val="186"/>
      </rPr>
      <t>euro</t>
    </r>
    <r>
      <rPr>
        <sz val="12"/>
        <color theme="1"/>
        <rFont val="Times New Roman"/>
        <family val="1"/>
        <charset val="186"/>
      </rPr>
      <t>.</t>
    </r>
  </si>
  <si>
    <r>
      <t xml:space="preserve">Pamatlīdzekļu amortizācija 5 051,93 </t>
    </r>
    <r>
      <rPr>
        <i/>
        <sz val="12"/>
        <color theme="1"/>
        <rFont val="Times New Roman"/>
        <family val="1"/>
        <charset val="186"/>
      </rPr>
      <t>euro</t>
    </r>
    <r>
      <rPr>
        <sz val="12"/>
        <color theme="1"/>
        <rFont val="Times New Roman"/>
        <family val="1"/>
        <charset val="186"/>
      </rPr>
      <t xml:space="preserve"> gadā * 0.0107 (iznomātās platības koeficients) = 54,06 </t>
    </r>
    <r>
      <rPr>
        <i/>
        <sz val="12"/>
        <color theme="1"/>
        <rFont val="Times New Roman"/>
        <family val="1"/>
        <charset val="186"/>
      </rPr>
      <t>euro</t>
    </r>
    <r>
      <rPr>
        <sz val="12"/>
        <color theme="1"/>
        <rFont val="Times New Roman"/>
        <family val="1"/>
        <charset val="186"/>
      </rPr>
      <t>.</t>
    </r>
  </si>
  <si>
    <r>
      <t xml:space="preserve">Pamatlīdzekļu amortizācija 4 441,97 </t>
    </r>
    <r>
      <rPr>
        <i/>
        <sz val="12"/>
        <color theme="1"/>
        <rFont val="Times New Roman"/>
        <family val="1"/>
        <charset val="186"/>
      </rPr>
      <t>euro</t>
    </r>
    <r>
      <rPr>
        <sz val="12"/>
        <color theme="1"/>
        <rFont val="Times New Roman"/>
        <family val="1"/>
        <charset val="186"/>
      </rPr>
      <t xml:space="preserve"> gadā * 0.4169 (iznomātās platības koeficients) = 1 851,86 </t>
    </r>
    <r>
      <rPr>
        <i/>
        <sz val="12"/>
        <color theme="1"/>
        <rFont val="Times New Roman"/>
        <family val="1"/>
        <charset val="186"/>
      </rPr>
      <t>euro</t>
    </r>
    <r>
      <rPr>
        <sz val="12"/>
        <color theme="1"/>
        <rFont val="Times New Roman"/>
        <family val="1"/>
        <charset val="186"/>
      </rPr>
      <t>.</t>
    </r>
  </si>
  <si>
    <r>
      <t xml:space="preserve">Pamatlīdzekļu amortizācija 5 051,93 </t>
    </r>
    <r>
      <rPr>
        <i/>
        <sz val="12"/>
        <color theme="1"/>
        <rFont val="Times New Roman"/>
        <family val="1"/>
        <charset val="186"/>
      </rPr>
      <t>euro</t>
    </r>
    <r>
      <rPr>
        <sz val="12"/>
        <color theme="1"/>
        <rFont val="Times New Roman"/>
        <family val="1"/>
        <charset val="186"/>
      </rPr>
      <t xml:space="preserve"> gadā * 0.4169 (iznomātās platības koeficients) = 2 106,15 </t>
    </r>
    <r>
      <rPr>
        <i/>
        <sz val="12"/>
        <color theme="1"/>
        <rFont val="Times New Roman"/>
        <family val="1"/>
        <charset val="186"/>
      </rPr>
      <t>euro</t>
    </r>
    <r>
      <rPr>
        <sz val="12"/>
        <color theme="1"/>
        <rFont val="Times New Roman"/>
        <family val="1"/>
        <charset val="186"/>
      </rPr>
      <t>.</t>
    </r>
  </si>
  <si>
    <r>
      <t xml:space="preserve">Pamatlīdzekļu amortizācija 4 441,97 </t>
    </r>
    <r>
      <rPr>
        <i/>
        <sz val="12"/>
        <color theme="1"/>
        <rFont val="Times New Roman"/>
        <family val="1"/>
        <charset val="186"/>
      </rPr>
      <t>euro</t>
    </r>
    <r>
      <rPr>
        <sz val="12"/>
        <color theme="1"/>
        <rFont val="Times New Roman"/>
        <family val="1"/>
        <charset val="186"/>
      </rPr>
      <t xml:space="preserve"> gadā * 0.05073 (iznomātās platības koeficients) = 225,34 </t>
    </r>
    <r>
      <rPr>
        <i/>
        <sz val="12"/>
        <color theme="1"/>
        <rFont val="Times New Roman"/>
        <family val="1"/>
        <charset val="186"/>
      </rPr>
      <t>euro.</t>
    </r>
  </si>
  <si>
    <r>
      <t xml:space="preserve">Pamatlīdzekļu amortizācija 5 051,93 </t>
    </r>
    <r>
      <rPr>
        <i/>
        <sz val="12"/>
        <color theme="1"/>
        <rFont val="Times New Roman"/>
        <family val="1"/>
        <charset val="186"/>
      </rPr>
      <t>euro</t>
    </r>
    <r>
      <rPr>
        <sz val="12"/>
        <color theme="1"/>
        <rFont val="Times New Roman"/>
        <family val="1"/>
        <charset val="186"/>
      </rPr>
      <t xml:space="preserve"> gadā * 0.05073 (iznomātās platības koeficients) = 256,28 </t>
    </r>
    <r>
      <rPr>
        <i/>
        <sz val="12"/>
        <color theme="1"/>
        <rFont val="Times New Roman"/>
        <family val="1"/>
        <charset val="186"/>
      </rPr>
      <t>euro</t>
    </r>
    <r>
      <rPr>
        <sz val="12"/>
        <color theme="1"/>
        <rFont val="Times New Roman"/>
        <family val="1"/>
        <charset val="186"/>
      </rPr>
      <t>.</t>
    </r>
  </si>
  <si>
    <r>
      <t xml:space="preserve">Pamatlīdzekļu amortizācija 4 441,97 </t>
    </r>
    <r>
      <rPr>
        <i/>
        <sz val="12"/>
        <color theme="1"/>
        <rFont val="Times New Roman"/>
        <family val="1"/>
        <charset val="186"/>
      </rPr>
      <t>euro</t>
    </r>
    <r>
      <rPr>
        <sz val="12"/>
        <color theme="1"/>
        <rFont val="Times New Roman"/>
        <family val="1"/>
        <charset val="186"/>
      </rPr>
      <t xml:space="preserve"> gadā * 0.2444 (iznomātās platības koeficients) = 1 085,62 </t>
    </r>
    <r>
      <rPr>
        <i/>
        <sz val="12"/>
        <color theme="1"/>
        <rFont val="Times New Roman"/>
        <family val="1"/>
        <charset val="186"/>
      </rPr>
      <t>euro.</t>
    </r>
  </si>
  <si>
    <r>
      <t xml:space="preserve">Pamatlīdzekļu amortizācija 5 501,93 </t>
    </r>
    <r>
      <rPr>
        <i/>
        <sz val="12"/>
        <color theme="1"/>
        <rFont val="Times New Roman"/>
        <family val="1"/>
        <charset val="186"/>
      </rPr>
      <t>euro</t>
    </r>
    <r>
      <rPr>
        <sz val="12"/>
        <color theme="1"/>
        <rFont val="Times New Roman"/>
        <family val="1"/>
        <charset val="186"/>
      </rPr>
      <t xml:space="preserve"> gadā * 0.2444 (iznomātās platības koeficients) = 1 234,69 </t>
    </r>
    <r>
      <rPr>
        <i/>
        <sz val="12"/>
        <color theme="1"/>
        <rFont val="Times New Roman"/>
        <family val="1"/>
        <charset val="186"/>
      </rPr>
      <t>euro</t>
    </r>
    <r>
      <rPr>
        <sz val="12"/>
        <color theme="1"/>
        <rFont val="Times New Roman"/>
        <family val="1"/>
        <charset val="186"/>
      </rPr>
      <t>.</t>
    </r>
  </si>
  <si>
    <r>
      <t xml:space="preserve">Pamatlīdzekļu amortizācija 4 441,97 </t>
    </r>
    <r>
      <rPr>
        <i/>
        <sz val="12"/>
        <color theme="1"/>
        <rFont val="Times New Roman"/>
        <family val="1"/>
        <charset val="186"/>
      </rPr>
      <t>euro</t>
    </r>
    <r>
      <rPr>
        <sz val="12"/>
        <color theme="1"/>
        <rFont val="Times New Roman"/>
        <family val="1"/>
        <charset val="186"/>
      </rPr>
      <t xml:space="preserve"> gadā * 0.0026 (iznomātās platības koeficients) = 11,55 </t>
    </r>
    <r>
      <rPr>
        <i/>
        <sz val="12"/>
        <color theme="1"/>
        <rFont val="Times New Roman"/>
        <family val="1"/>
        <charset val="186"/>
      </rPr>
      <t>euro</t>
    </r>
    <r>
      <rPr>
        <sz val="12"/>
        <color theme="1"/>
        <rFont val="Times New Roman"/>
        <family val="1"/>
        <charset val="186"/>
      </rPr>
      <t>.</t>
    </r>
  </si>
  <si>
    <r>
      <t xml:space="preserve">Pamatlīdzekļu amortizācija 5 051,93 </t>
    </r>
    <r>
      <rPr>
        <i/>
        <sz val="12"/>
        <color theme="1"/>
        <rFont val="Times New Roman"/>
        <family val="1"/>
        <charset val="186"/>
      </rPr>
      <t>euro</t>
    </r>
    <r>
      <rPr>
        <sz val="12"/>
        <color theme="1"/>
        <rFont val="Times New Roman"/>
        <family val="1"/>
        <charset val="186"/>
      </rPr>
      <t xml:space="preserve"> gadā * 0.0026 (iznomātās platības koeficients) = 13,14 </t>
    </r>
    <r>
      <rPr>
        <i/>
        <sz val="12"/>
        <color theme="1"/>
        <rFont val="Times New Roman"/>
        <family val="1"/>
        <charset val="186"/>
      </rPr>
      <t>euro</t>
    </r>
    <r>
      <rPr>
        <sz val="12"/>
        <color theme="1"/>
        <rFont val="Times New Roman"/>
        <family val="1"/>
        <charset val="186"/>
      </rPr>
      <t>.</t>
    </r>
  </si>
  <si>
    <r>
      <t xml:space="preserve">Pamatlīdzekļu amortizācija 4 441,97 </t>
    </r>
    <r>
      <rPr>
        <i/>
        <sz val="12"/>
        <color theme="1"/>
        <rFont val="Times New Roman"/>
        <family val="1"/>
        <charset val="186"/>
      </rPr>
      <t>euro</t>
    </r>
    <r>
      <rPr>
        <sz val="12"/>
        <color theme="1"/>
        <rFont val="Times New Roman"/>
        <family val="1"/>
        <charset val="186"/>
      </rPr>
      <t xml:space="preserve"> gadā * 0.0117 (iznomātās platības koeficients) = 51,97 </t>
    </r>
    <r>
      <rPr>
        <i/>
        <sz val="12"/>
        <color theme="1"/>
        <rFont val="Times New Roman"/>
        <family val="1"/>
        <charset val="186"/>
      </rPr>
      <t>euro</t>
    </r>
    <r>
      <rPr>
        <sz val="12"/>
        <color theme="1"/>
        <rFont val="Times New Roman"/>
        <family val="1"/>
        <charset val="186"/>
      </rPr>
      <t>.</t>
    </r>
  </si>
  <si>
    <r>
      <t xml:space="preserve">Pamatlīdzekļu amortizācija 5 051,93 </t>
    </r>
    <r>
      <rPr>
        <i/>
        <sz val="12"/>
        <color theme="1"/>
        <rFont val="Times New Roman"/>
        <family val="1"/>
        <charset val="186"/>
      </rPr>
      <t>euro</t>
    </r>
    <r>
      <rPr>
        <sz val="12"/>
        <color theme="1"/>
        <rFont val="Times New Roman"/>
        <family val="1"/>
        <charset val="186"/>
      </rPr>
      <t xml:space="preserve"> gadā * 0.0117 (iznomātās platības koeficients) = 59,11 </t>
    </r>
    <r>
      <rPr>
        <i/>
        <sz val="12"/>
        <color theme="1"/>
        <rFont val="Times New Roman"/>
        <family val="1"/>
        <charset val="186"/>
      </rPr>
      <t>euro</t>
    </r>
    <r>
      <rPr>
        <sz val="12"/>
        <color theme="1"/>
        <rFont val="Times New Roman"/>
        <family val="1"/>
        <charset val="186"/>
      </rPr>
      <t>.</t>
    </r>
  </si>
  <si>
    <r>
      <t xml:space="preserve">Pamatlīdzekļu amortizācija 4 441,97 </t>
    </r>
    <r>
      <rPr>
        <i/>
        <sz val="12"/>
        <color theme="1"/>
        <rFont val="Times New Roman"/>
        <family val="1"/>
        <charset val="186"/>
      </rPr>
      <t>euro</t>
    </r>
    <r>
      <rPr>
        <sz val="12"/>
        <color theme="1"/>
        <rFont val="Times New Roman"/>
        <family val="1"/>
        <charset val="186"/>
      </rPr>
      <t xml:space="preserve"> gadā * 0.2415 (iznomātās platības koeficients) = 1 072,74 </t>
    </r>
    <r>
      <rPr>
        <i/>
        <sz val="12"/>
        <color theme="1"/>
        <rFont val="Times New Roman"/>
        <family val="1"/>
        <charset val="186"/>
      </rPr>
      <t>euro</t>
    </r>
    <r>
      <rPr>
        <sz val="12"/>
        <color theme="1"/>
        <rFont val="Times New Roman"/>
        <family val="1"/>
        <charset val="186"/>
      </rPr>
      <t>.</t>
    </r>
  </si>
  <si>
    <r>
      <t xml:space="preserve">Pamatlīdzekļu amortizācija 5 051,93 </t>
    </r>
    <r>
      <rPr>
        <i/>
        <sz val="12"/>
        <color theme="1"/>
        <rFont val="Times New Roman"/>
        <family val="1"/>
        <charset val="186"/>
      </rPr>
      <t>euro</t>
    </r>
    <r>
      <rPr>
        <sz val="12"/>
        <color theme="1"/>
        <rFont val="Times New Roman"/>
        <family val="1"/>
        <charset val="186"/>
      </rPr>
      <t xml:space="preserve"> gadā * 0.2415 (iznomātās platības koeficients) = 1 220,04 </t>
    </r>
    <r>
      <rPr>
        <i/>
        <sz val="12"/>
        <color theme="1"/>
        <rFont val="Times New Roman"/>
        <family val="1"/>
        <charset val="186"/>
      </rPr>
      <t>euro</t>
    </r>
    <r>
      <rPr>
        <sz val="12"/>
        <color theme="1"/>
        <rFont val="Times New Roman"/>
        <family val="1"/>
        <charset val="186"/>
      </rPr>
      <t>.</t>
    </r>
  </si>
  <si>
    <r>
      <t xml:space="preserve">Ēku amortizācija 633,07 </t>
    </r>
    <r>
      <rPr>
        <i/>
        <sz val="12"/>
        <color theme="1"/>
        <rFont val="Times New Roman"/>
        <family val="1"/>
        <charset val="186"/>
      </rPr>
      <t>euro</t>
    </r>
    <r>
      <rPr>
        <sz val="12"/>
        <color theme="1"/>
        <rFont val="Times New Roman"/>
        <family val="1"/>
        <charset val="186"/>
      </rPr>
      <t xml:space="preserve"> gadā * 0.6049 (iznomātās platības koeficients) = 382,94 </t>
    </r>
    <r>
      <rPr>
        <i/>
        <sz val="12"/>
        <color theme="1"/>
        <rFont val="Times New Roman"/>
        <family val="1"/>
        <charset val="186"/>
      </rPr>
      <t>euro</t>
    </r>
    <r>
      <rPr>
        <sz val="12"/>
        <color theme="1"/>
        <rFont val="Times New Roman"/>
        <family val="1"/>
        <charset val="186"/>
      </rPr>
      <t>.</t>
    </r>
  </si>
  <si>
    <r>
      <t xml:space="preserve">Pamatlīdzekļu amortizācija 452,66 </t>
    </r>
    <r>
      <rPr>
        <i/>
        <sz val="12"/>
        <color theme="1"/>
        <rFont val="Times New Roman"/>
        <family val="1"/>
        <charset val="186"/>
      </rPr>
      <t>euro</t>
    </r>
    <r>
      <rPr>
        <sz val="12"/>
        <color theme="1"/>
        <rFont val="Times New Roman"/>
        <family val="1"/>
        <charset val="186"/>
      </rPr>
      <t xml:space="preserve"> gadā * 0.6049 (iznomātās platības koeficients) = 273,81 </t>
    </r>
    <r>
      <rPr>
        <i/>
        <sz val="12"/>
        <color theme="1"/>
        <rFont val="Times New Roman"/>
        <family val="1"/>
        <charset val="186"/>
      </rPr>
      <t>euro</t>
    </r>
    <r>
      <rPr>
        <sz val="12"/>
        <color theme="1"/>
        <rFont val="Times New Roman"/>
        <family val="1"/>
        <charset val="186"/>
      </rPr>
      <t>.</t>
    </r>
  </si>
  <si>
    <r>
      <t xml:space="preserve">Pamatlīdzekļu amortizācija 301,17 </t>
    </r>
    <r>
      <rPr>
        <i/>
        <sz val="12"/>
        <color theme="1"/>
        <rFont val="Times New Roman"/>
        <family val="1"/>
        <charset val="186"/>
      </rPr>
      <t>euro</t>
    </r>
    <r>
      <rPr>
        <sz val="12"/>
        <color theme="1"/>
        <rFont val="Times New Roman"/>
        <family val="1"/>
        <charset val="186"/>
      </rPr>
      <t xml:space="preserve"> gadā * 0.6049 (iznomātās platības koeficients) = 182,18 </t>
    </r>
    <r>
      <rPr>
        <i/>
        <sz val="12"/>
        <color theme="1"/>
        <rFont val="Times New Roman"/>
        <family val="1"/>
        <charset val="186"/>
      </rPr>
      <t>euro</t>
    </r>
    <r>
      <rPr>
        <sz val="12"/>
        <color theme="1"/>
        <rFont val="Times New Roman"/>
        <family val="1"/>
        <charset val="186"/>
      </rPr>
      <t>.</t>
    </r>
  </si>
  <si>
    <r>
      <t xml:space="preserve">Pamatlīdzekļu amortizācija 382,77 </t>
    </r>
    <r>
      <rPr>
        <i/>
        <sz val="12"/>
        <color theme="1"/>
        <rFont val="Times New Roman"/>
        <family val="1"/>
        <charset val="186"/>
      </rPr>
      <t>euro</t>
    </r>
    <r>
      <rPr>
        <sz val="12"/>
        <color theme="1"/>
        <rFont val="Times New Roman"/>
        <family val="1"/>
        <charset val="186"/>
      </rPr>
      <t xml:space="preserve"> gadā * 0.6049 (iznomātās platības koeficients) = 231,54 </t>
    </r>
    <r>
      <rPr>
        <i/>
        <sz val="12"/>
        <color theme="1"/>
        <rFont val="Times New Roman"/>
        <family val="1"/>
        <charset val="186"/>
      </rPr>
      <t>euro</t>
    </r>
    <r>
      <rPr>
        <sz val="12"/>
        <color theme="1"/>
        <rFont val="Times New Roman"/>
        <family val="1"/>
        <charset val="186"/>
      </rPr>
      <t>.</t>
    </r>
  </si>
  <si>
    <r>
      <t xml:space="preserve">Ēku amortizācija 633,07 </t>
    </r>
    <r>
      <rPr>
        <i/>
        <sz val="12"/>
        <color theme="1"/>
        <rFont val="Times New Roman"/>
        <family val="1"/>
        <charset val="186"/>
      </rPr>
      <t>euro</t>
    </r>
    <r>
      <rPr>
        <sz val="12"/>
        <color theme="1"/>
        <rFont val="Times New Roman"/>
        <family val="1"/>
        <charset val="186"/>
      </rPr>
      <t xml:space="preserve"> gadā * 0.3951 (iznomātās platības koeficients) = 250,13 </t>
    </r>
    <r>
      <rPr>
        <i/>
        <sz val="12"/>
        <color theme="1"/>
        <rFont val="Times New Roman"/>
        <family val="1"/>
        <charset val="186"/>
      </rPr>
      <t>euro.</t>
    </r>
  </si>
  <si>
    <r>
      <t xml:space="preserve">Pamatlīdzekļu amortizācija 452,66 </t>
    </r>
    <r>
      <rPr>
        <i/>
        <sz val="12"/>
        <color theme="1"/>
        <rFont val="Times New Roman"/>
        <family val="1"/>
        <charset val="186"/>
      </rPr>
      <t>euro</t>
    </r>
    <r>
      <rPr>
        <sz val="12"/>
        <color theme="1"/>
        <rFont val="Times New Roman"/>
        <family val="1"/>
        <charset val="186"/>
      </rPr>
      <t xml:space="preserve"> gadā * 0.3951 (iznomātās platības koeficients) = 178,85 </t>
    </r>
    <r>
      <rPr>
        <i/>
        <sz val="12"/>
        <color theme="1"/>
        <rFont val="Times New Roman"/>
        <family val="1"/>
        <charset val="186"/>
      </rPr>
      <t>euro</t>
    </r>
    <r>
      <rPr>
        <sz val="12"/>
        <color theme="1"/>
        <rFont val="Times New Roman"/>
        <family val="1"/>
        <charset val="186"/>
      </rPr>
      <t>.</t>
    </r>
  </si>
  <si>
    <r>
      <t xml:space="preserve">Pamatlīdzekļu amortizācija 301,17 </t>
    </r>
    <r>
      <rPr>
        <i/>
        <sz val="12"/>
        <color theme="1"/>
        <rFont val="Times New Roman"/>
        <family val="1"/>
        <charset val="186"/>
      </rPr>
      <t>euro</t>
    </r>
    <r>
      <rPr>
        <sz val="12"/>
        <color theme="1"/>
        <rFont val="Times New Roman"/>
        <family val="1"/>
        <charset val="186"/>
      </rPr>
      <t xml:space="preserve"> gadā * 0.3951 (iznomātās platības koeficients) = 118,99 </t>
    </r>
    <r>
      <rPr>
        <i/>
        <sz val="12"/>
        <color theme="1"/>
        <rFont val="Times New Roman"/>
        <family val="1"/>
        <charset val="186"/>
      </rPr>
      <t>euro</t>
    </r>
    <r>
      <rPr>
        <sz val="12"/>
        <color theme="1"/>
        <rFont val="Times New Roman"/>
        <family val="1"/>
        <charset val="186"/>
      </rPr>
      <t>.</t>
    </r>
  </si>
  <si>
    <r>
      <t xml:space="preserve">Pamatlīdzekļu amortizācija 382,77 </t>
    </r>
    <r>
      <rPr>
        <i/>
        <sz val="12"/>
        <color theme="1"/>
        <rFont val="Times New Roman"/>
        <family val="1"/>
        <charset val="186"/>
      </rPr>
      <t>euro</t>
    </r>
    <r>
      <rPr>
        <sz val="12"/>
        <color theme="1"/>
        <rFont val="Times New Roman"/>
        <family val="1"/>
        <charset val="186"/>
      </rPr>
      <t xml:space="preserve"> gadā * 0.3951 (iznomātās platības koeficients) = 151,23 euro.</t>
    </r>
  </si>
  <si>
    <r>
      <t xml:space="preserve">Ēku amortizācija 7 651,82 </t>
    </r>
    <r>
      <rPr>
        <i/>
        <sz val="12"/>
        <color theme="1"/>
        <rFont val="Times New Roman"/>
        <family val="1"/>
        <charset val="186"/>
      </rPr>
      <t>euro</t>
    </r>
    <r>
      <rPr>
        <sz val="12"/>
        <color theme="1"/>
        <rFont val="Times New Roman"/>
        <family val="1"/>
        <charset val="186"/>
      </rPr>
      <t xml:space="preserve"> gadā * 0.0813 (iznomātās platības koeficients) = 622,09 </t>
    </r>
    <r>
      <rPr>
        <i/>
        <sz val="12"/>
        <color theme="1"/>
        <rFont val="Times New Roman"/>
        <family val="1"/>
        <charset val="186"/>
      </rPr>
      <t>euro</t>
    </r>
    <r>
      <rPr>
        <sz val="12"/>
        <color theme="1"/>
        <rFont val="Times New Roman"/>
        <family val="1"/>
        <charset val="186"/>
      </rPr>
      <t>.</t>
    </r>
  </si>
  <si>
    <r>
      <t xml:space="preserve">Ēku amortizācija 7 651,82 </t>
    </r>
    <r>
      <rPr>
        <i/>
        <sz val="12"/>
        <color theme="1"/>
        <rFont val="Times New Roman"/>
        <family val="1"/>
        <charset val="186"/>
      </rPr>
      <t>euro</t>
    </r>
    <r>
      <rPr>
        <sz val="12"/>
        <color theme="1"/>
        <rFont val="Times New Roman"/>
        <family val="1"/>
        <charset val="186"/>
      </rPr>
      <t xml:space="preserve"> gadā * 0.051 (iznomātās platības koeficients) = 390,24 </t>
    </r>
    <r>
      <rPr>
        <i/>
        <sz val="12"/>
        <color theme="1"/>
        <rFont val="Times New Roman"/>
        <family val="1"/>
        <charset val="186"/>
      </rPr>
      <t>euro</t>
    </r>
    <r>
      <rPr>
        <sz val="12"/>
        <color theme="1"/>
        <rFont val="Times New Roman"/>
        <family val="1"/>
        <charset val="186"/>
      </rPr>
      <t>.</t>
    </r>
  </si>
  <si>
    <r>
      <t xml:space="preserve">Ēku amortizācija 7 651,82 </t>
    </r>
    <r>
      <rPr>
        <i/>
        <sz val="12"/>
        <color theme="1"/>
        <rFont val="Times New Roman"/>
        <family val="1"/>
        <charset val="186"/>
      </rPr>
      <t>euro</t>
    </r>
    <r>
      <rPr>
        <sz val="12"/>
        <color theme="1"/>
        <rFont val="Times New Roman"/>
        <family val="1"/>
        <charset val="186"/>
      </rPr>
      <t xml:space="preserve"> gadā * 0.0085 (iznomātās platības koeficients) = 65,04 </t>
    </r>
    <r>
      <rPr>
        <i/>
        <sz val="12"/>
        <color theme="1"/>
        <rFont val="Times New Roman"/>
        <family val="1"/>
        <charset val="186"/>
      </rPr>
      <t>euro.</t>
    </r>
  </si>
  <si>
    <r>
      <t xml:space="preserve">Ēku amortizācija 7 651,82 </t>
    </r>
    <r>
      <rPr>
        <i/>
        <sz val="12"/>
        <color theme="1"/>
        <rFont val="Times New Roman"/>
        <family val="1"/>
        <charset val="186"/>
      </rPr>
      <t>euro</t>
    </r>
    <r>
      <rPr>
        <sz val="12"/>
        <color theme="1"/>
        <rFont val="Times New Roman"/>
        <family val="1"/>
        <charset val="186"/>
      </rPr>
      <t xml:space="preserve"> gadā * 0.0263 (iznomātās platības koeficients) = 201,24 </t>
    </r>
    <r>
      <rPr>
        <i/>
        <sz val="12"/>
        <color theme="1"/>
        <rFont val="Times New Roman"/>
        <family val="1"/>
        <charset val="186"/>
      </rPr>
      <t>euro</t>
    </r>
    <r>
      <rPr>
        <sz val="12"/>
        <color theme="1"/>
        <rFont val="Times New Roman"/>
        <family val="1"/>
        <charset val="186"/>
      </rPr>
      <t>.</t>
    </r>
  </si>
  <si>
    <r>
      <t xml:space="preserve">Ēku amortizācija 7 651,82 </t>
    </r>
    <r>
      <rPr>
        <i/>
        <sz val="12"/>
        <color theme="1"/>
        <rFont val="Times New Roman"/>
        <family val="1"/>
        <charset val="186"/>
      </rPr>
      <t>euro</t>
    </r>
    <r>
      <rPr>
        <sz val="12"/>
        <color theme="1"/>
        <rFont val="Times New Roman"/>
        <family val="1"/>
        <charset val="186"/>
      </rPr>
      <t xml:space="preserve"> gadā * 0.3646 (iznomātās platības koeficients) = 2 789,85 </t>
    </r>
    <r>
      <rPr>
        <i/>
        <sz val="12"/>
        <color theme="1"/>
        <rFont val="Times New Roman"/>
        <family val="1"/>
        <charset val="186"/>
      </rPr>
      <t>euro.</t>
    </r>
  </si>
  <si>
    <r>
      <t xml:space="preserve">Ēku amortizācija 7 651,82 </t>
    </r>
    <r>
      <rPr>
        <i/>
        <sz val="12"/>
        <color theme="1"/>
        <rFont val="Times New Roman"/>
        <family val="1"/>
        <charset val="186"/>
      </rPr>
      <t>euro</t>
    </r>
    <r>
      <rPr>
        <sz val="12"/>
        <color theme="1"/>
        <rFont val="Times New Roman"/>
        <family val="1"/>
        <charset val="186"/>
      </rPr>
      <t xml:space="preserve"> gadā * 0.0553 (iznomātās platības koeficients) = 423,15 </t>
    </r>
    <r>
      <rPr>
        <i/>
        <sz val="12"/>
        <color theme="1"/>
        <rFont val="Times New Roman"/>
        <family val="1"/>
        <charset val="186"/>
      </rPr>
      <t>euro</t>
    </r>
    <r>
      <rPr>
        <sz val="12"/>
        <color theme="1"/>
        <rFont val="Times New Roman"/>
        <family val="1"/>
        <charset val="186"/>
      </rPr>
      <t>.</t>
    </r>
  </si>
  <si>
    <r>
      <t xml:space="preserve">Ēku amortizācija 7 651,82 </t>
    </r>
    <r>
      <rPr>
        <i/>
        <sz val="12"/>
        <color theme="1"/>
        <rFont val="Times New Roman"/>
        <family val="1"/>
        <charset val="186"/>
      </rPr>
      <t>euro</t>
    </r>
    <r>
      <rPr>
        <sz val="12"/>
        <color theme="1"/>
        <rFont val="Times New Roman"/>
        <family val="1"/>
        <charset val="186"/>
      </rPr>
      <t xml:space="preserve"> gadā * 0.159 (iznomātās platības koeficients) = 1 216,64 </t>
    </r>
    <r>
      <rPr>
        <i/>
        <sz val="12"/>
        <color theme="1"/>
        <rFont val="Times New Roman"/>
        <family val="1"/>
        <charset val="186"/>
      </rPr>
      <t>euro.</t>
    </r>
  </si>
  <si>
    <r>
      <t xml:space="preserve">Ēku amortizācija 7 651,82 </t>
    </r>
    <r>
      <rPr>
        <i/>
        <sz val="12"/>
        <color theme="1"/>
        <rFont val="Times New Roman"/>
        <family val="1"/>
        <charset val="186"/>
      </rPr>
      <t>euro</t>
    </r>
    <r>
      <rPr>
        <sz val="12"/>
        <color theme="1"/>
        <rFont val="Times New Roman"/>
        <family val="1"/>
        <charset val="186"/>
      </rPr>
      <t xml:space="preserve"> gadā * 0.0342 (iznomātās platības koeficients) = 261,69 </t>
    </r>
    <r>
      <rPr>
        <i/>
        <sz val="12"/>
        <color theme="1"/>
        <rFont val="Times New Roman"/>
        <family val="1"/>
        <charset val="186"/>
      </rPr>
      <t>euro.</t>
    </r>
  </si>
  <si>
    <t xml:space="preserve"> </t>
  </si>
  <si>
    <r>
      <t xml:space="preserve">Izdevumi par apkuri 2 748,69 </t>
    </r>
    <r>
      <rPr>
        <i/>
        <sz val="12"/>
        <color theme="1"/>
        <rFont val="Times New Roman"/>
        <family val="1"/>
        <charset val="186"/>
      </rPr>
      <t>euro</t>
    </r>
    <r>
      <rPr>
        <sz val="12"/>
        <color theme="1"/>
        <rFont val="Times New Roman"/>
        <family val="1"/>
        <charset val="186"/>
      </rPr>
      <t xml:space="preserve"> gadā * 0.1422 (iznomātās platības koeficients) = 390,86 euro.</t>
    </r>
  </si>
  <si>
    <r>
      <t xml:space="preserve">Izdevumi par ūdeni un kanalizāciju 229,69 euro gadā * 0.1422 (iznomātās platības koeficients) = 32,66 </t>
    </r>
    <r>
      <rPr>
        <i/>
        <sz val="12"/>
        <color theme="1"/>
        <rFont val="Times New Roman"/>
        <family val="1"/>
        <charset val="186"/>
      </rPr>
      <t>euro</t>
    </r>
    <r>
      <rPr>
        <sz val="12"/>
        <color theme="1"/>
        <rFont val="Times New Roman"/>
        <family val="1"/>
        <charset val="186"/>
      </rPr>
      <t>.</t>
    </r>
  </si>
  <si>
    <r>
      <t xml:space="preserve">Izdevumi par elektroenerģiju 1 254,20 euro gadā * 0.1422 (iznomātās platības koeficients) = 178,35 </t>
    </r>
    <r>
      <rPr>
        <i/>
        <sz val="12"/>
        <color theme="1"/>
        <rFont val="Times New Roman"/>
        <family val="1"/>
        <charset val="186"/>
      </rPr>
      <t>euro</t>
    </r>
    <r>
      <rPr>
        <sz val="12"/>
        <color theme="1"/>
        <rFont val="Times New Roman"/>
        <family val="1"/>
        <charset val="186"/>
      </rPr>
      <t>.</t>
    </r>
  </si>
  <si>
    <r>
      <t xml:space="preserve">Izdevumi par atkritumu izvešanu 541,62 </t>
    </r>
    <r>
      <rPr>
        <i/>
        <sz val="12"/>
        <color theme="1"/>
        <rFont val="Times New Roman"/>
        <family val="1"/>
        <charset val="186"/>
      </rPr>
      <t>euro</t>
    </r>
    <r>
      <rPr>
        <sz val="12"/>
        <color theme="1"/>
        <rFont val="Times New Roman"/>
        <family val="1"/>
        <charset val="186"/>
      </rPr>
      <t xml:space="preserve"> gadā * 0.1422 (iznomātās platības koeficients) = 77,02 </t>
    </r>
    <r>
      <rPr>
        <i/>
        <sz val="12"/>
        <color theme="1"/>
        <rFont val="Times New Roman"/>
        <family val="1"/>
        <charset val="186"/>
      </rPr>
      <t>euro</t>
    </r>
    <r>
      <rPr>
        <sz val="12"/>
        <color theme="1"/>
        <rFont val="Times New Roman"/>
        <family val="1"/>
        <charset val="186"/>
      </rPr>
      <t>.</t>
    </r>
  </si>
  <si>
    <r>
      <t xml:space="preserve">Izdevumi par pārējiem neklasificētiem pakalpojumiem  1 117,32 </t>
    </r>
    <r>
      <rPr>
        <i/>
        <sz val="12"/>
        <color theme="1"/>
        <rFont val="Times New Roman"/>
        <family val="1"/>
        <charset val="186"/>
      </rPr>
      <t xml:space="preserve">euro </t>
    </r>
    <r>
      <rPr>
        <sz val="12"/>
        <color theme="1"/>
        <rFont val="Times New Roman"/>
        <family val="1"/>
        <charset val="186"/>
      </rPr>
      <t xml:space="preserve">gadā * 0.1422 (iznomātās platības koeficients) = 158,88 </t>
    </r>
    <r>
      <rPr>
        <i/>
        <sz val="12"/>
        <color theme="1"/>
        <rFont val="Times New Roman"/>
        <family val="1"/>
        <charset val="186"/>
      </rPr>
      <t>euro.</t>
    </r>
  </si>
  <si>
    <r>
      <t xml:space="preserve">Iekārtu, aparatūras apkope un remonts, avāriju bojājumu novēršanas izdevumi 87,97 </t>
    </r>
    <r>
      <rPr>
        <i/>
        <sz val="12"/>
        <color theme="1"/>
        <rFont val="Times New Roman"/>
        <family val="1"/>
        <charset val="186"/>
      </rPr>
      <t>euro</t>
    </r>
    <r>
      <rPr>
        <sz val="12"/>
        <color theme="1"/>
        <rFont val="Times New Roman"/>
        <family val="1"/>
        <charset val="186"/>
      </rPr>
      <t xml:space="preserve"> gadā * 0.1422 (iznomātās platības koeficients) = 12,51 </t>
    </r>
    <r>
      <rPr>
        <i/>
        <sz val="12"/>
        <color theme="1"/>
        <rFont val="Times New Roman"/>
        <family val="1"/>
        <charset val="186"/>
      </rPr>
      <t>euro</t>
    </r>
    <r>
      <rPr>
        <sz val="12"/>
        <color theme="1"/>
        <rFont val="Times New Roman"/>
        <family val="1"/>
        <charset val="186"/>
      </rPr>
      <t>.</t>
    </r>
  </si>
  <si>
    <r>
      <t xml:space="preserve">Telpu, teritorijas uzkopšanas, apsardzes, apsaimniekošanas, apdrošināšanas izdevumi 3 534,79 </t>
    </r>
    <r>
      <rPr>
        <i/>
        <sz val="12"/>
        <color theme="1"/>
        <rFont val="Times New Roman"/>
        <family val="1"/>
        <charset val="186"/>
      </rPr>
      <t>euro</t>
    </r>
    <r>
      <rPr>
        <sz val="12"/>
        <color theme="1"/>
        <rFont val="Times New Roman"/>
        <family val="1"/>
        <charset val="186"/>
      </rPr>
      <t xml:space="preserve"> gadā * 0.1422 (iznomātās platības koeficients) = 502,65 </t>
    </r>
    <r>
      <rPr>
        <i/>
        <sz val="12"/>
        <color theme="1"/>
        <rFont val="Times New Roman"/>
        <family val="1"/>
        <charset val="186"/>
      </rPr>
      <t>euro</t>
    </r>
    <r>
      <rPr>
        <sz val="12"/>
        <color theme="1"/>
        <rFont val="Times New Roman"/>
        <family val="1"/>
        <charset val="186"/>
      </rPr>
      <t>.</t>
    </r>
  </si>
  <si>
    <r>
      <t xml:space="preserve">Pārējie uzturēšanas izdevumi 80,10 </t>
    </r>
    <r>
      <rPr>
        <i/>
        <sz val="12"/>
        <color theme="1"/>
        <rFont val="Times New Roman"/>
        <family val="1"/>
        <charset val="186"/>
      </rPr>
      <t>euro</t>
    </r>
    <r>
      <rPr>
        <sz val="12"/>
        <color theme="1"/>
        <rFont val="Times New Roman"/>
        <family val="1"/>
        <charset val="186"/>
      </rPr>
      <t xml:space="preserve"> gadā * 0.1422 (iznomātās platības koeficients) = 11,39 </t>
    </r>
    <r>
      <rPr>
        <i/>
        <sz val="12"/>
        <color theme="1"/>
        <rFont val="Times New Roman"/>
        <family val="1"/>
        <charset val="186"/>
      </rPr>
      <t>euro</t>
    </r>
    <r>
      <rPr>
        <sz val="12"/>
        <color theme="1"/>
        <rFont val="Times New Roman"/>
        <family val="1"/>
        <charset val="186"/>
      </rPr>
      <t>.</t>
    </r>
  </si>
  <si>
    <r>
      <t xml:space="preserve">Inventāra iegādes izdevumi 38,77 </t>
    </r>
    <r>
      <rPr>
        <i/>
        <sz val="12"/>
        <color theme="1"/>
        <rFont val="Times New Roman"/>
        <family val="1"/>
        <charset val="186"/>
      </rPr>
      <t>euro</t>
    </r>
    <r>
      <rPr>
        <sz val="12"/>
        <color theme="1"/>
        <rFont val="Times New Roman"/>
        <family val="1"/>
        <charset val="186"/>
      </rPr>
      <t xml:space="preserve"> gadā * 0.1422 (iznomātās platības koeficients) = 5,51 </t>
    </r>
    <r>
      <rPr>
        <i/>
        <sz val="12"/>
        <color theme="1"/>
        <rFont val="Times New Roman"/>
        <family val="1"/>
        <charset val="186"/>
      </rPr>
      <t>euro</t>
    </r>
    <r>
      <rPr>
        <sz val="12"/>
        <color theme="1"/>
        <rFont val="Times New Roman"/>
        <family val="1"/>
        <charset val="186"/>
      </rPr>
      <t>.</t>
    </r>
  </si>
  <si>
    <r>
      <t xml:space="preserve">Saimniecības inventāra un materiālu (izlietnes krāni, dušas krāni, dušas pievadi, aizkari, podu vāki, u.c. higiēnas, saimniecības preces) iegādes izdevumi 69,79 </t>
    </r>
    <r>
      <rPr>
        <i/>
        <sz val="12"/>
        <color theme="1"/>
        <rFont val="Times New Roman"/>
        <family val="1"/>
        <charset val="186"/>
      </rPr>
      <t>euro</t>
    </r>
    <r>
      <rPr>
        <sz val="12"/>
        <color theme="1"/>
        <rFont val="Times New Roman"/>
        <family val="1"/>
        <charset val="186"/>
      </rPr>
      <t xml:space="preserve"> gadā * 0.1422 (iznomātās platības koeficients) = 9,92 </t>
    </r>
    <r>
      <rPr>
        <i/>
        <sz val="12"/>
        <color theme="1"/>
        <rFont val="Times New Roman"/>
        <family val="1"/>
        <charset val="186"/>
      </rPr>
      <t>euro</t>
    </r>
    <r>
      <rPr>
        <sz val="12"/>
        <color theme="1"/>
        <rFont val="Times New Roman"/>
        <family val="1"/>
        <charset val="186"/>
      </rPr>
      <t>.</t>
    </r>
  </si>
  <si>
    <r>
      <t xml:space="preserve">Nekustamā īpašuma nodoklis 76,17 </t>
    </r>
    <r>
      <rPr>
        <i/>
        <sz val="12"/>
        <color theme="1"/>
        <rFont val="Times New Roman"/>
        <family val="1"/>
        <charset val="186"/>
      </rPr>
      <t>euro</t>
    </r>
    <r>
      <rPr>
        <sz val="12"/>
        <color theme="1"/>
        <rFont val="Times New Roman"/>
        <family val="1"/>
        <charset val="186"/>
      </rPr>
      <t xml:space="preserve"> gadā * 0.1422 (iznomātās platības koeficients) = 10,83 </t>
    </r>
    <r>
      <rPr>
        <i/>
        <sz val="12"/>
        <color theme="1"/>
        <rFont val="Times New Roman"/>
        <family val="1"/>
        <charset val="186"/>
      </rPr>
      <t>euro</t>
    </r>
    <r>
      <rPr>
        <sz val="12"/>
        <color theme="1"/>
        <rFont val="Times New Roman"/>
        <family val="1"/>
        <charset val="186"/>
      </rPr>
      <t>.</t>
    </r>
  </si>
  <si>
    <r>
      <t xml:space="preserve">Ēku amortizācija 167,61 </t>
    </r>
    <r>
      <rPr>
        <i/>
        <sz val="12"/>
        <color theme="1"/>
        <rFont val="Times New Roman"/>
        <family val="1"/>
        <charset val="186"/>
      </rPr>
      <t>euro</t>
    </r>
    <r>
      <rPr>
        <sz val="12"/>
        <color theme="1"/>
        <rFont val="Times New Roman"/>
        <family val="1"/>
        <charset val="186"/>
      </rPr>
      <t xml:space="preserve"> gadā * 0.1422 (iznomātās platības koeficients) = 23,83 </t>
    </r>
    <r>
      <rPr>
        <i/>
        <sz val="12"/>
        <color theme="1"/>
        <rFont val="Times New Roman"/>
        <family val="1"/>
        <charset val="186"/>
      </rPr>
      <t>euro</t>
    </r>
    <r>
      <rPr>
        <sz val="12"/>
        <color theme="1"/>
        <rFont val="Times New Roman"/>
        <family val="1"/>
        <charset val="186"/>
      </rPr>
      <t>.</t>
    </r>
  </si>
  <si>
    <r>
      <t xml:space="preserve">Pamatlīdzekļu amortizācija 284,90 </t>
    </r>
    <r>
      <rPr>
        <i/>
        <sz val="12"/>
        <color theme="1"/>
        <rFont val="Times New Roman"/>
        <family val="1"/>
        <charset val="186"/>
      </rPr>
      <t>euro</t>
    </r>
    <r>
      <rPr>
        <sz val="12"/>
        <color theme="1"/>
        <rFont val="Times New Roman"/>
        <family val="1"/>
        <charset val="186"/>
      </rPr>
      <t xml:space="preserve"> gadā * 0.1422 (iznomātās platības koeficients) = 40,51 </t>
    </r>
    <r>
      <rPr>
        <i/>
        <sz val="12"/>
        <color theme="1"/>
        <rFont val="Times New Roman"/>
        <family val="1"/>
        <charset val="186"/>
      </rPr>
      <t>euro</t>
    </r>
    <r>
      <rPr>
        <sz val="12"/>
        <color theme="1"/>
        <rFont val="Times New Roman"/>
        <family val="1"/>
        <charset val="186"/>
      </rPr>
      <t>.</t>
    </r>
  </si>
  <si>
    <r>
      <t xml:space="preserve">Izdevumi par apkuri 2 748,69 </t>
    </r>
    <r>
      <rPr>
        <i/>
        <sz val="12"/>
        <color theme="1"/>
        <rFont val="Times New Roman"/>
        <family val="1"/>
        <charset val="186"/>
      </rPr>
      <t>euro</t>
    </r>
    <r>
      <rPr>
        <sz val="12"/>
        <color theme="1"/>
        <rFont val="Times New Roman"/>
        <family val="1"/>
        <charset val="186"/>
      </rPr>
      <t xml:space="preserve"> gadā * 0.8578 (iznomātās platības koeficients) = 2 357,83 </t>
    </r>
    <r>
      <rPr>
        <i/>
        <sz val="12"/>
        <color theme="1"/>
        <rFont val="Times New Roman"/>
        <family val="1"/>
        <charset val="186"/>
      </rPr>
      <t>euro.</t>
    </r>
  </si>
  <si>
    <r>
      <t xml:space="preserve">Izdevumi par ūdeni un kanalizāciju 229,69 </t>
    </r>
    <r>
      <rPr>
        <i/>
        <sz val="12"/>
        <color theme="1"/>
        <rFont val="Times New Roman"/>
        <family val="1"/>
        <charset val="186"/>
      </rPr>
      <t>euro</t>
    </r>
    <r>
      <rPr>
        <sz val="12"/>
        <color theme="1"/>
        <rFont val="Times New Roman"/>
        <family val="1"/>
        <charset val="186"/>
      </rPr>
      <t xml:space="preserve"> gadā * 0.8578 (iznomātās platības koeficients) = 197,03 </t>
    </r>
    <r>
      <rPr>
        <i/>
        <sz val="12"/>
        <color theme="1"/>
        <rFont val="Times New Roman"/>
        <family val="1"/>
        <charset val="186"/>
      </rPr>
      <t>euro.</t>
    </r>
  </si>
  <si>
    <r>
      <t xml:space="preserve">Izdevumi par elektroenerģiju 1 254,20 </t>
    </r>
    <r>
      <rPr>
        <i/>
        <sz val="12"/>
        <color theme="1"/>
        <rFont val="Times New Roman"/>
        <family val="1"/>
        <charset val="186"/>
      </rPr>
      <t>euro</t>
    </r>
    <r>
      <rPr>
        <sz val="12"/>
        <color theme="1"/>
        <rFont val="Times New Roman"/>
        <family val="1"/>
        <charset val="186"/>
      </rPr>
      <t xml:space="preserve"> gadā * 0.8578 (iznomātās platības koeficients) = 1 075,85 </t>
    </r>
    <r>
      <rPr>
        <i/>
        <sz val="12"/>
        <color theme="1"/>
        <rFont val="Times New Roman"/>
        <family val="1"/>
        <charset val="186"/>
      </rPr>
      <t>euro.</t>
    </r>
  </si>
  <si>
    <r>
      <t xml:space="preserve">Izdevumi par atkritumu izvešanu 541,62 </t>
    </r>
    <r>
      <rPr>
        <i/>
        <sz val="12"/>
        <color theme="1"/>
        <rFont val="Times New Roman"/>
        <family val="1"/>
        <charset val="186"/>
      </rPr>
      <t>euro</t>
    </r>
    <r>
      <rPr>
        <sz val="12"/>
        <color theme="1"/>
        <rFont val="Times New Roman"/>
        <family val="1"/>
        <charset val="186"/>
      </rPr>
      <t xml:space="preserve"> gadā * 0.8578 (iznomātās platības koeficients) = 464,60 </t>
    </r>
    <r>
      <rPr>
        <i/>
        <sz val="12"/>
        <color theme="1"/>
        <rFont val="Times New Roman"/>
        <family val="1"/>
        <charset val="186"/>
      </rPr>
      <t>euro.</t>
    </r>
  </si>
  <si>
    <r>
      <t xml:space="preserve">Izdevumi par pārējiem neklasificētiem pakalpojumiem  1 117,32 </t>
    </r>
    <r>
      <rPr>
        <i/>
        <sz val="12"/>
        <color theme="1"/>
        <rFont val="Times New Roman"/>
        <family val="1"/>
        <charset val="186"/>
      </rPr>
      <t xml:space="preserve">euro </t>
    </r>
    <r>
      <rPr>
        <sz val="12"/>
        <color theme="1"/>
        <rFont val="Times New Roman"/>
        <family val="1"/>
        <charset val="186"/>
      </rPr>
      <t xml:space="preserve">gadā * 0.8578 (iznomātās platības koeficients) = 958,44 </t>
    </r>
    <r>
      <rPr>
        <i/>
        <sz val="12"/>
        <color theme="1"/>
        <rFont val="Times New Roman"/>
        <family val="1"/>
        <charset val="186"/>
      </rPr>
      <t>euro.</t>
    </r>
  </si>
  <si>
    <r>
      <t xml:space="preserve">Iekārtu, aparatūras apkope un remonts, avāriju bojājumu novēršanas izdevumi 87,97 euro gadā * 0.8578 (iznomātās platības koeficients) = 75,46 </t>
    </r>
    <r>
      <rPr>
        <i/>
        <sz val="12"/>
        <color theme="1"/>
        <rFont val="Times New Roman"/>
        <family val="1"/>
        <charset val="186"/>
      </rPr>
      <t>euro.</t>
    </r>
  </si>
  <si>
    <r>
      <t xml:space="preserve">Telpu, teritorijas uzkopšanas, apsardzes, apsaimniekošanas, apdrošināšanas izdevumi 3 537,79 </t>
    </r>
    <r>
      <rPr>
        <i/>
        <sz val="12"/>
        <color theme="1"/>
        <rFont val="Times New Roman"/>
        <family val="1"/>
        <charset val="186"/>
      </rPr>
      <t>euro</t>
    </r>
    <r>
      <rPr>
        <sz val="12"/>
        <color theme="1"/>
        <rFont val="Times New Roman"/>
        <family val="1"/>
        <charset val="186"/>
      </rPr>
      <t xml:space="preserve"> gadā * 0.8578 (iznomātās platības koeficients) = 3 032,14 </t>
    </r>
    <r>
      <rPr>
        <i/>
        <sz val="12"/>
        <color theme="1"/>
        <rFont val="Times New Roman"/>
        <family val="1"/>
        <charset val="186"/>
      </rPr>
      <t>euro.</t>
    </r>
  </si>
  <si>
    <r>
      <t xml:space="preserve">Pārējie uzturēšanas izdevumi 80,10 </t>
    </r>
    <r>
      <rPr>
        <i/>
        <sz val="12"/>
        <color theme="1"/>
        <rFont val="Times New Roman"/>
        <family val="1"/>
        <charset val="186"/>
      </rPr>
      <t>euro</t>
    </r>
    <r>
      <rPr>
        <sz val="12"/>
        <color theme="1"/>
        <rFont val="Times New Roman"/>
        <family val="1"/>
        <charset val="186"/>
      </rPr>
      <t xml:space="preserve"> gadā * 0.8578 (iznomātās platības koeficients) = 68,71 </t>
    </r>
    <r>
      <rPr>
        <i/>
        <sz val="12"/>
        <color theme="1"/>
        <rFont val="Times New Roman"/>
        <family val="1"/>
        <charset val="186"/>
      </rPr>
      <t>euro.</t>
    </r>
  </si>
  <si>
    <r>
      <t xml:space="preserve">Inventāra iegādes izdevumi 38,77 </t>
    </r>
    <r>
      <rPr>
        <i/>
        <sz val="12"/>
        <color theme="1"/>
        <rFont val="Times New Roman"/>
        <family val="1"/>
        <charset val="186"/>
      </rPr>
      <t>euro</t>
    </r>
    <r>
      <rPr>
        <sz val="12"/>
        <color theme="1"/>
        <rFont val="Times New Roman"/>
        <family val="1"/>
        <charset val="186"/>
      </rPr>
      <t xml:space="preserve"> gadā * 0.8578 (iznomātās platības koeficients) = 33,26 </t>
    </r>
    <r>
      <rPr>
        <i/>
        <sz val="12"/>
        <color theme="1"/>
        <rFont val="Times New Roman"/>
        <family val="1"/>
        <charset val="186"/>
      </rPr>
      <t>euro.</t>
    </r>
  </si>
  <si>
    <r>
      <t xml:space="preserve">Saimniecības inventāra un materiālu (izlietnes krāni, dušas krāni, dušas pievadi, aizkari, podu vāki, u.c. higiēnas, saimniecības preces) iegādes izdevumi 69,79 </t>
    </r>
    <r>
      <rPr>
        <i/>
        <sz val="12"/>
        <color theme="1"/>
        <rFont val="Times New Roman"/>
        <family val="1"/>
        <charset val="186"/>
      </rPr>
      <t>euro</t>
    </r>
    <r>
      <rPr>
        <sz val="12"/>
        <color theme="1"/>
        <rFont val="Times New Roman"/>
        <family val="1"/>
        <charset val="186"/>
      </rPr>
      <t xml:space="preserve"> gadā * 0.8578 (iznomātās platības koeficients) = 59,87 </t>
    </r>
    <r>
      <rPr>
        <i/>
        <sz val="12"/>
        <color theme="1"/>
        <rFont val="Times New Roman"/>
        <family val="1"/>
        <charset val="186"/>
      </rPr>
      <t>euro.</t>
    </r>
  </si>
  <si>
    <r>
      <t xml:space="preserve">Nekustamā īpašuma nodoklis 76,17 </t>
    </r>
    <r>
      <rPr>
        <i/>
        <sz val="12"/>
        <color theme="1"/>
        <rFont val="Times New Roman"/>
        <family val="1"/>
        <charset val="186"/>
      </rPr>
      <t>euro</t>
    </r>
    <r>
      <rPr>
        <sz val="12"/>
        <color theme="1"/>
        <rFont val="Times New Roman"/>
        <family val="1"/>
        <charset val="186"/>
      </rPr>
      <t xml:space="preserve"> gadā * 0.8578 (iznomātās platības koeficients) = 65,34 </t>
    </r>
    <r>
      <rPr>
        <i/>
        <sz val="12"/>
        <color theme="1"/>
        <rFont val="Times New Roman"/>
        <family val="1"/>
        <charset val="186"/>
      </rPr>
      <t>euro.</t>
    </r>
  </si>
  <si>
    <r>
      <t xml:space="preserve">Ēku amortizācija 167,61 </t>
    </r>
    <r>
      <rPr>
        <i/>
        <sz val="12"/>
        <color theme="1"/>
        <rFont val="Times New Roman"/>
        <family val="1"/>
        <charset val="186"/>
      </rPr>
      <t>euro</t>
    </r>
    <r>
      <rPr>
        <sz val="12"/>
        <color theme="1"/>
        <rFont val="Times New Roman"/>
        <family val="1"/>
        <charset val="186"/>
      </rPr>
      <t xml:space="preserve"> gadā * 0.8578 (iznomātās platības koeficients) = 143,78 </t>
    </r>
    <r>
      <rPr>
        <i/>
        <sz val="12"/>
        <color theme="1"/>
        <rFont val="Times New Roman"/>
        <family val="1"/>
        <charset val="186"/>
      </rPr>
      <t>euro.</t>
    </r>
  </si>
  <si>
    <r>
      <t xml:space="preserve">Pamatlīdzekļu amortizācija 284,90 </t>
    </r>
    <r>
      <rPr>
        <i/>
        <sz val="12"/>
        <color theme="1"/>
        <rFont val="Times New Roman"/>
        <family val="1"/>
        <charset val="186"/>
      </rPr>
      <t>euro</t>
    </r>
    <r>
      <rPr>
        <sz val="12"/>
        <color theme="1"/>
        <rFont val="Times New Roman"/>
        <family val="1"/>
        <charset val="186"/>
      </rPr>
      <t xml:space="preserve"> gadā * 0.8578 (iznomātās platības koeficients) = 244,39 </t>
    </r>
    <r>
      <rPr>
        <i/>
        <sz val="12"/>
        <color theme="1"/>
        <rFont val="Times New Roman"/>
        <family val="1"/>
        <charset val="186"/>
      </rPr>
      <t>euro.</t>
    </r>
  </si>
  <si>
    <r>
      <t xml:space="preserve">Ēku amortizācija 19 086,29 </t>
    </r>
    <r>
      <rPr>
        <i/>
        <sz val="12"/>
        <color theme="1"/>
        <rFont val="Times New Roman"/>
        <family val="1"/>
        <charset val="186"/>
      </rPr>
      <t>euro</t>
    </r>
    <r>
      <rPr>
        <sz val="12"/>
        <color theme="1"/>
        <rFont val="Times New Roman"/>
        <family val="1"/>
        <charset val="186"/>
      </rPr>
      <t xml:space="preserve"> gadā * 0.0155 (iznomātās platības koeficients) = 295,84 </t>
    </r>
    <r>
      <rPr>
        <i/>
        <sz val="12"/>
        <color theme="1"/>
        <rFont val="Times New Roman"/>
        <family val="1"/>
        <charset val="186"/>
      </rPr>
      <t>euro.</t>
    </r>
  </si>
  <si>
    <r>
      <t xml:space="preserve">Ēku amortizācija 19 086,29 </t>
    </r>
    <r>
      <rPr>
        <i/>
        <sz val="12"/>
        <color theme="1"/>
        <rFont val="Times New Roman"/>
        <family val="1"/>
        <charset val="186"/>
      </rPr>
      <t>euro</t>
    </r>
    <r>
      <rPr>
        <sz val="12"/>
        <color theme="1"/>
        <rFont val="Times New Roman"/>
        <family val="1"/>
        <charset val="186"/>
      </rPr>
      <t xml:space="preserve"> gadā * 0.0107 (iznomātās platības koeficients) = 204,22 </t>
    </r>
    <r>
      <rPr>
        <i/>
        <sz val="12"/>
        <color theme="1"/>
        <rFont val="Times New Roman"/>
        <family val="1"/>
        <charset val="186"/>
      </rPr>
      <t>euro</t>
    </r>
    <r>
      <rPr>
        <sz val="12"/>
        <color theme="1"/>
        <rFont val="Times New Roman"/>
        <family val="1"/>
        <charset val="186"/>
      </rPr>
      <t>.</t>
    </r>
  </si>
  <si>
    <r>
      <t xml:space="preserve">Ēku amortizācija 19 086,29 </t>
    </r>
    <r>
      <rPr>
        <i/>
        <sz val="12"/>
        <color theme="1"/>
        <rFont val="Times New Roman"/>
        <family val="1"/>
        <charset val="186"/>
      </rPr>
      <t>euro</t>
    </r>
    <r>
      <rPr>
        <sz val="12"/>
        <color theme="1"/>
        <rFont val="Times New Roman"/>
        <family val="1"/>
        <charset val="186"/>
      </rPr>
      <t xml:space="preserve"> gadā * 0.4169 (iznomātās platības koeficients) = 7 957,07 </t>
    </r>
    <r>
      <rPr>
        <i/>
        <sz val="12"/>
        <color theme="1"/>
        <rFont val="Times New Roman"/>
        <family val="1"/>
        <charset val="186"/>
      </rPr>
      <t>euro</t>
    </r>
    <r>
      <rPr>
        <sz val="12"/>
        <color theme="1"/>
        <rFont val="Times New Roman"/>
        <family val="1"/>
        <charset val="186"/>
      </rPr>
      <t>.</t>
    </r>
  </si>
  <si>
    <r>
      <t xml:space="preserve">Ēku amortizācija 19 086,29 </t>
    </r>
    <r>
      <rPr>
        <i/>
        <sz val="12"/>
        <color theme="1"/>
        <rFont val="Times New Roman"/>
        <family val="1"/>
        <charset val="186"/>
      </rPr>
      <t>euro</t>
    </r>
    <r>
      <rPr>
        <sz val="12"/>
        <color theme="1"/>
        <rFont val="Times New Roman"/>
        <family val="1"/>
        <charset val="186"/>
      </rPr>
      <t xml:space="preserve"> gadā * 0.05073 (iznomātās platības koeficients) = 968,25 </t>
    </r>
    <r>
      <rPr>
        <i/>
        <sz val="12"/>
        <color theme="1"/>
        <rFont val="Times New Roman"/>
        <family val="1"/>
        <charset val="186"/>
      </rPr>
      <t>euro.</t>
    </r>
  </si>
  <si>
    <r>
      <t xml:space="preserve">Ēku amortizācija 19 086,29 </t>
    </r>
    <r>
      <rPr>
        <i/>
        <sz val="12"/>
        <color theme="1"/>
        <rFont val="Times New Roman"/>
        <family val="1"/>
        <charset val="186"/>
      </rPr>
      <t>euro</t>
    </r>
    <r>
      <rPr>
        <sz val="12"/>
        <color theme="1"/>
        <rFont val="Times New Roman"/>
        <family val="1"/>
        <charset val="186"/>
      </rPr>
      <t xml:space="preserve"> gadā * 0.2444 (iznomātās platības koeficients) = 4 664,69 </t>
    </r>
    <r>
      <rPr>
        <i/>
        <sz val="12"/>
        <color theme="1"/>
        <rFont val="Times New Roman"/>
        <family val="1"/>
        <charset val="186"/>
      </rPr>
      <t>euro</t>
    </r>
    <r>
      <rPr>
        <sz val="12"/>
        <color theme="1"/>
        <rFont val="Times New Roman"/>
        <family val="1"/>
        <charset val="186"/>
      </rPr>
      <t>.</t>
    </r>
  </si>
  <si>
    <r>
      <t xml:space="preserve">Ēku amortizācija 19 086,29 </t>
    </r>
    <r>
      <rPr>
        <i/>
        <sz val="12"/>
        <color theme="1"/>
        <rFont val="Times New Roman"/>
        <family val="1"/>
        <charset val="186"/>
      </rPr>
      <t>euro</t>
    </r>
    <r>
      <rPr>
        <sz val="12"/>
        <color theme="1"/>
        <rFont val="Times New Roman"/>
        <family val="1"/>
        <charset val="186"/>
      </rPr>
      <t xml:space="preserve"> gadā * 0.0026 (iznomātās platības koeficients) = 49,62 </t>
    </r>
    <r>
      <rPr>
        <i/>
        <sz val="12"/>
        <color theme="1"/>
        <rFont val="Times New Roman"/>
        <family val="1"/>
        <charset val="186"/>
      </rPr>
      <t>euro.</t>
    </r>
  </si>
  <si>
    <r>
      <t xml:space="preserve">Ēku amortizācija 19 086,29 </t>
    </r>
    <r>
      <rPr>
        <i/>
        <sz val="12"/>
        <color theme="1"/>
        <rFont val="Times New Roman"/>
        <family val="1"/>
        <charset val="186"/>
      </rPr>
      <t>euro</t>
    </r>
    <r>
      <rPr>
        <sz val="12"/>
        <color theme="1"/>
        <rFont val="Times New Roman"/>
        <family val="1"/>
        <charset val="186"/>
      </rPr>
      <t xml:space="preserve"> gadā * 0.0117 (iznomātās platības koeficients) = 223,31 </t>
    </r>
    <r>
      <rPr>
        <i/>
        <sz val="12"/>
        <color theme="1"/>
        <rFont val="Times New Roman"/>
        <family val="1"/>
        <charset val="186"/>
      </rPr>
      <t>euro</t>
    </r>
    <r>
      <rPr>
        <sz val="12"/>
        <color theme="1"/>
        <rFont val="Times New Roman"/>
        <family val="1"/>
        <charset val="186"/>
      </rPr>
      <t>.</t>
    </r>
  </si>
  <si>
    <r>
      <t xml:space="preserve">Ēku amortizācija 19 086,29 </t>
    </r>
    <r>
      <rPr>
        <i/>
        <sz val="12"/>
        <color theme="1"/>
        <rFont val="Times New Roman"/>
        <family val="1"/>
        <charset val="186"/>
      </rPr>
      <t>euro</t>
    </r>
    <r>
      <rPr>
        <sz val="12"/>
        <color theme="1"/>
        <rFont val="Times New Roman"/>
        <family val="1"/>
        <charset val="186"/>
      </rPr>
      <t xml:space="preserve"> gadā * 0.2415 (iznomātās platības koeficients) = 4 609,34 </t>
    </r>
    <r>
      <rPr>
        <i/>
        <sz val="12"/>
        <color theme="1"/>
        <rFont val="Times New Roman"/>
        <family val="1"/>
        <charset val="186"/>
      </rPr>
      <t>euro</t>
    </r>
    <r>
      <rPr>
        <sz val="12"/>
        <color theme="1"/>
        <rFont val="Times New Roman"/>
        <family val="1"/>
        <charset val="186"/>
      </rPr>
      <t>.</t>
    </r>
  </si>
  <si>
    <t>3.1.</t>
  </si>
  <si>
    <r>
      <t xml:space="preserve">Galv. nekust. īpaš. pārvaldnieks (3. saime, III līmenis, 8. algu grupa, mēnešalga 1 358 </t>
    </r>
    <r>
      <rPr>
        <i/>
        <sz val="12"/>
        <color theme="1"/>
        <rFont val="Times New Roman"/>
        <family val="1"/>
        <charset val="186"/>
      </rPr>
      <t xml:space="preserve">euro). </t>
    </r>
    <r>
      <rPr>
        <sz val="12"/>
        <color theme="1"/>
        <rFont val="Times New Roman"/>
        <family val="1"/>
        <charset val="186"/>
      </rPr>
      <t>Stundas tarifa likme 8,20</t>
    </r>
    <r>
      <rPr>
        <i/>
        <sz val="12"/>
        <color theme="1"/>
        <rFont val="Times New Roman"/>
        <family val="1"/>
        <charset val="186"/>
      </rPr>
      <t xml:space="preserve"> euro = </t>
    </r>
    <r>
      <rPr>
        <sz val="12"/>
        <color theme="1"/>
        <rFont val="Times New Roman"/>
        <family val="1"/>
        <charset val="186"/>
      </rPr>
      <t>1 358</t>
    </r>
    <r>
      <rPr>
        <i/>
        <sz val="12"/>
        <color theme="1"/>
        <rFont val="Times New Roman"/>
        <family val="1"/>
        <charset val="186"/>
      </rPr>
      <t xml:space="preserve"> euro</t>
    </r>
    <r>
      <rPr>
        <sz val="12"/>
        <color theme="1"/>
        <rFont val="Times New Roman"/>
        <family val="1"/>
        <charset val="186"/>
      </rPr>
      <t xml:space="preserve">/ 165.58 (vid. d. stundu sk. mēnesī). Vid. mēn. noslogojums 4 stundas, (8,20 </t>
    </r>
    <r>
      <rPr>
        <i/>
        <sz val="12"/>
        <color theme="1"/>
        <rFont val="Times New Roman"/>
        <family val="1"/>
        <charset val="186"/>
      </rPr>
      <t>euro</t>
    </r>
    <r>
      <rPr>
        <sz val="12"/>
        <color theme="1"/>
        <rFont val="Times New Roman"/>
        <family val="1"/>
        <charset val="186"/>
      </rPr>
      <t xml:space="preserve"> * 4 h) = 32,80 </t>
    </r>
    <r>
      <rPr>
        <i/>
        <sz val="12"/>
        <color theme="1"/>
        <rFont val="Times New Roman"/>
        <family val="1"/>
        <charset val="186"/>
      </rPr>
      <t>euro</t>
    </r>
    <r>
      <rPr>
        <sz val="12"/>
        <color theme="1"/>
        <rFont val="Times New Roman"/>
        <family val="1"/>
        <charset val="186"/>
      </rPr>
      <t xml:space="preserve">/mēn. * 12. mēn. = 393,60 </t>
    </r>
    <r>
      <rPr>
        <i/>
        <sz val="12"/>
        <color theme="1"/>
        <rFont val="Times New Roman"/>
        <family val="1"/>
        <charset val="186"/>
      </rPr>
      <t>euro</t>
    </r>
    <r>
      <rPr>
        <sz val="12"/>
        <color theme="1"/>
        <rFont val="Times New Roman"/>
        <family val="1"/>
        <charset val="186"/>
      </rPr>
      <t xml:space="preserve"> * 0.45 (pakalpojuma īpatsvars kopējos ēkā sniegtajos maksas pakalpojumos) = 177,12 </t>
    </r>
    <r>
      <rPr>
        <i/>
        <sz val="12"/>
        <color theme="1"/>
        <rFont val="Times New Roman"/>
        <family val="1"/>
        <charset val="186"/>
      </rPr>
      <t>euro</t>
    </r>
    <r>
      <rPr>
        <sz val="12"/>
        <color theme="1"/>
        <rFont val="Times New Roman"/>
        <family val="1"/>
        <charset val="186"/>
      </rPr>
      <t>.</t>
    </r>
  </si>
  <si>
    <r>
      <t xml:space="preserve">Saimniecības pārzinis (3. saime I līmenis, 5. algu grupa, mēnešalga 897 </t>
    </r>
    <r>
      <rPr>
        <i/>
        <sz val="12"/>
        <color theme="1"/>
        <rFont val="Times New Roman"/>
        <family val="1"/>
        <charset val="186"/>
      </rPr>
      <t xml:space="preserve">euro). </t>
    </r>
    <r>
      <rPr>
        <sz val="12"/>
        <color theme="1"/>
        <rFont val="Times New Roman"/>
        <family val="1"/>
        <charset val="186"/>
      </rPr>
      <t>Stundas tarifa likme</t>
    </r>
    <r>
      <rPr>
        <i/>
        <sz val="12"/>
        <color theme="1"/>
        <rFont val="Times New Roman"/>
        <family val="1"/>
        <charset val="186"/>
      </rPr>
      <t xml:space="preserve"> </t>
    </r>
    <r>
      <rPr>
        <sz val="12"/>
        <color theme="1"/>
        <rFont val="Times New Roman"/>
        <family val="1"/>
        <charset val="186"/>
      </rPr>
      <t xml:space="preserve">5,42 </t>
    </r>
    <r>
      <rPr>
        <i/>
        <sz val="12"/>
        <color theme="1"/>
        <rFont val="Times New Roman"/>
        <family val="1"/>
        <charset val="186"/>
      </rPr>
      <t xml:space="preserve">euro = </t>
    </r>
    <r>
      <rPr>
        <sz val="12"/>
        <color theme="1"/>
        <rFont val="Times New Roman"/>
        <family val="1"/>
        <charset val="186"/>
      </rPr>
      <t>897</t>
    </r>
    <r>
      <rPr>
        <i/>
        <sz val="12"/>
        <color theme="1"/>
        <rFont val="Times New Roman"/>
        <family val="1"/>
        <charset val="186"/>
      </rPr>
      <t xml:space="preserve"> euro</t>
    </r>
    <r>
      <rPr>
        <sz val="12"/>
        <color theme="1"/>
        <rFont val="Times New Roman"/>
        <family val="1"/>
        <charset val="186"/>
      </rPr>
      <t xml:space="preserve"> / 165.58 (vid. d. stundu sk. mēnesī).  Vid. mēn. noslogojums 8 stundas, (5,42 </t>
    </r>
    <r>
      <rPr>
        <i/>
        <sz val="12"/>
        <color theme="1"/>
        <rFont val="Times New Roman"/>
        <family val="1"/>
        <charset val="186"/>
      </rPr>
      <t>euro</t>
    </r>
    <r>
      <rPr>
        <sz val="12"/>
        <color theme="1"/>
        <rFont val="Times New Roman"/>
        <family val="1"/>
        <charset val="186"/>
      </rPr>
      <t xml:space="preserve"> * 8 h) = 43,36 </t>
    </r>
    <r>
      <rPr>
        <i/>
        <sz val="12"/>
        <color theme="1"/>
        <rFont val="Times New Roman"/>
        <family val="1"/>
        <charset val="186"/>
      </rPr>
      <t>euro</t>
    </r>
    <r>
      <rPr>
        <sz val="12"/>
        <color theme="1"/>
        <rFont val="Times New Roman"/>
        <family val="1"/>
        <charset val="186"/>
      </rPr>
      <t xml:space="preserve">/mēn. * 12. mēn. = 520,32 </t>
    </r>
    <r>
      <rPr>
        <i/>
        <sz val="12"/>
        <color theme="1"/>
        <rFont val="Times New Roman"/>
        <family val="1"/>
        <charset val="186"/>
      </rPr>
      <t>euro</t>
    </r>
    <r>
      <rPr>
        <sz val="12"/>
        <color theme="1"/>
        <rFont val="Times New Roman"/>
        <family val="1"/>
        <charset val="186"/>
      </rPr>
      <t xml:space="preserve"> * 0.45 (pakalpojuma īpatsvars kopējos ēkā sniegtajos maksas pakalpojumos) = 234,14 </t>
    </r>
    <r>
      <rPr>
        <i/>
        <sz val="12"/>
        <color theme="1"/>
        <rFont val="Times New Roman"/>
        <family val="1"/>
        <charset val="186"/>
      </rPr>
      <t>euro</t>
    </r>
    <r>
      <rPr>
        <sz val="12"/>
        <color theme="1"/>
        <rFont val="Times New Roman"/>
        <family val="1"/>
        <charset val="186"/>
      </rPr>
      <t>.</t>
    </r>
  </si>
  <si>
    <r>
      <t xml:space="preserve">Administrators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114.76 stundas, (5,42 </t>
    </r>
    <r>
      <rPr>
        <i/>
        <sz val="12"/>
        <color theme="1"/>
        <rFont val="Times New Roman"/>
        <family val="1"/>
        <charset val="186"/>
      </rPr>
      <t>euro</t>
    </r>
    <r>
      <rPr>
        <sz val="12"/>
        <color theme="1"/>
        <rFont val="Times New Roman"/>
        <family val="1"/>
        <charset val="186"/>
      </rPr>
      <t xml:space="preserve"> * 114.76 h) = 622,00 </t>
    </r>
    <r>
      <rPr>
        <i/>
        <sz val="12"/>
        <color theme="1"/>
        <rFont val="Times New Roman"/>
        <family val="1"/>
        <charset val="186"/>
      </rPr>
      <t>euro</t>
    </r>
    <r>
      <rPr>
        <sz val="12"/>
        <color theme="1"/>
        <rFont val="Times New Roman"/>
        <family val="1"/>
        <charset val="186"/>
      </rPr>
      <t xml:space="preserve">/mēn. * 12. mēn. = 7 463,99 </t>
    </r>
    <r>
      <rPr>
        <i/>
        <sz val="12"/>
        <color theme="1"/>
        <rFont val="Times New Roman"/>
        <family val="1"/>
        <charset val="186"/>
      </rPr>
      <t xml:space="preserve">euro * </t>
    </r>
    <r>
      <rPr>
        <sz val="12"/>
        <color theme="1"/>
        <rFont val="Times New Roman"/>
        <family val="1"/>
        <charset val="186"/>
      </rPr>
      <t>0.45 (pakalpojuma īpatsvars kopējos ēkā sniegtajos maksas pakalpojumos) = 3 358,80</t>
    </r>
    <r>
      <rPr>
        <i/>
        <sz val="12"/>
        <color theme="1"/>
        <rFont val="Times New Roman"/>
        <family val="1"/>
        <charset val="186"/>
      </rPr>
      <t xml:space="preserve"> euro.</t>
    </r>
  </si>
  <si>
    <r>
      <t xml:space="preserve">Darba devēja valsts sociālās apdrošināšanas obligātās iemaksas  (4 147,06 </t>
    </r>
    <r>
      <rPr>
        <i/>
        <sz val="12"/>
        <color theme="1"/>
        <rFont val="Times New Roman"/>
        <family val="1"/>
        <charset val="186"/>
      </rPr>
      <t>euro</t>
    </r>
    <r>
      <rPr>
        <sz val="12"/>
        <color theme="1"/>
        <rFont val="Times New Roman"/>
        <family val="1"/>
        <charset val="186"/>
      </rPr>
      <t xml:space="preserve"> * 23,59 %) = 978,29 </t>
    </r>
    <r>
      <rPr>
        <i/>
        <sz val="12"/>
        <color theme="1"/>
        <rFont val="Times New Roman"/>
        <family val="1"/>
        <charset val="186"/>
      </rPr>
      <t xml:space="preserve">euro. </t>
    </r>
  </si>
  <si>
    <r>
      <t xml:space="preserve">Galv. nekust. īpaš. pārvaldnieks (177,12 </t>
    </r>
    <r>
      <rPr>
        <i/>
        <sz val="12"/>
        <color theme="1"/>
        <rFont val="Times New Roman"/>
        <family val="1"/>
        <charset val="186"/>
      </rPr>
      <t>euro</t>
    </r>
    <r>
      <rPr>
        <sz val="12"/>
        <color theme="1"/>
        <rFont val="Times New Roman"/>
        <family val="1"/>
        <charset val="186"/>
      </rPr>
      <t xml:space="preserve"> * 10%) = 17,71 </t>
    </r>
    <r>
      <rPr>
        <i/>
        <sz val="12"/>
        <color theme="1"/>
        <rFont val="Times New Roman"/>
        <family val="1"/>
        <charset val="186"/>
      </rPr>
      <t>euro</t>
    </r>
    <r>
      <rPr>
        <sz val="12"/>
        <color theme="1"/>
        <rFont val="Times New Roman"/>
        <family val="1"/>
        <charset val="186"/>
      </rPr>
      <t xml:space="preserve">, Saimniecības pārzinis (234,14 </t>
    </r>
    <r>
      <rPr>
        <i/>
        <sz val="12"/>
        <color theme="1"/>
        <rFont val="Times New Roman"/>
        <family val="1"/>
        <charset val="186"/>
      </rPr>
      <t>euro</t>
    </r>
    <r>
      <rPr>
        <sz val="12"/>
        <color theme="1"/>
        <rFont val="Times New Roman"/>
        <family val="1"/>
        <charset val="186"/>
      </rPr>
      <t xml:space="preserve"> * 10%) = 23,41 </t>
    </r>
    <r>
      <rPr>
        <i/>
        <sz val="12"/>
        <color theme="1"/>
        <rFont val="Times New Roman"/>
        <family val="1"/>
        <charset val="186"/>
      </rPr>
      <t>euro</t>
    </r>
    <r>
      <rPr>
        <sz val="12"/>
        <color theme="1"/>
        <rFont val="Times New Roman"/>
        <family val="1"/>
        <charset val="186"/>
      </rPr>
      <t xml:space="preserve">, Administrators (3 358,80 </t>
    </r>
    <r>
      <rPr>
        <i/>
        <sz val="12"/>
        <color theme="1"/>
        <rFont val="Times New Roman"/>
        <family val="1"/>
        <charset val="186"/>
      </rPr>
      <t>euro</t>
    </r>
    <r>
      <rPr>
        <sz val="12"/>
        <color theme="1"/>
        <rFont val="Times New Roman"/>
        <family val="1"/>
        <charset val="186"/>
      </rPr>
      <t xml:space="preserve"> * 10%) = 335,88 </t>
    </r>
    <r>
      <rPr>
        <i/>
        <sz val="12"/>
        <color theme="1"/>
        <rFont val="Times New Roman"/>
        <family val="1"/>
        <charset val="186"/>
      </rPr>
      <t>euro.</t>
    </r>
    <r>
      <rPr>
        <sz val="12"/>
        <color theme="1"/>
        <rFont val="Times New Roman"/>
        <family val="1"/>
        <charset val="186"/>
      </rPr>
      <t xml:space="preserve"> Kopā (17,71 euro + 23,41 euro + 335,88 euro) = 377,00 </t>
    </r>
    <r>
      <rPr>
        <i/>
        <sz val="12"/>
        <color theme="1"/>
        <rFont val="Times New Roman"/>
        <family val="1"/>
        <charset val="186"/>
      </rPr>
      <t>euro</t>
    </r>
    <r>
      <rPr>
        <sz val="12"/>
        <color theme="1"/>
        <rFont val="Times New Roman"/>
        <family val="1"/>
        <charset val="186"/>
      </rPr>
      <t>.</t>
    </r>
  </si>
  <si>
    <r>
      <t xml:space="preserve">Veselības apdrošināšana, Galv. nekust. īpaš. pārvaldnieks (177,12 </t>
    </r>
    <r>
      <rPr>
        <i/>
        <sz val="12"/>
        <color theme="1"/>
        <rFont val="Times New Roman"/>
        <family val="1"/>
        <charset val="186"/>
      </rPr>
      <t>euro</t>
    </r>
    <r>
      <rPr>
        <sz val="12"/>
        <color theme="1"/>
        <rFont val="Times New Roman"/>
        <family val="1"/>
        <charset val="186"/>
      </rPr>
      <t xml:space="preserve"> * 5%) = 8,86 </t>
    </r>
    <r>
      <rPr>
        <i/>
        <sz val="12"/>
        <color theme="1"/>
        <rFont val="Times New Roman"/>
        <family val="1"/>
        <charset val="186"/>
      </rPr>
      <t>euro</t>
    </r>
    <r>
      <rPr>
        <sz val="12"/>
        <color theme="1"/>
        <rFont val="Times New Roman"/>
        <family val="1"/>
        <charset val="186"/>
      </rPr>
      <t xml:space="preserve">, Saimniecības pārzinis (234,14 </t>
    </r>
    <r>
      <rPr>
        <i/>
        <sz val="12"/>
        <color theme="1"/>
        <rFont val="Times New Roman"/>
        <family val="1"/>
        <charset val="186"/>
      </rPr>
      <t xml:space="preserve">euro </t>
    </r>
    <r>
      <rPr>
        <sz val="12"/>
        <color theme="1"/>
        <rFont val="Times New Roman"/>
        <family val="1"/>
        <charset val="186"/>
      </rPr>
      <t xml:space="preserve">* 5%) = 11,71 </t>
    </r>
    <r>
      <rPr>
        <i/>
        <sz val="12"/>
        <color theme="1"/>
        <rFont val="Times New Roman"/>
        <family val="1"/>
        <charset val="186"/>
      </rPr>
      <t>euro</t>
    </r>
    <r>
      <rPr>
        <sz val="12"/>
        <color theme="1"/>
        <rFont val="Times New Roman"/>
        <family val="1"/>
        <charset val="186"/>
      </rPr>
      <t xml:space="preserve">, Administrators (3 358,80 </t>
    </r>
    <r>
      <rPr>
        <i/>
        <sz val="12"/>
        <color theme="1"/>
        <rFont val="Times New Roman"/>
        <family val="1"/>
        <charset val="186"/>
      </rPr>
      <t>euro</t>
    </r>
    <r>
      <rPr>
        <sz val="12"/>
        <color theme="1"/>
        <rFont val="Times New Roman"/>
        <family val="1"/>
        <charset val="186"/>
      </rPr>
      <t xml:space="preserve"> * 5%) = 167,94 </t>
    </r>
    <r>
      <rPr>
        <i/>
        <sz val="12"/>
        <color theme="1"/>
        <rFont val="Times New Roman"/>
        <family val="1"/>
        <charset val="186"/>
      </rPr>
      <t>euro</t>
    </r>
    <r>
      <rPr>
        <sz val="12"/>
        <color theme="1"/>
        <rFont val="Times New Roman"/>
        <family val="1"/>
        <charset val="186"/>
      </rPr>
      <t xml:space="preserve">. Kopā (8,86 </t>
    </r>
    <r>
      <rPr>
        <i/>
        <sz val="12"/>
        <color theme="1"/>
        <rFont val="Times New Roman"/>
        <family val="1"/>
        <charset val="186"/>
      </rPr>
      <t>euro</t>
    </r>
    <r>
      <rPr>
        <sz val="12"/>
        <color theme="1"/>
        <rFont val="Times New Roman"/>
        <family val="1"/>
        <charset val="186"/>
      </rPr>
      <t xml:space="preserve"> + 11,71 </t>
    </r>
    <r>
      <rPr>
        <i/>
        <sz val="12"/>
        <color theme="1"/>
        <rFont val="Times New Roman"/>
        <family val="1"/>
        <charset val="186"/>
      </rPr>
      <t>euro</t>
    </r>
    <r>
      <rPr>
        <sz val="12"/>
        <color theme="1"/>
        <rFont val="Times New Roman"/>
        <family val="1"/>
        <charset val="186"/>
      </rPr>
      <t xml:space="preserve"> + 167,94 </t>
    </r>
    <r>
      <rPr>
        <i/>
        <sz val="12"/>
        <color theme="1"/>
        <rFont val="Times New Roman"/>
        <family val="1"/>
        <charset val="186"/>
      </rPr>
      <t>euro</t>
    </r>
    <r>
      <rPr>
        <sz val="12"/>
        <color theme="1"/>
        <rFont val="Times New Roman"/>
        <family val="1"/>
        <charset val="186"/>
      </rPr>
      <t xml:space="preserve">) = 188,51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</si>
  <si>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t>
    </r>
    <r>
      <rPr>
        <i/>
        <sz val="12"/>
        <color theme="1"/>
        <rFont val="Times New Roman"/>
        <family val="1"/>
        <charset val="186"/>
      </rPr>
      <t xml:space="preserve"> euro = </t>
    </r>
    <r>
      <rPr>
        <sz val="12"/>
        <color theme="1"/>
        <rFont val="Times New Roman"/>
        <family val="1"/>
        <charset val="186"/>
      </rPr>
      <t>1 266</t>
    </r>
    <r>
      <rPr>
        <i/>
        <sz val="12"/>
        <color theme="1"/>
        <rFont val="Times New Roman"/>
        <family val="1"/>
        <charset val="186"/>
      </rPr>
      <t xml:space="preserve"> euro</t>
    </r>
    <r>
      <rPr>
        <sz val="12"/>
        <color theme="1"/>
        <rFont val="Times New Roman"/>
        <family val="1"/>
        <charset val="186"/>
      </rPr>
      <t xml:space="preserve"> / 165.58 (vid. d. stundu sk. mēnesī). Vid. mēn. noslogojums 20 min., (7,65 </t>
    </r>
    <r>
      <rPr>
        <i/>
        <sz val="12"/>
        <color theme="1"/>
        <rFont val="Times New Roman"/>
        <family val="1"/>
        <charset val="186"/>
      </rPr>
      <t>euro</t>
    </r>
    <r>
      <rPr>
        <sz val="12"/>
        <color theme="1"/>
        <rFont val="Times New Roman"/>
        <family val="1"/>
        <charset val="186"/>
      </rPr>
      <t xml:space="preserve"> * 0.33 h) = 2,52 </t>
    </r>
    <r>
      <rPr>
        <i/>
        <sz val="12"/>
        <color theme="1"/>
        <rFont val="Times New Roman"/>
        <family val="1"/>
        <charset val="186"/>
      </rPr>
      <t>euro</t>
    </r>
    <r>
      <rPr>
        <sz val="12"/>
        <color theme="1"/>
        <rFont val="Times New Roman"/>
        <family val="1"/>
        <charset val="186"/>
      </rPr>
      <t xml:space="preserve">/mēn. * 12. mēn. = 30,24 </t>
    </r>
    <r>
      <rPr>
        <i/>
        <sz val="12"/>
        <color theme="1"/>
        <rFont val="Times New Roman"/>
        <family val="1"/>
        <charset val="186"/>
      </rPr>
      <t>euro</t>
    </r>
    <r>
      <rPr>
        <sz val="12"/>
        <color theme="1"/>
        <rFont val="Times New Roman"/>
        <family val="1"/>
        <charset val="186"/>
      </rPr>
      <t xml:space="preserve"> * 0.45 (pakalpojuma īpatsvars kopējos ēkā sniegtajos pakalpojumos) = 13,61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</si>
  <si>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 xml:space="preserve">euro). </t>
    </r>
    <r>
      <rPr>
        <sz val="12"/>
        <color theme="1"/>
        <rFont val="Times New Roman"/>
        <family val="1"/>
        <charset val="186"/>
      </rPr>
      <t xml:space="preserve">Stundas tarifa likme 15,15 euro = 2 508 </t>
    </r>
    <r>
      <rPr>
        <i/>
        <sz val="12"/>
        <color theme="1"/>
        <rFont val="Times New Roman"/>
        <family val="1"/>
        <charset val="186"/>
      </rPr>
      <t>euro</t>
    </r>
    <r>
      <rPr>
        <sz val="12"/>
        <color theme="1"/>
        <rFont val="Times New Roman"/>
        <family val="1"/>
        <charset val="186"/>
      </rPr>
      <t xml:space="preserve"> / 165.58 (vid. d. stundu sk. mēnesī). Vid. mēn. noslogojums 20 min., (15,15 </t>
    </r>
    <r>
      <rPr>
        <i/>
        <sz val="12"/>
        <color theme="1"/>
        <rFont val="Times New Roman"/>
        <family val="1"/>
        <charset val="186"/>
      </rPr>
      <t>euro</t>
    </r>
    <r>
      <rPr>
        <sz val="12"/>
        <color theme="1"/>
        <rFont val="Times New Roman"/>
        <family val="1"/>
        <charset val="186"/>
      </rPr>
      <t xml:space="preserve"> * 0.33 h) = 5,00 </t>
    </r>
    <r>
      <rPr>
        <i/>
        <sz val="12"/>
        <color theme="1"/>
        <rFont val="Times New Roman"/>
        <family val="1"/>
        <charset val="186"/>
      </rPr>
      <t>euro</t>
    </r>
    <r>
      <rPr>
        <sz val="12"/>
        <color theme="1"/>
        <rFont val="Times New Roman"/>
        <family val="1"/>
        <charset val="186"/>
      </rPr>
      <t xml:space="preserve">/mēn. * 12. mēn. = 60,00 </t>
    </r>
    <r>
      <rPr>
        <i/>
        <sz val="12"/>
        <color theme="1"/>
        <rFont val="Times New Roman"/>
        <family val="1"/>
        <charset val="186"/>
      </rPr>
      <t>euro</t>
    </r>
    <r>
      <rPr>
        <sz val="12"/>
        <color theme="1"/>
        <rFont val="Times New Roman"/>
        <family val="1"/>
        <charset val="186"/>
      </rPr>
      <t xml:space="preserve"> * 0.45 (pakalpojuma īpatsvars kopējos ēkā sniegtajos pakalpojumos) = 27,00 </t>
    </r>
    <r>
      <rPr>
        <i/>
        <sz val="12"/>
        <color theme="1"/>
        <rFont val="Times New Roman"/>
        <family val="1"/>
        <charset val="186"/>
      </rPr>
      <t>euro</t>
    </r>
    <r>
      <rPr>
        <sz val="12"/>
        <color theme="1"/>
        <rFont val="Times New Roman"/>
        <family val="1"/>
        <charset val="186"/>
      </rPr>
      <t>.</t>
    </r>
  </si>
  <si>
    <r>
      <t>Finansists (15.1. saime, IA līmenis, 8. algu grupa, mēnešalga 1 372</t>
    </r>
    <r>
      <rPr>
        <i/>
        <sz val="12"/>
        <color theme="1"/>
        <rFont val="Times New Roman"/>
        <family val="1"/>
        <charset val="186"/>
      </rPr>
      <t xml:space="preserve"> euro). </t>
    </r>
    <r>
      <rPr>
        <sz val="12"/>
        <color theme="1"/>
        <rFont val="Times New Roman"/>
        <family val="1"/>
        <charset val="186"/>
      </rPr>
      <t>Stundas tarifa likme 8,29</t>
    </r>
    <r>
      <rPr>
        <i/>
        <sz val="12"/>
        <color theme="1"/>
        <rFont val="Times New Roman"/>
        <family val="1"/>
        <charset val="186"/>
      </rPr>
      <t xml:space="preserve"> euro = </t>
    </r>
    <r>
      <rPr>
        <sz val="12"/>
        <color theme="1"/>
        <rFont val="Times New Roman"/>
        <family val="1"/>
        <charset val="186"/>
      </rPr>
      <t xml:space="preserve">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0.45 (pakalpojuma īpatsvars kopējos ēkā sniegtajos pakalpojumos) = 412,72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</si>
  <si>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1 521 </t>
    </r>
    <r>
      <rPr>
        <i/>
        <sz val="12"/>
        <color theme="1"/>
        <rFont val="Times New Roman"/>
        <family val="1"/>
        <charset val="186"/>
      </rPr>
      <t>euro</t>
    </r>
    <r>
      <rPr>
        <sz val="12"/>
        <color theme="1"/>
        <rFont val="Times New Roman"/>
        <family val="1"/>
        <charset val="186"/>
      </rPr>
      <t xml:space="preserve"> / 165.58 (vid. d. stundu sk. mēnesī). Vid. mēn. noslogojums 15.10 stundas, (9,42 </t>
    </r>
    <r>
      <rPr>
        <i/>
        <sz val="12"/>
        <color theme="1"/>
        <rFont val="Times New Roman"/>
        <family val="1"/>
        <charset val="186"/>
      </rPr>
      <t>euro</t>
    </r>
    <r>
      <rPr>
        <sz val="12"/>
        <color theme="1"/>
        <rFont val="Times New Roman"/>
        <family val="1"/>
        <charset val="186"/>
      </rPr>
      <t xml:space="preserve"> * 15.10 h) = 142,24 </t>
    </r>
    <r>
      <rPr>
        <i/>
        <sz val="12"/>
        <color theme="1"/>
        <rFont val="Times New Roman"/>
        <family val="1"/>
        <charset val="186"/>
      </rPr>
      <t>euro</t>
    </r>
    <r>
      <rPr>
        <sz val="12"/>
        <color theme="1"/>
        <rFont val="Times New Roman"/>
        <family val="1"/>
        <charset val="186"/>
      </rPr>
      <t xml:space="preserve">/mēn. * 12. mēn. = 1 706,88 </t>
    </r>
    <r>
      <rPr>
        <i/>
        <sz val="12"/>
        <color theme="1"/>
        <rFont val="Times New Roman"/>
        <family val="1"/>
        <charset val="186"/>
      </rPr>
      <t>euro</t>
    </r>
    <r>
      <rPr>
        <sz val="12"/>
        <color theme="1"/>
        <rFont val="Times New Roman"/>
        <family val="1"/>
        <charset val="186"/>
      </rPr>
      <t xml:space="preserve"> * 0.45 (pakalpojuma īpatsvars kopējos ēkā sniegtajos pakalpojumos) = 768,10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</si>
  <si>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 =</t>
    </r>
    <r>
      <rPr>
        <sz val="12"/>
        <color theme="1"/>
        <rFont val="Times New Roman"/>
        <family val="1"/>
        <charset val="186"/>
      </rPr>
      <t xml:space="preserve"> 1 372</t>
    </r>
    <r>
      <rPr>
        <i/>
        <sz val="12"/>
        <color theme="1"/>
        <rFont val="Times New Roman"/>
        <family val="1"/>
        <charset val="186"/>
      </rPr>
      <t xml:space="preserve"> euro</t>
    </r>
    <r>
      <rPr>
        <sz val="12"/>
        <color theme="1"/>
        <rFont val="Times New Roman"/>
        <family val="1"/>
        <charset val="186"/>
      </rPr>
      <t xml:space="preserve"> / 165.58 (vid. d. stundu sk. mēnesī). Vid. mēn. noslogojums 25.85 stundas, (8,29 </t>
    </r>
    <r>
      <rPr>
        <i/>
        <sz val="12"/>
        <color theme="1"/>
        <rFont val="Times New Roman"/>
        <family val="1"/>
        <charset val="186"/>
      </rPr>
      <t>euro</t>
    </r>
    <r>
      <rPr>
        <sz val="12"/>
        <color theme="1"/>
        <rFont val="Times New Roman"/>
        <family val="1"/>
        <charset val="186"/>
      </rPr>
      <t xml:space="preserve"> * 25.85 h) = 214,30 </t>
    </r>
    <r>
      <rPr>
        <i/>
        <sz val="12"/>
        <color theme="1"/>
        <rFont val="Times New Roman"/>
        <family val="1"/>
        <charset val="186"/>
      </rPr>
      <t>euro</t>
    </r>
    <r>
      <rPr>
        <sz val="12"/>
        <color theme="1"/>
        <rFont val="Times New Roman"/>
        <family val="1"/>
        <charset val="186"/>
      </rPr>
      <t xml:space="preserve">/mēn. * 12. mēn. = 2 571,60 </t>
    </r>
    <r>
      <rPr>
        <i/>
        <sz val="12"/>
        <color theme="1"/>
        <rFont val="Times New Roman"/>
        <family val="1"/>
        <charset val="186"/>
      </rPr>
      <t>euro</t>
    </r>
    <r>
      <rPr>
        <sz val="12"/>
        <color theme="1"/>
        <rFont val="Times New Roman"/>
        <family val="1"/>
        <charset val="186"/>
      </rPr>
      <t xml:space="preserve"> * 0.45 (pakalpojuma īpatsvars kopējos ēkā sniegtajos pakalpojumos) = 1 157,22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</si>
  <si>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 xml:space="preserve">euro). </t>
    </r>
    <r>
      <rPr>
        <sz val="12"/>
        <color theme="1"/>
        <rFont val="Times New Roman"/>
        <family val="1"/>
        <charset val="186"/>
      </rPr>
      <t>Stundas tarifa likme 27,18</t>
    </r>
    <r>
      <rPr>
        <i/>
        <sz val="12"/>
        <color theme="1"/>
        <rFont val="Times New Roman"/>
        <family val="1"/>
        <charset val="186"/>
      </rPr>
      <t xml:space="preserve"> euro =</t>
    </r>
    <r>
      <rPr>
        <sz val="12"/>
        <color theme="1"/>
        <rFont val="Times New Roman"/>
        <family val="1"/>
        <charset val="186"/>
      </rPr>
      <t xml:space="preserve"> 4 500 </t>
    </r>
    <r>
      <rPr>
        <i/>
        <sz val="12"/>
        <color theme="1"/>
        <rFont val="Times New Roman"/>
        <family val="1"/>
        <charset val="186"/>
      </rPr>
      <t>euro</t>
    </r>
    <r>
      <rPr>
        <sz val="12"/>
        <color theme="1"/>
        <rFont val="Times New Roman"/>
        <family val="1"/>
        <charset val="186"/>
      </rPr>
      <t xml:space="preserve"> / 165.58 (vid. d. stundu sk. mēnesī). Vid. mēn. noslogojums  17 min., (27,18 </t>
    </r>
    <r>
      <rPr>
        <i/>
        <sz val="12"/>
        <color theme="1"/>
        <rFont val="Times New Roman"/>
        <family val="1"/>
        <charset val="186"/>
      </rPr>
      <t>euro</t>
    </r>
    <r>
      <rPr>
        <sz val="12"/>
        <color theme="1"/>
        <rFont val="Times New Roman"/>
        <family val="1"/>
        <charset val="186"/>
      </rPr>
      <t xml:space="preserve"> * 0.28 h) = 7,61 </t>
    </r>
    <r>
      <rPr>
        <i/>
        <sz val="12"/>
        <color theme="1"/>
        <rFont val="Times New Roman"/>
        <family val="1"/>
        <charset val="186"/>
      </rPr>
      <t>euro</t>
    </r>
    <r>
      <rPr>
        <sz val="12"/>
        <color theme="1"/>
        <rFont val="Times New Roman"/>
        <family val="1"/>
        <charset val="186"/>
      </rPr>
      <t xml:space="preserve">/mēn. * 12. mēn. = 91,32 </t>
    </r>
    <r>
      <rPr>
        <i/>
        <sz val="12"/>
        <color theme="1"/>
        <rFont val="Times New Roman"/>
        <family val="1"/>
        <charset val="186"/>
      </rPr>
      <t>euro</t>
    </r>
    <r>
      <rPr>
        <sz val="12"/>
        <color theme="1"/>
        <rFont val="Times New Roman"/>
        <family val="1"/>
        <charset val="186"/>
      </rPr>
      <t xml:space="preserve"> * 0.45 (pakalpojuma īpatsvars kopējos ēkā sniegtajos maksas pakalpojumos) = 41,09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</si>
  <si>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(2 640,44 </t>
    </r>
    <r>
      <rPr>
        <i/>
        <sz val="12"/>
        <color theme="1"/>
        <rFont val="Times New Roman"/>
        <family val="1"/>
        <charset val="186"/>
      </rPr>
      <t xml:space="preserve">euro </t>
    </r>
    <r>
      <rPr>
        <sz val="12"/>
        <color theme="1"/>
        <rFont val="Times New Roman"/>
        <family val="1"/>
        <charset val="186"/>
      </rPr>
      <t xml:space="preserve">* 23,59 %) = 622,88 </t>
    </r>
    <r>
      <rPr>
        <i/>
        <sz val="12"/>
        <color theme="1"/>
        <rFont val="Times New Roman"/>
        <family val="1"/>
        <charset val="186"/>
      </rPr>
      <t>euro</t>
    </r>
    <r>
      <rPr>
        <sz val="12"/>
        <color theme="1"/>
        <rFont val="Times New Roman"/>
        <family val="1"/>
        <charset val="186"/>
      </rPr>
      <t xml:space="preserve">.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</si>
  <si>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4 stundas, (8,20 </t>
    </r>
    <r>
      <rPr>
        <i/>
        <sz val="12"/>
        <color theme="1"/>
        <rFont val="Times New Roman"/>
        <family val="1"/>
        <charset val="186"/>
      </rPr>
      <t>euro</t>
    </r>
    <r>
      <rPr>
        <sz val="12"/>
        <color theme="1"/>
        <rFont val="Times New Roman"/>
        <family val="1"/>
        <charset val="186"/>
      </rPr>
      <t xml:space="preserve"> * 4 h) = 32,80 </t>
    </r>
    <r>
      <rPr>
        <i/>
        <sz val="12"/>
        <color theme="1"/>
        <rFont val="Times New Roman"/>
        <family val="1"/>
        <charset val="186"/>
      </rPr>
      <t>euro</t>
    </r>
    <r>
      <rPr>
        <sz val="12"/>
        <color theme="1"/>
        <rFont val="Times New Roman"/>
        <family val="1"/>
        <charset val="186"/>
      </rPr>
      <t xml:space="preserve">/mēn. * 12. mēn. = 393,60 </t>
    </r>
    <r>
      <rPr>
        <i/>
        <sz val="12"/>
        <color theme="1"/>
        <rFont val="Times New Roman"/>
        <family val="1"/>
        <charset val="186"/>
      </rPr>
      <t>euro</t>
    </r>
    <r>
      <rPr>
        <sz val="12"/>
        <color theme="1"/>
        <rFont val="Times New Roman"/>
        <family val="1"/>
        <charset val="186"/>
      </rPr>
      <t xml:space="preserve"> * 0.077 (pakalpojuma īpatsvars kopējos ēkā sniegtajos maksas pakalpojumos) = 30,31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</si>
  <si>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 xml:space="preserve">euro). </t>
    </r>
    <r>
      <rPr>
        <sz val="12"/>
        <color theme="1"/>
        <rFont val="Times New Roman"/>
        <family val="1"/>
        <charset val="186"/>
      </rPr>
      <t>Stundas tarifa likme</t>
    </r>
    <r>
      <rPr>
        <i/>
        <sz val="12"/>
        <color theme="1"/>
        <rFont val="Times New Roman"/>
        <family val="1"/>
        <charset val="186"/>
      </rPr>
      <t xml:space="preserve"> </t>
    </r>
    <r>
      <rPr>
        <sz val="12"/>
        <color theme="1"/>
        <rFont val="Times New Roman"/>
        <family val="1"/>
        <charset val="186"/>
      </rPr>
      <t xml:space="preserve">5,42 </t>
    </r>
    <r>
      <rPr>
        <i/>
        <sz val="12"/>
        <color theme="1"/>
        <rFont val="Times New Roman"/>
        <family val="1"/>
        <charset val="186"/>
      </rPr>
      <t xml:space="preserve">euro = </t>
    </r>
    <r>
      <rPr>
        <sz val="12"/>
        <color theme="1"/>
        <rFont val="Times New Roman"/>
        <family val="1"/>
        <charset val="186"/>
      </rPr>
      <t>897</t>
    </r>
    <r>
      <rPr>
        <i/>
        <sz val="12"/>
        <color theme="1"/>
        <rFont val="Times New Roman"/>
        <family val="1"/>
        <charset val="186"/>
      </rPr>
      <t xml:space="preserve"> euro</t>
    </r>
    <r>
      <rPr>
        <sz val="12"/>
        <color theme="1"/>
        <rFont val="Times New Roman"/>
        <family val="1"/>
        <charset val="186"/>
      </rPr>
      <t xml:space="preserve"> / 165.58 (vid. d. stundu sk. mēnesī). Vid. mēn. noslogojums 8 stundas, (5,42 </t>
    </r>
    <r>
      <rPr>
        <i/>
        <sz val="12"/>
        <color theme="1"/>
        <rFont val="Times New Roman"/>
        <family val="1"/>
        <charset val="186"/>
      </rPr>
      <t>euro</t>
    </r>
    <r>
      <rPr>
        <sz val="12"/>
        <color theme="1"/>
        <rFont val="Times New Roman"/>
        <family val="1"/>
        <charset val="186"/>
      </rPr>
      <t xml:space="preserve"> * 8 h) = 43,36 </t>
    </r>
    <r>
      <rPr>
        <i/>
        <sz val="12"/>
        <color theme="1"/>
        <rFont val="Times New Roman"/>
        <family val="1"/>
        <charset val="186"/>
      </rPr>
      <t>euro</t>
    </r>
    <r>
      <rPr>
        <sz val="12"/>
        <color theme="1"/>
        <rFont val="Times New Roman"/>
        <family val="1"/>
        <charset val="186"/>
      </rPr>
      <t xml:space="preserve">/mēn. * 12. mēn. = 520,32 </t>
    </r>
    <r>
      <rPr>
        <i/>
        <sz val="12"/>
        <color theme="1"/>
        <rFont val="Times New Roman"/>
        <family val="1"/>
        <charset val="186"/>
      </rPr>
      <t>euro</t>
    </r>
    <r>
      <rPr>
        <sz val="12"/>
        <color theme="1"/>
        <rFont val="Times New Roman"/>
        <family val="1"/>
        <charset val="186"/>
      </rPr>
      <t xml:space="preserve"> * 0.077 (pakalpojuma īpatsvars kopējos ēkā sniegtajos maksas pakalpojumos) = 40,06 </t>
    </r>
    <r>
      <rPr>
        <i/>
        <sz val="12"/>
        <color theme="1"/>
        <rFont val="Times New Roman"/>
        <family val="1"/>
        <charset val="186"/>
      </rPr>
      <t>euro</t>
    </r>
    <r>
      <rPr>
        <sz val="12"/>
        <color theme="1"/>
        <rFont val="Times New Roman"/>
        <family val="1"/>
        <charset val="186"/>
      </rPr>
      <t>.</t>
    </r>
  </si>
  <si>
    <r>
      <t xml:space="preserve">Administrators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 5,42 </t>
    </r>
    <r>
      <rPr>
        <i/>
        <sz val="12"/>
        <color theme="1"/>
        <rFont val="Times New Roman"/>
        <family val="1"/>
        <charset val="186"/>
      </rPr>
      <t>euro</t>
    </r>
    <r>
      <rPr>
        <sz val="12"/>
        <color theme="1"/>
        <rFont val="Times New Roman"/>
        <family val="1"/>
        <charset val="186"/>
      </rPr>
      <t xml:space="preserve">/stundā. Vid. mēn. noslogojums 114.76 stundas, (5,37 </t>
    </r>
    <r>
      <rPr>
        <i/>
        <sz val="12"/>
        <color theme="1"/>
        <rFont val="Times New Roman"/>
        <family val="1"/>
        <charset val="186"/>
      </rPr>
      <t>euro</t>
    </r>
    <r>
      <rPr>
        <sz val="12"/>
        <color theme="1"/>
        <rFont val="Times New Roman"/>
        <family val="1"/>
        <charset val="186"/>
      </rPr>
      <t xml:space="preserve"> * 114.76 h) = 622,00 </t>
    </r>
    <r>
      <rPr>
        <i/>
        <sz val="12"/>
        <color theme="1"/>
        <rFont val="Times New Roman"/>
        <family val="1"/>
        <charset val="186"/>
      </rPr>
      <t>euro</t>
    </r>
    <r>
      <rPr>
        <sz val="12"/>
        <color theme="1"/>
        <rFont val="Times New Roman"/>
        <family val="1"/>
        <charset val="186"/>
      </rPr>
      <t xml:space="preserve">/mēn. * 12. mēn. = 7 464,00 </t>
    </r>
    <r>
      <rPr>
        <i/>
        <sz val="12"/>
        <color theme="1"/>
        <rFont val="Times New Roman"/>
        <family val="1"/>
        <charset val="186"/>
      </rPr>
      <t xml:space="preserve">euro * </t>
    </r>
    <r>
      <rPr>
        <sz val="12"/>
        <color theme="1"/>
        <rFont val="Times New Roman"/>
        <family val="1"/>
        <charset val="186"/>
      </rPr>
      <t>0.077 (pakalpojuma īpatsvars kopējos ēkā sniegtajos maksas pakalpojumos) = 574,73</t>
    </r>
    <r>
      <rPr>
        <i/>
        <sz val="12"/>
        <color theme="1"/>
        <rFont val="Times New Roman"/>
        <family val="1"/>
        <charset val="186"/>
      </rPr>
      <t xml:space="preserve"> euro.</t>
    </r>
  </si>
  <si>
    <r>
      <t xml:space="preserve">Galv. nekust. īpaš. pārvaldnieks (30,31 </t>
    </r>
    <r>
      <rPr>
        <i/>
        <sz val="12"/>
        <color theme="1"/>
        <rFont val="Times New Roman"/>
        <family val="1"/>
        <charset val="186"/>
      </rPr>
      <t>euro</t>
    </r>
    <r>
      <rPr>
        <sz val="12"/>
        <color theme="1"/>
        <rFont val="Times New Roman"/>
        <family val="1"/>
        <charset val="186"/>
      </rPr>
      <t xml:space="preserve"> * 10%) = 3,03 </t>
    </r>
    <r>
      <rPr>
        <i/>
        <sz val="12"/>
        <color theme="1"/>
        <rFont val="Times New Roman"/>
        <family val="1"/>
        <charset val="186"/>
      </rPr>
      <t>euro</t>
    </r>
    <r>
      <rPr>
        <sz val="12"/>
        <color theme="1"/>
        <rFont val="Times New Roman"/>
        <family val="1"/>
        <charset val="186"/>
      </rPr>
      <t xml:space="preserve">, Saimniecības pārzinis (40,06 </t>
    </r>
    <r>
      <rPr>
        <i/>
        <sz val="12"/>
        <color theme="1"/>
        <rFont val="Times New Roman"/>
        <family val="1"/>
        <charset val="186"/>
      </rPr>
      <t>euro</t>
    </r>
    <r>
      <rPr>
        <sz val="12"/>
        <color theme="1"/>
        <rFont val="Times New Roman"/>
        <family val="1"/>
        <charset val="186"/>
      </rPr>
      <t xml:space="preserve"> * 10%) = 4,01 </t>
    </r>
    <r>
      <rPr>
        <i/>
        <sz val="12"/>
        <color theme="1"/>
        <rFont val="Times New Roman"/>
        <family val="1"/>
        <charset val="186"/>
      </rPr>
      <t>euro</t>
    </r>
    <r>
      <rPr>
        <sz val="12"/>
        <color theme="1"/>
        <rFont val="Times New Roman"/>
        <family val="1"/>
        <charset val="186"/>
      </rPr>
      <t xml:space="preserve">, Administrators (574,73 </t>
    </r>
    <r>
      <rPr>
        <i/>
        <sz val="12"/>
        <color theme="1"/>
        <rFont val="Times New Roman"/>
        <family val="1"/>
        <charset val="186"/>
      </rPr>
      <t>euro</t>
    </r>
    <r>
      <rPr>
        <sz val="12"/>
        <color theme="1"/>
        <rFont val="Times New Roman"/>
        <family val="1"/>
        <charset val="186"/>
      </rPr>
      <t xml:space="preserve"> * 10%) = 57,47 </t>
    </r>
    <r>
      <rPr>
        <i/>
        <sz val="12"/>
        <color theme="1"/>
        <rFont val="Times New Roman"/>
        <family val="1"/>
        <charset val="186"/>
      </rPr>
      <t>euro.</t>
    </r>
    <r>
      <rPr>
        <sz val="12"/>
        <color theme="1"/>
        <rFont val="Times New Roman"/>
        <family val="1"/>
        <charset val="186"/>
      </rPr>
      <t xml:space="preserve"> Kopā (3,03 </t>
    </r>
    <r>
      <rPr>
        <i/>
        <sz val="12"/>
        <color theme="1"/>
        <rFont val="Times New Roman"/>
        <family val="1"/>
        <charset val="186"/>
      </rPr>
      <t>euro</t>
    </r>
    <r>
      <rPr>
        <sz val="12"/>
        <color theme="1"/>
        <rFont val="Times New Roman"/>
        <family val="1"/>
        <charset val="186"/>
      </rPr>
      <t xml:space="preserve"> + 4,01 </t>
    </r>
    <r>
      <rPr>
        <i/>
        <sz val="12"/>
        <color theme="1"/>
        <rFont val="Times New Roman"/>
        <family val="1"/>
        <charset val="186"/>
      </rPr>
      <t>euro</t>
    </r>
    <r>
      <rPr>
        <sz val="12"/>
        <color theme="1"/>
        <rFont val="Times New Roman"/>
        <family val="1"/>
        <charset val="186"/>
      </rPr>
      <t xml:space="preserve"> + 57,47 </t>
    </r>
    <r>
      <rPr>
        <i/>
        <sz val="12"/>
        <color theme="1"/>
        <rFont val="Times New Roman"/>
        <family val="1"/>
        <charset val="186"/>
      </rPr>
      <t>euro</t>
    </r>
    <r>
      <rPr>
        <sz val="12"/>
        <color theme="1"/>
        <rFont val="Times New Roman"/>
        <family val="1"/>
        <charset val="186"/>
      </rPr>
      <t xml:space="preserve">) = 64,51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</si>
  <si>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(709,61 </t>
    </r>
    <r>
      <rPr>
        <i/>
        <sz val="12"/>
        <color theme="1"/>
        <rFont val="Times New Roman"/>
        <family val="1"/>
        <charset val="186"/>
      </rPr>
      <t>euro</t>
    </r>
    <r>
      <rPr>
        <sz val="12"/>
        <color theme="1"/>
        <rFont val="Times New Roman"/>
        <family val="1"/>
        <charset val="186"/>
      </rPr>
      <t xml:space="preserve"> * 23,59 %) = 167,40 </t>
    </r>
    <r>
      <rPr>
        <i/>
        <sz val="12"/>
        <color theme="1"/>
        <rFont val="Times New Roman"/>
        <family val="1"/>
        <charset val="186"/>
      </rPr>
      <t xml:space="preserve">euro. </t>
    </r>
  </si>
  <si>
    <r>
      <t xml:space="preserve">Veselības apdrošināšana, Galv. nekust. īpaš. pārvaldnieks (30,31 </t>
    </r>
    <r>
      <rPr>
        <i/>
        <sz val="12"/>
        <color theme="1"/>
        <rFont val="Times New Roman"/>
        <family val="1"/>
        <charset val="186"/>
      </rPr>
      <t>euro</t>
    </r>
    <r>
      <rPr>
        <sz val="12"/>
        <color theme="1"/>
        <rFont val="Times New Roman"/>
        <family val="1"/>
        <charset val="186"/>
      </rPr>
      <t xml:space="preserve"> * 5%) = 1,52 </t>
    </r>
    <r>
      <rPr>
        <i/>
        <sz val="12"/>
        <color theme="1"/>
        <rFont val="Times New Roman"/>
        <family val="1"/>
        <charset val="186"/>
      </rPr>
      <t>euro</t>
    </r>
    <r>
      <rPr>
        <sz val="12"/>
        <color theme="1"/>
        <rFont val="Times New Roman"/>
        <family val="1"/>
        <charset val="186"/>
      </rPr>
      <t xml:space="preserve">, Saimniecības pārzinis (40,06 </t>
    </r>
    <r>
      <rPr>
        <i/>
        <sz val="12"/>
        <color theme="1"/>
        <rFont val="Times New Roman"/>
        <family val="1"/>
        <charset val="186"/>
      </rPr>
      <t xml:space="preserve">euro </t>
    </r>
    <r>
      <rPr>
        <sz val="12"/>
        <color theme="1"/>
        <rFont val="Times New Roman"/>
        <family val="1"/>
        <charset val="186"/>
      </rPr>
      <t xml:space="preserve">* 5%) = 2,00 </t>
    </r>
    <r>
      <rPr>
        <i/>
        <sz val="12"/>
        <color theme="1"/>
        <rFont val="Times New Roman"/>
        <family val="1"/>
        <charset val="186"/>
      </rPr>
      <t>euro</t>
    </r>
    <r>
      <rPr>
        <sz val="12"/>
        <color theme="1"/>
        <rFont val="Times New Roman"/>
        <family val="1"/>
        <charset val="186"/>
      </rPr>
      <t xml:space="preserve">, Administrators (574,73 </t>
    </r>
    <r>
      <rPr>
        <i/>
        <sz val="12"/>
        <color theme="1"/>
        <rFont val="Times New Roman"/>
        <family val="1"/>
        <charset val="186"/>
      </rPr>
      <t>euro</t>
    </r>
    <r>
      <rPr>
        <sz val="12"/>
        <color theme="1"/>
        <rFont val="Times New Roman"/>
        <family val="1"/>
        <charset val="186"/>
      </rPr>
      <t xml:space="preserve"> * 5%) = 28,74 </t>
    </r>
    <r>
      <rPr>
        <i/>
        <sz val="12"/>
        <color theme="1"/>
        <rFont val="Times New Roman"/>
        <family val="1"/>
        <charset val="186"/>
      </rPr>
      <t>euro</t>
    </r>
    <r>
      <rPr>
        <sz val="12"/>
        <color theme="1"/>
        <rFont val="Times New Roman"/>
        <family val="1"/>
        <charset val="186"/>
      </rPr>
      <t xml:space="preserve">. Kopā (1,52 </t>
    </r>
    <r>
      <rPr>
        <i/>
        <sz val="12"/>
        <color theme="1"/>
        <rFont val="Times New Roman"/>
        <family val="1"/>
        <charset val="186"/>
      </rPr>
      <t>euro</t>
    </r>
    <r>
      <rPr>
        <sz val="12"/>
        <color theme="1"/>
        <rFont val="Times New Roman"/>
        <family val="1"/>
        <charset val="186"/>
      </rPr>
      <t xml:space="preserve"> + 2,00 </t>
    </r>
    <r>
      <rPr>
        <i/>
        <sz val="12"/>
        <color theme="1"/>
        <rFont val="Times New Roman"/>
        <family val="1"/>
        <charset val="186"/>
      </rPr>
      <t>euro</t>
    </r>
    <r>
      <rPr>
        <sz val="12"/>
        <color theme="1"/>
        <rFont val="Times New Roman"/>
        <family val="1"/>
        <charset val="186"/>
      </rPr>
      <t xml:space="preserve"> + 28,74 </t>
    </r>
    <r>
      <rPr>
        <i/>
        <sz val="12"/>
        <color theme="1"/>
        <rFont val="Times New Roman"/>
        <family val="1"/>
        <charset val="186"/>
      </rPr>
      <t>euro</t>
    </r>
    <r>
      <rPr>
        <sz val="12"/>
        <color theme="1"/>
        <rFont val="Times New Roman"/>
        <family val="1"/>
        <charset val="186"/>
      </rPr>
      <t xml:space="preserve">) = 32,26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</si>
  <si>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23,59 %, 167,40 </t>
    </r>
    <r>
      <rPr>
        <i/>
        <sz val="12"/>
        <color theme="1"/>
        <rFont val="Times New Roman"/>
        <family val="1"/>
        <charset val="186"/>
      </rPr>
      <t>euro</t>
    </r>
    <r>
      <rPr>
        <sz val="12"/>
        <color theme="1"/>
        <rFont val="Times New Roman"/>
        <family val="1"/>
        <charset val="186"/>
      </rPr>
      <t xml:space="preserve">. Veselības apdrošināšana 32,26 </t>
    </r>
    <r>
      <rPr>
        <i/>
        <sz val="12"/>
        <color theme="1"/>
        <rFont val="Times New Roman"/>
        <family val="1"/>
        <charset val="186"/>
      </rPr>
      <t xml:space="preserve">euro. </t>
    </r>
    <r>
      <rPr>
        <sz val="12"/>
        <color theme="1"/>
        <rFont val="Times New Roman"/>
        <family val="1"/>
        <charset val="186"/>
      </rPr>
      <t xml:space="preserve">Kopā 199,66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</si>
  <si>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20 min, (11,47 </t>
    </r>
    <r>
      <rPr>
        <i/>
        <sz val="12"/>
        <color theme="1"/>
        <rFont val="Times New Roman"/>
        <family val="1"/>
        <charset val="186"/>
      </rPr>
      <t>euro</t>
    </r>
    <r>
      <rPr>
        <sz val="12"/>
        <color theme="1"/>
        <rFont val="Times New Roman"/>
        <family val="1"/>
        <charset val="186"/>
      </rPr>
      <t xml:space="preserve"> * 0.33 h) = 3,79 </t>
    </r>
    <r>
      <rPr>
        <i/>
        <sz val="12"/>
        <color theme="1"/>
        <rFont val="Times New Roman"/>
        <family val="1"/>
        <charset val="186"/>
      </rPr>
      <t>euro</t>
    </r>
    <r>
      <rPr>
        <sz val="12"/>
        <color theme="1"/>
        <rFont val="Times New Roman"/>
        <family val="1"/>
        <charset val="186"/>
      </rPr>
      <t xml:space="preserve">/mēn. * 12. mēn. = 45,48 </t>
    </r>
    <r>
      <rPr>
        <i/>
        <sz val="12"/>
        <color theme="1"/>
        <rFont val="Times New Roman"/>
        <family val="1"/>
        <charset val="186"/>
      </rPr>
      <t xml:space="preserve">euro * </t>
    </r>
    <r>
      <rPr>
        <sz val="12"/>
        <color theme="1"/>
        <rFont val="Times New Roman"/>
        <family val="1"/>
        <charset val="186"/>
      </rPr>
      <t>0.077</t>
    </r>
    <r>
      <rPr>
        <i/>
        <sz val="12"/>
        <color theme="1"/>
        <rFont val="Times New Roman"/>
        <family val="1"/>
        <charset val="186"/>
      </rPr>
      <t xml:space="preserve"> </t>
    </r>
    <r>
      <rPr>
        <sz val="12"/>
        <color theme="1"/>
        <rFont val="Times New Roman"/>
        <family val="1"/>
        <charset val="186"/>
      </rPr>
      <t>(pakalpojuma īpatsvars kopējos ēkā sniegtajos maksas pakalpojumos)</t>
    </r>
    <r>
      <rPr>
        <i/>
        <sz val="12"/>
        <color theme="1"/>
        <rFont val="Times New Roman"/>
        <family val="1"/>
        <charset val="186"/>
      </rPr>
      <t xml:space="preserve"> = 3,50 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</si>
  <si>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20 min., (7,65 </t>
    </r>
    <r>
      <rPr>
        <i/>
        <sz val="12"/>
        <color theme="1"/>
        <rFont val="Times New Roman"/>
        <family val="1"/>
        <charset val="186"/>
      </rPr>
      <t>euro</t>
    </r>
    <r>
      <rPr>
        <sz val="12"/>
        <color theme="1"/>
        <rFont val="Times New Roman"/>
        <family val="1"/>
        <charset val="186"/>
      </rPr>
      <t xml:space="preserve"> * 0.33 h) = 2,52 </t>
    </r>
    <r>
      <rPr>
        <i/>
        <sz val="12"/>
        <color theme="1"/>
        <rFont val="Times New Roman"/>
        <family val="1"/>
        <charset val="186"/>
      </rPr>
      <t>euro</t>
    </r>
    <r>
      <rPr>
        <sz val="12"/>
        <color theme="1"/>
        <rFont val="Times New Roman"/>
        <family val="1"/>
        <charset val="186"/>
      </rPr>
      <t xml:space="preserve">/mēn. * 12. mēn. = 30,24 </t>
    </r>
    <r>
      <rPr>
        <i/>
        <sz val="12"/>
        <color theme="1"/>
        <rFont val="Times New Roman"/>
        <family val="1"/>
        <charset val="186"/>
      </rPr>
      <t>euro</t>
    </r>
    <r>
      <rPr>
        <sz val="12"/>
        <color theme="1"/>
        <rFont val="Times New Roman"/>
        <family val="1"/>
        <charset val="186"/>
      </rPr>
      <t xml:space="preserve"> * 0.077 (pakalpojuma īpatsvars kopējos ēkā sniegtajos maksas pakalpojumos) = 2,33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</si>
  <si>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20 min., (11,47 </t>
    </r>
    <r>
      <rPr>
        <i/>
        <sz val="12"/>
        <color theme="1"/>
        <rFont val="Times New Roman"/>
        <family val="1"/>
        <charset val="186"/>
      </rPr>
      <t>euro</t>
    </r>
    <r>
      <rPr>
        <sz val="12"/>
        <color theme="1"/>
        <rFont val="Times New Roman"/>
        <family val="1"/>
        <charset val="186"/>
      </rPr>
      <t xml:space="preserve"> * 0.33 h) = 3,79 </t>
    </r>
    <r>
      <rPr>
        <i/>
        <sz val="12"/>
        <color theme="1"/>
        <rFont val="Times New Roman"/>
        <family val="1"/>
        <charset val="186"/>
      </rPr>
      <t>euro</t>
    </r>
    <r>
      <rPr>
        <sz val="12"/>
        <color theme="1"/>
        <rFont val="Times New Roman"/>
        <family val="1"/>
        <charset val="186"/>
      </rPr>
      <t xml:space="preserve">/mēn. * 12. mēn. = 45,48 </t>
    </r>
    <r>
      <rPr>
        <i/>
        <sz val="12"/>
        <color theme="1"/>
        <rFont val="Times New Roman"/>
        <family val="1"/>
        <charset val="186"/>
      </rPr>
      <t>euro</t>
    </r>
    <r>
      <rPr>
        <sz val="12"/>
        <color theme="1"/>
        <rFont val="Times New Roman"/>
        <family val="1"/>
        <charset val="186"/>
      </rPr>
      <t xml:space="preserve"> * 0.077 (pakalpojuma īpatsvars kopējos ēkā sniegtajos maksas pakalpojumos) = 3,50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</si>
  <si>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 min., (15,15 </t>
    </r>
    <r>
      <rPr>
        <i/>
        <sz val="12"/>
        <color theme="1"/>
        <rFont val="Times New Roman"/>
        <family val="1"/>
        <charset val="186"/>
      </rPr>
      <t>euro</t>
    </r>
    <r>
      <rPr>
        <sz val="12"/>
        <color theme="1"/>
        <rFont val="Times New Roman"/>
        <family val="1"/>
        <charset val="186"/>
      </rPr>
      <t xml:space="preserve"> * 0.33 h) = 5,00 </t>
    </r>
    <r>
      <rPr>
        <i/>
        <sz val="12"/>
        <color theme="1"/>
        <rFont val="Times New Roman"/>
        <family val="1"/>
        <charset val="186"/>
      </rPr>
      <t>euro</t>
    </r>
    <r>
      <rPr>
        <sz val="12"/>
        <color theme="1"/>
        <rFont val="Times New Roman"/>
        <family val="1"/>
        <charset val="186"/>
      </rPr>
      <t xml:space="preserve">/mēn. * 12. mēn. = 60,00 </t>
    </r>
    <r>
      <rPr>
        <i/>
        <sz val="12"/>
        <color theme="1"/>
        <rFont val="Times New Roman"/>
        <family val="1"/>
        <charset val="186"/>
      </rPr>
      <t>euro</t>
    </r>
    <r>
      <rPr>
        <sz val="12"/>
        <color theme="1"/>
        <rFont val="Times New Roman"/>
        <family val="1"/>
        <charset val="186"/>
      </rPr>
      <t xml:space="preserve"> * 0.077 (pakalpojuma īpatsvars kopējos ēkā sniegtajos pakalpojumos) = 4,62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</si>
  <si>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 xml:space="preserve">euro). </t>
    </r>
    <r>
      <rPr>
        <sz val="12"/>
        <color theme="1"/>
        <rFont val="Times New Roman"/>
        <family val="1"/>
        <charset val="186"/>
      </rPr>
      <t xml:space="preserve">Stundas tarifa likme 12,17 </t>
    </r>
    <r>
      <rPr>
        <i/>
        <sz val="12"/>
        <color theme="1"/>
        <rFont val="Times New Roman"/>
        <family val="1"/>
        <charset val="186"/>
      </rPr>
      <t>euro</t>
    </r>
    <r>
      <rPr>
        <sz val="12"/>
        <color theme="1"/>
        <rFont val="Times New Roman"/>
        <family val="1"/>
        <charset val="186"/>
      </rPr>
      <t xml:space="preserve"> = 2 017 </t>
    </r>
    <r>
      <rPr>
        <i/>
        <sz val="12"/>
        <color theme="1"/>
        <rFont val="Times New Roman"/>
        <family val="1"/>
        <charset val="186"/>
      </rPr>
      <t>euro</t>
    </r>
    <r>
      <rPr>
        <sz val="12"/>
        <color theme="1"/>
        <rFont val="Times New Roman"/>
        <family val="1"/>
        <charset val="186"/>
      </rPr>
      <t xml:space="preserve"> / 165.58 (vid. d. stundu sk. mēnesī). Vid. mēn. noslogojums 13 min, (12,17 </t>
    </r>
    <r>
      <rPr>
        <i/>
        <sz val="12"/>
        <color theme="1"/>
        <rFont val="Times New Roman"/>
        <family val="1"/>
        <charset val="186"/>
      </rPr>
      <t>euro</t>
    </r>
    <r>
      <rPr>
        <sz val="12"/>
        <color theme="1"/>
        <rFont val="Times New Roman"/>
        <family val="1"/>
        <charset val="186"/>
      </rPr>
      <t xml:space="preserve"> * 0.22 h) = 2,68 </t>
    </r>
    <r>
      <rPr>
        <i/>
        <sz val="12"/>
        <color theme="1"/>
        <rFont val="Times New Roman"/>
        <family val="1"/>
        <charset val="186"/>
      </rPr>
      <t>euro</t>
    </r>
    <r>
      <rPr>
        <sz val="12"/>
        <color theme="1"/>
        <rFont val="Times New Roman"/>
        <family val="1"/>
        <charset val="186"/>
      </rPr>
      <t xml:space="preserve">/mēn. * 12. mēn. = 32,16 </t>
    </r>
    <r>
      <rPr>
        <i/>
        <sz val="12"/>
        <color theme="1"/>
        <rFont val="Times New Roman"/>
        <family val="1"/>
        <charset val="186"/>
      </rPr>
      <t>euro</t>
    </r>
    <r>
      <rPr>
        <sz val="12"/>
        <color theme="1"/>
        <rFont val="Times New Roman"/>
        <family val="1"/>
        <charset val="186"/>
      </rPr>
      <t xml:space="preserve"> * 0.45 (pakalpojuma īpatsvars kopējos ēkā sniegtajos pakalpojumos) = 14,47 </t>
    </r>
    <r>
      <rPr>
        <i/>
        <sz val="12"/>
        <color theme="1"/>
        <rFont val="Times New Roman"/>
        <family val="1"/>
        <charset val="186"/>
      </rPr>
      <t>euro.</t>
    </r>
    <r>
      <rPr>
        <sz val="12"/>
        <color theme="1"/>
        <rFont val="Times New Roman"/>
        <family val="1"/>
        <charset val="186"/>
      </rPr>
      <t xml:space="preserve">         </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</si>
  <si>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13 min, (12,17 </t>
    </r>
    <r>
      <rPr>
        <i/>
        <sz val="12"/>
        <color theme="1"/>
        <rFont val="Times New Roman"/>
        <family val="1"/>
        <charset val="186"/>
      </rPr>
      <t>euro</t>
    </r>
    <r>
      <rPr>
        <sz val="12"/>
        <color theme="1"/>
        <rFont val="Times New Roman"/>
        <family val="1"/>
        <charset val="186"/>
      </rPr>
      <t xml:space="preserve"> * 0.22 h) = 2,68 </t>
    </r>
    <r>
      <rPr>
        <i/>
        <sz val="12"/>
        <color theme="1"/>
        <rFont val="Times New Roman"/>
        <family val="1"/>
        <charset val="186"/>
      </rPr>
      <t>euro</t>
    </r>
    <r>
      <rPr>
        <sz val="12"/>
        <color theme="1"/>
        <rFont val="Times New Roman"/>
        <family val="1"/>
        <charset val="186"/>
      </rPr>
      <t xml:space="preserve">/mēn. * 12. mēn. = 32,16 </t>
    </r>
    <r>
      <rPr>
        <i/>
        <sz val="12"/>
        <color theme="1"/>
        <rFont val="Times New Roman"/>
        <family val="1"/>
        <charset val="186"/>
      </rPr>
      <t>euro</t>
    </r>
    <r>
      <rPr>
        <sz val="12"/>
        <color theme="1"/>
        <rFont val="Times New Roman"/>
        <family val="1"/>
        <charset val="186"/>
      </rPr>
      <t xml:space="preserve"> * 0.077 (pakalpojuma īpatsvars kopējos ēkā sniegtajos pakalpojumos) = 2,48 </t>
    </r>
    <r>
      <rPr>
        <i/>
        <sz val="12"/>
        <color theme="1"/>
        <rFont val="Times New Roman"/>
        <family val="1"/>
        <charset val="186"/>
      </rPr>
      <t>euro</t>
    </r>
    <r>
      <rPr>
        <sz val="12"/>
        <color theme="1"/>
        <rFont val="Times New Roman"/>
        <family val="1"/>
        <charset val="186"/>
      </rPr>
      <t xml:space="preserve">.         </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</si>
  <si>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0.077 (pakalpojuma īpatsvars kopējos ēkā sniegtajos pakalpojumos) = 70,62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</si>
  <si>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15.10 stundas, (9,42 </t>
    </r>
    <r>
      <rPr>
        <i/>
        <sz val="12"/>
        <color theme="1"/>
        <rFont val="Times New Roman"/>
        <family val="1"/>
        <charset val="186"/>
      </rPr>
      <t>euro</t>
    </r>
    <r>
      <rPr>
        <sz val="12"/>
        <color theme="1"/>
        <rFont val="Times New Roman"/>
        <family val="1"/>
        <charset val="186"/>
      </rPr>
      <t xml:space="preserve"> * 15.10 h) = 142,24 </t>
    </r>
    <r>
      <rPr>
        <i/>
        <sz val="12"/>
        <color theme="1"/>
        <rFont val="Times New Roman"/>
        <family val="1"/>
        <charset val="186"/>
      </rPr>
      <t>euro</t>
    </r>
    <r>
      <rPr>
        <sz val="12"/>
        <color theme="1"/>
        <rFont val="Times New Roman"/>
        <family val="1"/>
        <charset val="186"/>
      </rPr>
      <t xml:space="preserve">/mēn. * 12. mēn. = 1 706,88 </t>
    </r>
    <r>
      <rPr>
        <i/>
        <sz val="12"/>
        <color theme="1"/>
        <rFont val="Times New Roman"/>
        <family val="1"/>
        <charset val="186"/>
      </rPr>
      <t>euro</t>
    </r>
    <r>
      <rPr>
        <sz val="12"/>
        <color theme="1"/>
        <rFont val="Times New Roman"/>
        <family val="1"/>
        <charset val="186"/>
      </rPr>
      <t xml:space="preserve"> * 0.077 (pakalpojuma īpatsvars kopējos ēkā sniegtajos pakalpojumos) = 131,43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</si>
  <si>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 =</t>
    </r>
    <r>
      <rPr>
        <sz val="12"/>
        <color theme="1"/>
        <rFont val="Times New Roman"/>
        <family val="1"/>
        <charset val="186"/>
      </rPr>
      <t xml:space="preserve"> 1 372</t>
    </r>
    <r>
      <rPr>
        <i/>
        <sz val="12"/>
        <color theme="1"/>
        <rFont val="Times New Roman"/>
        <family val="1"/>
        <charset val="186"/>
      </rPr>
      <t xml:space="preserve"> euro</t>
    </r>
    <r>
      <rPr>
        <sz val="12"/>
        <color theme="1"/>
        <rFont val="Times New Roman"/>
        <family val="1"/>
        <charset val="186"/>
      </rPr>
      <t xml:space="preserve"> / 165.58 (vid. d. stundu sk. mēnesī). Vid. mēn. noslogojums 25.84 stundas, (8,29 </t>
    </r>
    <r>
      <rPr>
        <i/>
        <sz val="12"/>
        <color theme="1"/>
        <rFont val="Times New Roman"/>
        <family val="1"/>
        <charset val="186"/>
      </rPr>
      <t>euro</t>
    </r>
    <r>
      <rPr>
        <sz val="12"/>
        <color theme="1"/>
        <rFont val="Times New Roman"/>
        <family val="1"/>
        <charset val="186"/>
      </rPr>
      <t xml:space="preserve"> * 25.85 h) = 214,30 </t>
    </r>
    <r>
      <rPr>
        <i/>
        <sz val="12"/>
        <color theme="1"/>
        <rFont val="Times New Roman"/>
        <family val="1"/>
        <charset val="186"/>
      </rPr>
      <t>euro</t>
    </r>
    <r>
      <rPr>
        <sz val="12"/>
        <color theme="1"/>
        <rFont val="Times New Roman"/>
        <family val="1"/>
        <charset val="186"/>
      </rPr>
      <t xml:space="preserve">/mēn. * 12. mēn. = 2 571,60 </t>
    </r>
    <r>
      <rPr>
        <i/>
        <sz val="12"/>
        <color theme="1"/>
        <rFont val="Times New Roman"/>
        <family val="1"/>
        <charset val="186"/>
      </rPr>
      <t>euro</t>
    </r>
    <r>
      <rPr>
        <sz val="12"/>
        <color theme="1"/>
        <rFont val="Times New Roman"/>
        <family val="1"/>
        <charset val="186"/>
      </rPr>
      <t xml:space="preserve"> * 0.077 (pakalpojuma īpatsvars kopējos ēkā sniegtajos pakalpojumos) = 198,01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</si>
  <si>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 xml:space="preserve">euro). </t>
    </r>
    <r>
      <rPr>
        <sz val="12"/>
        <color theme="1"/>
        <rFont val="Times New Roman"/>
        <family val="1"/>
        <charset val="186"/>
      </rPr>
      <t>Stundas tarifa likme</t>
    </r>
    <r>
      <rPr>
        <i/>
        <sz val="12"/>
        <color theme="1"/>
        <rFont val="Times New Roman"/>
        <family val="1"/>
        <charset val="186"/>
      </rPr>
      <t xml:space="preserve"> </t>
    </r>
    <r>
      <rPr>
        <sz val="12"/>
        <color theme="1"/>
        <rFont val="Times New Roman"/>
        <family val="1"/>
        <charset val="186"/>
      </rPr>
      <t xml:space="preserve">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72 minūtes, (25,09 </t>
    </r>
    <r>
      <rPr>
        <i/>
        <sz val="12"/>
        <color theme="1"/>
        <rFont val="Times New Roman"/>
        <family val="1"/>
        <charset val="186"/>
      </rPr>
      <t>euro</t>
    </r>
    <r>
      <rPr>
        <sz val="12"/>
        <color theme="1"/>
        <rFont val="Times New Roman"/>
        <family val="1"/>
        <charset val="186"/>
      </rPr>
      <t xml:space="preserve"> * 1.22 h) = 30,61 </t>
    </r>
    <r>
      <rPr>
        <i/>
        <sz val="12"/>
        <color theme="1"/>
        <rFont val="Times New Roman"/>
        <family val="1"/>
        <charset val="186"/>
      </rPr>
      <t>euro</t>
    </r>
    <r>
      <rPr>
        <sz val="12"/>
        <color theme="1"/>
        <rFont val="Times New Roman"/>
        <family val="1"/>
        <charset val="186"/>
      </rPr>
      <t xml:space="preserve">/mēn. * 12. mēn. = 367,32 </t>
    </r>
    <r>
      <rPr>
        <i/>
        <sz val="12"/>
        <color theme="1"/>
        <rFont val="Times New Roman"/>
        <family val="1"/>
        <charset val="186"/>
      </rPr>
      <t>euro</t>
    </r>
    <r>
      <rPr>
        <sz val="12"/>
        <color theme="1"/>
        <rFont val="Times New Roman"/>
        <family val="1"/>
        <charset val="186"/>
      </rPr>
      <t xml:space="preserve"> * 0.077 (pakalpojuma īpatsvars kopējos ēkā sniegtajos pakalpojumos) = 28,28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</si>
  <si>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 xml:space="preserve">euro). </t>
    </r>
    <r>
      <rPr>
        <sz val="12"/>
        <color theme="1"/>
        <rFont val="Times New Roman"/>
        <family val="1"/>
        <charset val="186"/>
      </rPr>
      <t>Stundas tarifa likme 27,18</t>
    </r>
    <r>
      <rPr>
        <i/>
        <sz val="12"/>
        <color theme="1"/>
        <rFont val="Times New Roman"/>
        <family val="1"/>
        <charset val="186"/>
      </rPr>
      <t xml:space="preserve"> euro =</t>
    </r>
    <r>
      <rPr>
        <sz val="12"/>
        <color theme="1"/>
        <rFont val="Times New Roman"/>
        <family val="1"/>
        <charset val="186"/>
      </rPr>
      <t xml:space="preserve"> 4 500 </t>
    </r>
    <r>
      <rPr>
        <i/>
        <sz val="12"/>
        <color theme="1"/>
        <rFont val="Times New Roman"/>
        <family val="1"/>
        <charset val="186"/>
      </rPr>
      <t>euro</t>
    </r>
    <r>
      <rPr>
        <sz val="12"/>
        <color theme="1"/>
        <rFont val="Times New Roman"/>
        <family val="1"/>
        <charset val="186"/>
      </rPr>
      <t xml:space="preserve"> / 165.58 (vid. d. stundu sk. mēnesī)). Vid. mēn. noslogojums  17 min., (27,18 </t>
    </r>
    <r>
      <rPr>
        <i/>
        <sz val="12"/>
        <color theme="1"/>
        <rFont val="Times New Roman"/>
        <family val="1"/>
        <charset val="186"/>
      </rPr>
      <t>euro</t>
    </r>
    <r>
      <rPr>
        <sz val="12"/>
        <color theme="1"/>
        <rFont val="Times New Roman"/>
        <family val="1"/>
        <charset val="186"/>
      </rPr>
      <t xml:space="preserve"> * 0.28 h) = 7,61 </t>
    </r>
    <r>
      <rPr>
        <i/>
        <sz val="12"/>
        <color theme="1"/>
        <rFont val="Times New Roman"/>
        <family val="1"/>
        <charset val="186"/>
      </rPr>
      <t>euro</t>
    </r>
    <r>
      <rPr>
        <sz val="12"/>
        <color theme="1"/>
        <rFont val="Times New Roman"/>
        <family val="1"/>
        <charset val="186"/>
      </rPr>
      <t xml:space="preserve">/mēn. * 12. mēn. = 91,32 </t>
    </r>
    <r>
      <rPr>
        <i/>
        <sz val="12"/>
        <color theme="1"/>
        <rFont val="Times New Roman"/>
        <family val="1"/>
        <charset val="186"/>
      </rPr>
      <t>euro</t>
    </r>
    <r>
      <rPr>
        <sz val="12"/>
        <color theme="1"/>
        <rFont val="Times New Roman"/>
        <family val="1"/>
        <charset val="186"/>
      </rPr>
      <t xml:space="preserve"> * 0.077 (pakalpojuma īpatsvars kopējos ēkā sniegtajos maksas pakalpojumos) = 7,03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</si>
  <si>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(451,80 </t>
    </r>
    <r>
      <rPr>
        <i/>
        <sz val="12"/>
        <color theme="1"/>
        <rFont val="Times New Roman"/>
        <family val="1"/>
        <charset val="186"/>
      </rPr>
      <t>euro</t>
    </r>
    <r>
      <rPr>
        <sz val="12"/>
        <color theme="1"/>
        <rFont val="Times New Roman"/>
        <family val="1"/>
        <charset val="186"/>
      </rPr>
      <t xml:space="preserve"> * 23,59 %) = 106,58 </t>
    </r>
    <r>
      <rPr>
        <i/>
        <sz val="12"/>
        <color theme="1"/>
        <rFont val="Times New Roman"/>
        <family val="1"/>
        <charset val="186"/>
      </rPr>
      <t>euro.</t>
    </r>
    <r>
      <rPr>
        <sz val="12"/>
        <color theme="1"/>
        <rFont val="Times New Roman"/>
        <family val="1"/>
        <charset val="186"/>
      </rPr>
      <t xml:space="preserve">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</si>
  <si>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2.06 stundas, (8,20 </t>
    </r>
    <r>
      <rPr>
        <i/>
        <sz val="12"/>
        <color theme="1"/>
        <rFont val="Times New Roman"/>
        <family val="1"/>
        <charset val="186"/>
      </rPr>
      <t>euro</t>
    </r>
    <r>
      <rPr>
        <sz val="12"/>
        <color theme="1"/>
        <rFont val="Times New Roman"/>
        <family val="1"/>
        <charset val="186"/>
      </rPr>
      <t xml:space="preserve"> * 2.06 h) = 16,89 </t>
    </r>
    <r>
      <rPr>
        <i/>
        <sz val="12"/>
        <color theme="1"/>
        <rFont val="Times New Roman"/>
        <family val="1"/>
        <charset val="186"/>
      </rPr>
      <t>euro</t>
    </r>
    <r>
      <rPr>
        <sz val="12"/>
        <color theme="1"/>
        <rFont val="Times New Roman"/>
        <family val="1"/>
        <charset val="186"/>
      </rPr>
      <t xml:space="preserve">/mēn. * 12 mēn. = 202,68 </t>
    </r>
    <r>
      <rPr>
        <i/>
        <sz val="12"/>
        <color theme="1"/>
        <rFont val="Times New Roman"/>
        <family val="1"/>
        <charset val="186"/>
      </rPr>
      <t>euro</t>
    </r>
    <r>
      <rPr>
        <sz val="12"/>
        <color theme="1"/>
        <rFont val="Times New Roman"/>
        <family val="1"/>
        <charset val="186"/>
      </rPr>
      <t xml:space="preserve"> * 0.91 (pakalpojuma īpatsvars kopējos ēkā sniegtajos pakalpojumos) = 184,44 </t>
    </r>
    <r>
      <rPr>
        <i/>
        <sz val="12"/>
        <color theme="1"/>
        <rFont val="Times New Roman"/>
        <family val="1"/>
        <charset val="186"/>
      </rPr>
      <t>euro</t>
    </r>
    <r>
      <rPr>
        <sz val="12"/>
        <color theme="1"/>
        <rFont val="Times New Roman"/>
        <family val="1"/>
        <charset val="186"/>
      </rPr>
      <t xml:space="preserve">. </t>
    </r>
  </si>
  <si>
    <r>
      <t xml:space="preserve">Administrators (3. saime, I līmenis, 5. algu grupa, mēnešalga 897 euro).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83.46 stundas, (5,42 </t>
    </r>
    <r>
      <rPr>
        <i/>
        <sz val="12"/>
        <color theme="1"/>
        <rFont val="Times New Roman"/>
        <family val="1"/>
        <charset val="186"/>
      </rPr>
      <t>euro</t>
    </r>
    <r>
      <rPr>
        <sz val="12"/>
        <color theme="1"/>
        <rFont val="Times New Roman"/>
        <family val="1"/>
        <charset val="186"/>
      </rPr>
      <t xml:space="preserve"> * 83.46 h) = 452,35 </t>
    </r>
    <r>
      <rPr>
        <i/>
        <sz val="12"/>
        <color theme="1"/>
        <rFont val="Times New Roman"/>
        <family val="1"/>
        <charset val="186"/>
      </rPr>
      <t>euro</t>
    </r>
    <r>
      <rPr>
        <sz val="12"/>
        <color theme="1"/>
        <rFont val="Times New Roman"/>
        <family val="1"/>
        <charset val="186"/>
      </rPr>
      <t xml:space="preserve">/mēn. * 12. mēn. = 5 428,20 </t>
    </r>
    <r>
      <rPr>
        <i/>
        <sz val="12"/>
        <color theme="1"/>
        <rFont val="Times New Roman"/>
        <family val="1"/>
        <charset val="186"/>
      </rPr>
      <t>euro</t>
    </r>
    <r>
      <rPr>
        <sz val="12"/>
        <color theme="1"/>
        <rFont val="Times New Roman"/>
        <family val="1"/>
        <charset val="186"/>
      </rPr>
      <t xml:space="preserve"> * 0.91 (pakalpojuma īpatsvars kopējos ēkā sniegtajos maksas pakalpojumos) = 4 939,66 </t>
    </r>
    <r>
      <rPr>
        <i/>
        <sz val="12"/>
        <color theme="1"/>
        <rFont val="Times New Roman"/>
        <family val="1"/>
        <charset val="186"/>
      </rPr>
      <t>euro</t>
    </r>
    <r>
      <rPr>
        <sz val="12"/>
        <color theme="1"/>
        <rFont val="Times New Roman"/>
        <family val="1"/>
        <charset val="186"/>
      </rPr>
      <t xml:space="preserve">. </t>
    </r>
  </si>
  <si>
    <r>
      <t xml:space="preserve">Galv. nekust. īpaš. pārvaldnieks (184,44 </t>
    </r>
    <r>
      <rPr>
        <i/>
        <sz val="12"/>
        <color theme="1"/>
        <rFont val="Times New Roman"/>
        <family val="1"/>
        <charset val="186"/>
      </rPr>
      <t>euro</t>
    </r>
    <r>
      <rPr>
        <sz val="12"/>
        <color theme="1"/>
        <rFont val="Times New Roman"/>
        <family val="1"/>
        <charset val="186"/>
      </rPr>
      <t xml:space="preserve"> * 10%) = 18,44 </t>
    </r>
    <r>
      <rPr>
        <i/>
        <sz val="12"/>
        <color theme="1"/>
        <rFont val="Times New Roman"/>
        <family val="1"/>
        <charset val="186"/>
      </rPr>
      <t>euro</t>
    </r>
    <r>
      <rPr>
        <sz val="12"/>
        <color theme="1"/>
        <rFont val="Times New Roman"/>
        <family val="1"/>
        <charset val="186"/>
      </rPr>
      <t xml:space="preserve">, Administrators (4 939,66 </t>
    </r>
    <r>
      <rPr>
        <i/>
        <sz val="12"/>
        <color theme="1"/>
        <rFont val="Times New Roman"/>
        <family val="1"/>
        <charset val="186"/>
      </rPr>
      <t>euro</t>
    </r>
    <r>
      <rPr>
        <sz val="12"/>
        <color theme="1"/>
        <rFont val="Times New Roman"/>
        <family val="1"/>
        <charset val="186"/>
      </rPr>
      <t xml:space="preserve"> * 10%) = 493,97 </t>
    </r>
    <r>
      <rPr>
        <i/>
        <sz val="12"/>
        <color theme="1"/>
        <rFont val="Times New Roman"/>
        <family val="1"/>
        <charset val="186"/>
      </rPr>
      <t>euro.</t>
    </r>
    <r>
      <rPr>
        <sz val="12"/>
        <color theme="1"/>
        <rFont val="Times New Roman"/>
        <family val="1"/>
        <charset val="186"/>
      </rPr>
      <t xml:space="preserve"> Kopā (18,44 </t>
    </r>
    <r>
      <rPr>
        <i/>
        <sz val="12"/>
        <color theme="1"/>
        <rFont val="Times New Roman"/>
        <family val="1"/>
        <charset val="186"/>
      </rPr>
      <t>euro</t>
    </r>
    <r>
      <rPr>
        <sz val="12"/>
        <color theme="1"/>
        <rFont val="Times New Roman"/>
        <family val="1"/>
        <charset val="186"/>
      </rPr>
      <t xml:space="preserve"> + 493,97 </t>
    </r>
    <r>
      <rPr>
        <i/>
        <sz val="12"/>
        <color theme="1"/>
        <rFont val="Times New Roman"/>
        <family val="1"/>
        <charset val="186"/>
      </rPr>
      <t>euro</t>
    </r>
    <r>
      <rPr>
        <sz val="12"/>
        <color theme="1"/>
        <rFont val="Times New Roman"/>
        <family val="1"/>
        <charset val="186"/>
      </rPr>
      <t xml:space="preserve">) = 512,41 </t>
    </r>
    <r>
      <rPr>
        <i/>
        <sz val="12"/>
        <color theme="1"/>
        <rFont val="Times New Roman"/>
        <family val="1"/>
        <charset val="186"/>
      </rPr>
      <t>euro</t>
    </r>
    <r>
      <rPr>
        <sz val="12"/>
        <color theme="1"/>
        <rFont val="Times New Roman"/>
        <family val="1"/>
        <charset val="186"/>
      </rPr>
      <t>.</t>
    </r>
  </si>
  <si>
    <r>
      <t xml:space="preserve">1 m3 ūdens maksā 6,20 </t>
    </r>
    <r>
      <rPr>
        <i/>
        <sz val="12"/>
        <color theme="1"/>
        <rFont val="Times New Roman"/>
        <family val="1"/>
        <charset val="186"/>
      </rPr>
      <t>euro</t>
    </r>
    <r>
      <rPr>
        <sz val="12"/>
        <color theme="1"/>
        <rFont val="Times New Roman"/>
        <family val="1"/>
        <charset val="186"/>
      </rPr>
      <t xml:space="preserve">. 15 cilvēki (stundā) izlieto vidēji 0,59 m3 ūdens, (6,20 </t>
    </r>
    <r>
      <rPr>
        <i/>
        <sz val="12"/>
        <color theme="1"/>
        <rFont val="Times New Roman"/>
        <family val="1"/>
        <charset val="186"/>
      </rPr>
      <t>euro</t>
    </r>
    <r>
      <rPr>
        <sz val="12"/>
        <color theme="1"/>
        <rFont val="Times New Roman"/>
        <family val="1"/>
        <charset val="186"/>
      </rPr>
      <t xml:space="preserve"> * 0,59 m3) = 3,66 </t>
    </r>
    <r>
      <rPr>
        <i/>
        <sz val="12"/>
        <color theme="1"/>
        <rFont val="Times New Roman"/>
        <family val="1"/>
        <charset val="186"/>
      </rPr>
      <t>euro</t>
    </r>
    <r>
      <rPr>
        <sz val="12"/>
        <color theme="1"/>
        <rFont val="Times New Roman"/>
        <family val="1"/>
        <charset val="186"/>
      </rPr>
      <t xml:space="preserve">/h * 914 h) = 3 345,24 </t>
    </r>
    <r>
      <rPr>
        <i/>
        <sz val="12"/>
        <color theme="1"/>
        <rFont val="Times New Roman"/>
        <family val="1"/>
        <charset val="186"/>
      </rPr>
      <t>euro</t>
    </r>
    <r>
      <rPr>
        <sz val="12"/>
        <color theme="1"/>
        <rFont val="Times New Roman"/>
        <family val="1"/>
        <charset val="186"/>
      </rPr>
      <t xml:space="preserve"> </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</si>
  <si>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20 min., (11,47 </t>
    </r>
    <r>
      <rPr>
        <i/>
        <sz val="12"/>
        <color theme="1"/>
        <rFont val="Times New Roman"/>
        <family val="1"/>
        <charset val="186"/>
      </rPr>
      <t>euro</t>
    </r>
    <r>
      <rPr>
        <sz val="12"/>
        <color theme="1"/>
        <rFont val="Times New Roman"/>
        <family val="1"/>
        <charset val="186"/>
      </rPr>
      <t xml:space="preserve"> * 0.33 h) = 3,79 </t>
    </r>
    <r>
      <rPr>
        <i/>
        <sz val="12"/>
        <color theme="1"/>
        <rFont val="Times New Roman"/>
        <family val="1"/>
        <charset val="186"/>
      </rPr>
      <t>euro</t>
    </r>
    <r>
      <rPr>
        <sz val="12"/>
        <color theme="1"/>
        <rFont val="Times New Roman"/>
        <family val="1"/>
        <charset val="186"/>
      </rPr>
      <t xml:space="preserve">/mēn. * 12. mēn. = 45,48  </t>
    </r>
    <r>
      <rPr>
        <i/>
        <sz val="12"/>
        <color theme="1"/>
        <rFont val="Times New Roman"/>
        <family val="1"/>
        <charset val="186"/>
      </rPr>
      <t>euro</t>
    </r>
    <r>
      <rPr>
        <sz val="12"/>
        <color theme="1"/>
        <rFont val="Times New Roman"/>
        <family val="1"/>
        <charset val="186"/>
      </rPr>
      <t xml:space="preserve"> * 0.91 (pakalpojuma īpatsvars kopējos ēkā sniegtajos pakalpojumos) = 41,39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</si>
  <si>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20 min, (7,65 </t>
    </r>
    <r>
      <rPr>
        <i/>
        <sz val="12"/>
        <color theme="1"/>
        <rFont val="Times New Roman"/>
        <family val="1"/>
        <charset val="186"/>
      </rPr>
      <t>euro</t>
    </r>
    <r>
      <rPr>
        <sz val="12"/>
        <color theme="1"/>
        <rFont val="Times New Roman"/>
        <family val="1"/>
        <charset val="186"/>
      </rPr>
      <t xml:space="preserve"> * 0.33 h) = 2,52 </t>
    </r>
    <r>
      <rPr>
        <i/>
        <sz val="12"/>
        <color theme="1"/>
        <rFont val="Times New Roman"/>
        <family val="1"/>
        <charset val="186"/>
      </rPr>
      <t>euro</t>
    </r>
    <r>
      <rPr>
        <sz val="12"/>
        <color theme="1"/>
        <rFont val="Times New Roman"/>
        <family val="1"/>
        <charset val="186"/>
      </rPr>
      <t xml:space="preserve">/mēn. * 12. mēn. = 30,24 </t>
    </r>
    <r>
      <rPr>
        <i/>
        <sz val="12"/>
        <color theme="1"/>
        <rFont val="Times New Roman"/>
        <family val="1"/>
        <charset val="186"/>
      </rPr>
      <t>euro</t>
    </r>
    <r>
      <rPr>
        <sz val="12"/>
        <color theme="1"/>
        <rFont val="Times New Roman"/>
        <family val="1"/>
        <charset val="186"/>
      </rPr>
      <t xml:space="preserve"> * 0.91 (pakalpojuma īpatsvars kopējos ēkā sniegtajos pakalpojumos) = 27,52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</si>
  <si>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20 min, (11,47 </t>
    </r>
    <r>
      <rPr>
        <i/>
        <sz val="12"/>
        <color theme="1"/>
        <rFont val="Times New Roman"/>
        <family val="1"/>
        <charset val="186"/>
      </rPr>
      <t>euro</t>
    </r>
    <r>
      <rPr>
        <sz val="12"/>
        <color theme="1"/>
        <rFont val="Times New Roman"/>
        <family val="1"/>
        <charset val="186"/>
      </rPr>
      <t xml:space="preserve"> * 0.33 h) = 3,79 </t>
    </r>
    <r>
      <rPr>
        <i/>
        <sz val="12"/>
        <color theme="1"/>
        <rFont val="Times New Roman"/>
        <family val="1"/>
        <charset val="186"/>
      </rPr>
      <t>euro</t>
    </r>
    <r>
      <rPr>
        <sz val="12"/>
        <color theme="1"/>
        <rFont val="Times New Roman"/>
        <family val="1"/>
        <charset val="186"/>
      </rPr>
      <t xml:space="preserve">/mēn. * 12. mēn. = 45,48 </t>
    </r>
    <r>
      <rPr>
        <i/>
        <sz val="12"/>
        <color theme="1"/>
        <rFont val="Times New Roman"/>
        <family val="1"/>
        <charset val="186"/>
      </rPr>
      <t>euro</t>
    </r>
    <r>
      <rPr>
        <sz val="12"/>
        <color theme="1"/>
        <rFont val="Times New Roman"/>
        <family val="1"/>
        <charset val="186"/>
      </rPr>
      <t xml:space="preserve"> * 0.91 (pakalpojuma īpatsvars kopējos ēkā sniegtajos pakalpojumos) = 41,39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</si>
  <si>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 min., (15,15 </t>
    </r>
    <r>
      <rPr>
        <i/>
        <sz val="12"/>
        <color theme="1"/>
        <rFont val="Times New Roman"/>
        <family val="1"/>
        <charset val="186"/>
      </rPr>
      <t>euro</t>
    </r>
    <r>
      <rPr>
        <sz val="12"/>
        <color theme="1"/>
        <rFont val="Times New Roman"/>
        <family val="1"/>
        <charset val="186"/>
      </rPr>
      <t xml:space="preserve"> * 0.33 h) = 5,00 </t>
    </r>
    <r>
      <rPr>
        <i/>
        <sz val="12"/>
        <color theme="1"/>
        <rFont val="Times New Roman"/>
        <family val="1"/>
        <charset val="186"/>
      </rPr>
      <t>euro</t>
    </r>
    <r>
      <rPr>
        <sz val="12"/>
        <color theme="1"/>
        <rFont val="Times New Roman"/>
        <family val="1"/>
        <charset val="186"/>
      </rPr>
      <t xml:space="preserve">/mēn. * 12. mēn. = 60,00 </t>
    </r>
    <r>
      <rPr>
        <i/>
        <sz val="12"/>
        <color theme="1"/>
        <rFont val="Times New Roman"/>
        <family val="1"/>
        <charset val="186"/>
      </rPr>
      <t>euro</t>
    </r>
    <r>
      <rPr>
        <sz val="12"/>
        <color theme="1"/>
        <rFont val="Times New Roman"/>
        <family val="1"/>
        <charset val="186"/>
      </rPr>
      <t xml:space="preserve"> * 0.91 (pakalpojuma īpatsvars kopējos ēkā sniegtajos pakalpojumos) = 54,60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</si>
  <si>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13 min, (12,17 </t>
    </r>
    <r>
      <rPr>
        <i/>
        <sz val="12"/>
        <color theme="1"/>
        <rFont val="Times New Roman"/>
        <family val="1"/>
        <charset val="186"/>
      </rPr>
      <t>euro</t>
    </r>
    <r>
      <rPr>
        <sz val="12"/>
        <color theme="1"/>
        <rFont val="Times New Roman"/>
        <family val="1"/>
        <charset val="186"/>
      </rPr>
      <t xml:space="preserve"> * 0.22 h) = 2,68 </t>
    </r>
    <r>
      <rPr>
        <i/>
        <sz val="12"/>
        <color theme="1"/>
        <rFont val="Times New Roman"/>
        <family val="1"/>
        <charset val="186"/>
      </rPr>
      <t>euro</t>
    </r>
    <r>
      <rPr>
        <sz val="12"/>
        <color theme="1"/>
        <rFont val="Times New Roman"/>
        <family val="1"/>
        <charset val="186"/>
      </rPr>
      <t xml:space="preserve">/mēn. * 12. mēn. = 32,16 </t>
    </r>
    <r>
      <rPr>
        <i/>
        <sz val="12"/>
        <color theme="1"/>
        <rFont val="Times New Roman"/>
        <family val="1"/>
        <charset val="186"/>
      </rPr>
      <t>euro</t>
    </r>
    <r>
      <rPr>
        <sz val="12"/>
        <color theme="1"/>
        <rFont val="Times New Roman"/>
        <family val="1"/>
        <charset val="186"/>
      </rPr>
      <t xml:space="preserve"> * 0.91 (pakalpojuma īpatsvars kopējos ēkā sniegtajos pakalpojumos) = 29,27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</si>
  <si>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0.91 (pakalpojuma īpatsvars kopējos ēkā sniegtajos pakalpojumos) = 834,62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</si>
  <si>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7.46 stundas, (9,42 </t>
    </r>
    <r>
      <rPr>
        <i/>
        <sz val="12"/>
        <color theme="1"/>
        <rFont val="Times New Roman"/>
        <family val="1"/>
        <charset val="186"/>
      </rPr>
      <t>euro</t>
    </r>
    <r>
      <rPr>
        <sz val="12"/>
        <color theme="1"/>
        <rFont val="Times New Roman"/>
        <family val="1"/>
        <charset val="186"/>
      </rPr>
      <t xml:space="preserve"> * 7.46 h) = 70,27 </t>
    </r>
    <r>
      <rPr>
        <i/>
        <sz val="12"/>
        <color theme="1"/>
        <rFont val="Times New Roman"/>
        <family val="1"/>
        <charset val="186"/>
      </rPr>
      <t>euro</t>
    </r>
    <r>
      <rPr>
        <sz val="12"/>
        <color theme="1"/>
        <rFont val="Times New Roman"/>
        <family val="1"/>
        <charset val="186"/>
      </rPr>
      <t xml:space="preserve">/mēn. * 12. mēn. = 843,24 </t>
    </r>
    <r>
      <rPr>
        <i/>
        <sz val="12"/>
        <color theme="1"/>
        <rFont val="Times New Roman"/>
        <family val="1"/>
        <charset val="186"/>
      </rPr>
      <t>euro</t>
    </r>
    <r>
      <rPr>
        <sz val="12"/>
        <color theme="1"/>
        <rFont val="Times New Roman"/>
        <family val="1"/>
        <charset val="186"/>
      </rPr>
      <t xml:space="preserve"> * 0.91 (pakalpojuma īpatsvars kopējos ēkā sniegtajos pakalpojumos) = 767,35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</si>
  <si>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13 stundas, (8,29 </t>
    </r>
    <r>
      <rPr>
        <i/>
        <sz val="12"/>
        <color theme="1"/>
        <rFont val="Times New Roman"/>
        <family val="1"/>
        <charset val="186"/>
      </rPr>
      <t>euro</t>
    </r>
    <r>
      <rPr>
        <sz val="12"/>
        <color theme="1"/>
        <rFont val="Times New Roman"/>
        <family val="1"/>
        <charset val="186"/>
      </rPr>
      <t xml:space="preserve"> * 13 h) = 107,77 </t>
    </r>
    <r>
      <rPr>
        <i/>
        <sz val="12"/>
        <color theme="1"/>
        <rFont val="Times New Roman"/>
        <family val="1"/>
        <charset val="186"/>
      </rPr>
      <t>euro</t>
    </r>
    <r>
      <rPr>
        <sz val="12"/>
        <color theme="1"/>
        <rFont val="Times New Roman"/>
        <family val="1"/>
        <charset val="186"/>
      </rPr>
      <t xml:space="preserve">/mēn. * 12. mēn. = 1 293,24 </t>
    </r>
    <r>
      <rPr>
        <i/>
        <sz val="12"/>
        <color theme="1"/>
        <rFont val="Times New Roman"/>
        <family val="1"/>
        <charset val="186"/>
      </rPr>
      <t xml:space="preserve">euro </t>
    </r>
    <r>
      <rPr>
        <sz val="12"/>
        <color theme="1"/>
        <rFont val="Times New Roman"/>
        <family val="1"/>
        <charset val="186"/>
      </rPr>
      <t xml:space="preserve">* 0.91  (pakalpojuma īpatsvars kopējos ēkā sniegtajos pakalpojumos) = 1 176,85 </t>
    </r>
    <r>
      <rPr>
        <i/>
        <sz val="12"/>
        <color theme="1"/>
        <rFont val="Times New Roman"/>
        <family val="1"/>
        <charset val="186"/>
      </rPr>
      <t>euro.</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</si>
  <si>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1.28 stundas, (25,09 </t>
    </r>
    <r>
      <rPr>
        <i/>
        <sz val="12"/>
        <color theme="1"/>
        <rFont val="Times New Roman"/>
        <family val="1"/>
        <charset val="186"/>
      </rPr>
      <t>euro</t>
    </r>
    <r>
      <rPr>
        <sz val="12"/>
        <color theme="1"/>
        <rFont val="Times New Roman"/>
        <family val="1"/>
        <charset val="186"/>
      </rPr>
      <t xml:space="preserve"> * 1.28 h) = 32,12 </t>
    </r>
    <r>
      <rPr>
        <i/>
        <sz val="12"/>
        <color theme="1"/>
        <rFont val="Times New Roman"/>
        <family val="1"/>
        <charset val="186"/>
      </rPr>
      <t>euro</t>
    </r>
    <r>
      <rPr>
        <sz val="12"/>
        <color theme="1"/>
        <rFont val="Times New Roman"/>
        <family val="1"/>
        <charset val="186"/>
      </rPr>
      <t xml:space="preserve">/mēn. * 12. mēn. = 385,44 </t>
    </r>
    <r>
      <rPr>
        <i/>
        <sz val="12"/>
        <color theme="1"/>
        <rFont val="Times New Roman"/>
        <family val="1"/>
        <charset val="186"/>
      </rPr>
      <t>euro</t>
    </r>
    <r>
      <rPr>
        <sz val="12"/>
        <color theme="1"/>
        <rFont val="Times New Roman"/>
        <family val="1"/>
        <charset val="186"/>
      </rPr>
      <t xml:space="preserve"> * 0.91 (pakalpojuma īpatsvars kopējos ēkā sniegtajos pakalpojumos) = 350,75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</si>
  <si>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18 min., (27,18 </t>
    </r>
    <r>
      <rPr>
        <i/>
        <sz val="12"/>
        <color theme="1"/>
        <rFont val="Times New Roman"/>
        <family val="1"/>
        <charset val="186"/>
      </rPr>
      <t>euro</t>
    </r>
    <r>
      <rPr>
        <sz val="12"/>
        <color theme="1"/>
        <rFont val="Times New Roman"/>
        <family val="1"/>
        <charset val="186"/>
      </rPr>
      <t xml:space="preserve"> * 0.3 h) = 8,15 </t>
    </r>
    <r>
      <rPr>
        <i/>
        <sz val="12"/>
        <color theme="1"/>
        <rFont val="Times New Roman"/>
        <family val="1"/>
        <charset val="186"/>
      </rPr>
      <t>euro</t>
    </r>
    <r>
      <rPr>
        <sz val="12"/>
        <color theme="1"/>
        <rFont val="Times New Roman"/>
        <family val="1"/>
        <charset val="186"/>
      </rPr>
      <t xml:space="preserve">/mēn. * 12. mēn. = 97,80 </t>
    </r>
    <r>
      <rPr>
        <i/>
        <sz val="12"/>
        <color theme="1"/>
        <rFont val="Times New Roman"/>
        <family val="1"/>
        <charset val="186"/>
      </rPr>
      <t>euro</t>
    </r>
    <r>
      <rPr>
        <sz val="12"/>
        <color theme="1"/>
        <rFont val="Times New Roman"/>
        <family val="1"/>
        <charset val="186"/>
      </rPr>
      <t xml:space="preserve"> * 0.91 (pakalpojuma īpatsvars kopējos ēkā sniegtajos pakalpojumos) = 89,00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</si>
  <si>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3 412,74 </t>
    </r>
    <r>
      <rPr>
        <i/>
        <sz val="12"/>
        <color theme="1"/>
        <rFont val="Times New Roman"/>
        <family val="1"/>
        <charset val="186"/>
      </rPr>
      <t>euro</t>
    </r>
    <r>
      <rPr>
        <sz val="12"/>
        <color theme="1"/>
        <rFont val="Times New Roman"/>
        <family val="1"/>
        <charset val="186"/>
      </rPr>
      <t xml:space="preserve"> * 23,59 % = 805,07 </t>
    </r>
    <r>
      <rPr>
        <i/>
        <sz val="12"/>
        <color theme="1"/>
        <rFont val="Times New Roman"/>
        <family val="1"/>
        <charset val="186"/>
      </rPr>
      <t>euro.</t>
    </r>
  </si>
  <si>
    <r>
      <t xml:space="preserve">Izdevumi par apkuri 8 809,19 </t>
    </r>
    <r>
      <rPr>
        <i/>
        <sz val="12"/>
        <color theme="1"/>
        <rFont val="Times New Roman"/>
        <family val="1"/>
        <charset val="186"/>
      </rPr>
      <t>euro</t>
    </r>
    <r>
      <rPr>
        <sz val="12"/>
        <color theme="1"/>
        <rFont val="Times New Roman"/>
        <family val="1"/>
        <charset val="186"/>
      </rPr>
      <t xml:space="preserve"> gadā * 0.91 (pakalpojuma īpatsvars kopējos ēkā sniegtajos maksas pakalpojumos) = 8 016,36 </t>
    </r>
    <r>
      <rPr>
        <i/>
        <sz val="12"/>
        <color theme="1"/>
        <rFont val="Times New Roman"/>
        <family val="1"/>
        <charset val="186"/>
      </rPr>
      <t>euro</t>
    </r>
    <r>
      <rPr>
        <sz val="12"/>
        <color theme="1"/>
        <rFont val="Times New Roman"/>
        <family val="1"/>
        <charset val="186"/>
      </rPr>
      <t>.</t>
    </r>
  </si>
  <si>
    <r>
      <t xml:space="preserve">Izdevumi par lietus ūdens 1 364,17 </t>
    </r>
    <r>
      <rPr>
        <i/>
        <sz val="12"/>
        <color theme="1"/>
        <rFont val="Times New Roman"/>
        <family val="1"/>
        <charset val="186"/>
      </rPr>
      <t>euro</t>
    </r>
    <r>
      <rPr>
        <sz val="12"/>
        <color theme="1"/>
        <rFont val="Times New Roman"/>
        <family val="1"/>
        <charset val="186"/>
      </rPr>
      <t xml:space="preserve"> gadā * 0.91 (pakalpojuma īpatsvars kopējos ēkā sniegtajos maksas pakalpojumos) = 1 241,39 </t>
    </r>
    <r>
      <rPr>
        <i/>
        <sz val="12"/>
        <color theme="1"/>
        <rFont val="Times New Roman"/>
        <family val="1"/>
        <charset val="186"/>
      </rPr>
      <t>euro</t>
    </r>
    <r>
      <rPr>
        <sz val="12"/>
        <color theme="1"/>
        <rFont val="Times New Roman"/>
        <family val="1"/>
        <charset val="186"/>
      </rPr>
      <t>.</t>
    </r>
  </si>
  <si>
    <r>
      <t xml:space="preserve">Izdevumi par apkuri 6 006,23 </t>
    </r>
    <r>
      <rPr>
        <i/>
        <sz val="12"/>
        <color theme="1"/>
        <rFont val="Times New Roman"/>
        <family val="1"/>
        <charset val="186"/>
      </rPr>
      <t>euro</t>
    </r>
    <r>
      <rPr>
        <sz val="12"/>
        <color theme="1"/>
        <rFont val="Times New Roman"/>
        <family val="1"/>
        <charset val="186"/>
      </rPr>
      <t xml:space="preserve"> gadā * 0.91 (pakalpojuma īpatsvars kopējos ēkā sniegtajos maksas pakalpojumos) = 5 465,67 </t>
    </r>
    <r>
      <rPr>
        <i/>
        <sz val="12"/>
        <color theme="1"/>
        <rFont val="Times New Roman"/>
        <family val="1"/>
        <charset val="186"/>
      </rPr>
      <t>euro</t>
    </r>
    <r>
      <rPr>
        <sz val="12"/>
        <color theme="1"/>
        <rFont val="Times New Roman"/>
        <family val="1"/>
        <charset val="186"/>
      </rPr>
      <t>.</t>
    </r>
  </si>
  <si>
    <r>
      <t xml:space="preserve">Izdevumi par atkritumu izvešanu 417,81 </t>
    </r>
    <r>
      <rPr>
        <i/>
        <sz val="12"/>
        <color theme="1"/>
        <rFont val="Times New Roman"/>
        <family val="1"/>
        <charset val="186"/>
      </rPr>
      <t>euro</t>
    </r>
    <r>
      <rPr>
        <sz val="12"/>
        <color theme="1"/>
        <rFont val="Times New Roman"/>
        <family val="1"/>
        <charset val="186"/>
      </rPr>
      <t xml:space="preserve"> gadā * 0.91 (pakalpojuma īpatsvars kopējos ēkā sniegtajos maksas pakalpojumos) =  380,21 </t>
    </r>
    <r>
      <rPr>
        <i/>
        <sz val="12"/>
        <color theme="1"/>
        <rFont val="Times New Roman"/>
        <family val="1"/>
        <charset val="186"/>
      </rPr>
      <t>euro</t>
    </r>
    <r>
      <rPr>
        <sz val="12"/>
        <color theme="1"/>
        <rFont val="Times New Roman"/>
        <family val="1"/>
        <charset val="186"/>
      </rPr>
      <t>.</t>
    </r>
  </si>
  <si>
    <r>
      <t xml:space="preserve">Piekļuves kontroles, ēku kompleksa sistēmu apkope, ventilācijas iekārtu un citu iekārtu apkope un remonts, avāriju bojājumu novēršanas izdevumi 0,88 </t>
    </r>
    <r>
      <rPr>
        <i/>
        <sz val="12"/>
        <color theme="1"/>
        <rFont val="Times New Roman"/>
        <family val="1"/>
        <charset val="186"/>
      </rPr>
      <t>euro</t>
    </r>
    <r>
      <rPr>
        <sz val="12"/>
        <color theme="1"/>
        <rFont val="Times New Roman"/>
        <family val="1"/>
        <charset val="186"/>
      </rPr>
      <t xml:space="preserve"> * 0.91 (pakalpojuma īpatsvars kopējos ēkā sniegtajos maksas pakalpojumos) = 0,80 </t>
    </r>
    <r>
      <rPr>
        <i/>
        <sz val="12"/>
        <color theme="1"/>
        <rFont val="Times New Roman"/>
        <family val="1"/>
        <charset val="186"/>
      </rPr>
      <t>euro</t>
    </r>
    <r>
      <rPr>
        <sz val="12"/>
        <color theme="1"/>
        <rFont val="Times New Roman"/>
        <family val="1"/>
        <charset val="186"/>
      </rPr>
      <t>.</t>
    </r>
  </si>
  <si>
    <r>
      <t xml:space="preserve">Telpu, teritorijas uzkopšana, apsardze, apsaimniekošana, apdrošināšanas izdevumi  20,61 </t>
    </r>
    <r>
      <rPr>
        <i/>
        <sz val="12"/>
        <color theme="1"/>
        <rFont val="Times New Roman"/>
        <family val="1"/>
        <charset val="186"/>
      </rPr>
      <t>euro</t>
    </r>
    <r>
      <rPr>
        <sz val="12"/>
        <color theme="1"/>
        <rFont val="Times New Roman"/>
        <family val="1"/>
        <charset val="186"/>
      </rPr>
      <t xml:space="preserve"> * 0.91 (pakalpojuma īpatsvars kopējos ēkā sniegtajos maksas pakalpojumos) = 18,76 </t>
    </r>
    <r>
      <rPr>
        <i/>
        <sz val="12"/>
        <color theme="1"/>
        <rFont val="Times New Roman"/>
        <family val="1"/>
        <charset val="186"/>
      </rPr>
      <t>euro.</t>
    </r>
  </si>
  <si>
    <r>
      <t xml:space="preserve">Inventāra iegādes izdevumi 148,41 </t>
    </r>
    <r>
      <rPr>
        <i/>
        <sz val="12"/>
        <color theme="1"/>
        <rFont val="Times New Roman"/>
        <family val="1"/>
        <charset val="186"/>
      </rPr>
      <t>euro</t>
    </r>
    <r>
      <rPr>
        <sz val="12"/>
        <color theme="1"/>
        <rFont val="Times New Roman"/>
        <family val="1"/>
        <charset val="186"/>
      </rPr>
      <t xml:space="preserve"> * 0.91 (pakalpojuma īpatsvars kopējos ēkā sniegtajos pakalpojumos) = 135,05 </t>
    </r>
    <r>
      <rPr>
        <i/>
        <sz val="12"/>
        <color theme="1"/>
        <rFont val="Times New Roman"/>
        <family val="1"/>
        <charset val="186"/>
      </rPr>
      <t>euro</t>
    </r>
    <r>
      <rPr>
        <sz val="12"/>
        <color theme="1"/>
        <rFont val="Times New Roman"/>
        <family val="1"/>
        <charset val="186"/>
      </rPr>
      <t>.</t>
    </r>
  </si>
  <si>
    <r>
      <t xml:space="preserve">Saimniecības inventāra un materiālu iegādes izdevumi 13,74 </t>
    </r>
    <r>
      <rPr>
        <i/>
        <sz val="12"/>
        <color theme="1"/>
        <rFont val="Times New Roman"/>
        <family val="1"/>
        <charset val="186"/>
      </rPr>
      <t>euro</t>
    </r>
    <r>
      <rPr>
        <sz val="12"/>
        <color theme="1"/>
        <rFont val="Times New Roman"/>
        <family val="1"/>
        <charset val="186"/>
      </rPr>
      <t xml:space="preserve"> * 0.91 (pakalpojuma īpatsvars kopējos ēkā sniegtajos pakalpojumos) = 12,50 </t>
    </r>
    <r>
      <rPr>
        <i/>
        <sz val="12"/>
        <color theme="1"/>
        <rFont val="Times New Roman"/>
        <family val="1"/>
        <charset val="186"/>
      </rPr>
      <t>euro</t>
    </r>
    <r>
      <rPr>
        <sz val="12"/>
        <color theme="1"/>
        <rFont val="Times New Roman"/>
        <family val="1"/>
        <charset val="186"/>
      </rPr>
      <t>.</t>
    </r>
  </si>
  <si>
    <r>
      <t xml:space="preserve">Transportlīdzekļa amortizācija 32,64 </t>
    </r>
    <r>
      <rPr>
        <i/>
        <sz val="12"/>
        <color theme="1"/>
        <rFont val="Times New Roman"/>
        <family val="1"/>
        <charset val="186"/>
      </rPr>
      <t xml:space="preserve">euro * </t>
    </r>
    <r>
      <rPr>
        <sz val="12"/>
        <color theme="1"/>
        <rFont val="Times New Roman"/>
        <family val="1"/>
        <charset val="186"/>
      </rPr>
      <t xml:space="preserve">0.91 (pakalpojuma īpatsvars kopējos ēkā sniegtajos maksas pakalpojumos) = 29,70 </t>
    </r>
    <r>
      <rPr>
        <i/>
        <sz val="12"/>
        <color theme="1"/>
        <rFont val="Times New Roman"/>
        <family val="1"/>
        <charset val="186"/>
      </rPr>
      <t>euro.</t>
    </r>
  </si>
  <si>
    <r>
      <t xml:space="preserve">Sporta inventāra un pamatlīdzekļu amortizācija 35,22 </t>
    </r>
    <r>
      <rPr>
        <i/>
        <sz val="12"/>
        <color theme="1"/>
        <rFont val="Times New Roman"/>
        <family val="1"/>
        <charset val="186"/>
      </rPr>
      <t>euro</t>
    </r>
    <r>
      <rPr>
        <sz val="12"/>
        <color theme="1"/>
        <rFont val="Times New Roman"/>
        <family val="1"/>
        <charset val="186"/>
      </rPr>
      <t xml:space="preserve"> * 0.91 (pakalpojuma īpatsvars kopējos ēkā sniegtajos maksas pakalpojumos) = 32,05 </t>
    </r>
    <r>
      <rPr>
        <i/>
        <sz val="12"/>
        <color theme="1"/>
        <rFont val="Times New Roman"/>
        <family val="1"/>
        <charset val="186"/>
      </rPr>
      <t>euro.</t>
    </r>
  </si>
  <si>
    <r>
      <t xml:space="preserve">1 m3 ūdens maksā 4,15 </t>
    </r>
    <r>
      <rPr>
        <i/>
        <sz val="12"/>
        <color theme="1"/>
        <rFont val="Times New Roman"/>
        <family val="1"/>
        <charset val="186"/>
      </rPr>
      <t>euro</t>
    </r>
    <r>
      <rPr>
        <sz val="12"/>
        <color theme="1"/>
        <rFont val="Times New Roman"/>
        <family val="1"/>
        <charset val="186"/>
      </rPr>
      <t xml:space="preserve">. Vienā reizē (stundā) grupa no 16 līdz 30 cilvēkiem izlieto vidēji 0,90 m3 ūdens, (4,15 </t>
    </r>
    <r>
      <rPr>
        <i/>
        <sz val="12"/>
        <color theme="1"/>
        <rFont val="Times New Roman"/>
        <family val="1"/>
        <charset val="186"/>
      </rPr>
      <t>euro</t>
    </r>
    <r>
      <rPr>
        <sz val="12"/>
        <color theme="1"/>
        <rFont val="Times New Roman"/>
        <family val="1"/>
        <charset val="186"/>
      </rPr>
      <t xml:space="preserve"> x 0,90 m3) = 3.74 </t>
    </r>
    <r>
      <rPr>
        <i/>
        <sz val="12"/>
        <color theme="1"/>
        <rFont val="Times New Roman"/>
        <family val="1"/>
        <charset val="186"/>
      </rPr>
      <t>euro</t>
    </r>
    <r>
      <rPr>
        <sz val="12"/>
        <color theme="1"/>
        <rFont val="Times New Roman"/>
        <family val="1"/>
        <charset val="186"/>
      </rPr>
      <t xml:space="preserve">/h * 30 h = 112,20 </t>
    </r>
    <r>
      <rPr>
        <i/>
        <sz val="12"/>
        <color theme="1"/>
        <rFont val="Times New Roman"/>
        <family val="1"/>
        <charset val="186"/>
      </rPr>
      <t>euro</t>
    </r>
    <r>
      <rPr>
        <sz val="12"/>
        <color theme="1"/>
        <rFont val="Times New Roman"/>
        <family val="1"/>
        <charset val="186"/>
      </rPr>
      <t>.</t>
    </r>
  </si>
  <si>
    <r>
      <t xml:space="preserve">Izdevumi par apkuri 8 809,19 </t>
    </r>
    <r>
      <rPr>
        <i/>
        <sz val="12"/>
        <color theme="1"/>
        <rFont val="Times New Roman"/>
        <family val="1"/>
        <charset val="186"/>
      </rPr>
      <t>euro</t>
    </r>
    <r>
      <rPr>
        <sz val="12"/>
        <color theme="1"/>
        <rFont val="Times New Roman"/>
        <family val="1"/>
        <charset val="186"/>
      </rPr>
      <t xml:space="preserve"> gadā * 0.03 (pakalpojuma īpatsvars kopējos ēkā sniegtajos maksas pakalpojumos) = 264,28 </t>
    </r>
    <r>
      <rPr>
        <i/>
        <sz val="12"/>
        <color theme="1"/>
        <rFont val="Times New Roman"/>
        <family val="1"/>
        <charset val="186"/>
      </rPr>
      <t>euro</t>
    </r>
    <r>
      <rPr>
        <sz val="12"/>
        <color theme="1"/>
        <rFont val="Times New Roman"/>
        <family val="1"/>
        <charset val="186"/>
      </rPr>
      <t>.</t>
    </r>
  </si>
  <si>
    <r>
      <t xml:space="preserve">Izdevumi par apkuri 6 006,23 </t>
    </r>
    <r>
      <rPr>
        <i/>
        <sz val="12"/>
        <color theme="1"/>
        <rFont val="Times New Roman"/>
        <family val="1"/>
        <charset val="186"/>
      </rPr>
      <t>euro</t>
    </r>
    <r>
      <rPr>
        <sz val="12"/>
        <color theme="1"/>
        <rFont val="Times New Roman"/>
        <family val="1"/>
        <charset val="186"/>
      </rPr>
      <t xml:space="preserve"> gadā * 0.03 (pakalpojuma īpatsvars kopējos ēkā sniegtajos maksas pakalpojumos) = 180,19 </t>
    </r>
    <r>
      <rPr>
        <i/>
        <sz val="12"/>
        <color theme="1"/>
        <rFont val="Times New Roman"/>
        <family val="1"/>
        <charset val="186"/>
      </rPr>
      <t>euro</t>
    </r>
    <r>
      <rPr>
        <sz val="12"/>
        <color theme="1"/>
        <rFont val="Times New Roman"/>
        <family val="1"/>
        <charset val="186"/>
      </rPr>
      <t>.</t>
    </r>
  </si>
  <si>
    <r>
      <t xml:space="preserve">Izdevumi par atkritumu izvešanu 417,81 </t>
    </r>
    <r>
      <rPr>
        <i/>
        <sz val="12"/>
        <color theme="1"/>
        <rFont val="Times New Roman"/>
        <family val="1"/>
        <charset val="186"/>
      </rPr>
      <t>euro</t>
    </r>
    <r>
      <rPr>
        <sz val="12"/>
        <color theme="1"/>
        <rFont val="Times New Roman"/>
        <family val="1"/>
        <charset val="186"/>
      </rPr>
      <t xml:space="preserve"> gadā * 0.03 (pakalpojuma īpatsvars kopējos ēkā sniegtajos maksas pakalpojumos) = 12,53 </t>
    </r>
    <r>
      <rPr>
        <i/>
        <sz val="12"/>
        <color theme="1"/>
        <rFont val="Times New Roman"/>
        <family val="1"/>
        <charset val="186"/>
      </rPr>
      <t>euro</t>
    </r>
    <r>
      <rPr>
        <sz val="12"/>
        <color theme="1"/>
        <rFont val="Times New Roman"/>
        <family val="1"/>
        <charset val="186"/>
      </rPr>
      <t>.</t>
    </r>
  </si>
  <si>
    <r>
      <t xml:space="preserve">Piekļuves kontroles, ēku kompleksa sistēmu apkope, ventilācijas iekārtu un citu iekārtu apkope un remonts, avāriju bojājumu novēršanas izdevumi 0,88 </t>
    </r>
    <r>
      <rPr>
        <i/>
        <sz val="12"/>
        <color theme="1"/>
        <rFont val="Times New Roman"/>
        <family val="1"/>
        <charset val="186"/>
      </rPr>
      <t>euro</t>
    </r>
    <r>
      <rPr>
        <sz val="12"/>
        <color theme="1"/>
        <rFont val="Times New Roman"/>
        <family val="1"/>
        <charset val="186"/>
      </rPr>
      <t xml:space="preserve"> * 0.03 (pakalpojuma īpatsvars kopējos ēkā sniegtajos maksas pakalpojumos) = 0,03 </t>
    </r>
    <r>
      <rPr>
        <i/>
        <sz val="12"/>
        <color theme="1"/>
        <rFont val="Times New Roman"/>
        <family val="1"/>
        <charset val="186"/>
      </rPr>
      <t>euro</t>
    </r>
    <r>
      <rPr>
        <sz val="12"/>
        <color theme="1"/>
        <rFont val="Times New Roman"/>
        <family val="1"/>
        <charset val="186"/>
      </rPr>
      <t>.</t>
    </r>
  </si>
  <si>
    <r>
      <t xml:space="preserve">Telpu, teritorijas uzkopšana, apsardze, apsaimniekošana, apdrošināšanas izdevumi  20,61 </t>
    </r>
    <r>
      <rPr>
        <i/>
        <sz val="12"/>
        <color theme="1"/>
        <rFont val="Times New Roman"/>
        <family val="1"/>
        <charset val="186"/>
      </rPr>
      <t>euro</t>
    </r>
    <r>
      <rPr>
        <sz val="12"/>
        <color theme="1"/>
        <rFont val="Times New Roman"/>
        <family val="1"/>
        <charset val="186"/>
      </rPr>
      <t xml:space="preserve"> * 0.03 (pakalpojuma īpatsvars kopējos ēkā sniegtajos maksas pakalpojumos) = 0,62 </t>
    </r>
    <r>
      <rPr>
        <i/>
        <sz val="12"/>
        <color theme="1"/>
        <rFont val="Times New Roman"/>
        <family val="1"/>
        <charset val="186"/>
      </rPr>
      <t>euro.</t>
    </r>
  </si>
  <si>
    <r>
      <t xml:space="preserve">Inventāra iegādes izdevumi 148,41 </t>
    </r>
    <r>
      <rPr>
        <i/>
        <sz val="12"/>
        <color theme="1"/>
        <rFont val="Times New Roman"/>
        <family val="1"/>
        <charset val="186"/>
      </rPr>
      <t>euro</t>
    </r>
    <r>
      <rPr>
        <sz val="12"/>
        <color theme="1"/>
        <rFont val="Times New Roman"/>
        <family val="1"/>
        <charset val="186"/>
      </rPr>
      <t xml:space="preserve"> * 0.03 (pakalpojuma īpatsvars kopējos ēkā sniegtajos pakalpojumos) = 4,45 </t>
    </r>
    <r>
      <rPr>
        <i/>
        <sz val="12"/>
        <color theme="1"/>
        <rFont val="Times New Roman"/>
        <family val="1"/>
        <charset val="186"/>
      </rPr>
      <t>euro</t>
    </r>
    <r>
      <rPr>
        <sz val="12"/>
        <color theme="1"/>
        <rFont val="Times New Roman"/>
        <family val="1"/>
        <charset val="186"/>
      </rPr>
      <t>.</t>
    </r>
  </si>
  <si>
    <r>
      <t xml:space="preserve">Saimniecības inventāra un materiālu iegādes izdevumi 13,74 </t>
    </r>
    <r>
      <rPr>
        <i/>
        <sz val="12"/>
        <color theme="1"/>
        <rFont val="Times New Roman"/>
        <family val="1"/>
        <charset val="186"/>
      </rPr>
      <t>euro</t>
    </r>
    <r>
      <rPr>
        <sz val="12"/>
        <color theme="1"/>
        <rFont val="Times New Roman"/>
        <family val="1"/>
        <charset val="186"/>
      </rPr>
      <t xml:space="preserve"> * 0.03 (pakalpojuma īpatsvars kopējos ēkā sniegtajos pakalpojumos) = 0,41 </t>
    </r>
    <r>
      <rPr>
        <i/>
        <sz val="12"/>
        <color theme="1"/>
        <rFont val="Times New Roman"/>
        <family val="1"/>
        <charset val="186"/>
      </rPr>
      <t>euro</t>
    </r>
    <r>
      <rPr>
        <sz val="12"/>
        <color theme="1"/>
        <rFont val="Times New Roman"/>
        <family val="1"/>
        <charset val="186"/>
      </rPr>
      <t>.</t>
    </r>
  </si>
  <si>
    <r>
      <t xml:space="preserve">Transportlīdzekļa amortizācija 32,64 </t>
    </r>
    <r>
      <rPr>
        <i/>
        <sz val="12"/>
        <color theme="1"/>
        <rFont val="Times New Roman"/>
        <family val="1"/>
        <charset val="186"/>
      </rPr>
      <t xml:space="preserve">euro * </t>
    </r>
    <r>
      <rPr>
        <sz val="12"/>
        <color theme="1"/>
        <rFont val="Times New Roman"/>
        <family val="1"/>
        <charset val="186"/>
      </rPr>
      <t xml:space="preserve">0.03 (pakalpojuma īpatsvars kopējos ēkā sniegtajos maksas pakalpojumos) = 0,98 </t>
    </r>
    <r>
      <rPr>
        <i/>
        <sz val="12"/>
        <color theme="1"/>
        <rFont val="Times New Roman"/>
        <family val="1"/>
        <charset val="186"/>
      </rPr>
      <t>euro.</t>
    </r>
  </si>
  <si>
    <r>
      <t xml:space="preserve">Sporta inventāra un pamatlīdzekļu amortizācija 35,22 </t>
    </r>
    <r>
      <rPr>
        <i/>
        <sz val="12"/>
        <color theme="1"/>
        <rFont val="Times New Roman"/>
        <family val="1"/>
        <charset val="186"/>
      </rPr>
      <t>euro</t>
    </r>
    <r>
      <rPr>
        <sz val="12"/>
        <color theme="1"/>
        <rFont val="Times New Roman"/>
        <family val="1"/>
        <charset val="186"/>
      </rPr>
      <t xml:space="preserve"> * 0.03 (pakalpojuma īpatsvars kopējos ēkā sniegtajos maksas pakalpojumos) = 1,06 </t>
    </r>
    <r>
      <rPr>
        <i/>
        <sz val="12"/>
        <color theme="1"/>
        <rFont val="Times New Roman"/>
        <family val="1"/>
        <charset val="186"/>
      </rPr>
      <t>euro.</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</si>
  <si>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2.06 stundas, (8,20 </t>
    </r>
    <r>
      <rPr>
        <i/>
        <sz val="12"/>
        <color theme="1"/>
        <rFont val="Times New Roman"/>
        <family val="1"/>
        <charset val="186"/>
      </rPr>
      <t>euro</t>
    </r>
    <r>
      <rPr>
        <sz val="12"/>
        <color theme="1"/>
        <rFont val="Times New Roman"/>
        <family val="1"/>
        <charset val="186"/>
      </rPr>
      <t xml:space="preserve"> * 2.06 h) = 16,89 </t>
    </r>
    <r>
      <rPr>
        <i/>
        <sz val="12"/>
        <color theme="1"/>
        <rFont val="Times New Roman"/>
        <family val="1"/>
        <charset val="186"/>
      </rPr>
      <t>euro</t>
    </r>
    <r>
      <rPr>
        <sz val="12"/>
        <color theme="1"/>
        <rFont val="Times New Roman"/>
        <family val="1"/>
        <charset val="186"/>
      </rPr>
      <t xml:space="preserve">/mēn. * 12 mēn. = 202,68 </t>
    </r>
    <r>
      <rPr>
        <i/>
        <sz val="12"/>
        <color theme="1"/>
        <rFont val="Times New Roman"/>
        <family val="1"/>
        <charset val="186"/>
      </rPr>
      <t>euro</t>
    </r>
    <r>
      <rPr>
        <sz val="12"/>
        <color theme="1"/>
        <rFont val="Times New Roman"/>
        <family val="1"/>
        <charset val="186"/>
      </rPr>
      <t xml:space="preserve"> * 0.03 (pakalpojuma īpatsvars kopējos ēkā sniegtajos pakalpojumos) = 6,08 </t>
    </r>
    <r>
      <rPr>
        <i/>
        <sz val="12"/>
        <color theme="1"/>
        <rFont val="Times New Roman"/>
        <family val="1"/>
        <charset val="186"/>
      </rPr>
      <t>euro</t>
    </r>
    <r>
      <rPr>
        <sz val="12"/>
        <color theme="1"/>
        <rFont val="Times New Roman"/>
        <family val="1"/>
        <charset val="186"/>
      </rPr>
      <t>.</t>
    </r>
  </si>
  <si>
    <r>
      <t xml:space="preserve">Administrators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83.46 stundas, (5,42 </t>
    </r>
    <r>
      <rPr>
        <i/>
        <sz val="12"/>
        <color theme="1"/>
        <rFont val="Times New Roman"/>
        <family val="1"/>
        <charset val="186"/>
      </rPr>
      <t>euro</t>
    </r>
    <r>
      <rPr>
        <sz val="12"/>
        <color theme="1"/>
        <rFont val="Times New Roman"/>
        <family val="1"/>
        <charset val="186"/>
      </rPr>
      <t xml:space="preserve"> * 83.46 h) = 452,35 </t>
    </r>
    <r>
      <rPr>
        <i/>
        <sz val="12"/>
        <color theme="1"/>
        <rFont val="Times New Roman"/>
        <family val="1"/>
        <charset val="186"/>
      </rPr>
      <t>euro</t>
    </r>
    <r>
      <rPr>
        <sz val="12"/>
        <color theme="1"/>
        <rFont val="Times New Roman"/>
        <family val="1"/>
        <charset val="186"/>
      </rPr>
      <t xml:space="preserve">/mēn. * 12. mēn. = 5 428,20 </t>
    </r>
    <r>
      <rPr>
        <i/>
        <sz val="12"/>
        <color theme="1"/>
        <rFont val="Times New Roman"/>
        <family val="1"/>
        <charset val="186"/>
      </rPr>
      <t>euro</t>
    </r>
    <r>
      <rPr>
        <sz val="12"/>
        <color theme="1"/>
        <rFont val="Times New Roman"/>
        <family val="1"/>
        <charset val="186"/>
      </rPr>
      <t xml:space="preserve"> * 0.03 (pakalpojuma īpatsvars kopējos ēkā sniegtajos pakalpojumos) = 162,85 </t>
    </r>
    <r>
      <rPr>
        <i/>
        <sz val="12"/>
        <color theme="1"/>
        <rFont val="Times New Roman"/>
        <family val="1"/>
        <charset val="186"/>
      </rPr>
      <t>euro</t>
    </r>
    <r>
      <rPr>
        <sz val="12"/>
        <color theme="1"/>
        <rFont val="Times New Roman"/>
        <family val="1"/>
        <charset val="186"/>
      </rPr>
      <t xml:space="preserve">. </t>
    </r>
  </si>
  <si>
    <r>
      <t xml:space="preserve">Galv. nekust. īpaš. pārvaldnieks (6,08 </t>
    </r>
    <r>
      <rPr>
        <i/>
        <sz val="12"/>
        <color theme="1"/>
        <rFont val="Times New Roman"/>
        <family val="1"/>
        <charset val="186"/>
      </rPr>
      <t>euro</t>
    </r>
    <r>
      <rPr>
        <sz val="12"/>
        <color theme="1"/>
        <rFont val="Times New Roman"/>
        <family val="1"/>
        <charset val="186"/>
      </rPr>
      <t xml:space="preserve"> * 10%) = 0,61 </t>
    </r>
    <r>
      <rPr>
        <i/>
        <sz val="12"/>
        <color theme="1"/>
        <rFont val="Times New Roman"/>
        <family val="1"/>
        <charset val="186"/>
      </rPr>
      <t>euro</t>
    </r>
    <r>
      <rPr>
        <sz val="12"/>
        <color theme="1"/>
        <rFont val="Times New Roman"/>
        <family val="1"/>
        <charset val="186"/>
      </rPr>
      <t xml:space="preserve">, Administrators (162,85 </t>
    </r>
    <r>
      <rPr>
        <i/>
        <sz val="12"/>
        <color theme="1"/>
        <rFont val="Times New Roman"/>
        <family val="1"/>
        <charset val="186"/>
      </rPr>
      <t>euro</t>
    </r>
    <r>
      <rPr>
        <sz val="12"/>
        <color theme="1"/>
        <rFont val="Times New Roman"/>
        <family val="1"/>
        <charset val="186"/>
      </rPr>
      <t xml:space="preserve"> * 10%) = 16,29 </t>
    </r>
    <r>
      <rPr>
        <i/>
        <sz val="12"/>
        <color theme="1"/>
        <rFont val="Times New Roman"/>
        <family val="1"/>
        <charset val="186"/>
      </rPr>
      <t>euro.</t>
    </r>
    <r>
      <rPr>
        <sz val="12"/>
        <color theme="1"/>
        <rFont val="Times New Roman"/>
        <family val="1"/>
        <charset val="186"/>
      </rPr>
      <t xml:space="preserve"> Kopā (0,61 </t>
    </r>
    <r>
      <rPr>
        <i/>
        <sz val="12"/>
        <color theme="1"/>
        <rFont val="Times New Roman"/>
        <family val="1"/>
        <charset val="186"/>
      </rPr>
      <t>euro</t>
    </r>
    <r>
      <rPr>
        <sz val="12"/>
        <color theme="1"/>
        <rFont val="Times New Roman"/>
        <family val="1"/>
        <charset val="186"/>
      </rPr>
      <t xml:space="preserve"> + 16,29 </t>
    </r>
    <r>
      <rPr>
        <i/>
        <sz val="12"/>
        <color theme="1"/>
        <rFont val="Times New Roman"/>
        <family val="1"/>
        <charset val="186"/>
      </rPr>
      <t>euro</t>
    </r>
    <r>
      <rPr>
        <sz val="12"/>
        <color theme="1"/>
        <rFont val="Times New Roman"/>
        <family val="1"/>
        <charset val="186"/>
      </rPr>
      <t xml:space="preserve">) = 16,90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</si>
  <si>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(185,83 </t>
    </r>
    <r>
      <rPr>
        <i/>
        <sz val="12"/>
        <color theme="1"/>
        <rFont val="Times New Roman"/>
        <family val="1"/>
        <charset val="186"/>
      </rPr>
      <t>euro</t>
    </r>
    <r>
      <rPr>
        <sz val="12"/>
        <color theme="1"/>
        <rFont val="Times New Roman"/>
        <family val="1"/>
        <charset val="186"/>
      </rPr>
      <t xml:space="preserve"> * 23.59 %) = 43,84 </t>
    </r>
    <r>
      <rPr>
        <i/>
        <sz val="12"/>
        <color theme="1"/>
        <rFont val="Times New Roman"/>
        <family val="1"/>
        <charset val="186"/>
      </rPr>
      <t>euro</t>
    </r>
    <r>
      <rPr>
        <sz val="12"/>
        <color theme="1"/>
        <rFont val="Times New Roman"/>
        <family val="1"/>
        <charset val="186"/>
      </rPr>
      <t>.</t>
    </r>
  </si>
  <si>
    <r>
      <t xml:space="preserve">Veselības apdrošināšana, Galv. nekust. īpaš. pārvaldnieks (6,08 </t>
    </r>
    <r>
      <rPr>
        <i/>
        <sz val="12"/>
        <color theme="1"/>
        <rFont val="Times New Roman"/>
        <family val="1"/>
        <charset val="186"/>
      </rPr>
      <t>euro</t>
    </r>
    <r>
      <rPr>
        <sz val="12"/>
        <color theme="1"/>
        <rFont val="Times New Roman"/>
        <family val="1"/>
        <charset val="186"/>
      </rPr>
      <t xml:space="preserve"> * 5%) = 0,30 </t>
    </r>
    <r>
      <rPr>
        <i/>
        <sz val="12"/>
        <color theme="1"/>
        <rFont val="Times New Roman"/>
        <family val="1"/>
        <charset val="186"/>
      </rPr>
      <t>euro</t>
    </r>
    <r>
      <rPr>
        <sz val="12"/>
        <color theme="1"/>
        <rFont val="Times New Roman"/>
        <family val="1"/>
        <charset val="186"/>
      </rPr>
      <t xml:space="preserve">, Administrators (162,85 </t>
    </r>
    <r>
      <rPr>
        <i/>
        <sz val="12"/>
        <color theme="1"/>
        <rFont val="Times New Roman"/>
        <family val="1"/>
        <charset val="186"/>
      </rPr>
      <t>euro</t>
    </r>
    <r>
      <rPr>
        <sz val="12"/>
        <color theme="1"/>
        <rFont val="Times New Roman"/>
        <family val="1"/>
        <charset val="186"/>
      </rPr>
      <t xml:space="preserve"> * 5%) = 8,14 </t>
    </r>
    <r>
      <rPr>
        <i/>
        <sz val="12"/>
        <color theme="1"/>
        <rFont val="Times New Roman"/>
        <family val="1"/>
        <charset val="186"/>
      </rPr>
      <t>euro</t>
    </r>
    <r>
      <rPr>
        <sz val="12"/>
        <color theme="1"/>
        <rFont val="Times New Roman"/>
        <family val="1"/>
        <charset val="186"/>
      </rPr>
      <t xml:space="preserve">. Kopā (0,30 </t>
    </r>
    <r>
      <rPr>
        <i/>
        <sz val="12"/>
        <color theme="1"/>
        <rFont val="Times New Roman"/>
        <family val="1"/>
        <charset val="186"/>
      </rPr>
      <t>euro</t>
    </r>
    <r>
      <rPr>
        <sz val="12"/>
        <color theme="1"/>
        <rFont val="Times New Roman"/>
        <family val="1"/>
        <charset val="186"/>
      </rPr>
      <t xml:space="preserve"> + 8,14 </t>
    </r>
    <r>
      <rPr>
        <i/>
        <sz val="12"/>
        <color theme="1"/>
        <rFont val="Times New Roman"/>
        <family val="1"/>
        <charset val="186"/>
      </rPr>
      <t>euro</t>
    </r>
    <r>
      <rPr>
        <sz val="12"/>
        <color theme="1"/>
        <rFont val="Times New Roman"/>
        <family val="1"/>
        <charset val="186"/>
      </rPr>
      <t xml:space="preserve">) = 8,44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</si>
  <si>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43,84 </t>
    </r>
    <r>
      <rPr>
        <i/>
        <sz val="12"/>
        <color theme="1"/>
        <rFont val="Times New Roman"/>
        <family val="1"/>
        <charset val="186"/>
      </rPr>
      <t>euro</t>
    </r>
    <r>
      <rPr>
        <sz val="12"/>
        <color theme="1"/>
        <rFont val="Times New Roman"/>
        <family val="1"/>
        <charset val="186"/>
      </rPr>
      <t xml:space="preserve">. Veselības apdrošināšana 8,44 </t>
    </r>
    <r>
      <rPr>
        <i/>
        <sz val="12"/>
        <color theme="1"/>
        <rFont val="Times New Roman"/>
        <family val="1"/>
        <charset val="186"/>
      </rPr>
      <t>euro</t>
    </r>
    <r>
      <rPr>
        <sz val="12"/>
        <color theme="1"/>
        <rFont val="Times New Roman"/>
        <family val="1"/>
        <charset val="186"/>
      </rPr>
      <t xml:space="preserve">. Kopā 52,28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</si>
  <si>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20 min., (11,47 </t>
    </r>
    <r>
      <rPr>
        <i/>
        <sz val="12"/>
        <color theme="1"/>
        <rFont val="Times New Roman"/>
        <family val="1"/>
        <charset val="186"/>
      </rPr>
      <t>euro</t>
    </r>
    <r>
      <rPr>
        <sz val="12"/>
        <color theme="1"/>
        <rFont val="Times New Roman"/>
        <family val="1"/>
        <charset val="186"/>
      </rPr>
      <t xml:space="preserve"> * 0.33 h) = 3,79 </t>
    </r>
    <r>
      <rPr>
        <i/>
        <sz val="12"/>
        <color theme="1"/>
        <rFont val="Times New Roman"/>
        <family val="1"/>
        <charset val="186"/>
      </rPr>
      <t>euro</t>
    </r>
    <r>
      <rPr>
        <sz val="12"/>
        <color theme="1"/>
        <rFont val="Times New Roman"/>
        <family val="1"/>
        <charset val="186"/>
      </rPr>
      <t xml:space="preserve">/mēn. * 12. mēn. = 45,48  </t>
    </r>
    <r>
      <rPr>
        <i/>
        <sz val="12"/>
        <color theme="1"/>
        <rFont val="Times New Roman"/>
        <family val="1"/>
        <charset val="186"/>
      </rPr>
      <t>euro</t>
    </r>
    <r>
      <rPr>
        <sz val="12"/>
        <color theme="1"/>
        <rFont val="Times New Roman"/>
        <family val="1"/>
        <charset val="186"/>
      </rPr>
      <t xml:space="preserve"> * 0.03 (pakalpojuma īpatsvars kopējos ēkā sniegtajos pakalpojumos) = 1,36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</si>
  <si>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20 min, (7,65 </t>
    </r>
    <r>
      <rPr>
        <i/>
        <sz val="12"/>
        <color theme="1"/>
        <rFont val="Times New Roman"/>
        <family val="1"/>
        <charset val="186"/>
      </rPr>
      <t>euro</t>
    </r>
    <r>
      <rPr>
        <sz val="12"/>
        <color theme="1"/>
        <rFont val="Times New Roman"/>
        <family val="1"/>
        <charset val="186"/>
      </rPr>
      <t xml:space="preserve"> * 0.33 h) = 2,52 </t>
    </r>
    <r>
      <rPr>
        <i/>
        <sz val="12"/>
        <color theme="1"/>
        <rFont val="Times New Roman"/>
        <family val="1"/>
        <charset val="186"/>
      </rPr>
      <t>euro</t>
    </r>
    <r>
      <rPr>
        <sz val="12"/>
        <color theme="1"/>
        <rFont val="Times New Roman"/>
        <family val="1"/>
        <charset val="186"/>
      </rPr>
      <t xml:space="preserve">/mēn. * 12. mēn. = 30,24 </t>
    </r>
    <r>
      <rPr>
        <i/>
        <sz val="12"/>
        <color theme="1"/>
        <rFont val="Times New Roman"/>
        <family val="1"/>
        <charset val="186"/>
      </rPr>
      <t>euro</t>
    </r>
    <r>
      <rPr>
        <sz val="12"/>
        <color theme="1"/>
        <rFont val="Times New Roman"/>
        <family val="1"/>
        <charset val="186"/>
      </rPr>
      <t xml:space="preserve"> * 0.03 (pakalpojuma īpatsvars kopējos ēkā sniegtajos pakalpojumos) = 0,91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</si>
  <si>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20 min, (11,47 </t>
    </r>
    <r>
      <rPr>
        <i/>
        <sz val="12"/>
        <color theme="1"/>
        <rFont val="Times New Roman"/>
        <family val="1"/>
        <charset val="186"/>
      </rPr>
      <t>euro</t>
    </r>
    <r>
      <rPr>
        <sz val="12"/>
        <color theme="1"/>
        <rFont val="Times New Roman"/>
        <family val="1"/>
        <charset val="186"/>
      </rPr>
      <t xml:space="preserve"> * 0.33 h) = 3,79 </t>
    </r>
    <r>
      <rPr>
        <i/>
        <sz val="12"/>
        <color theme="1"/>
        <rFont val="Times New Roman"/>
        <family val="1"/>
        <charset val="186"/>
      </rPr>
      <t>euro</t>
    </r>
    <r>
      <rPr>
        <sz val="12"/>
        <color theme="1"/>
        <rFont val="Times New Roman"/>
        <family val="1"/>
        <charset val="186"/>
      </rPr>
      <t xml:space="preserve">/mēn. * 12. mēn. = 45,48 </t>
    </r>
    <r>
      <rPr>
        <i/>
        <sz val="12"/>
        <color theme="1"/>
        <rFont val="Times New Roman"/>
        <family val="1"/>
        <charset val="186"/>
      </rPr>
      <t>euro</t>
    </r>
    <r>
      <rPr>
        <sz val="12"/>
        <color theme="1"/>
        <rFont val="Times New Roman"/>
        <family val="1"/>
        <charset val="186"/>
      </rPr>
      <t xml:space="preserve"> * 0.03 (pakalpojuma īpatsvars kopējos ēkā sniegtajos pakalpojumos) = 1,36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</si>
  <si>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 min., (15,15 </t>
    </r>
    <r>
      <rPr>
        <i/>
        <sz val="12"/>
        <color theme="1"/>
        <rFont val="Times New Roman"/>
        <family val="1"/>
        <charset val="186"/>
      </rPr>
      <t>euro</t>
    </r>
    <r>
      <rPr>
        <sz val="12"/>
        <color theme="1"/>
        <rFont val="Times New Roman"/>
        <family val="1"/>
        <charset val="186"/>
      </rPr>
      <t xml:space="preserve"> * 0.33 h) = 5,00 </t>
    </r>
    <r>
      <rPr>
        <i/>
        <sz val="12"/>
        <color theme="1"/>
        <rFont val="Times New Roman"/>
        <family val="1"/>
        <charset val="186"/>
      </rPr>
      <t>euro</t>
    </r>
    <r>
      <rPr>
        <sz val="12"/>
        <color theme="1"/>
        <rFont val="Times New Roman"/>
        <family val="1"/>
        <charset val="186"/>
      </rPr>
      <t xml:space="preserve">/mēn. * 12. mēn. = 60,00 </t>
    </r>
    <r>
      <rPr>
        <i/>
        <sz val="12"/>
        <color theme="1"/>
        <rFont val="Times New Roman"/>
        <family val="1"/>
        <charset val="186"/>
      </rPr>
      <t>euro</t>
    </r>
    <r>
      <rPr>
        <sz val="12"/>
        <color theme="1"/>
        <rFont val="Times New Roman"/>
        <family val="1"/>
        <charset val="186"/>
      </rPr>
      <t xml:space="preserve"> * 0.03 (pakalpojuma īpatsvars kopējos ēkā sniegtajos pakalpojumos) = 1,80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</si>
  <si>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13 min, (12,17 </t>
    </r>
    <r>
      <rPr>
        <i/>
        <sz val="12"/>
        <color theme="1"/>
        <rFont val="Times New Roman"/>
        <family val="1"/>
        <charset val="186"/>
      </rPr>
      <t>euro</t>
    </r>
    <r>
      <rPr>
        <sz val="12"/>
        <color theme="1"/>
        <rFont val="Times New Roman"/>
        <family val="1"/>
        <charset val="186"/>
      </rPr>
      <t xml:space="preserve"> * 0.22 h) = 2,68 </t>
    </r>
    <r>
      <rPr>
        <i/>
        <sz val="12"/>
        <color theme="1"/>
        <rFont val="Times New Roman"/>
        <family val="1"/>
        <charset val="186"/>
      </rPr>
      <t>euro</t>
    </r>
    <r>
      <rPr>
        <sz val="12"/>
        <color theme="1"/>
        <rFont val="Times New Roman"/>
        <family val="1"/>
        <charset val="186"/>
      </rPr>
      <t xml:space="preserve">/mēn. * 12. mēn. = 32,16 </t>
    </r>
    <r>
      <rPr>
        <i/>
        <sz val="12"/>
        <color theme="1"/>
        <rFont val="Times New Roman"/>
        <family val="1"/>
        <charset val="186"/>
      </rPr>
      <t>euro</t>
    </r>
    <r>
      <rPr>
        <sz val="12"/>
        <color theme="1"/>
        <rFont val="Times New Roman"/>
        <family val="1"/>
        <charset val="186"/>
      </rPr>
      <t xml:space="preserve"> * 0.03 (pakalpojuma īpatsvars kopējos ēkā sniegtajos pakalpojumos) = 0,96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</si>
  <si>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0.03 (pakalpojuma īpatsvars kopējos ēkā sniegtajos pakalpojumos) = 27,51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</si>
  <si>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7.46 stundas, (9,42 </t>
    </r>
    <r>
      <rPr>
        <i/>
        <sz val="12"/>
        <color theme="1"/>
        <rFont val="Times New Roman"/>
        <family val="1"/>
        <charset val="186"/>
      </rPr>
      <t>euro</t>
    </r>
    <r>
      <rPr>
        <sz val="12"/>
        <color theme="1"/>
        <rFont val="Times New Roman"/>
        <family val="1"/>
        <charset val="186"/>
      </rPr>
      <t xml:space="preserve"> * 7.46 h) = 70,27 </t>
    </r>
    <r>
      <rPr>
        <i/>
        <sz val="12"/>
        <color theme="1"/>
        <rFont val="Times New Roman"/>
        <family val="1"/>
        <charset val="186"/>
      </rPr>
      <t>euro</t>
    </r>
    <r>
      <rPr>
        <sz val="12"/>
        <color theme="1"/>
        <rFont val="Times New Roman"/>
        <family val="1"/>
        <charset val="186"/>
      </rPr>
      <t xml:space="preserve">/mēn. * 12. mēn. = 834,24 </t>
    </r>
    <r>
      <rPr>
        <i/>
        <sz val="12"/>
        <color theme="1"/>
        <rFont val="Times New Roman"/>
        <family val="1"/>
        <charset val="186"/>
      </rPr>
      <t>euro</t>
    </r>
    <r>
      <rPr>
        <sz val="12"/>
        <color theme="1"/>
        <rFont val="Times New Roman"/>
        <family val="1"/>
        <charset val="186"/>
      </rPr>
      <t xml:space="preserve"> * 0.03 (pakalpojuma īpatsvars kopējos ēkā sniegtajos pakalpojumos) = 25,30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</si>
  <si>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13 stundas, (8,29 </t>
    </r>
    <r>
      <rPr>
        <i/>
        <sz val="12"/>
        <color theme="1"/>
        <rFont val="Times New Roman"/>
        <family val="1"/>
        <charset val="186"/>
      </rPr>
      <t>euro</t>
    </r>
    <r>
      <rPr>
        <sz val="12"/>
        <color theme="1"/>
        <rFont val="Times New Roman"/>
        <family val="1"/>
        <charset val="186"/>
      </rPr>
      <t xml:space="preserve"> * 13 h) = 107,77 </t>
    </r>
    <r>
      <rPr>
        <i/>
        <sz val="12"/>
        <color theme="1"/>
        <rFont val="Times New Roman"/>
        <family val="1"/>
        <charset val="186"/>
      </rPr>
      <t>euro</t>
    </r>
    <r>
      <rPr>
        <sz val="12"/>
        <color theme="1"/>
        <rFont val="Times New Roman"/>
        <family val="1"/>
        <charset val="186"/>
      </rPr>
      <t xml:space="preserve">/mēn. * 12. mēn. = 1 293,24 </t>
    </r>
    <r>
      <rPr>
        <i/>
        <sz val="12"/>
        <color theme="1"/>
        <rFont val="Times New Roman"/>
        <family val="1"/>
        <charset val="186"/>
      </rPr>
      <t>euro</t>
    </r>
    <r>
      <rPr>
        <sz val="12"/>
        <color theme="1"/>
        <rFont val="Times New Roman"/>
        <family val="1"/>
        <charset val="186"/>
      </rPr>
      <t xml:space="preserve"> * 0.03 (pakalpojuma īpatsvars kopējos ēkā sniegtajos pakalpojumos) = 38,80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</si>
  <si>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1.28 stundas, (25,09 </t>
    </r>
    <r>
      <rPr>
        <i/>
        <sz val="12"/>
        <color theme="1"/>
        <rFont val="Times New Roman"/>
        <family val="1"/>
        <charset val="186"/>
      </rPr>
      <t>euro</t>
    </r>
    <r>
      <rPr>
        <sz val="12"/>
        <color theme="1"/>
        <rFont val="Times New Roman"/>
        <family val="1"/>
        <charset val="186"/>
      </rPr>
      <t xml:space="preserve"> * 1.28 h) = 32,12 </t>
    </r>
    <r>
      <rPr>
        <i/>
        <sz val="12"/>
        <color theme="1"/>
        <rFont val="Times New Roman"/>
        <family val="1"/>
        <charset val="186"/>
      </rPr>
      <t>euro</t>
    </r>
    <r>
      <rPr>
        <sz val="12"/>
        <color theme="1"/>
        <rFont val="Times New Roman"/>
        <family val="1"/>
        <charset val="186"/>
      </rPr>
      <t xml:space="preserve">/mēn. * 12. mēn. = 385,44 </t>
    </r>
    <r>
      <rPr>
        <i/>
        <sz val="12"/>
        <color theme="1"/>
        <rFont val="Times New Roman"/>
        <family val="1"/>
        <charset val="186"/>
      </rPr>
      <t>euro</t>
    </r>
    <r>
      <rPr>
        <sz val="12"/>
        <color theme="1"/>
        <rFont val="Times New Roman"/>
        <family val="1"/>
        <charset val="186"/>
      </rPr>
      <t xml:space="preserve"> * 0.03 (pakalpojuma īpatsvars kopējos ēkā sniegtajos pakalpojumos) = 11,56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</si>
  <si>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18 min., (27,18 </t>
    </r>
    <r>
      <rPr>
        <i/>
        <sz val="12"/>
        <color theme="1"/>
        <rFont val="Times New Roman"/>
        <family val="1"/>
        <charset val="186"/>
      </rPr>
      <t>euro</t>
    </r>
    <r>
      <rPr>
        <sz val="12"/>
        <color theme="1"/>
        <rFont val="Times New Roman"/>
        <family val="1"/>
        <charset val="186"/>
      </rPr>
      <t xml:space="preserve"> * 0.3 h) = 8,15 </t>
    </r>
    <r>
      <rPr>
        <i/>
        <sz val="12"/>
        <color theme="1"/>
        <rFont val="Times New Roman"/>
        <family val="1"/>
        <charset val="186"/>
      </rPr>
      <t>euro</t>
    </r>
    <r>
      <rPr>
        <sz val="12"/>
        <color theme="1"/>
        <rFont val="Times New Roman"/>
        <family val="1"/>
        <charset val="186"/>
      </rPr>
      <t xml:space="preserve">/mēn. * 12. mēn. = 97,80 </t>
    </r>
    <r>
      <rPr>
        <i/>
        <sz val="12"/>
        <color theme="1"/>
        <rFont val="Times New Roman"/>
        <family val="1"/>
        <charset val="186"/>
      </rPr>
      <t>euro</t>
    </r>
    <r>
      <rPr>
        <sz val="12"/>
        <color theme="1"/>
        <rFont val="Times New Roman"/>
        <family val="1"/>
        <charset val="186"/>
      </rPr>
      <t xml:space="preserve"> * 0.03 (pakalpojuma īpatsvars kopējos ēkā sniegtajos pakalpojumos) = 2,93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</si>
  <si>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112,49 </t>
    </r>
    <r>
      <rPr>
        <i/>
        <sz val="12"/>
        <color theme="1"/>
        <rFont val="Times New Roman"/>
        <family val="1"/>
        <charset val="186"/>
      </rPr>
      <t>euro</t>
    </r>
    <r>
      <rPr>
        <sz val="12"/>
        <color theme="1"/>
        <rFont val="Times New Roman"/>
        <family val="1"/>
        <charset val="186"/>
      </rPr>
      <t xml:space="preserve"> * 23,59 % = 26,54 </t>
    </r>
    <r>
      <rPr>
        <i/>
        <sz val="12"/>
        <color theme="1"/>
        <rFont val="Times New Roman"/>
        <family val="1"/>
        <charset val="186"/>
      </rPr>
      <t>euro.</t>
    </r>
  </si>
  <si>
    <r>
      <t xml:space="preserve">Galv. nekust. īpaš. pārvaldnieks (98,40 </t>
    </r>
    <r>
      <rPr>
        <i/>
        <sz val="12"/>
        <color theme="1"/>
        <rFont val="Times New Roman"/>
        <family val="1"/>
        <charset val="186"/>
      </rPr>
      <t>euro</t>
    </r>
    <r>
      <rPr>
        <sz val="12"/>
        <color theme="1"/>
        <rFont val="Times New Roman"/>
        <family val="1"/>
        <charset val="186"/>
      </rPr>
      <t xml:space="preserve"> * 10%) = 9,84 </t>
    </r>
    <r>
      <rPr>
        <i/>
        <sz val="12"/>
        <color theme="1"/>
        <rFont val="Times New Roman"/>
        <family val="1"/>
        <charset val="186"/>
      </rPr>
      <t>euro.</t>
    </r>
  </si>
  <si>
    <r>
      <t xml:space="preserve">Darba devēja valsts sociālās apdrošināšanas obligātās iemaksas (108,24 </t>
    </r>
    <r>
      <rPr>
        <i/>
        <sz val="12"/>
        <color theme="1"/>
        <rFont val="Times New Roman"/>
        <family val="1"/>
        <charset val="186"/>
      </rPr>
      <t>euro</t>
    </r>
    <r>
      <rPr>
        <sz val="12"/>
        <color theme="1"/>
        <rFont val="Times New Roman"/>
        <family val="1"/>
        <charset val="186"/>
      </rPr>
      <t xml:space="preserve"> * 23.59 %) = 5,41 </t>
    </r>
    <r>
      <rPr>
        <i/>
        <sz val="12"/>
        <color theme="1"/>
        <rFont val="Times New Roman"/>
        <family val="1"/>
        <charset val="186"/>
      </rPr>
      <t>euro</t>
    </r>
    <r>
      <rPr>
        <sz val="12"/>
        <color theme="1"/>
        <rFont val="Times New Roman"/>
        <family val="1"/>
        <charset val="186"/>
      </rPr>
      <t>.</t>
    </r>
  </si>
  <si>
    <r>
      <t xml:space="preserve">Veselības apdrošināšana, Galv. nekust. īpaš. pārvaldnieks (98,40 </t>
    </r>
    <r>
      <rPr>
        <i/>
        <sz val="12"/>
        <color theme="1"/>
        <rFont val="Times New Roman"/>
        <family val="1"/>
        <charset val="186"/>
      </rPr>
      <t>euro</t>
    </r>
    <r>
      <rPr>
        <sz val="12"/>
        <color theme="1"/>
        <rFont val="Times New Roman"/>
        <family val="1"/>
        <charset val="186"/>
      </rPr>
      <t xml:space="preserve"> * 5%) = 4,92 </t>
    </r>
    <r>
      <rPr>
        <i/>
        <sz val="12"/>
        <color theme="1"/>
        <rFont val="Times New Roman"/>
        <family val="1"/>
        <charset val="186"/>
      </rPr>
      <t>euro.</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</si>
  <si>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 stunda, (8,20 </t>
    </r>
    <r>
      <rPr>
        <i/>
        <sz val="12"/>
        <color theme="1"/>
        <rFont val="Times New Roman"/>
        <family val="1"/>
        <charset val="186"/>
      </rPr>
      <t>euro</t>
    </r>
    <r>
      <rPr>
        <sz val="12"/>
        <color theme="1"/>
        <rFont val="Times New Roman"/>
        <family val="1"/>
        <charset val="186"/>
      </rPr>
      <t xml:space="preserve"> * 1 h) = 8,20 </t>
    </r>
    <r>
      <rPr>
        <i/>
        <sz val="12"/>
        <color theme="1"/>
        <rFont val="Times New Roman"/>
        <family val="1"/>
        <charset val="186"/>
      </rPr>
      <t>euro</t>
    </r>
    <r>
      <rPr>
        <sz val="12"/>
        <color theme="1"/>
        <rFont val="Times New Roman"/>
        <family val="1"/>
        <charset val="186"/>
      </rPr>
      <t xml:space="preserve">/mēn. * 12. mēn. = 98,40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</si>
  <si>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2 min., (11,47 </t>
    </r>
    <r>
      <rPr>
        <i/>
        <sz val="12"/>
        <color theme="1"/>
        <rFont val="Times New Roman"/>
        <family val="1"/>
        <charset val="186"/>
      </rPr>
      <t>euro</t>
    </r>
    <r>
      <rPr>
        <sz val="12"/>
        <color theme="1"/>
        <rFont val="Times New Roman"/>
        <family val="1"/>
        <charset val="186"/>
      </rPr>
      <t xml:space="preserve"> * 0.025 h) = 0,29 </t>
    </r>
    <r>
      <rPr>
        <i/>
        <sz val="12"/>
        <color theme="1"/>
        <rFont val="Times New Roman"/>
        <family val="1"/>
        <charset val="186"/>
      </rPr>
      <t>euro</t>
    </r>
    <r>
      <rPr>
        <sz val="12"/>
        <color theme="1"/>
        <rFont val="Times New Roman"/>
        <family val="1"/>
        <charset val="186"/>
      </rPr>
      <t xml:space="preserve">/mēn. * 12. mēn. = 3,48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</si>
  <si>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 min., (7,65 </t>
    </r>
    <r>
      <rPr>
        <i/>
        <sz val="12"/>
        <color theme="1"/>
        <rFont val="Times New Roman"/>
        <family val="1"/>
        <charset val="186"/>
      </rPr>
      <t>euro</t>
    </r>
    <r>
      <rPr>
        <sz val="12"/>
        <color theme="1"/>
        <rFont val="Times New Roman"/>
        <family val="1"/>
        <charset val="186"/>
      </rPr>
      <t xml:space="preserve"> * 0.025 h) = 0,19 </t>
    </r>
    <r>
      <rPr>
        <i/>
        <sz val="12"/>
        <color theme="1"/>
        <rFont val="Times New Roman"/>
        <family val="1"/>
        <charset val="186"/>
      </rPr>
      <t>euro</t>
    </r>
    <r>
      <rPr>
        <sz val="12"/>
        <color theme="1"/>
        <rFont val="Times New Roman"/>
        <family val="1"/>
        <charset val="186"/>
      </rPr>
      <t xml:space="preserve">/mēn. * 12. mēn. = 2,28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</si>
  <si>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2 min., (11,47 </t>
    </r>
    <r>
      <rPr>
        <i/>
        <sz val="12"/>
        <color theme="1"/>
        <rFont val="Times New Roman"/>
        <family val="1"/>
        <charset val="186"/>
      </rPr>
      <t>euro</t>
    </r>
    <r>
      <rPr>
        <sz val="12"/>
        <color theme="1"/>
        <rFont val="Times New Roman"/>
        <family val="1"/>
        <charset val="186"/>
      </rPr>
      <t xml:space="preserve"> * 0.025 h) = 0,29 </t>
    </r>
    <r>
      <rPr>
        <i/>
        <sz val="12"/>
        <color theme="1"/>
        <rFont val="Times New Roman"/>
        <family val="1"/>
        <charset val="186"/>
      </rPr>
      <t>euro</t>
    </r>
    <r>
      <rPr>
        <sz val="12"/>
        <color theme="1"/>
        <rFont val="Times New Roman"/>
        <family val="1"/>
        <charset val="186"/>
      </rPr>
      <t xml:space="preserve">/mēn. * 12. mēn. = 3,48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</si>
  <si>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 min., (15,15 </t>
    </r>
    <r>
      <rPr>
        <i/>
        <sz val="12"/>
        <color theme="1"/>
        <rFont val="Times New Roman"/>
        <family val="1"/>
        <charset val="186"/>
      </rPr>
      <t>euro</t>
    </r>
    <r>
      <rPr>
        <sz val="12"/>
        <color theme="1"/>
        <rFont val="Times New Roman"/>
        <family val="1"/>
        <charset val="186"/>
      </rPr>
      <t xml:space="preserve"> * 0.025 h) = 0,38 </t>
    </r>
    <r>
      <rPr>
        <i/>
        <sz val="12"/>
        <color theme="1"/>
        <rFont val="Times New Roman"/>
        <family val="1"/>
        <charset val="186"/>
      </rPr>
      <t>euro</t>
    </r>
    <r>
      <rPr>
        <sz val="12"/>
        <color theme="1"/>
        <rFont val="Times New Roman"/>
        <family val="1"/>
        <charset val="186"/>
      </rPr>
      <t xml:space="preserve">/mēn. * 12. mēn. = 4,56 </t>
    </r>
    <r>
      <rPr>
        <i/>
        <sz val="12"/>
        <color theme="1"/>
        <rFont val="Times New Roman"/>
        <family val="1"/>
        <charset val="186"/>
      </rPr>
      <t>euro</t>
    </r>
    <r>
      <rPr>
        <sz val="12"/>
        <color theme="1"/>
        <rFont val="Times New Roman"/>
        <family val="1"/>
        <charset val="186"/>
      </rPr>
      <t xml:space="preserve">. </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</si>
  <si>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 min., (12,17 </t>
    </r>
    <r>
      <rPr>
        <i/>
        <sz val="12"/>
        <color theme="1"/>
        <rFont val="Times New Roman"/>
        <family val="1"/>
        <charset val="186"/>
      </rPr>
      <t>euro</t>
    </r>
    <r>
      <rPr>
        <sz val="12"/>
        <color theme="1"/>
        <rFont val="Times New Roman"/>
        <family val="1"/>
        <charset val="186"/>
      </rPr>
      <t xml:space="preserve"> * 0.016 h) = 0,19 </t>
    </r>
    <r>
      <rPr>
        <i/>
        <sz val="12"/>
        <color theme="1"/>
        <rFont val="Times New Roman"/>
        <family val="1"/>
        <charset val="186"/>
      </rPr>
      <t>euro</t>
    </r>
    <r>
      <rPr>
        <sz val="12"/>
        <color theme="1"/>
        <rFont val="Times New Roman"/>
        <family val="1"/>
        <charset val="186"/>
      </rPr>
      <t xml:space="preserve">/mēn. * 12. mēn. = 2,28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</si>
  <si>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3.18 stundas, (8,29 </t>
    </r>
    <r>
      <rPr>
        <i/>
        <sz val="12"/>
        <color theme="1"/>
        <rFont val="Times New Roman"/>
        <family val="1"/>
        <charset val="186"/>
      </rPr>
      <t>euro</t>
    </r>
    <r>
      <rPr>
        <sz val="12"/>
        <color theme="1"/>
        <rFont val="Times New Roman"/>
        <family val="1"/>
        <charset val="186"/>
      </rPr>
      <t xml:space="preserve"> * 3.18 h) = 26,36 </t>
    </r>
    <r>
      <rPr>
        <i/>
        <sz val="12"/>
        <color theme="1"/>
        <rFont val="Times New Roman"/>
        <family val="1"/>
        <charset val="186"/>
      </rPr>
      <t>euro</t>
    </r>
    <r>
      <rPr>
        <sz val="12"/>
        <color theme="1"/>
        <rFont val="Times New Roman"/>
        <family val="1"/>
        <charset val="186"/>
      </rPr>
      <t xml:space="preserve">/mēn. * 12. mēn. = 316,32 </t>
    </r>
    <r>
      <rPr>
        <i/>
        <sz val="12"/>
        <color theme="1"/>
        <rFont val="Times New Roman"/>
        <family val="1"/>
        <charset val="186"/>
      </rPr>
      <t>euro.</t>
    </r>
    <r>
      <rPr>
        <sz val="12"/>
        <color theme="1"/>
        <rFont val="Times New Roman"/>
        <family val="1"/>
        <charset val="186"/>
      </rPr>
      <t xml:space="preserve"> </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</si>
  <si>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1.43 stundas, (8,29 </t>
    </r>
    <r>
      <rPr>
        <i/>
        <sz val="12"/>
        <color theme="1"/>
        <rFont val="Times New Roman"/>
        <family val="1"/>
        <charset val="186"/>
      </rPr>
      <t>euro</t>
    </r>
    <r>
      <rPr>
        <sz val="12"/>
        <color theme="1"/>
        <rFont val="Times New Roman"/>
        <family val="1"/>
        <charset val="186"/>
      </rPr>
      <t xml:space="preserve"> * 1.43 h) = 11,85 </t>
    </r>
    <r>
      <rPr>
        <i/>
        <sz val="12"/>
        <color theme="1"/>
        <rFont val="Times New Roman"/>
        <family val="1"/>
        <charset val="186"/>
      </rPr>
      <t>euro</t>
    </r>
    <r>
      <rPr>
        <sz val="12"/>
        <color theme="1"/>
        <rFont val="Times New Roman"/>
        <family val="1"/>
        <charset val="186"/>
      </rPr>
      <t xml:space="preserve">/mēn. * 12. mēn. = 142,20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</si>
  <si>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5 minūtes, (25,09 </t>
    </r>
    <r>
      <rPr>
        <i/>
        <sz val="12"/>
        <color theme="1"/>
        <rFont val="Times New Roman"/>
        <family val="1"/>
        <charset val="186"/>
      </rPr>
      <t>euro</t>
    </r>
    <r>
      <rPr>
        <sz val="12"/>
        <color theme="1"/>
        <rFont val="Times New Roman"/>
        <family val="1"/>
        <charset val="186"/>
      </rPr>
      <t xml:space="preserve"> * 0.08 h) = 2,01 </t>
    </r>
    <r>
      <rPr>
        <i/>
        <sz val="12"/>
        <color theme="1"/>
        <rFont val="Times New Roman"/>
        <family val="1"/>
        <charset val="186"/>
      </rPr>
      <t>euro</t>
    </r>
    <r>
      <rPr>
        <sz val="12"/>
        <color theme="1"/>
        <rFont val="Times New Roman"/>
        <family val="1"/>
        <charset val="186"/>
      </rPr>
      <t xml:space="preserve">/mēn * 12. mēn. = 24,12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</si>
  <si>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2 min., (27,18 </t>
    </r>
    <r>
      <rPr>
        <i/>
        <sz val="12"/>
        <color theme="1"/>
        <rFont val="Times New Roman"/>
        <family val="1"/>
        <charset val="186"/>
      </rPr>
      <t>euro</t>
    </r>
    <r>
      <rPr>
        <sz val="12"/>
        <color theme="1"/>
        <rFont val="Times New Roman"/>
        <family val="1"/>
        <charset val="186"/>
      </rPr>
      <t xml:space="preserve"> * 0.025 h) = 0,68 </t>
    </r>
    <r>
      <rPr>
        <i/>
        <sz val="12"/>
        <color theme="1"/>
        <rFont val="Times New Roman"/>
        <family val="1"/>
        <charset val="186"/>
      </rPr>
      <t>euro</t>
    </r>
    <r>
      <rPr>
        <sz val="12"/>
        <color theme="1"/>
        <rFont val="Times New Roman"/>
        <family val="1"/>
        <charset val="186"/>
      </rPr>
      <t xml:space="preserve">/mēn. * 12. mēn. = 8,16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</si>
  <si>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6 stundas, (8,20 </t>
    </r>
    <r>
      <rPr>
        <i/>
        <sz val="12"/>
        <color theme="1"/>
        <rFont val="Times New Roman"/>
        <family val="1"/>
        <charset val="186"/>
      </rPr>
      <t>euro</t>
    </r>
    <r>
      <rPr>
        <sz val="12"/>
        <color theme="1"/>
        <rFont val="Times New Roman"/>
        <family val="1"/>
        <charset val="186"/>
      </rPr>
      <t xml:space="preserve"> * 6 h) = 49,20 </t>
    </r>
    <r>
      <rPr>
        <i/>
        <sz val="12"/>
        <color theme="1"/>
        <rFont val="Times New Roman"/>
        <family val="1"/>
        <charset val="186"/>
      </rPr>
      <t>euro</t>
    </r>
    <r>
      <rPr>
        <sz val="12"/>
        <color theme="1"/>
        <rFont val="Times New Roman"/>
        <family val="1"/>
        <charset val="186"/>
      </rPr>
      <t xml:space="preserve"> * 12 mēn. = 590,40 </t>
    </r>
    <r>
      <rPr>
        <i/>
        <sz val="12"/>
        <color theme="1"/>
        <rFont val="Times New Roman"/>
        <family val="1"/>
        <charset val="186"/>
      </rPr>
      <t>euro</t>
    </r>
    <r>
      <rPr>
        <sz val="12"/>
        <color theme="1"/>
        <rFont val="Times New Roman"/>
        <family val="1"/>
        <charset val="186"/>
      </rPr>
      <t xml:space="preserve"> * 0.944 (iznomātās platības koeficients)  = 557,34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</si>
  <si>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20 stundas, (5,42 </t>
    </r>
    <r>
      <rPr>
        <i/>
        <sz val="12"/>
        <color theme="1"/>
        <rFont val="Times New Roman"/>
        <family val="1"/>
        <charset val="186"/>
      </rPr>
      <t>euro</t>
    </r>
    <r>
      <rPr>
        <sz val="12"/>
        <color theme="1"/>
        <rFont val="Times New Roman"/>
        <family val="1"/>
        <charset val="186"/>
      </rPr>
      <t xml:space="preserve"> * 20 h) = 108,40 </t>
    </r>
    <r>
      <rPr>
        <i/>
        <sz val="12"/>
        <color theme="1"/>
        <rFont val="Times New Roman"/>
        <family val="1"/>
        <charset val="186"/>
      </rPr>
      <t>euro/</t>
    </r>
    <r>
      <rPr>
        <sz val="12"/>
        <color theme="1"/>
        <rFont val="Times New Roman"/>
        <family val="1"/>
        <charset val="186"/>
      </rPr>
      <t>mēn</t>
    </r>
    <r>
      <rPr>
        <i/>
        <sz val="12"/>
        <color theme="1"/>
        <rFont val="Times New Roman"/>
        <family val="1"/>
        <charset val="186"/>
      </rPr>
      <t>.</t>
    </r>
    <r>
      <rPr>
        <sz val="12"/>
        <color theme="1"/>
        <rFont val="Times New Roman"/>
        <family val="1"/>
        <charset val="186"/>
      </rPr>
      <t xml:space="preserve"> * 12 mēn. = 1 300,80 </t>
    </r>
    <r>
      <rPr>
        <i/>
        <sz val="12"/>
        <color theme="1"/>
        <rFont val="Times New Roman"/>
        <family val="1"/>
        <charset val="186"/>
      </rPr>
      <t>euro</t>
    </r>
    <r>
      <rPr>
        <sz val="12"/>
        <color theme="1"/>
        <rFont val="Times New Roman"/>
        <family val="1"/>
        <charset val="186"/>
      </rPr>
      <t xml:space="preserve"> * 0.944 (iznomātās platības koeficients) = 1 227,96 </t>
    </r>
    <r>
      <rPr>
        <i/>
        <sz val="12"/>
        <color theme="1"/>
        <rFont val="Times New Roman"/>
        <family val="1"/>
        <charset val="186"/>
      </rPr>
      <t>euro</t>
    </r>
    <r>
      <rPr>
        <sz val="12"/>
        <color theme="1"/>
        <rFont val="Times New Roman"/>
        <family val="1"/>
        <charset val="186"/>
      </rPr>
      <t xml:space="preserve">. </t>
    </r>
  </si>
  <si>
    <r>
      <t xml:space="preserve">Galv. nekust. īpaš. pārvaldnieks (557,34 </t>
    </r>
    <r>
      <rPr>
        <i/>
        <sz val="12"/>
        <color theme="1"/>
        <rFont val="Times New Roman"/>
        <family val="1"/>
        <charset val="186"/>
      </rPr>
      <t>euro</t>
    </r>
    <r>
      <rPr>
        <sz val="12"/>
        <color theme="1"/>
        <rFont val="Times New Roman"/>
        <family val="1"/>
        <charset val="186"/>
      </rPr>
      <t xml:space="preserve"> * 10%) = 55,73 </t>
    </r>
    <r>
      <rPr>
        <i/>
        <sz val="12"/>
        <color theme="1"/>
        <rFont val="Times New Roman"/>
        <family val="1"/>
        <charset val="186"/>
      </rPr>
      <t>euro</t>
    </r>
    <r>
      <rPr>
        <sz val="12"/>
        <color theme="1"/>
        <rFont val="Times New Roman"/>
        <family val="1"/>
        <charset val="186"/>
      </rPr>
      <t xml:space="preserve">, Saimniecības pārzinis (1 227,96 </t>
    </r>
    <r>
      <rPr>
        <i/>
        <sz val="12"/>
        <color theme="1"/>
        <rFont val="Times New Roman"/>
        <family val="1"/>
        <charset val="186"/>
      </rPr>
      <t>euro</t>
    </r>
    <r>
      <rPr>
        <sz val="12"/>
        <color theme="1"/>
        <rFont val="Times New Roman"/>
        <family val="1"/>
        <charset val="186"/>
      </rPr>
      <t xml:space="preserve"> * 10%) = 122,80 </t>
    </r>
    <r>
      <rPr>
        <i/>
        <sz val="12"/>
        <color theme="1"/>
        <rFont val="Times New Roman"/>
        <family val="1"/>
        <charset val="186"/>
      </rPr>
      <t xml:space="preserve">euro. </t>
    </r>
    <r>
      <rPr>
        <sz val="12"/>
        <color theme="1"/>
        <rFont val="Times New Roman"/>
        <family val="1"/>
        <charset val="186"/>
      </rPr>
      <t xml:space="preserve">Kopā (55,73 </t>
    </r>
    <r>
      <rPr>
        <i/>
        <sz val="12"/>
        <color theme="1"/>
        <rFont val="Times New Roman"/>
        <family val="1"/>
        <charset val="186"/>
      </rPr>
      <t>euro</t>
    </r>
    <r>
      <rPr>
        <sz val="12"/>
        <color theme="1"/>
        <rFont val="Times New Roman"/>
        <family val="1"/>
        <charset val="186"/>
      </rPr>
      <t xml:space="preserve"> + 122,80 </t>
    </r>
    <r>
      <rPr>
        <i/>
        <sz val="12"/>
        <color theme="1"/>
        <rFont val="Times New Roman"/>
        <family val="1"/>
        <charset val="186"/>
      </rPr>
      <t>euro</t>
    </r>
    <r>
      <rPr>
        <sz val="12"/>
        <color theme="1"/>
        <rFont val="Times New Roman"/>
        <family val="1"/>
        <charset val="186"/>
      </rPr>
      <t xml:space="preserve">) = 178,53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</si>
  <si>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(1 963,83 </t>
    </r>
    <r>
      <rPr>
        <i/>
        <sz val="12"/>
        <color theme="1"/>
        <rFont val="Times New Roman"/>
        <family val="1"/>
        <charset val="186"/>
      </rPr>
      <t>euro</t>
    </r>
    <r>
      <rPr>
        <sz val="12"/>
        <color theme="1"/>
        <rFont val="Times New Roman"/>
        <family val="1"/>
        <charset val="186"/>
      </rPr>
      <t xml:space="preserve"> * 23,59 %) = 463,27 </t>
    </r>
    <r>
      <rPr>
        <i/>
        <sz val="12"/>
        <color theme="1"/>
        <rFont val="Times New Roman"/>
        <family val="1"/>
        <charset val="186"/>
      </rPr>
      <t xml:space="preserve">euro. </t>
    </r>
  </si>
  <si>
    <r>
      <t xml:space="preserve">Veselības apdrošināšana, Galv. nekust. īpaš. pārvaldnieks (557,34 </t>
    </r>
    <r>
      <rPr>
        <i/>
        <sz val="12"/>
        <color theme="1"/>
        <rFont val="Times New Roman"/>
        <family val="1"/>
        <charset val="186"/>
      </rPr>
      <t>euro</t>
    </r>
    <r>
      <rPr>
        <sz val="12"/>
        <color theme="1"/>
        <rFont val="Times New Roman"/>
        <family val="1"/>
        <charset val="186"/>
      </rPr>
      <t xml:space="preserve"> * 5%) = 27,87 </t>
    </r>
    <r>
      <rPr>
        <i/>
        <sz val="12"/>
        <color theme="1"/>
        <rFont val="Times New Roman"/>
        <family val="1"/>
        <charset val="186"/>
      </rPr>
      <t>euro</t>
    </r>
    <r>
      <rPr>
        <sz val="12"/>
        <color theme="1"/>
        <rFont val="Times New Roman"/>
        <family val="1"/>
        <charset val="186"/>
      </rPr>
      <t xml:space="preserve">, Saimniecības pārzinis (1 227,96 </t>
    </r>
    <r>
      <rPr>
        <i/>
        <sz val="12"/>
        <color theme="1"/>
        <rFont val="Times New Roman"/>
        <family val="1"/>
        <charset val="186"/>
      </rPr>
      <t>euro</t>
    </r>
    <r>
      <rPr>
        <sz val="12"/>
        <color theme="1"/>
        <rFont val="Times New Roman"/>
        <family val="1"/>
        <charset val="186"/>
      </rPr>
      <t xml:space="preserve"> * 5%) = 61,40 euro. Kopā (27,87 </t>
    </r>
    <r>
      <rPr>
        <i/>
        <sz val="12"/>
        <color theme="1"/>
        <rFont val="Times New Roman"/>
        <family val="1"/>
        <charset val="186"/>
      </rPr>
      <t>euro</t>
    </r>
    <r>
      <rPr>
        <sz val="12"/>
        <color theme="1"/>
        <rFont val="Times New Roman"/>
        <family val="1"/>
        <charset val="186"/>
      </rPr>
      <t xml:space="preserve"> + 61,40 </t>
    </r>
    <r>
      <rPr>
        <i/>
        <sz val="12"/>
        <color theme="1"/>
        <rFont val="Times New Roman"/>
        <family val="1"/>
        <charset val="186"/>
      </rPr>
      <t>euro</t>
    </r>
    <r>
      <rPr>
        <sz val="12"/>
        <color theme="1"/>
        <rFont val="Times New Roman"/>
        <family val="1"/>
        <charset val="186"/>
      </rPr>
      <t xml:space="preserve">) = 89,27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</si>
  <si>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23,59 % = 463,27 </t>
    </r>
    <r>
      <rPr>
        <i/>
        <sz val="12"/>
        <color theme="1"/>
        <rFont val="Times New Roman"/>
        <family val="1"/>
        <charset val="186"/>
      </rPr>
      <t>euro</t>
    </r>
    <r>
      <rPr>
        <sz val="12"/>
        <color theme="1"/>
        <rFont val="Times New Roman"/>
        <family val="1"/>
        <charset val="186"/>
      </rPr>
      <t xml:space="preserve">. Veselības apdrošināšana 89,27 </t>
    </r>
    <r>
      <rPr>
        <i/>
        <sz val="12"/>
        <color theme="1"/>
        <rFont val="Times New Roman"/>
        <family val="1"/>
        <charset val="186"/>
      </rPr>
      <t>euro</t>
    </r>
    <r>
      <rPr>
        <sz val="12"/>
        <color theme="1"/>
        <rFont val="Times New Roman"/>
        <family val="1"/>
        <charset val="186"/>
      </rPr>
      <t xml:space="preserve">. Kopā 552,54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</si>
  <si>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14 min., (11,47 </t>
    </r>
    <r>
      <rPr>
        <i/>
        <sz val="12"/>
        <color theme="1"/>
        <rFont val="Times New Roman"/>
        <family val="1"/>
        <charset val="186"/>
      </rPr>
      <t>euro</t>
    </r>
    <r>
      <rPr>
        <sz val="12"/>
        <color theme="1"/>
        <rFont val="Times New Roman"/>
        <family val="1"/>
        <charset val="186"/>
      </rPr>
      <t xml:space="preserve"> * 0.23 h) = 2,64 </t>
    </r>
    <r>
      <rPr>
        <i/>
        <sz val="12"/>
        <color theme="1"/>
        <rFont val="Times New Roman"/>
        <family val="1"/>
        <charset val="186"/>
      </rPr>
      <t>euro</t>
    </r>
    <r>
      <rPr>
        <sz val="12"/>
        <color theme="1"/>
        <rFont val="Times New Roman"/>
        <family val="1"/>
        <charset val="186"/>
      </rPr>
      <t xml:space="preserve">/mēn. * 12. mēn. = 31,68 </t>
    </r>
    <r>
      <rPr>
        <i/>
        <sz val="12"/>
        <color theme="1"/>
        <rFont val="Times New Roman"/>
        <family val="1"/>
        <charset val="186"/>
      </rPr>
      <t>euro</t>
    </r>
    <r>
      <rPr>
        <sz val="12"/>
        <color theme="1"/>
        <rFont val="Times New Roman"/>
        <family val="1"/>
        <charset val="186"/>
      </rPr>
      <t xml:space="preserve"> * 0.944 (iznomātās platības koeficients) = 29,91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</si>
  <si>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15 min.,  (7,65 </t>
    </r>
    <r>
      <rPr>
        <i/>
        <sz val="12"/>
        <color theme="1"/>
        <rFont val="Times New Roman"/>
        <family val="1"/>
        <charset val="186"/>
      </rPr>
      <t>euro</t>
    </r>
    <r>
      <rPr>
        <sz val="12"/>
        <color theme="1"/>
        <rFont val="Times New Roman"/>
        <family val="1"/>
        <charset val="186"/>
      </rPr>
      <t xml:space="preserve"> * 0.25 h) = 1,91 </t>
    </r>
    <r>
      <rPr>
        <i/>
        <sz val="12"/>
        <color theme="1"/>
        <rFont val="Times New Roman"/>
        <family val="1"/>
        <charset val="186"/>
      </rPr>
      <t>euro</t>
    </r>
    <r>
      <rPr>
        <sz val="12"/>
        <color theme="1"/>
        <rFont val="Times New Roman"/>
        <family val="1"/>
        <charset val="186"/>
      </rPr>
      <t xml:space="preserve">/mēn. * 12. mēn. = 22,92 </t>
    </r>
    <r>
      <rPr>
        <i/>
        <sz val="12"/>
        <color theme="1"/>
        <rFont val="Times New Roman"/>
        <family val="1"/>
        <charset val="186"/>
      </rPr>
      <t>euro</t>
    </r>
    <r>
      <rPr>
        <sz val="12"/>
        <color theme="1"/>
        <rFont val="Times New Roman"/>
        <family val="1"/>
        <charset val="186"/>
      </rPr>
      <t xml:space="preserve"> * 0.944 (iznomātās platības koeficients) = 21,64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</si>
  <si>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15 min., (11,47 </t>
    </r>
    <r>
      <rPr>
        <i/>
        <sz val="12"/>
        <color theme="1"/>
        <rFont val="Times New Roman"/>
        <family val="1"/>
        <charset val="186"/>
      </rPr>
      <t>euro</t>
    </r>
    <r>
      <rPr>
        <sz val="12"/>
        <color theme="1"/>
        <rFont val="Times New Roman"/>
        <family val="1"/>
        <charset val="186"/>
      </rPr>
      <t xml:space="preserve"> * 0.25 h) = 2,87 </t>
    </r>
    <r>
      <rPr>
        <i/>
        <sz val="12"/>
        <color theme="1"/>
        <rFont val="Times New Roman"/>
        <family val="1"/>
        <charset val="186"/>
      </rPr>
      <t>euro</t>
    </r>
    <r>
      <rPr>
        <sz val="12"/>
        <color theme="1"/>
        <rFont val="Times New Roman"/>
        <family val="1"/>
        <charset val="186"/>
      </rPr>
      <t xml:space="preserve">/mēn. * 12. mēn. = 34,44 </t>
    </r>
    <r>
      <rPr>
        <i/>
        <sz val="12"/>
        <color theme="1"/>
        <rFont val="Times New Roman"/>
        <family val="1"/>
        <charset val="186"/>
      </rPr>
      <t>euro</t>
    </r>
    <r>
      <rPr>
        <sz val="12"/>
        <color theme="1"/>
        <rFont val="Times New Roman"/>
        <family val="1"/>
        <charset val="186"/>
      </rPr>
      <t xml:space="preserve"> * 0.944 (iznomātās platības koeficients) = 32,51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</si>
  <si>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 min, (15,15 </t>
    </r>
    <r>
      <rPr>
        <i/>
        <sz val="12"/>
        <color theme="1"/>
        <rFont val="Times New Roman"/>
        <family val="1"/>
        <charset val="186"/>
      </rPr>
      <t>euro</t>
    </r>
    <r>
      <rPr>
        <sz val="12"/>
        <color theme="1"/>
        <rFont val="Times New Roman"/>
        <family val="1"/>
        <charset val="186"/>
      </rPr>
      <t xml:space="preserve"> * 0.33 h) = 5,00 </t>
    </r>
    <r>
      <rPr>
        <i/>
        <sz val="12"/>
        <color theme="1"/>
        <rFont val="Times New Roman"/>
        <family val="1"/>
        <charset val="186"/>
      </rPr>
      <t>euro</t>
    </r>
    <r>
      <rPr>
        <sz val="12"/>
        <color theme="1"/>
        <rFont val="Times New Roman"/>
        <family val="1"/>
        <charset val="186"/>
      </rPr>
      <t xml:space="preserve">/mēn. * 12. mēn. = 60,00 </t>
    </r>
    <r>
      <rPr>
        <i/>
        <sz val="12"/>
        <color theme="1"/>
        <rFont val="Times New Roman"/>
        <family val="1"/>
        <charset val="186"/>
      </rPr>
      <t>euro</t>
    </r>
    <r>
      <rPr>
        <sz val="12"/>
        <color theme="1"/>
        <rFont val="Times New Roman"/>
        <family val="1"/>
        <charset val="186"/>
      </rPr>
      <t xml:space="preserve"> * 0.944 (iznomātās platības koeficients) = 56,64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</si>
  <si>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14 min., (12,17 </t>
    </r>
    <r>
      <rPr>
        <i/>
        <sz val="12"/>
        <color theme="1"/>
        <rFont val="Times New Roman"/>
        <family val="1"/>
        <charset val="186"/>
      </rPr>
      <t>euro</t>
    </r>
    <r>
      <rPr>
        <sz val="12"/>
        <color theme="1"/>
        <rFont val="Times New Roman"/>
        <family val="1"/>
        <charset val="186"/>
      </rPr>
      <t xml:space="preserve"> * 0.23 h) = 2,80 </t>
    </r>
    <r>
      <rPr>
        <i/>
        <sz val="12"/>
        <color theme="1"/>
        <rFont val="Times New Roman"/>
        <family val="1"/>
        <charset val="186"/>
      </rPr>
      <t>euro</t>
    </r>
    <r>
      <rPr>
        <sz val="12"/>
        <color theme="1"/>
        <rFont val="Times New Roman"/>
        <family val="1"/>
        <charset val="186"/>
      </rPr>
      <t xml:space="preserve">/mēn. * 12. mēn. = 33,60 </t>
    </r>
    <r>
      <rPr>
        <i/>
        <sz val="12"/>
        <color theme="1"/>
        <rFont val="Times New Roman"/>
        <family val="1"/>
        <charset val="186"/>
      </rPr>
      <t>euro</t>
    </r>
    <r>
      <rPr>
        <sz val="12"/>
        <color theme="1"/>
        <rFont val="Times New Roman"/>
        <family val="1"/>
        <charset val="186"/>
      </rPr>
      <t xml:space="preserve"> * 0.944 (iznomātās platības koeficients) = 31,72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</si>
  <si>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9.23 stundas,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0.944 (iznomātās platības koeficients) = 866,82 </t>
    </r>
    <r>
      <rPr>
        <i/>
        <sz val="12"/>
        <color theme="1"/>
        <rFont val="Times New Roman"/>
        <family val="1"/>
        <charset val="186"/>
      </rPr>
      <t>euro.</t>
    </r>
  </si>
  <si>
    <r>
      <t xml:space="preserve">Grāmatvedis (17. saime, IV līmenis, 9. algu grupa, amēnešalga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Grāmatvežu vid. mēn. noslogojums 4.42 stundas,  (9,42 </t>
    </r>
    <r>
      <rPr>
        <i/>
        <sz val="12"/>
        <color theme="1"/>
        <rFont val="Times New Roman"/>
        <family val="1"/>
        <charset val="186"/>
      </rPr>
      <t>euro</t>
    </r>
    <r>
      <rPr>
        <sz val="12"/>
        <color theme="1"/>
        <rFont val="Times New Roman"/>
        <family val="1"/>
        <charset val="186"/>
      </rPr>
      <t xml:space="preserve"> * 4.42 h) = 41,64 </t>
    </r>
    <r>
      <rPr>
        <i/>
        <sz val="12"/>
        <color theme="1"/>
        <rFont val="Times New Roman"/>
        <family val="1"/>
        <charset val="186"/>
      </rPr>
      <t>euro</t>
    </r>
    <r>
      <rPr>
        <sz val="12"/>
        <color theme="1"/>
        <rFont val="Times New Roman"/>
        <family val="1"/>
        <charset val="186"/>
      </rPr>
      <t xml:space="preserve">/mēn. * 12. mēn. = 499,68 </t>
    </r>
    <r>
      <rPr>
        <i/>
        <sz val="12"/>
        <color theme="1"/>
        <rFont val="Times New Roman"/>
        <family val="1"/>
        <charset val="186"/>
      </rPr>
      <t>euro</t>
    </r>
    <r>
      <rPr>
        <sz val="12"/>
        <color theme="1"/>
        <rFont val="Times New Roman"/>
        <family val="1"/>
        <charset val="186"/>
      </rPr>
      <t xml:space="preserve"> * 0.944 (iznomātās platības koeficients) = 471,70 </t>
    </r>
    <r>
      <rPr>
        <i/>
        <sz val="12"/>
        <color theme="1"/>
        <rFont val="Times New Roman"/>
        <family val="1"/>
        <charset val="186"/>
      </rPr>
      <t>euro</t>
    </r>
    <r>
      <rPr>
        <sz val="12"/>
        <color theme="1"/>
        <rFont val="Times New Roman"/>
        <family val="1"/>
        <charset val="186"/>
      </rPr>
      <t>.</t>
    </r>
  </si>
  <si>
    <r>
      <t xml:space="preserve">Grāmatvedis (17. saime, III līmenis,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10.56 stundas, (8,29 </t>
    </r>
    <r>
      <rPr>
        <i/>
        <sz val="12"/>
        <color theme="1"/>
        <rFont val="Times New Roman"/>
        <family val="1"/>
        <charset val="186"/>
      </rPr>
      <t>euro</t>
    </r>
    <r>
      <rPr>
        <sz val="12"/>
        <color theme="1"/>
        <rFont val="Times New Roman"/>
        <family val="1"/>
        <charset val="186"/>
      </rPr>
      <t xml:space="preserve"> * 10.56 h) = 87,54 </t>
    </r>
    <r>
      <rPr>
        <i/>
        <sz val="12"/>
        <color theme="1"/>
        <rFont val="Times New Roman"/>
        <family val="1"/>
        <charset val="186"/>
      </rPr>
      <t>euro</t>
    </r>
    <r>
      <rPr>
        <sz val="12"/>
        <color theme="1"/>
        <rFont val="Times New Roman"/>
        <family val="1"/>
        <charset val="186"/>
      </rPr>
      <t xml:space="preserve">/mēn. * 12. mēn. = 1 050,48 </t>
    </r>
    <r>
      <rPr>
        <i/>
        <sz val="12"/>
        <color theme="1"/>
        <rFont val="Times New Roman"/>
        <family val="1"/>
        <charset val="186"/>
      </rPr>
      <t>euro</t>
    </r>
    <r>
      <rPr>
        <sz val="12"/>
        <color theme="1"/>
        <rFont val="Times New Roman"/>
        <family val="1"/>
        <charset val="186"/>
      </rPr>
      <t xml:space="preserve"> * 0.944 (iznomātās platības koeficients) = 991,65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</si>
  <si>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1 stunda, (25,09 </t>
    </r>
    <r>
      <rPr>
        <i/>
        <sz val="12"/>
        <color theme="1"/>
        <rFont val="Times New Roman"/>
        <family val="1"/>
        <charset val="186"/>
      </rPr>
      <t>euro</t>
    </r>
    <r>
      <rPr>
        <sz val="12"/>
        <color theme="1"/>
        <rFont val="Times New Roman"/>
        <family val="1"/>
        <charset val="186"/>
      </rPr>
      <t xml:space="preserve"> * 1 h) = 25,09 </t>
    </r>
    <r>
      <rPr>
        <i/>
        <sz val="12"/>
        <color theme="1"/>
        <rFont val="Times New Roman"/>
        <family val="1"/>
        <charset val="186"/>
      </rPr>
      <t>euro</t>
    </r>
    <r>
      <rPr>
        <sz val="12"/>
        <color theme="1"/>
        <rFont val="Times New Roman"/>
        <family val="1"/>
        <charset val="186"/>
      </rPr>
      <t xml:space="preserve">/mēn * 12. mēn. = 301,08 </t>
    </r>
    <r>
      <rPr>
        <i/>
        <sz val="12"/>
        <color theme="1"/>
        <rFont val="Times New Roman"/>
        <family val="1"/>
        <charset val="186"/>
      </rPr>
      <t>euro</t>
    </r>
    <r>
      <rPr>
        <sz val="12"/>
        <color theme="1"/>
        <rFont val="Times New Roman"/>
        <family val="1"/>
        <charset val="186"/>
      </rPr>
      <t xml:space="preserve"> * 0.944 (iznomātās platības koeficients) = 284,22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</si>
  <si>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14 min., (27,18 </t>
    </r>
    <r>
      <rPr>
        <i/>
        <sz val="12"/>
        <color theme="1"/>
        <rFont val="Times New Roman"/>
        <family val="1"/>
        <charset val="186"/>
      </rPr>
      <t>euro</t>
    </r>
    <r>
      <rPr>
        <sz val="12"/>
        <color theme="1"/>
        <rFont val="Times New Roman"/>
        <family val="1"/>
        <charset val="186"/>
      </rPr>
      <t xml:space="preserve"> * 0.23 h) = 6,25 </t>
    </r>
    <r>
      <rPr>
        <i/>
        <sz val="12"/>
        <color theme="1"/>
        <rFont val="Times New Roman"/>
        <family val="1"/>
        <charset val="186"/>
      </rPr>
      <t>euro</t>
    </r>
    <r>
      <rPr>
        <sz val="12"/>
        <color theme="1"/>
        <rFont val="Times New Roman"/>
        <family val="1"/>
        <charset val="186"/>
      </rPr>
      <t xml:space="preserve">/mēn. * 12. mēn. = 75,00 </t>
    </r>
    <r>
      <rPr>
        <i/>
        <sz val="12"/>
        <color theme="1"/>
        <rFont val="Times New Roman"/>
        <family val="1"/>
        <charset val="186"/>
      </rPr>
      <t>euro</t>
    </r>
    <r>
      <rPr>
        <sz val="12"/>
        <color theme="1"/>
        <rFont val="Times New Roman"/>
        <family val="1"/>
        <charset val="186"/>
      </rPr>
      <t xml:space="preserve"> * 0.944 (iznomātās platības koeficients) = 70,80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</si>
  <si>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2 857,61 </t>
    </r>
    <r>
      <rPr>
        <i/>
        <sz val="12"/>
        <color theme="1"/>
        <rFont val="Times New Roman"/>
        <family val="1"/>
        <charset val="186"/>
      </rPr>
      <t>euro</t>
    </r>
    <r>
      <rPr>
        <sz val="12"/>
        <color theme="1"/>
        <rFont val="Times New Roman"/>
        <family val="1"/>
        <charset val="186"/>
      </rPr>
      <t xml:space="preserve"> * 23,59 % = 674,11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</si>
  <si>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euro). Stundas tarifa likme 8,20 </t>
    </r>
    <r>
      <rPr>
        <i/>
        <sz val="12"/>
        <color theme="1"/>
        <rFont val="Times New Roman"/>
        <family val="1"/>
        <charset val="186"/>
      </rPr>
      <t>euro</t>
    </r>
    <r>
      <rPr>
        <sz val="12"/>
        <color theme="1"/>
        <rFont val="Times New Roman"/>
        <family val="1"/>
        <charset val="186"/>
      </rPr>
      <t xml:space="preserve"> = 1 358 euro / 165.58 (vid. d. stundu sk. mēnesī). Vid. mēn. noslogojums 6 stundas, (8,20 </t>
    </r>
    <r>
      <rPr>
        <i/>
        <sz val="12"/>
        <color theme="1"/>
        <rFont val="Times New Roman"/>
        <family val="1"/>
        <charset val="186"/>
      </rPr>
      <t>euro</t>
    </r>
    <r>
      <rPr>
        <sz val="12"/>
        <color theme="1"/>
        <rFont val="Times New Roman"/>
        <family val="1"/>
        <charset val="186"/>
      </rPr>
      <t xml:space="preserve"> * 6 h) = 49,20 </t>
    </r>
    <r>
      <rPr>
        <i/>
        <sz val="12"/>
        <color theme="1"/>
        <rFont val="Times New Roman"/>
        <family val="1"/>
        <charset val="186"/>
      </rPr>
      <t>euro</t>
    </r>
    <r>
      <rPr>
        <sz val="12"/>
        <color theme="1"/>
        <rFont val="Times New Roman"/>
        <family val="1"/>
        <charset val="186"/>
      </rPr>
      <t xml:space="preserve"> * 12 mēn. = 590,40 </t>
    </r>
    <r>
      <rPr>
        <i/>
        <sz val="12"/>
        <color theme="1"/>
        <rFont val="Times New Roman"/>
        <family val="1"/>
        <charset val="186"/>
      </rPr>
      <t>euro</t>
    </r>
    <r>
      <rPr>
        <sz val="12"/>
        <color theme="1"/>
        <rFont val="Times New Roman"/>
        <family val="1"/>
        <charset val="186"/>
      </rPr>
      <t xml:space="preserve"> * 0.056 (iznomātās platības koeficients)  = 33,06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</si>
  <si>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20 stundas, (5,42 </t>
    </r>
    <r>
      <rPr>
        <i/>
        <sz val="12"/>
        <color theme="1"/>
        <rFont val="Times New Roman"/>
        <family val="1"/>
        <charset val="186"/>
      </rPr>
      <t>euro</t>
    </r>
    <r>
      <rPr>
        <sz val="12"/>
        <color theme="1"/>
        <rFont val="Times New Roman"/>
        <family val="1"/>
        <charset val="186"/>
      </rPr>
      <t xml:space="preserve"> * 20 h) = 108,40 </t>
    </r>
    <r>
      <rPr>
        <i/>
        <sz val="12"/>
        <color theme="1"/>
        <rFont val="Times New Roman"/>
        <family val="1"/>
        <charset val="186"/>
      </rPr>
      <t>euro/</t>
    </r>
    <r>
      <rPr>
        <sz val="12"/>
        <color theme="1"/>
        <rFont val="Times New Roman"/>
        <family val="1"/>
        <charset val="186"/>
      </rPr>
      <t>mēn</t>
    </r>
    <r>
      <rPr>
        <i/>
        <sz val="12"/>
        <color theme="1"/>
        <rFont val="Times New Roman"/>
        <family val="1"/>
        <charset val="186"/>
      </rPr>
      <t>.</t>
    </r>
    <r>
      <rPr>
        <sz val="12"/>
        <color theme="1"/>
        <rFont val="Times New Roman"/>
        <family val="1"/>
        <charset val="186"/>
      </rPr>
      <t xml:space="preserve"> * 12 mēn. = 1 300,80 </t>
    </r>
    <r>
      <rPr>
        <i/>
        <sz val="12"/>
        <color theme="1"/>
        <rFont val="Times New Roman"/>
        <family val="1"/>
        <charset val="186"/>
      </rPr>
      <t>euro</t>
    </r>
    <r>
      <rPr>
        <sz val="12"/>
        <color theme="1"/>
        <rFont val="Times New Roman"/>
        <family val="1"/>
        <charset val="186"/>
      </rPr>
      <t xml:space="preserve"> * 0.056 (iznomātās platības koeficients) = 72,84 </t>
    </r>
    <r>
      <rPr>
        <i/>
        <sz val="12"/>
        <color theme="1"/>
        <rFont val="Times New Roman"/>
        <family val="1"/>
        <charset val="186"/>
      </rPr>
      <t>euro</t>
    </r>
    <r>
      <rPr>
        <sz val="12"/>
        <color theme="1"/>
        <rFont val="Times New Roman"/>
        <family val="1"/>
        <charset val="186"/>
      </rPr>
      <t xml:space="preserve">. </t>
    </r>
  </si>
  <si>
    <r>
      <t xml:space="preserve">Galv. nekust. īpaš. pārvaldnieks (33,06 </t>
    </r>
    <r>
      <rPr>
        <i/>
        <sz val="12"/>
        <color theme="1"/>
        <rFont val="Times New Roman"/>
        <family val="1"/>
        <charset val="186"/>
      </rPr>
      <t>euro</t>
    </r>
    <r>
      <rPr>
        <sz val="12"/>
        <color theme="1"/>
        <rFont val="Times New Roman"/>
        <family val="1"/>
        <charset val="186"/>
      </rPr>
      <t xml:space="preserve"> * 10%) = 3,31 </t>
    </r>
    <r>
      <rPr>
        <i/>
        <sz val="12"/>
        <color theme="1"/>
        <rFont val="Times New Roman"/>
        <family val="1"/>
        <charset val="186"/>
      </rPr>
      <t>euro</t>
    </r>
    <r>
      <rPr>
        <sz val="12"/>
        <color theme="1"/>
        <rFont val="Times New Roman"/>
        <family val="1"/>
        <charset val="186"/>
      </rPr>
      <t xml:space="preserve">, Saimniecības pārzinis (72,84 </t>
    </r>
    <r>
      <rPr>
        <i/>
        <sz val="12"/>
        <color theme="1"/>
        <rFont val="Times New Roman"/>
        <family val="1"/>
        <charset val="186"/>
      </rPr>
      <t>euro</t>
    </r>
    <r>
      <rPr>
        <sz val="12"/>
        <color theme="1"/>
        <rFont val="Times New Roman"/>
        <family val="1"/>
        <charset val="186"/>
      </rPr>
      <t xml:space="preserve"> * 10%) = 7,28 </t>
    </r>
    <r>
      <rPr>
        <i/>
        <sz val="12"/>
        <color theme="1"/>
        <rFont val="Times New Roman"/>
        <family val="1"/>
        <charset val="186"/>
      </rPr>
      <t xml:space="preserve">euro. </t>
    </r>
    <r>
      <rPr>
        <sz val="12"/>
        <color theme="1"/>
        <rFont val="Times New Roman"/>
        <family val="1"/>
        <charset val="186"/>
      </rPr>
      <t xml:space="preserve">Kopā (3,31 </t>
    </r>
    <r>
      <rPr>
        <i/>
        <sz val="12"/>
        <color theme="1"/>
        <rFont val="Times New Roman"/>
        <family val="1"/>
        <charset val="186"/>
      </rPr>
      <t>euro</t>
    </r>
    <r>
      <rPr>
        <sz val="12"/>
        <color theme="1"/>
        <rFont val="Times New Roman"/>
        <family val="1"/>
        <charset val="186"/>
      </rPr>
      <t xml:space="preserve"> + 7,28 </t>
    </r>
    <r>
      <rPr>
        <i/>
        <sz val="12"/>
        <color theme="1"/>
        <rFont val="Times New Roman"/>
        <family val="1"/>
        <charset val="186"/>
      </rPr>
      <t>euro</t>
    </r>
    <r>
      <rPr>
        <sz val="12"/>
        <color theme="1"/>
        <rFont val="Times New Roman"/>
        <family val="1"/>
        <charset val="186"/>
      </rPr>
      <t xml:space="preserve">) = 10,59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</si>
  <si>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(116,49 </t>
    </r>
    <r>
      <rPr>
        <i/>
        <sz val="12"/>
        <color theme="1"/>
        <rFont val="Times New Roman"/>
        <family val="1"/>
        <charset val="186"/>
      </rPr>
      <t>euro</t>
    </r>
    <r>
      <rPr>
        <sz val="12"/>
        <color theme="1"/>
        <rFont val="Times New Roman"/>
        <family val="1"/>
        <charset val="186"/>
      </rPr>
      <t xml:space="preserve"> * 23,59 %) = 27,48 </t>
    </r>
    <r>
      <rPr>
        <i/>
        <sz val="12"/>
        <color theme="1"/>
        <rFont val="Times New Roman"/>
        <family val="1"/>
        <charset val="186"/>
      </rPr>
      <t xml:space="preserve">euro. </t>
    </r>
  </si>
  <si>
    <r>
      <t xml:space="preserve">Veselības apdrošināšana, Galv. nekust. īpaš. pārvaldnieks (33,06 </t>
    </r>
    <r>
      <rPr>
        <i/>
        <sz val="12"/>
        <color theme="1"/>
        <rFont val="Times New Roman"/>
        <family val="1"/>
        <charset val="186"/>
      </rPr>
      <t>euro</t>
    </r>
    <r>
      <rPr>
        <sz val="12"/>
        <color theme="1"/>
        <rFont val="Times New Roman"/>
        <family val="1"/>
        <charset val="186"/>
      </rPr>
      <t xml:space="preserve"> * 5 %) = 1,65 </t>
    </r>
    <r>
      <rPr>
        <i/>
        <sz val="12"/>
        <color theme="1"/>
        <rFont val="Times New Roman"/>
        <family val="1"/>
        <charset val="186"/>
      </rPr>
      <t>euro</t>
    </r>
    <r>
      <rPr>
        <sz val="12"/>
        <color theme="1"/>
        <rFont val="Times New Roman"/>
        <family val="1"/>
        <charset val="186"/>
      </rPr>
      <t xml:space="preserve">, Saimniecības pārzinis (72,84 </t>
    </r>
    <r>
      <rPr>
        <i/>
        <sz val="12"/>
        <color theme="1"/>
        <rFont val="Times New Roman"/>
        <family val="1"/>
        <charset val="186"/>
      </rPr>
      <t>euro</t>
    </r>
    <r>
      <rPr>
        <sz val="12"/>
        <color theme="1"/>
        <rFont val="Times New Roman"/>
        <family val="1"/>
        <charset val="186"/>
      </rPr>
      <t xml:space="preserve"> * 5 %) = 3,64 </t>
    </r>
    <r>
      <rPr>
        <i/>
        <sz val="12"/>
        <color theme="1"/>
        <rFont val="Times New Roman"/>
        <family val="1"/>
        <charset val="186"/>
      </rPr>
      <t>euro</t>
    </r>
    <r>
      <rPr>
        <sz val="12"/>
        <color theme="1"/>
        <rFont val="Times New Roman"/>
        <family val="1"/>
        <charset val="186"/>
      </rPr>
      <t xml:space="preserve">. Kopā (1,65 euro + 3,64 </t>
    </r>
    <r>
      <rPr>
        <i/>
        <sz val="12"/>
        <color theme="1"/>
        <rFont val="Times New Roman"/>
        <family val="1"/>
        <charset val="186"/>
      </rPr>
      <t>euro</t>
    </r>
    <r>
      <rPr>
        <sz val="12"/>
        <color theme="1"/>
        <rFont val="Times New Roman"/>
        <family val="1"/>
        <charset val="186"/>
      </rPr>
      <t xml:space="preserve">) = 5,29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</si>
  <si>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23,59 % = 27,48 </t>
    </r>
    <r>
      <rPr>
        <i/>
        <sz val="12"/>
        <color theme="1"/>
        <rFont val="Times New Roman"/>
        <family val="1"/>
        <charset val="186"/>
      </rPr>
      <t>euro</t>
    </r>
    <r>
      <rPr>
        <sz val="12"/>
        <color theme="1"/>
        <rFont val="Times New Roman"/>
        <family val="1"/>
        <charset val="186"/>
      </rPr>
      <t xml:space="preserve">. Veselības apdrošināšana 5,29 </t>
    </r>
    <r>
      <rPr>
        <i/>
        <sz val="12"/>
        <color theme="1"/>
        <rFont val="Times New Roman"/>
        <family val="1"/>
        <charset val="186"/>
      </rPr>
      <t>euro</t>
    </r>
    <r>
      <rPr>
        <sz val="12"/>
        <color theme="1"/>
        <rFont val="Times New Roman"/>
        <family val="1"/>
        <charset val="186"/>
      </rPr>
      <t xml:space="preserve">. Kopā 32,77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</si>
  <si>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14 min., (11,47 </t>
    </r>
    <r>
      <rPr>
        <i/>
        <sz val="12"/>
        <color theme="1"/>
        <rFont val="Times New Roman"/>
        <family val="1"/>
        <charset val="186"/>
      </rPr>
      <t>euro</t>
    </r>
    <r>
      <rPr>
        <sz val="12"/>
        <color theme="1"/>
        <rFont val="Times New Roman"/>
        <family val="1"/>
        <charset val="186"/>
      </rPr>
      <t xml:space="preserve"> * 0.23 h) = 2,64 </t>
    </r>
    <r>
      <rPr>
        <i/>
        <sz val="12"/>
        <color theme="1"/>
        <rFont val="Times New Roman"/>
        <family val="1"/>
        <charset val="186"/>
      </rPr>
      <t>euro</t>
    </r>
    <r>
      <rPr>
        <sz val="12"/>
        <color theme="1"/>
        <rFont val="Times New Roman"/>
        <family val="1"/>
        <charset val="186"/>
      </rPr>
      <t xml:space="preserve">/mēn. * 12. mēn. = 31,68 </t>
    </r>
    <r>
      <rPr>
        <i/>
        <sz val="12"/>
        <color theme="1"/>
        <rFont val="Times New Roman"/>
        <family val="1"/>
        <charset val="186"/>
      </rPr>
      <t>euro</t>
    </r>
    <r>
      <rPr>
        <sz val="12"/>
        <color theme="1"/>
        <rFont val="Times New Roman"/>
        <family val="1"/>
        <charset val="186"/>
      </rPr>
      <t xml:space="preserve"> * 0.056 (iznomātās platības koeficients) = 1,77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</si>
  <si>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15 min.,  (7,65 </t>
    </r>
    <r>
      <rPr>
        <i/>
        <sz val="12"/>
        <color theme="1"/>
        <rFont val="Times New Roman"/>
        <family val="1"/>
        <charset val="186"/>
      </rPr>
      <t>euro</t>
    </r>
    <r>
      <rPr>
        <sz val="12"/>
        <color theme="1"/>
        <rFont val="Times New Roman"/>
        <family val="1"/>
        <charset val="186"/>
      </rPr>
      <t xml:space="preserve"> * 0.25 h) = 1,91 </t>
    </r>
    <r>
      <rPr>
        <i/>
        <sz val="12"/>
        <color theme="1"/>
        <rFont val="Times New Roman"/>
        <family val="1"/>
        <charset val="186"/>
      </rPr>
      <t>euro</t>
    </r>
    <r>
      <rPr>
        <sz val="12"/>
        <color theme="1"/>
        <rFont val="Times New Roman"/>
        <family val="1"/>
        <charset val="186"/>
      </rPr>
      <t xml:space="preserve">/mēn. * 12. mēn. = 22,92 </t>
    </r>
    <r>
      <rPr>
        <i/>
        <sz val="12"/>
        <color theme="1"/>
        <rFont val="Times New Roman"/>
        <family val="1"/>
        <charset val="186"/>
      </rPr>
      <t>euro</t>
    </r>
    <r>
      <rPr>
        <sz val="12"/>
        <color theme="1"/>
        <rFont val="Times New Roman"/>
        <family val="1"/>
        <charset val="186"/>
      </rPr>
      <t xml:space="preserve"> * 0.056 (iznomātās platības koeficients) = 1,28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</si>
  <si>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15 min., (11,47 </t>
    </r>
    <r>
      <rPr>
        <i/>
        <sz val="12"/>
        <color theme="1"/>
        <rFont val="Times New Roman"/>
        <family val="1"/>
        <charset val="186"/>
      </rPr>
      <t>euro</t>
    </r>
    <r>
      <rPr>
        <sz val="12"/>
        <color theme="1"/>
        <rFont val="Times New Roman"/>
        <family val="1"/>
        <charset val="186"/>
      </rPr>
      <t xml:space="preserve"> * 0.25 h) = 2,87 </t>
    </r>
    <r>
      <rPr>
        <i/>
        <sz val="12"/>
        <color theme="1"/>
        <rFont val="Times New Roman"/>
        <family val="1"/>
        <charset val="186"/>
      </rPr>
      <t>euro</t>
    </r>
    <r>
      <rPr>
        <sz val="12"/>
        <color theme="1"/>
        <rFont val="Times New Roman"/>
        <family val="1"/>
        <charset val="186"/>
      </rPr>
      <t xml:space="preserve">/mēn. * 12. mēn. = 34,44 </t>
    </r>
    <r>
      <rPr>
        <i/>
        <sz val="12"/>
        <color theme="1"/>
        <rFont val="Times New Roman"/>
        <family val="1"/>
        <charset val="186"/>
      </rPr>
      <t>euro</t>
    </r>
    <r>
      <rPr>
        <sz val="12"/>
        <color theme="1"/>
        <rFont val="Times New Roman"/>
        <family val="1"/>
        <charset val="186"/>
      </rPr>
      <t xml:space="preserve"> * 0.056 (iznomātās platības koeficients) = 1,93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</si>
  <si>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 min, (15,15 </t>
    </r>
    <r>
      <rPr>
        <i/>
        <sz val="12"/>
        <color theme="1"/>
        <rFont val="Times New Roman"/>
        <family val="1"/>
        <charset val="186"/>
      </rPr>
      <t>euro</t>
    </r>
    <r>
      <rPr>
        <sz val="12"/>
        <color theme="1"/>
        <rFont val="Times New Roman"/>
        <family val="1"/>
        <charset val="186"/>
      </rPr>
      <t xml:space="preserve"> * 0.33 h) = 5,00 </t>
    </r>
    <r>
      <rPr>
        <i/>
        <sz val="12"/>
        <color theme="1"/>
        <rFont val="Times New Roman"/>
        <family val="1"/>
        <charset val="186"/>
      </rPr>
      <t>euro</t>
    </r>
    <r>
      <rPr>
        <sz val="12"/>
        <color theme="1"/>
        <rFont val="Times New Roman"/>
        <family val="1"/>
        <charset val="186"/>
      </rPr>
      <t xml:space="preserve">/mēn. * 12. mēn. = 60,00 </t>
    </r>
    <r>
      <rPr>
        <i/>
        <sz val="12"/>
        <color theme="1"/>
        <rFont val="Times New Roman"/>
        <family val="1"/>
        <charset val="186"/>
      </rPr>
      <t>euro</t>
    </r>
    <r>
      <rPr>
        <sz val="12"/>
        <color theme="1"/>
        <rFont val="Times New Roman"/>
        <family val="1"/>
        <charset val="186"/>
      </rPr>
      <t xml:space="preserve"> * 0.056 (iznomātās platības koeficients) = 3,36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</si>
  <si>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14 min., (12,17 </t>
    </r>
    <r>
      <rPr>
        <i/>
        <sz val="12"/>
        <color theme="1"/>
        <rFont val="Times New Roman"/>
        <family val="1"/>
        <charset val="186"/>
      </rPr>
      <t>euro</t>
    </r>
    <r>
      <rPr>
        <sz val="12"/>
        <color theme="1"/>
        <rFont val="Times New Roman"/>
        <family val="1"/>
        <charset val="186"/>
      </rPr>
      <t xml:space="preserve"> * 0.23 h) = 2,80 </t>
    </r>
    <r>
      <rPr>
        <i/>
        <sz val="12"/>
        <color theme="1"/>
        <rFont val="Times New Roman"/>
        <family val="1"/>
        <charset val="186"/>
      </rPr>
      <t>euro</t>
    </r>
    <r>
      <rPr>
        <sz val="12"/>
        <color theme="1"/>
        <rFont val="Times New Roman"/>
        <family val="1"/>
        <charset val="186"/>
      </rPr>
      <t xml:space="preserve">/mēn. * 12. mēn. = 33,60 </t>
    </r>
    <r>
      <rPr>
        <i/>
        <sz val="12"/>
        <color theme="1"/>
        <rFont val="Times New Roman"/>
        <family val="1"/>
        <charset val="186"/>
      </rPr>
      <t>euro</t>
    </r>
    <r>
      <rPr>
        <sz val="12"/>
        <color theme="1"/>
        <rFont val="Times New Roman"/>
        <family val="1"/>
        <charset val="186"/>
      </rPr>
      <t xml:space="preserve"> * 0.056 (iznomātās platības koeficients) = 1,88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</si>
  <si>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9.23 stundas,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0.056 (iznomātās platības koeficients) = 51,42 </t>
    </r>
    <r>
      <rPr>
        <i/>
        <sz val="12"/>
        <color theme="1"/>
        <rFont val="Times New Roman"/>
        <family val="1"/>
        <charset val="186"/>
      </rPr>
      <t>euro.</t>
    </r>
  </si>
  <si>
    <r>
      <t xml:space="preserve">Grāmatvedis (17. saime, IV līmenis, 9. algu grupa, amēnešalga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Grāmatvežu vid. mēn. noslogojums 4.42 stundas,  (9,42 </t>
    </r>
    <r>
      <rPr>
        <i/>
        <sz val="12"/>
        <color theme="1"/>
        <rFont val="Times New Roman"/>
        <family val="1"/>
        <charset val="186"/>
      </rPr>
      <t>euro</t>
    </r>
    <r>
      <rPr>
        <sz val="12"/>
        <color theme="1"/>
        <rFont val="Times New Roman"/>
        <family val="1"/>
        <charset val="186"/>
      </rPr>
      <t xml:space="preserve"> * 4.42 h) = 41,64 </t>
    </r>
    <r>
      <rPr>
        <i/>
        <sz val="12"/>
        <color theme="1"/>
        <rFont val="Times New Roman"/>
        <family val="1"/>
        <charset val="186"/>
      </rPr>
      <t>euro</t>
    </r>
    <r>
      <rPr>
        <sz val="12"/>
        <color theme="1"/>
        <rFont val="Times New Roman"/>
        <family val="1"/>
        <charset val="186"/>
      </rPr>
      <t xml:space="preserve">/mēn. * 12. mēn. = 499,68 </t>
    </r>
    <r>
      <rPr>
        <i/>
        <sz val="12"/>
        <color theme="1"/>
        <rFont val="Times New Roman"/>
        <family val="1"/>
        <charset val="186"/>
      </rPr>
      <t>euro</t>
    </r>
    <r>
      <rPr>
        <sz val="12"/>
        <color theme="1"/>
        <rFont val="Times New Roman"/>
        <family val="1"/>
        <charset val="186"/>
      </rPr>
      <t xml:space="preserve"> * 0.056 (iznomātās platības koeficients) = 27,98 </t>
    </r>
    <r>
      <rPr>
        <i/>
        <sz val="12"/>
        <color theme="1"/>
        <rFont val="Times New Roman"/>
        <family val="1"/>
        <charset val="186"/>
      </rPr>
      <t>euro</t>
    </r>
    <r>
      <rPr>
        <sz val="12"/>
        <color theme="1"/>
        <rFont val="Times New Roman"/>
        <family val="1"/>
        <charset val="186"/>
      </rPr>
      <t>.</t>
    </r>
  </si>
  <si>
    <r>
      <t xml:space="preserve">Grāmatvedis (17. saime, III līmenis,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10.56 stundas, (8,29 </t>
    </r>
    <r>
      <rPr>
        <i/>
        <sz val="12"/>
        <color theme="1"/>
        <rFont val="Times New Roman"/>
        <family val="1"/>
        <charset val="186"/>
      </rPr>
      <t>euro</t>
    </r>
    <r>
      <rPr>
        <sz val="12"/>
        <color theme="1"/>
        <rFont val="Times New Roman"/>
        <family val="1"/>
        <charset val="186"/>
      </rPr>
      <t xml:space="preserve"> * 10.56 h) = 87,54 </t>
    </r>
    <r>
      <rPr>
        <i/>
        <sz val="12"/>
        <color theme="1"/>
        <rFont val="Times New Roman"/>
        <family val="1"/>
        <charset val="186"/>
      </rPr>
      <t>euro</t>
    </r>
    <r>
      <rPr>
        <sz val="12"/>
        <color theme="1"/>
        <rFont val="Times New Roman"/>
        <family val="1"/>
        <charset val="186"/>
      </rPr>
      <t xml:space="preserve">/mēn. * 12. mēn. = 1 050,48 </t>
    </r>
    <r>
      <rPr>
        <i/>
        <sz val="12"/>
        <color theme="1"/>
        <rFont val="Times New Roman"/>
        <family val="1"/>
        <charset val="186"/>
      </rPr>
      <t>euro</t>
    </r>
    <r>
      <rPr>
        <sz val="12"/>
        <color theme="1"/>
        <rFont val="Times New Roman"/>
        <family val="1"/>
        <charset val="186"/>
      </rPr>
      <t xml:space="preserve"> * 0.056 (iznomātās platības koeficients) = 58,83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</si>
  <si>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1 stunda, (25,09 </t>
    </r>
    <r>
      <rPr>
        <i/>
        <sz val="12"/>
        <color theme="1"/>
        <rFont val="Times New Roman"/>
        <family val="1"/>
        <charset val="186"/>
      </rPr>
      <t>euro</t>
    </r>
    <r>
      <rPr>
        <sz val="12"/>
        <color theme="1"/>
        <rFont val="Times New Roman"/>
        <family val="1"/>
        <charset val="186"/>
      </rPr>
      <t xml:space="preserve"> * 1 h) = 25,09 </t>
    </r>
    <r>
      <rPr>
        <i/>
        <sz val="12"/>
        <color theme="1"/>
        <rFont val="Times New Roman"/>
        <family val="1"/>
        <charset val="186"/>
      </rPr>
      <t>euro</t>
    </r>
    <r>
      <rPr>
        <sz val="12"/>
        <color theme="1"/>
        <rFont val="Times New Roman"/>
        <family val="1"/>
        <charset val="186"/>
      </rPr>
      <t xml:space="preserve">/mēn * 12. mēn. = 301,08 </t>
    </r>
    <r>
      <rPr>
        <i/>
        <sz val="12"/>
        <color theme="1"/>
        <rFont val="Times New Roman"/>
        <family val="1"/>
        <charset val="186"/>
      </rPr>
      <t>euro</t>
    </r>
    <r>
      <rPr>
        <sz val="12"/>
        <color theme="1"/>
        <rFont val="Times New Roman"/>
        <family val="1"/>
        <charset val="186"/>
      </rPr>
      <t xml:space="preserve"> * 0.056 (iznomātās platības koeficients) = 16,86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</si>
  <si>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14 min., (27,18 </t>
    </r>
    <r>
      <rPr>
        <i/>
        <sz val="12"/>
        <color theme="1"/>
        <rFont val="Times New Roman"/>
        <family val="1"/>
        <charset val="186"/>
      </rPr>
      <t>euro</t>
    </r>
    <r>
      <rPr>
        <sz val="12"/>
        <color theme="1"/>
        <rFont val="Times New Roman"/>
        <family val="1"/>
        <charset val="186"/>
      </rPr>
      <t xml:space="preserve"> * 0.23 h) = 6,25 </t>
    </r>
    <r>
      <rPr>
        <i/>
        <sz val="12"/>
        <color theme="1"/>
        <rFont val="Times New Roman"/>
        <family val="1"/>
        <charset val="186"/>
      </rPr>
      <t>euro</t>
    </r>
    <r>
      <rPr>
        <sz val="12"/>
        <color theme="1"/>
        <rFont val="Times New Roman"/>
        <family val="1"/>
        <charset val="186"/>
      </rPr>
      <t xml:space="preserve">/mēn. * 12. mēn. = 75,00 </t>
    </r>
    <r>
      <rPr>
        <i/>
        <sz val="12"/>
        <color theme="1"/>
        <rFont val="Times New Roman"/>
        <family val="1"/>
        <charset val="186"/>
      </rPr>
      <t>euro</t>
    </r>
    <r>
      <rPr>
        <sz val="12"/>
        <color theme="1"/>
        <rFont val="Times New Roman"/>
        <family val="1"/>
        <charset val="186"/>
      </rPr>
      <t xml:space="preserve"> * 0.056 (iznomātās platības koeficients) = 4,20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</si>
  <si>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169,51 </t>
    </r>
    <r>
      <rPr>
        <i/>
        <sz val="12"/>
        <color theme="1"/>
        <rFont val="Times New Roman"/>
        <family val="1"/>
        <charset val="186"/>
      </rPr>
      <t>euro</t>
    </r>
    <r>
      <rPr>
        <sz val="12"/>
        <color theme="1"/>
        <rFont val="Times New Roman"/>
        <family val="1"/>
        <charset val="186"/>
      </rPr>
      <t xml:space="preserve"> * 23,59 % = 39,99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</si>
  <si>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/mēn</t>
    </r>
    <r>
      <rPr>
        <i/>
        <sz val="12"/>
        <color theme="1"/>
        <rFont val="Times New Roman"/>
        <family val="1"/>
        <charset val="186"/>
      </rPr>
      <t>.</t>
    </r>
    <r>
      <rPr>
        <sz val="12"/>
        <color theme="1"/>
        <rFont val="Times New Roman"/>
        <family val="1"/>
        <charset val="186"/>
      </rPr>
      <t xml:space="preserve"> * 12 mēn. = 5 877,48 </t>
    </r>
    <r>
      <rPr>
        <i/>
        <sz val="12"/>
        <color theme="1"/>
        <rFont val="Times New Roman"/>
        <family val="1"/>
        <charset val="186"/>
      </rPr>
      <t>euro</t>
    </r>
    <r>
      <rPr>
        <sz val="12"/>
        <color theme="1"/>
        <rFont val="Times New Roman"/>
        <family val="1"/>
        <charset val="186"/>
      </rPr>
      <t xml:space="preserve"> * 0.0813 (iznomātās platības koeficients) = 477,84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</si>
  <si>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t>
    </r>
    <r>
      <rPr>
        <sz val="12"/>
        <color theme="1"/>
        <rFont val="Times New Roman"/>
        <family val="1"/>
        <charset val="186"/>
      </rPr>
      <t>/mēn</t>
    </r>
    <r>
      <rPr>
        <i/>
        <sz val="12"/>
        <color theme="1"/>
        <rFont val="Times New Roman"/>
        <family val="1"/>
        <charset val="186"/>
      </rPr>
      <t>.</t>
    </r>
    <r>
      <rPr>
        <sz val="12"/>
        <color theme="1"/>
        <rFont val="Times New Roman"/>
        <family val="1"/>
        <charset val="186"/>
      </rPr>
      <t xml:space="preserve"> * 12 mēn. = 7 429,56 </t>
    </r>
    <r>
      <rPr>
        <i/>
        <sz val="12"/>
        <color theme="1"/>
        <rFont val="Times New Roman"/>
        <family val="1"/>
        <charset val="186"/>
      </rPr>
      <t>euro</t>
    </r>
    <r>
      <rPr>
        <sz val="12"/>
        <color theme="1"/>
        <rFont val="Times New Roman"/>
        <family val="1"/>
        <charset val="186"/>
      </rPr>
      <t xml:space="preserve"> * 0.0813 (iznomātās platības koeficients) = 604,02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</si>
  <si>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t>
    </r>
    <r>
      <rPr>
        <sz val="12"/>
        <color theme="1"/>
        <rFont val="Times New Roman"/>
        <family val="1"/>
        <charset val="186"/>
      </rPr>
      <t xml:space="preserve">/mēn. * 12 mēn. = 6 954,36 </t>
    </r>
    <r>
      <rPr>
        <i/>
        <sz val="12"/>
        <color theme="1"/>
        <rFont val="Times New Roman"/>
        <family val="1"/>
        <charset val="186"/>
      </rPr>
      <t>euro</t>
    </r>
    <r>
      <rPr>
        <sz val="12"/>
        <color theme="1"/>
        <rFont val="Times New Roman"/>
        <family val="1"/>
        <charset val="186"/>
      </rPr>
      <t xml:space="preserve"> * 0.0813 (iznomātās platības koeficients) = 565,39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</si>
  <si>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0.0813 (iznomātās platības koeficients) = 508,79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</si>
  <si>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/mēn</t>
    </r>
    <r>
      <rPr>
        <i/>
        <sz val="12"/>
        <color theme="1"/>
        <rFont val="Times New Roman"/>
        <family val="1"/>
        <charset val="186"/>
      </rPr>
      <t>.</t>
    </r>
    <r>
      <rPr>
        <sz val="12"/>
        <color theme="1"/>
        <rFont val="Times New Roman"/>
        <family val="1"/>
        <charset val="186"/>
      </rPr>
      <t xml:space="preserve"> * 12 mēn. = 3 350,40 </t>
    </r>
    <r>
      <rPr>
        <i/>
        <sz val="12"/>
        <color theme="1"/>
        <rFont val="Times New Roman"/>
        <family val="1"/>
        <charset val="186"/>
      </rPr>
      <t>euro</t>
    </r>
    <r>
      <rPr>
        <sz val="12"/>
        <color theme="1"/>
        <rFont val="Times New Roman"/>
        <family val="1"/>
        <charset val="186"/>
      </rPr>
      <t xml:space="preserve"> * 0.0813 (iznomātās platības koeficients) = 272,39 </t>
    </r>
    <r>
      <rPr>
        <i/>
        <sz val="12"/>
        <color theme="1"/>
        <rFont val="Times New Roman"/>
        <family val="1"/>
        <charset val="186"/>
      </rPr>
      <t>euro</t>
    </r>
    <r>
      <rPr>
        <sz val="12"/>
        <color theme="1"/>
        <rFont val="Times New Roman"/>
        <family val="1"/>
        <charset val="186"/>
      </rPr>
      <t xml:space="preserve">. </t>
    </r>
  </si>
  <si>
    <r>
      <t xml:space="preserve">Galv. nekust. īpaš. pārvaldnieks (477,84 </t>
    </r>
    <r>
      <rPr>
        <i/>
        <sz val="12"/>
        <color theme="1"/>
        <rFont val="Times New Roman"/>
        <family val="1"/>
        <charset val="186"/>
      </rPr>
      <t>euro</t>
    </r>
    <r>
      <rPr>
        <sz val="12"/>
        <color theme="1"/>
        <rFont val="Times New Roman"/>
        <family val="1"/>
        <charset val="186"/>
      </rPr>
      <t xml:space="preserve"> * 10%) = 47,78 </t>
    </r>
    <r>
      <rPr>
        <i/>
        <sz val="12"/>
        <color theme="1"/>
        <rFont val="Times New Roman"/>
        <family val="1"/>
        <charset val="186"/>
      </rPr>
      <t>euro</t>
    </r>
    <r>
      <rPr>
        <sz val="12"/>
        <color theme="1"/>
        <rFont val="Times New Roman"/>
        <family val="1"/>
        <charset val="186"/>
      </rPr>
      <t xml:space="preserve">, Saimniecības pārzinis (604,02 </t>
    </r>
    <r>
      <rPr>
        <i/>
        <sz val="12"/>
        <color theme="1"/>
        <rFont val="Times New Roman"/>
        <family val="1"/>
        <charset val="186"/>
      </rPr>
      <t>euro</t>
    </r>
    <r>
      <rPr>
        <sz val="12"/>
        <color theme="1"/>
        <rFont val="Times New Roman"/>
        <family val="1"/>
        <charset val="186"/>
      </rPr>
      <t xml:space="preserve"> * 10%) = 60,40 </t>
    </r>
    <r>
      <rPr>
        <i/>
        <sz val="12"/>
        <color theme="1"/>
        <rFont val="Times New Roman"/>
        <family val="1"/>
        <charset val="186"/>
      </rPr>
      <t>euro</t>
    </r>
    <r>
      <rPr>
        <sz val="12"/>
        <color theme="1"/>
        <rFont val="Times New Roman"/>
        <family val="1"/>
        <charset val="186"/>
      </rPr>
      <t xml:space="preserve">, Istabene (565,39 </t>
    </r>
    <r>
      <rPr>
        <i/>
        <sz val="12"/>
        <color theme="1"/>
        <rFont val="Times New Roman"/>
        <family val="1"/>
        <charset val="186"/>
      </rPr>
      <t>euro</t>
    </r>
    <r>
      <rPr>
        <sz val="12"/>
        <color theme="1"/>
        <rFont val="Times New Roman"/>
        <family val="1"/>
        <charset val="186"/>
      </rPr>
      <t xml:space="preserve"> * 10%) = 56,54 </t>
    </r>
    <r>
      <rPr>
        <i/>
        <sz val="12"/>
        <color theme="1"/>
        <rFont val="Times New Roman"/>
        <family val="1"/>
        <charset val="186"/>
      </rPr>
      <t>euro</t>
    </r>
    <r>
      <rPr>
        <sz val="12"/>
        <color theme="1"/>
        <rFont val="Times New Roman"/>
        <family val="1"/>
        <charset val="186"/>
      </rPr>
      <t xml:space="preserve">, Apkopēja (508,79 </t>
    </r>
    <r>
      <rPr>
        <i/>
        <sz val="12"/>
        <color theme="1"/>
        <rFont val="Times New Roman"/>
        <family val="1"/>
        <charset val="186"/>
      </rPr>
      <t>euro</t>
    </r>
    <r>
      <rPr>
        <sz val="12"/>
        <color theme="1"/>
        <rFont val="Times New Roman"/>
        <family val="1"/>
        <charset val="186"/>
      </rPr>
      <t xml:space="preserve"> * 10%) = 50,88 </t>
    </r>
    <r>
      <rPr>
        <i/>
        <sz val="12"/>
        <color theme="1"/>
        <rFont val="Times New Roman"/>
        <family val="1"/>
        <charset val="186"/>
      </rPr>
      <t>euro</t>
    </r>
    <r>
      <rPr>
        <sz val="12"/>
        <color theme="1"/>
        <rFont val="Times New Roman"/>
        <family val="1"/>
        <charset val="186"/>
      </rPr>
      <t xml:space="preserve">, Sētnieks (272,39 </t>
    </r>
    <r>
      <rPr>
        <i/>
        <sz val="12"/>
        <color theme="1"/>
        <rFont val="Times New Roman"/>
        <family val="1"/>
        <charset val="186"/>
      </rPr>
      <t>euro</t>
    </r>
    <r>
      <rPr>
        <sz val="12"/>
        <color theme="1"/>
        <rFont val="Times New Roman"/>
        <family val="1"/>
        <charset val="186"/>
      </rPr>
      <t xml:space="preserve"> * 10%) = 27,14 </t>
    </r>
    <r>
      <rPr>
        <i/>
        <sz val="12"/>
        <color theme="1"/>
        <rFont val="Times New Roman"/>
        <family val="1"/>
        <charset val="186"/>
      </rPr>
      <t>euro</t>
    </r>
    <r>
      <rPr>
        <sz val="12"/>
        <color theme="1"/>
        <rFont val="Times New Roman"/>
        <family val="1"/>
        <charset val="186"/>
      </rPr>
      <t xml:space="preserve">. Kopā (47,78 </t>
    </r>
    <r>
      <rPr>
        <i/>
        <sz val="12"/>
        <color theme="1"/>
        <rFont val="Times New Roman"/>
        <family val="1"/>
        <charset val="186"/>
      </rPr>
      <t>euro</t>
    </r>
    <r>
      <rPr>
        <sz val="12"/>
        <color theme="1"/>
        <rFont val="Times New Roman"/>
        <family val="1"/>
        <charset val="186"/>
      </rPr>
      <t xml:space="preserve"> + 60,40 </t>
    </r>
    <r>
      <rPr>
        <i/>
        <sz val="12"/>
        <color theme="1"/>
        <rFont val="Times New Roman"/>
        <family val="1"/>
        <charset val="186"/>
      </rPr>
      <t>euro</t>
    </r>
    <r>
      <rPr>
        <sz val="12"/>
        <color theme="1"/>
        <rFont val="Times New Roman"/>
        <family val="1"/>
        <charset val="186"/>
      </rPr>
      <t xml:space="preserve"> + 56,54 </t>
    </r>
    <r>
      <rPr>
        <i/>
        <sz val="12"/>
        <color theme="1"/>
        <rFont val="Times New Roman"/>
        <family val="1"/>
        <charset val="186"/>
      </rPr>
      <t>euro</t>
    </r>
    <r>
      <rPr>
        <sz val="12"/>
        <color theme="1"/>
        <rFont val="Times New Roman"/>
        <family val="1"/>
        <charset val="186"/>
      </rPr>
      <t xml:space="preserve"> + 50,88 </t>
    </r>
    <r>
      <rPr>
        <i/>
        <sz val="12"/>
        <color theme="1"/>
        <rFont val="Times New Roman"/>
        <family val="1"/>
        <charset val="186"/>
      </rPr>
      <t>euro</t>
    </r>
    <r>
      <rPr>
        <sz val="12"/>
        <color theme="1"/>
        <rFont val="Times New Roman"/>
        <family val="1"/>
        <charset val="186"/>
      </rPr>
      <t xml:space="preserve"> + 27,24 </t>
    </r>
    <r>
      <rPr>
        <i/>
        <sz val="12"/>
        <color theme="1"/>
        <rFont val="Times New Roman"/>
        <family val="1"/>
        <charset val="186"/>
      </rPr>
      <t>euro</t>
    </r>
    <r>
      <rPr>
        <sz val="12"/>
        <color theme="1"/>
        <rFont val="Times New Roman"/>
        <family val="1"/>
        <charset val="186"/>
      </rPr>
      <t xml:space="preserve">) = 242,84 </t>
    </r>
    <r>
      <rPr>
        <i/>
        <sz val="12"/>
        <color theme="1"/>
        <rFont val="Times New Roman"/>
        <family val="1"/>
        <charset val="186"/>
      </rPr>
      <t>euro</t>
    </r>
    <r>
      <rPr>
        <sz val="12"/>
        <color theme="1"/>
        <rFont val="Times New Roman"/>
        <family val="1"/>
        <charset val="186"/>
      </rPr>
      <t>.</t>
    </r>
  </si>
  <si>
    <r>
      <t xml:space="preserve">Veselības apdrošināšana, Galv. nekust. īpaš. pārvaldnieks (477,84 </t>
    </r>
    <r>
      <rPr>
        <i/>
        <sz val="12"/>
        <color theme="1"/>
        <rFont val="Times New Roman"/>
        <family val="1"/>
        <charset val="186"/>
      </rPr>
      <t>euro</t>
    </r>
    <r>
      <rPr>
        <sz val="12"/>
        <color theme="1"/>
        <rFont val="Times New Roman"/>
        <family val="1"/>
        <charset val="186"/>
      </rPr>
      <t xml:space="preserve"> * 5%) = 23,89 </t>
    </r>
    <r>
      <rPr>
        <i/>
        <sz val="12"/>
        <color theme="1"/>
        <rFont val="Times New Roman"/>
        <family val="1"/>
        <charset val="186"/>
      </rPr>
      <t>euro</t>
    </r>
    <r>
      <rPr>
        <sz val="12"/>
        <color theme="1"/>
        <rFont val="Times New Roman"/>
        <family val="1"/>
        <charset val="186"/>
      </rPr>
      <t xml:space="preserve">, Saimniecības pārzinis (604,02 </t>
    </r>
    <r>
      <rPr>
        <i/>
        <sz val="12"/>
        <color theme="1"/>
        <rFont val="Times New Roman"/>
        <family val="1"/>
        <charset val="186"/>
      </rPr>
      <t>euro</t>
    </r>
    <r>
      <rPr>
        <sz val="12"/>
        <color theme="1"/>
        <rFont val="Times New Roman"/>
        <family val="1"/>
        <charset val="186"/>
      </rPr>
      <t xml:space="preserve"> * 5%) = 30,20 </t>
    </r>
    <r>
      <rPr>
        <i/>
        <sz val="12"/>
        <color theme="1"/>
        <rFont val="Times New Roman"/>
        <family val="1"/>
        <charset val="186"/>
      </rPr>
      <t>euro</t>
    </r>
    <r>
      <rPr>
        <sz val="12"/>
        <color theme="1"/>
        <rFont val="Times New Roman"/>
        <family val="1"/>
        <charset val="186"/>
      </rPr>
      <t xml:space="preserve">, Istabene (565,39 </t>
    </r>
    <r>
      <rPr>
        <i/>
        <sz val="12"/>
        <color theme="1"/>
        <rFont val="Times New Roman"/>
        <family val="1"/>
        <charset val="186"/>
      </rPr>
      <t>euro</t>
    </r>
    <r>
      <rPr>
        <sz val="12"/>
        <color theme="1"/>
        <rFont val="Times New Roman"/>
        <family val="1"/>
        <charset val="186"/>
      </rPr>
      <t xml:space="preserve"> * 5%) = 28,27 </t>
    </r>
    <r>
      <rPr>
        <i/>
        <sz val="12"/>
        <color theme="1"/>
        <rFont val="Times New Roman"/>
        <family val="1"/>
        <charset val="186"/>
      </rPr>
      <t>euro</t>
    </r>
    <r>
      <rPr>
        <sz val="12"/>
        <color theme="1"/>
        <rFont val="Times New Roman"/>
        <family val="1"/>
        <charset val="186"/>
      </rPr>
      <t xml:space="preserve">, Apkopēja (508,79 </t>
    </r>
    <r>
      <rPr>
        <i/>
        <sz val="12"/>
        <color theme="1"/>
        <rFont val="Times New Roman"/>
        <family val="1"/>
        <charset val="186"/>
      </rPr>
      <t>euro</t>
    </r>
    <r>
      <rPr>
        <sz val="12"/>
        <color theme="1"/>
        <rFont val="Times New Roman"/>
        <family val="1"/>
        <charset val="186"/>
      </rPr>
      <t xml:space="preserve"> * 5%) = 25,44 </t>
    </r>
    <r>
      <rPr>
        <i/>
        <sz val="12"/>
        <color theme="1"/>
        <rFont val="Times New Roman"/>
        <family val="1"/>
        <charset val="186"/>
      </rPr>
      <t>euro</t>
    </r>
    <r>
      <rPr>
        <sz val="12"/>
        <color theme="1"/>
        <rFont val="Times New Roman"/>
        <family val="1"/>
        <charset val="186"/>
      </rPr>
      <t xml:space="preserve">, Sētnieks (272,39 </t>
    </r>
    <r>
      <rPr>
        <i/>
        <sz val="12"/>
        <color theme="1"/>
        <rFont val="Times New Roman"/>
        <family val="1"/>
        <charset val="186"/>
      </rPr>
      <t>euro</t>
    </r>
    <r>
      <rPr>
        <sz val="12"/>
        <color theme="1"/>
        <rFont val="Times New Roman"/>
        <family val="1"/>
        <charset val="186"/>
      </rPr>
      <t xml:space="preserve"> * 5%) = 13,62 euro. Kopā (23,89 </t>
    </r>
    <r>
      <rPr>
        <i/>
        <sz val="12"/>
        <color theme="1"/>
        <rFont val="Times New Roman"/>
        <family val="1"/>
        <charset val="186"/>
      </rPr>
      <t>euro</t>
    </r>
    <r>
      <rPr>
        <sz val="12"/>
        <color theme="1"/>
        <rFont val="Times New Roman"/>
        <family val="1"/>
        <charset val="186"/>
      </rPr>
      <t xml:space="preserve"> + 30,20 </t>
    </r>
    <r>
      <rPr>
        <i/>
        <sz val="12"/>
        <color theme="1"/>
        <rFont val="Times New Roman"/>
        <family val="1"/>
        <charset val="186"/>
      </rPr>
      <t>euro</t>
    </r>
    <r>
      <rPr>
        <sz val="12"/>
        <color theme="1"/>
        <rFont val="Times New Roman"/>
        <family val="1"/>
        <charset val="186"/>
      </rPr>
      <t xml:space="preserve"> + 28,27 </t>
    </r>
    <r>
      <rPr>
        <i/>
        <sz val="12"/>
        <color theme="1"/>
        <rFont val="Times New Roman"/>
        <family val="1"/>
        <charset val="186"/>
      </rPr>
      <t>euro</t>
    </r>
    <r>
      <rPr>
        <sz val="12"/>
        <color theme="1"/>
        <rFont val="Times New Roman"/>
        <family val="1"/>
        <charset val="186"/>
      </rPr>
      <t xml:space="preserve"> + 25,44 </t>
    </r>
    <r>
      <rPr>
        <i/>
        <sz val="12"/>
        <color theme="1"/>
        <rFont val="Times New Roman"/>
        <family val="1"/>
        <charset val="186"/>
      </rPr>
      <t>euro</t>
    </r>
    <r>
      <rPr>
        <sz val="12"/>
        <color theme="1"/>
        <rFont val="Times New Roman"/>
        <family val="1"/>
        <charset val="186"/>
      </rPr>
      <t xml:space="preserve"> + 13,62 </t>
    </r>
    <r>
      <rPr>
        <i/>
        <sz val="12"/>
        <color theme="1"/>
        <rFont val="Times New Roman"/>
        <family val="1"/>
        <charset val="186"/>
      </rPr>
      <t>euro</t>
    </r>
    <r>
      <rPr>
        <sz val="12"/>
        <color theme="1"/>
        <rFont val="Times New Roman"/>
        <family val="1"/>
        <charset val="186"/>
      </rPr>
      <t xml:space="preserve">) = 121,42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</si>
  <si>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630,15 </t>
    </r>
    <r>
      <rPr>
        <i/>
        <sz val="12"/>
        <color theme="1"/>
        <rFont val="Times New Roman"/>
        <family val="1"/>
        <charset val="186"/>
      </rPr>
      <t>euro</t>
    </r>
    <r>
      <rPr>
        <sz val="12"/>
        <color theme="1"/>
        <rFont val="Times New Roman"/>
        <family val="1"/>
        <charset val="186"/>
      </rPr>
      <t xml:space="preserve">. Veselības apdrošināšana 121,42 </t>
    </r>
    <r>
      <rPr>
        <i/>
        <sz val="12"/>
        <color theme="1"/>
        <rFont val="Times New Roman"/>
        <family val="1"/>
        <charset val="186"/>
      </rPr>
      <t>euro</t>
    </r>
    <r>
      <rPr>
        <sz val="12"/>
        <color theme="1"/>
        <rFont val="Times New Roman"/>
        <family val="1"/>
        <charset val="186"/>
      </rPr>
      <t xml:space="preserve">. Kopā 751,57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</si>
  <si>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0.0813 (iznomātās platības koeficients) = 13,99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</si>
  <si>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0.0813 (iznomātās platības koeficients) = 9,18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</si>
  <si>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euro/mēn. * 12. mēn. = 165,12 </t>
    </r>
    <r>
      <rPr>
        <i/>
        <sz val="12"/>
        <color theme="1"/>
        <rFont val="Times New Roman"/>
        <family val="1"/>
        <charset val="186"/>
      </rPr>
      <t>euro</t>
    </r>
    <r>
      <rPr>
        <sz val="12"/>
        <color theme="1"/>
        <rFont val="Times New Roman"/>
        <family val="1"/>
        <charset val="186"/>
      </rPr>
      <t xml:space="preserve"> * 0.0813 (iznomātās platības koeficients) = 13,42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</si>
  <si>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0.0813 (iznomātās platības koeficients) = 18,33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</si>
  <si>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0.0813 (iznomātās platības koeficients) = 12,95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</si>
  <si>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0.0813 (iznomātās platības koeficients) = 74,57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</si>
  <si>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0.0813 (iznomātās platības koeficients) = 77,93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</si>
  <si>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0.0813 (iznomātās platības koeficients) = 97,37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</si>
  <si>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0.0813 (iznomātās platības koeficients) = 115,53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</si>
  <si>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0.0813 (iznomātās platības koeficients) = 28,63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</si>
  <si>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461,90 </t>
    </r>
    <r>
      <rPr>
        <i/>
        <sz val="12"/>
        <color theme="1"/>
        <rFont val="Times New Roman"/>
        <family val="1"/>
        <charset val="186"/>
      </rPr>
      <t>euro</t>
    </r>
    <r>
      <rPr>
        <sz val="12"/>
        <color theme="1"/>
        <rFont val="Times New Roman"/>
        <family val="1"/>
        <charset val="186"/>
      </rPr>
      <t xml:space="preserve"> * 23,59 % = 108,96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</si>
  <si>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0.009 (iznomātās platības koeficients) = 52,90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</si>
  <si>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t>
    </r>
    <r>
      <rPr>
        <sz val="12"/>
        <color theme="1"/>
        <rFont val="Times New Roman"/>
        <family val="1"/>
        <charset val="186"/>
      </rPr>
      <t xml:space="preserve">/mēn. * 12 mēn. = 7 429,56 </t>
    </r>
    <r>
      <rPr>
        <i/>
        <sz val="12"/>
        <color theme="1"/>
        <rFont val="Times New Roman"/>
        <family val="1"/>
        <charset val="186"/>
      </rPr>
      <t>euro</t>
    </r>
    <r>
      <rPr>
        <sz val="12"/>
        <color theme="1"/>
        <rFont val="Times New Roman"/>
        <family val="1"/>
        <charset val="186"/>
      </rPr>
      <t xml:space="preserve"> * 0.009 (iznomātās platības koeficients) = 66,87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</si>
  <si>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t>
    </r>
    <r>
      <rPr>
        <sz val="12"/>
        <color theme="1"/>
        <rFont val="Times New Roman"/>
        <family val="1"/>
        <charset val="186"/>
      </rPr>
      <t xml:space="preserve">/mēn. * 12 mēn. = 6 954,36 </t>
    </r>
    <r>
      <rPr>
        <i/>
        <sz val="12"/>
        <color theme="1"/>
        <rFont val="Times New Roman"/>
        <family val="1"/>
        <charset val="186"/>
      </rPr>
      <t>euro</t>
    </r>
    <r>
      <rPr>
        <sz val="12"/>
        <color theme="1"/>
        <rFont val="Times New Roman"/>
        <family val="1"/>
        <charset val="186"/>
      </rPr>
      <t xml:space="preserve"> * 0.009 (iznomātās platības koeficients) = 62,59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</si>
  <si>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0.009 (iznomātās platības koeficients) = 56,32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</si>
  <si>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euro).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0.009 (iznomātās platības koeficients) = 30,15 euro. </t>
    </r>
  </si>
  <si>
    <r>
      <t xml:space="preserve">Galv. nekust. īpaš. pārvaldnieks (52,90 </t>
    </r>
    <r>
      <rPr>
        <i/>
        <sz val="12"/>
        <color theme="1"/>
        <rFont val="Times New Roman"/>
        <family val="1"/>
        <charset val="186"/>
      </rPr>
      <t>euro</t>
    </r>
    <r>
      <rPr>
        <sz val="12"/>
        <color theme="1"/>
        <rFont val="Times New Roman"/>
        <family val="1"/>
        <charset val="186"/>
      </rPr>
      <t xml:space="preserve"> * 10%) = 5,29 </t>
    </r>
    <r>
      <rPr>
        <i/>
        <sz val="12"/>
        <color theme="1"/>
        <rFont val="Times New Roman"/>
        <family val="1"/>
        <charset val="186"/>
      </rPr>
      <t>euro</t>
    </r>
    <r>
      <rPr>
        <sz val="12"/>
        <color theme="1"/>
        <rFont val="Times New Roman"/>
        <family val="1"/>
        <charset val="186"/>
      </rPr>
      <t xml:space="preserve">, Saimniecības pārzinis (66,87 </t>
    </r>
    <r>
      <rPr>
        <i/>
        <sz val="12"/>
        <color theme="1"/>
        <rFont val="Times New Roman"/>
        <family val="1"/>
        <charset val="186"/>
      </rPr>
      <t>euro</t>
    </r>
    <r>
      <rPr>
        <sz val="12"/>
        <color theme="1"/>
        <rFont val="Times New Roman"/>
        <family val="1"/>
        <charset val="186"/>
      </rPr>
      <t xml:space="preserve"> * 10%) = 6,69 </t>
    </r>
    <r>
      <rPr>
        <i/>
        <sz val="12"/>
        <color theme="1"/>
        <rFont val="Times New Roman"/>
        <family val="1"/>
        <charset val="186"/>
      </rPr>
      <t>euro</t>
    </r>
    <r>
      <rPr>
        <sz val="12"/>
        <color theme="1"/>
        <rFont val="Times New Roman"/>
        <family val="1"/>
        <charset val="186"/>
      </rPr>
      <t xml:space="preserve">, Istabene (62,59 </t>
    </r>
    <r>
      <rPr>
        <i/>
        <sz val="12"/>
        <color theme="1"/>
        <rFont val="Times New Roman"/>
        <family val="1"/>
        <charset val="186"/>
      </rPr>
      <t>euro</t>
    </r>
    <r>
      <rPr>
        <sz val="12"/>
        <color theme="1"/>
        <rFont val="Times New Roman"/>
        <family val="1"/>
        <charset val="186"/>
      </rPr>
      <t xml:space="preserve"> * 10%) = 6,26 </t>
    </r>
    <r>
      <rPr>
        <i/>
        <sz val="12"/>
        <color theme="1"/>
        <rFont val="Times New Roman"/>
        <family val="1"/>
        <charset val="186"/>
      </rPr>
      <t>euro</t>
    </r>
    <r>
      <rPr>
        <sz val="12"/>
        <color theme="1"/>
        <rFont val="Times New Roman"/>
        <family val="1"/>
        <charset val="186"/>
      </rPr>
      <t xml:space="preserve">, Apkopēja (56,32 </t>
    </r>
    <r>
      <rPr>
        <i/>
        <sz val="12"/>
        <color theme="1"/>
        <rFont val="Times New Roman"/>
        <family val="1"/>
        <charset val="186"/>
      </rPr>
      <t>euro</t>
    </r>
    <r>
      <rPr>
        <sz val="12"/>
        <color theme="1"/>
        <rFont val="Times New Roman"/>
        <family val="1"/>
        <charset val="186"/>
      </rPr>
      <t xml:space="preserve"> * 10%) = 5,63 </t>
    </r>
    <r>
      <rPr>
        <i/>
        <sz val="12"/>
        <color theme="1"/>
        <rFont val="Times New Roman"/>
        <family val="1"/>
        <charset val="186"/>
      </rPr>
      <t>euro</t>
    </r>
    <r>
      <rPr>
        <sz val="12"/>
        <color theme="1"/>
        <rFont val="Times New Roman"/>
        <family val="1"/>
        <charset val="186"/>
      </rPr>
      <t xml:space="preserve">, Sētnieks (30,15 </t>
    </r>
    <r>
      <rPr>
        <i/>
        <sz val="12"/>
        <color theme="1"/>
        <rFont val="Times New Roman"/>
        <family val="1"/>
        <charset val="186"/>
      </rPr>
      <t>euro</t>
    </r>
    <r>
      <rPr>
        <sz val="12"/>
        <color theme="1"/>
        <rFont val="Times New Roman"/>
        <family val="1"/>
        <charset val="186"/>
      </rPr>
      <t xml:space="preserve"> * 10%) = 3,02 </t>
    </r>
    <r>
      <rPr>
        <i/>
        <sz val="12"/>
        <color theme="1"/>
        <rFont val="Times New Roman"/>
        <family val="1"/>
        <charset val="186"/>
      </rPr>
      <t>euro</t>
    </r>
    <r>
      <rPr>
        <sz val="12"/>
        <color theme="1"/>
        <rFont val="Times New Roman"/>
        <family val="1"/>
        <charset val="186"/>
      </rPr>
      <t xml:space="preserve">. Kopā (5,29 </t>
    </r>
    <r>
      <rPr>
        <i/>
        <sz val="12"/>
        <color theme="1"/>
        <rFont val="Times New Roman"/>
        <family val="1"/>
        <charset val="186"/>
      </rPr>
      <t>euro</t>
    </r>
    <r>
      <rPr>
        <sz val="12"/>
        <color theme="1"/>
        <rFont val="Times New Roman"/>
        <family val="1"/>
        <charset val="186"/>
      </rPr>
      <t xml:space="preserve"> + 6,69 </t>
    </r>
    <r>
      <rPr>
        <i/>
        <sz val="12"/>
        <color theme="1"/>
        <rFont val="Times New Roman"/>
        <family val="1"/>
        <charset val="186"/>
      </rPr>
      <t>euro</t>
    </r>
    <r>
      <rPr>
        <sz val="12"/>
        <color theme="1"/>
        <rFont val="Times New Roman"/>
        <family val="1"/>
        <charset val="186"/>
      </rPr>
      <t xml:space="preserve"> + 6,26 </t>
    </r>
    <r>
      <rPr>
        <i/>
        <sz val="12"/>
        <color theme="1"/>
        <rFont val="Times New Roman"/>
        <family val="1"/>
        <charset val="186"/>
      </rPr>
      <t>euro</t>
    </r>
    <r>
      <rPr>
        <sz val="12"/>
        <color theme="1"/>
        <rFont val="Times New Roman"/>
        <family val="1"/>
        <charset val="186"/>
      </rPr>
      <t xml:space="preserve"> + 5,63 </t>
    </r>
    <r>
      <rPr>
        <i/>
        <sz val="12"/>
        <color theme="1"/>
        <rFont val="Times New Roman"/>
        <family val="1"/>
        <charset val="186"/>
      </rPr>
      <t>euro</t>
    </r>
    <r>
      <rPr>
        <sz val="12"/>
        <color theme="1"/>
        <rFont val="Times New Roman"/>
        <family val="1"/>
        <charset val="186"/>
      </rPr>
      <t xml:space="preserve"> + 3,02 </t>
    </r>
    <r>
      <rPr>
        <i/>
        <sz val="12"/>
        <color theme="1"/>
        <rFont val="Times New Roman"/>
        <family val="1"/>
        <charset val="186"/>
      </rPr>
      <t>euro</t>
    </r>
    <r>
      <rPr>
        <sz val="12"/>
        <color theme="1"/>
        <rFont val="Times New Roman"/>
        <family val="1"/>
        <charset val="186"/>
      </rPr>
      <t xml:space="preserve">) = 26,89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</si>
  <si>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(295,72 </t>
    </r>
    <r>
      <rPr>
        <i/>
        <sz val="12"/>
        <color theme="1"/>
        <rFont val="Times New Roman"/>
        <family val="1"/>
        <charset val="186"/>
      </rPr>
      <t>euro</t>
    </r>
    <r>
      <rPr>
        <sz val="12"/>
        <color theme="1"/>
        <rFont val="Times New Roman"/>
        <family val="1"/>
        <charset val="186"/>
      </rPr>
      <t xml:space="preserve"> * 23,59 %) = 69,76 </t>
    </r>
    <r>
      <rPr>
        <i/>
        <sz val="12"/>
        <color theme="1"/>
        <rFont val="Times New Roman"/>
        <family val="1"/>
        <charset val="186"/>
      </rPr>
      <t xml:space="preserve">euro. </t>
    </r>
  </si>
  <si>
    <r>
      <t xml:space="preserve">Veselības apdrošināšana, Galv. nekust. īpaš. pārvaldnieks (52,90 </t>
    </r>
    <r>
      <rPr>
        <i/>
        <sz val="12"/>
        <color theme="1"/>
        <rFont val="Times New Roman"/>
        <family val="1"/>
        <charset val="186"/>
      </rPr>
      <t>euro</t>
    </r>
    <r>
      <rPr>
        <sz val="12"/>
        <color theme="1"/>
        <rFont val="Times New Roman"/>
        <family val="1"/>
        <charset val="186"/>
      </rPr>
      <t xml:space="preserve"> * 5%) = 2,65 </t>
    </r>
    <r>
      <rPr>
        <i/>
        <sz val="12"/>
        <color theme="1"/>
        <rFont val="Times New Roman"/>
        <family val="1"/>
        <charset val="186"/>
      </rPr>
      <t>euro</t>
    </r>
    <r>
      <rPr>
        <sz val="12"/>
        <color theme="1"/>
        <rFont val="Times New Roman"/>
        <family val="1"/>
        <charset val="186"/>
      </rPr>
      <t xml:space="preserve">, Saimniecības pārzinis (66,87 </t>
    </r>
    <r>
      <rPr>
        <i/>
        <sz val="12"/>
        <color theme="1"/>
        <rFont val="Times New Roman"/>
        <family val="1"/>
        <charset val="186"/>
      </rPr>
      <t>euro</t>
    </r>
    <r>
      <rPr>
        <sz val="12"/>
        <color theme="1"/>
        <rFont val="Times New Roman"/>
        <family val="1"/>
        <charset val="186"/>
      </rPr>
      <t xml:space="preserve"> * 5%) = 3,34 </t>
    </r>
    <r>
      <rPr>
        <i/>
        <sz val="12"/>
        <color theme="1"/>
        <rFont val="Times New Roman"/>
        <family val="1"/>
        <charset val="186"/>
      </rPr>
      <t>euro</t>
    </r>
    <r>
      <rPr>
        <sz val="12"/>
        <color theme="1"/>
        <rFont val="Times New Roman"/>
        <family val="1"/>
        <charset val="186"/>
      </rPr>
      <t xml:space="preserve">, Istabene (62,59 </t>
    </r>
    <r>
      <rPr>
        <i/>
        <sz val="12"/>
        <color theme="1"/>
        <rFont val="Times New Roman"/>
        <family val="1"/>
        <charset val="186"/>
      </rPr>
      <t>euro</t>
    </r>
    <r>
      <rPr>
        <sz val="12"/>
        <color theme="1"/>
        <rFont val="Times New Roman"/>
        <family val="1"/>
        <charset val="186"/>
      </rPr>
      <t xml:space="preserve"> * 5%) = 3,13 </t>
    </r>
    <r>
      <rPr>
        <i/>
        <sz val="12"/>
        <color theme="1"/>
        <rFont val="Times New Roman"/>
        <family val="1"/>
        <charset val="186"/>
      </rPr>
      <t>euro</t>
    </r>
    <r>
      <rPr>
        <sz val="12"/>
        <color theme="1"/>
        <rFont val="Times New Roman"/>
        <family val="1"/>
        <charset val="186"/>
      </rPr>
      <t xml:space="preserve">, Apkopēja (56,32 euro * 5%) = 2,82 </t>
    </r>
    <r>
      <rPr>
        <i/>
        <sz val="12"/>
        <color theme="1"/>
        <rFont val="Times New Roman"/>
        <family val="1"/>
        <charset val="186"/>
      </rPr>
      <t>euro</t>
    </r>
    <r>
      <rPr>
        <sz val="12"/>
        <color theme="1"/>
        <rFont val="Times New Roman"/>
        <family val="1"/>
        <charset val="186"/>
      </rPr>
      <t xml:space="preserve">, Sētnieks (30,15 </t>
    </r>
    <r>
      <rPr>
        <i/>
        <sz val="12"/>
        <color theme="1"/>
        <rFont val="Times New Roman"/>
        <family val="1"/>
        <charset val="186"/>
      </rPr>
      <t>euro</t>
    </r>
    <r>
      <rPr>
        <sz val="12"/>
        <color theme="1"/>
        <rFont val="Times New Roman"/>
        <family val="1"/>
        <charset val="186"/>
      </rPr>
      <t xml:space="preserve"> * 5%) = 1,51 </t>
    </r>
    <r>
      <rPr>
        <i/>
        <sz val="12"/>
        <color theme="1"/>
        <rFont val="Times New Roman"/>
        <family val="1"/>
        <charset val="186"/>
      </rPr>
      <t>euro</t>
    </r>
    <r>
      <rPr>
        <sz val="12"/>
        <color theme="1"/>
        <rFont val="Times New Roman"/>
        <family val="1"/>
        <charset val="186"/>
      </rPr>
      <t xml:space="preserve">. Kopā (2,65 euro + 3,34 </t>
    </r>
    <r>
      <rPr>
        <i/>
        <sz val="12"/>
        <color theme="1"/>
        <rFont val="Times New Roman"/>
        <family val="1"/>
        <charset val="186"/>
      </rPr>
      <t>euro</t>
    </r>
    <r>
      <rPr>
        <sz val="12"/>
        <color theme="1"/>
        <rFont val="Times New Roman"/>
        <family val="1"/>
        <charset val="186"/>
      </rPr>
      <t xml:space="preserve"> + 3,13 </t>
    </r>
    <r>
      <rPr>
        <i/>
        <sz val="12"/>
        <color theme="1"/>
        <rFont val="Times New Roman"/>
        <family val="1"/>
        <charset val="186"/>
      </rPr>
      <t>euro</t>
    </r>
    <r>
      <rPr>
        <sz val="12"/>
        <color theme="1"/>
        <rFont val="Times New Roman"/>
        <family val="1"/>
        <charset val="186"/>
      </rPr>
      <t xml:space="preserve"> + 2,82 </t>
    </r>
    <r>
      <rPr>
        <i/>
        <sz val="12"/>
        <color theme="1"/>
        <rFont val="Times New Roman"/>
        <family val="1"/>
        <charset val="186"/>
      </rPr>
      <t>euro</t>
    </r>
    <r>
      <rPr>
        <sz val="12"/>
        <color theme="1"/>
        <rFont val="Times New Roman"/>
        <family val="1"/>
        <charset val="186"/>
      </rPr>
      <t xml:space="preserve"> + 1,51 </t>
    </r>
    <r>
      <rPr>
        <i/>
        <sz val="12"/>
        <color theme="1"/>
        <rFont val="Times New Roman"/>
        <family val="1"/>
        <charset val="186"/>
      </rPr>
      <t>euro</t>
    </r>
    <r>
      <rPr>
        <sz val="12"/>
        <color theme="1"/>
        <rFont val="Times New Roman"/>
        <family val="1"/>
        <charset val="186"/>
      </rPr>
      <t xml:space="preserve">) = 13,45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</si>
  <si>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0.009 (iznomātās platības koeficients) = 1,55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</si>
  <si>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0.009 (iznomātās platības koeficients) = 1,02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</si>
  <si>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0.009  (iznomātās platības koeficients) = 2,03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</si>
  <si>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0.009 (iznomātās platības koeficients) = 1,43 </t>
    </r>
    <r>
      <rPr>
        <i/>
        <sz val="12"/>
        <color theme="1"/>
        <rFont val="Times New Roman"/>
        <family val="1"/>
        <charset val="186"/>
      </rPr>
      <t>euro</t>
    </r>
    <r>
      <rPr>
        <sz val="12"/>
        <color theme="1"/>
        <rFont val="Times New Roman"/>
        <family val="1"/>
        <charset val="186"/>
      </rPr>
      <t>.</t>
    </r>
  </si>
  <si>
    <r>
      <t xml:space="preserve">Finansists (15.1. saime, IA līmenis, 8. algu grupa, mēnešalga 1 372 euro). Stundas tarifa likme 8,29 euro = 1 372 euro/ 165.58 (vid. d. stundu sk. mēnesī). Vid. mēn. noslogojums  9.22 stundas, (8,29 euro * 9.22 h) = 76,43 </t>
    </r>
    <r>
      <rPr>
        <i/>
        <sz val="12"/>
        <color theme="1"/>
        <rFont val="Times New Roman"/>
        <family val="1"/>
        <charset val="186"/>
      </rPr>
      <t>euro</t>
    </r>
    <r>
      <rPr>
        <sz val="12"/>
        <color theme="1"/>
        <rFont val="Times New Roman"/>
        <family val="1"/>
        <charset val="186"/>
      </rPr>
      <t>/mēn. * 12. mēn. = 917,16 euro * 0.009 (iznomātās platības koeficients) = 8,25 euro.</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</si>
  <si>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0.009 (iznomātās platības koeficients) = 8,63 </t>
    </r>
    <r>
      <rPr>
        <i/>
        <sz val="12"/>
        <color theme="1"/>
        <rFont val="Times New Roman"/>
        <family val="1"/>
        <charset val="186"/>
      </rPr>
      <t>euro.</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</si>
  <si>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0.009 (iznomātās platības koeficients) = 10,78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</si>
  <si>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0.009 (iznomātās platības koeficients) = 12,79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</si>
  <si>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0.009  (iznomātās platības koeficients) = 3,17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</si>
  <si>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69,76 </t>
    </r>
    <r>
      <rPr>
        <i/>
        <sz val="12"/>
        <color theme="1"/>
        <rFont val="Times New Roman"/>
        <family val="1"/>
        <charset val="186"/>
      </rPr>
      <t>euro</t>
    </r>
    <r>
      <rPr>
        <sz val="12"/>
        <color theme="1"/>
        <rFont val="Times New Roman"/>
        <family val="1"/>
        <charset val="186"/>
      </rPr>
      <t xml:space="preserve">. Veselības apdrošināšana 13,45 </t>
    </r>
    <r>
      <rPr>
        <i/>
        <sz val="12"/>
        <color theme="1"/>
        <rFont val="Times New Roman"/>
        <family val="1"/>
        <charset val="186"/>
      </rPr>
      <t>euro</t>
    </r>
    <r>
      <rPr>
        <sz val="12"/>
        <color theme="1"/>
        <rFont val="Times New Roman"/>
        <family val="1"/>
        <charset val="186"/>
      </rPr>
      <t xml:space="preserve">. Kopā 83,21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</si>
  <si>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0.009 (iznomātās platības koeficients) = 1,55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</si>
  <si>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51,20 </t>
    </r>
    <r>
      <rPr>
        <i/>
        <sz val="12"/>
        <color theme="1"/>
        <rFont val="Times New Roman"/>
        <family val="1"/>
        <charset val="186"/>
      </rPr>
      <t>euro</t>
    </r>
    <r>
      <rPr>
        <sz val="12"/>
        <color theme="1"/>
        <rFont val="Times New Roman"/>
        <family val="1"/>
        <charset val="186"/>
      </rPr>
      <t xml:space="preserve"> * 23,59 % = 12,08 </t>
    </r>
    <r>
      <rPr>
        <i/>
        <sz val="12"/>
        <color theme="1"/>
        <rFont val="Times New Roman"/>
        <family val="1"/>
        <charset val="186"/>
      </rPr>
      <t>euro</t>
    </r>
    <r>
      <rPr>
        <sz val="12"/>
        <color theme="1"/>
        <rFont val="Times New Roman"/>
        <family val="1"/>
        <charset val="186"/>
      </rPr>
      <t>.</t>
    </r>
  </si>
  <si>
    <r>
      <t xml:space="preserve">Galv. nekust. īpaš. pārvaldnieks (58,50 </t>
    </r>
    <r>
      <rPr>
        <i/>
        <sz val="12"/>
        <color theme="1"/>
        <rFont val="Times New Roman"/>
        <family val="1"/>
        <charset val="186"/>
      </rPr>
      <t>euro</t>
    </r>
    <r>
      <rPr>
        <sz val="12"/>
        <color theme="1"/>
        <rFont val="Times New Roman"/>
        <family val="1"/>
        <charset val="186"/>
      </rPr>
      <t xml:space="preserve"> * 10%) = 5,85 </t>
    </r>
    <r>
      <rPr>
        <i/>
        <sz val="12"/>
        <color theme="1"/>
        <rFont val="Times New Roman"/>
        <family val="1"/>
        <charset val="186"/>
      </rPr>
      <t>euro</t>
    </r>
    <r>
      <rPr>
        <sz val="12"/>
        <color theme="1"/>
        <rFont val="Times New Roman"/>
        <family val="1"/>
        <charset val="186"/>
      </rPr>
      <t xml:space="preserve">, Dienesta viesnīcas vadīotājs (118,13 euro * 10%) = 11,81 euro.  Saimniecības pārzinis (77,19 </t>
    </r>
    <r>
      <rPr>
        <i/>
        <sz val="12"/>
        <color theme="1"/>
        <rFont val="Times New Roman"/>
        <family val="1"/>
        <charset val="186"/>
      </rPr>
      <t>euro</t>
    </r>
    <r>
      <rPr>
        <sz val="12"/>
        <color theme="1"/>
        <rFont val="Times New Roman"/>
        <family val="1"/>
        <charset val="186"/>
      </rPr>
      <t xml:space="preserve"> * 10%) = 7,72 </t>
    </r>
    <r>
      <rPr>
        <i/>
        <sz val="12"/>
        <color theme="1"/>
        <rFont val="Times New Roman"/>
        <family val="1"/>
        <charset val="186"/>
      </rPr>
      <t>euro.</t>
    </r>
    <r>
      <rPr>
        <sz val="12"/>
        <color theme="1"/>
        <rFont val="Times New Roman"/>
        <family val="1"/>
        <charset val="186"/>
      </rPr>
      <t xml:space="preserve"> Kopā (5,85 </t>
    </r>
    <r>
      <rPr>
        <i/>
        <sz val="12"/>
        <color theme="1"/>
        <rFont val="Times New Roman"/>
        <family val="1"/>
        <charset val="186"/>
      </rPr>
      <t>euro</t>
    </r>
    <r>
      <rPr>
        <sz val="12"/>
        <color theme="1"/>
        <rFont val="Times New Roman"/>
        <family val="1"/>
        <charset val="186"/>
      </rPr>
      <t xml:space="preserve"> + 11,81 </t>
    </r>
    <r>
      <rPr>
        <i/>
        <sz val="12"/>
        <color theme="1"/>
        <rFont val="Times New Roman"/>
        <family val="1"/>
        <charset val="186"/>
      </rPr>
      <t>euro</t>
    </r>
    <r>
      <rPr>
        <sz val="12"/>
        <color theme="1"/>
        <rFont val="Times New Roman"/>
        <family val="1"/>
        <charset val="186"/>
      </rPr>
      <t xml:space="preserve"> + 7,72 </t>
    </r>
    <r>
      <rPr>
        <i/>
        <sz val="12"/>
        <color theme="1"/>
        <rFont val="Times New Roman"/>
        <family val="1"/>
        <charset val="186"/>
      </rPr>
      <t>euro</t>
    </r>
    <r>
      <rPr>
        <sz val="12"/>
        <color theme="1"/>
        <rFont val="Times New Roman"/>
        <family val="1"/>
        <charset val="186"/>
      </rPr>
      <t xml:space="preserve">) = 25,38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</si>
  <si>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(279,20 </t>
    </r>
    <r>
      <rPr>
        <i/>
        <sz val="12"/>
        <color theme="1"/>
        <rFont val="Times New Roman"/>
        <family val="1"/>
        <charset val="186"/>
      </rPr>
      <t>euro</t>
    </r>
    <r>
      <rPr>
        <sz val="12"/>
        <color theme="1"/>
        <rFont val="Times New Roman"/>
        <family val="1"/>
        <charset val="186"/>
      </rPr>
      <t xml:space="preserve"> * 23,59 %) = 65,86 </t>
    </r>
    <r>
      <rPr>
        <i/>
        <sz val="12"/>
        <color theme="1"/>
        <rFont val="Times New Roman"/>
        <family val="1"/>
        <charset val="186"/>
      </rPr>
      <t xml:space="preserve">euro. </t>
    </r>
  </si>
  <si>
    <r>
      <t xml:space="preserve">Veselības apdrošināšana. Galv. nekust. īpaš. pārvaldnieks (58,50 </t>
    </r>
    <r>
      <rPr>
        <i/>
        <sz val="12"/>
        <color theme="1"/>
        <rFont val="Times New Roman"/>
        <family val="1"/>
        <charset val="186"/>
      </rPr>
      <t>euro</t>
    </r>
    <r>
      <rPr>
        <sz val="12"/>
        <color theme="1"/>
        <rFont val="Times New Roman"/>
        <family val="1"/>
        <charset val="186"/>
      </rPr>
      <t xml:space="preserve"> * 5%) = 2,93 </t>
    </r>
    <r>
      <rPr>
        <i/>
        <sz val="12"/>
        <color theme="1"/>
        <rFont val="Times New Roman"/>
        <family val="1"/>
        <charset val="186"/>
      </rPr>
      <t>euro</t>
    </r>
    <r>
      <rPr>
        <sz val="12"/>
        <color theme="1"/>
        <rFont val="Times New Roman"/>
        <family val="1"/>
        <charset val="186"/>
      </rPr>
      <t xml:space="preserve">, Dienesta viesnīcas vadīotājs (118,13 </t>
    </r>
    <r>
      <rPr>
        <i/>
        <sz val="12"/>
        <color theme="1"/>
        <rFont val="Times New Roman"/>
        <family val="1"/>
        <charset val="186"/>
      </rPr>
      <t>euro</t>
    </r>
    <r>
      <rPr>
        <sz val="12"/>
        <color theme="1"/>
        <rFont val="Times New Roman"/>
        <family val="1"/>
        <charset val="186"/>
      </rPr>
      <t xml:space="preserve"> * 5%) = 5,91 </t>
    </r>
    <r>
      <rPr>
        <i/>
        <sz val="12"/>
        <color theme="1"/>
        <rFont val="Times New Roman"/>
        <family val="1"/>
        <charset val="186"/>
      </rPr>
      <t>euro.</t>
    </r>
    <r>
      <rPr>
        <sz val="12"/>
        <color theme="1"/>
        <rFont val="Times New Roman"/>
        <family val="1"/>
        <charset val="186"/>
      </rPr>
      <t xml:space="preserve"> Saimniecības pārzinis (77,19 </t>
    </r>
    <r>
      <rPr>
        <i/>
        <sz val="12"/>
        <color theme="1"/>
        <rFont val="Times New Roman"/>
        <family val="1"/>
        <charset val="186"/>
      </rPr>
      <t>euro</t>
    </r>
    <r>
      <rPr>
        <sz val="12"/>
        <color theme="1"/>
        <rFont val="Times New Roman"/>
        <family val="1"/>
        <charset val="186"/>
      </rPr>
      <t xml:space="preserve"> * 5%) = 3,86 </t>
    </r>
    <r>
      <rPr>
        <i/>
        <sz val="12"/>
        <color theme="1"/>
        <rFont val="Times New Roman"/>
        <family val="1"/>
        <charset val="186"/>
      </rPr>
      <t>euro</t>
    </r>
    <r>
      <rPr>
        <sz val="12"/>
        <color theme="1"/>
        <rFont val="Times New Roman"/>
        <family val="1"/>
        <charset val="186"/>
      </rPr>
      <t xml:space="preserve">. Kopā (2,93 </t>
    </r>
    <r>
      <rPr>
        <i/>
        <sz val="12"/>
        <color theme="1"/>
        <rFont val="Times New Roman"/>
        <family val="1"/>
        <charset val="186"/>
      </rPr>
      <t>euro</t>
    </r>
    <r>
      <rPr>
        <sz val="12"/>
        <color theme="1"/>
        <rFont val="Times New Roman"/>
        <family val="1"/>
        <charset val="186"/>
      </rPr>
      <t xml:space="preserve"> + 5,91 </t>
    </r>
    <r>
      <rPr>
        <i/>
        <sz val="12"/>
        <color theme="1"/>
        <rFont val="Times New Roman"/>
        <family val="1"/>
        <charset val="186"/>
      </rPr>
      <t>euro</t>
    </r>
    <r>
      <rPr>
        <sz val="12"/>
        <color theme="1"/>
        <rFont val="Times New Roman"/>
        <family val="1"/>
        <charset val="186"/>
      </rPr>
      <t xml:space="preserve"> + 3,86  </t>
    </r>
    <r>
      <rPr>
        <i/>
        <sz val="12"/>
        <color theme="1"/>
        <rFont val="Times New Roman"/>
        <family val="1"/>
        <charset val="186"/>
      </rPr>
      <t>euro</t>
    </r>
    <r>
      <rPr>
        <sz val="12"/>
        <color theme="1"/>
        <rFont val="Times New Roman"/>
        <family val="1"/>
        <charset val="186"/>
      </rPr>
      <t xml:space="preserve">) = 12,70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</si>
  <si>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65,86 </t>
    </r>
    <r>
      <rPr>
        <i/>
        <sz val="12"/>
        <color theme="1"/>
        <rFont val="Times New Roman"/>
        <family val="1"/>
        <charset val="186"/>
      </rPr>
      <t>euro</t>
    </r>
    <r>
      <rPr>
        <sz val="12"/>
        <color theme="1"/>
        <rFont val="Times New Roman"/>
        <family val="1"/>
        <charset val="186"/>
      </rPr>
      <t xml:space="preserve">. Veselības apdrošināšana 12,70 </t>
    </r>
    <r>
      <rPr>
        <i/>
        <sz val="12"/>
        <color theme="1"/>
        <rFont val="Times New Roman"/>
        <family val="1"/>
        <charset val="186"/>
      </rPr>
      <t>euro</t>
    </r>
    <r>
      <rPr>
        <sz val="12"/>
        <color theme="1"/>
        <rFont val="Times New Roman"/>
        <family val="1"/>
        <charset val="186"/>
      </rPr>
      <t xml:space="preserve">. Kopā 78,56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</si>
  <si>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2.9 stundas, (8,20 </t>
    </r>
    <r>
      <rPr>
        <i/>
        <sz val="12"/>
        <color theme="1"/>
        <rFont val="Times New Roman"/>
        <family val="1"/>
        <charset val="186"/>
      </rPr>
      <t>euro</t>
    </r>
    <r>
      <rPr>
        <sz val="12"/>
        <color theme="1"/>
        <rFont val="Times New Roman"/>
        <family val="1"/>
        <charset val="186"/>
      </rPr>
      <t xml:space="preserve"> * 2.9 h) = 23.78 </t>
    </r>
    <r>
      <rPr>
        <i/>
        <sz val="12"/>
        <color theme="1"/>
        <rFont val="Times New Roman"/>
        <family val="1"/>
        <charset val="186"/>
      </rPr>
      <t>euro</t>
    </r>
    <r>
      <rPr>
        <sz val="12"/>
        <color theme="1"/>
        <rFont val="Times New Roman"/>
        <family val="1"/>
        <charset val="186"/>
      </rPr>
      <t xml:space="preserve">/mēn. * 12 mēn. = 285,36 </t>
    </r>
    <r>
      <rPr>
        <i/>
        <sz val="12"/>
        <color theme="1"/>
        <rFont val="Times New Roman"/>
        <family val="1"/>
        <charset val="186"/>
      </rPr>
      <t>euro</t>
    </r>
    <r>
      <rPr>
        <sz val="12"/>
        <color theme="1"/>
        <rFont val="Times New Roman"/>
        <family val="1"/>
        <charset val="186"/>
      </rPr>
      <t xml:space="preserve"> * 0.205 (iznomātās platības koeficients) = 58,50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</si>
  <si>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5.8 stundas, (8,20 </t>
    </r>
    <r>
      <rPr>
        <i/>
        <sz val="12"/>
        <color theme="1"/>
        <rFont val="Times New Roman"/>
        <family val="1"/>
        <charset val="186"/>
      </rPr>
      <t>euro</t>
    </r>
    <r>
      <rPr>
        <sz val="12"/>
        <color theme="1"/>
        <rFont val="Times New Roman"/>
        <family val="1"/>
        <charset val="186"/>
      </rPr>
      <t xml:space="preserve"> * 5.8 h) = 48,02 </t>
    </r>
    <r>
      <rPr>
        <i/>
        <sz val="12"/>
        <color theme="1"/>
        <rFont val="Times New Roman"/>
        <family val="1"/>
        <charset val="186"/>
      </rPr>
      <t>euro</t>
    </r>
    <r>
      <rPr>
        <sz val="12"/>
        <color theme="1"/>
        <rFont val="Times New Roman"/>
        <family val="1"/>
        <charset val="186"/>
      </rPr>
      <t xml:space="preserve">/mēn. * 12 mēn. = 576,24 </t>
    </r>
    <r>
      <rPr>
        <i/>
        <sz val="12"/>
        <color theme="1"/>
        <rFont val="Times New Roman"/>
        <family val="1"/>
        <charset val="186"/>
      </rPr>
      <t>euro</t>
    </r>
    <r>
      <rPr>
        <sz val="12"/>
        <color theme="1"/>
        <rFont val="Times New Roman"/>
        <family val="1"/>
        <charset val="186"/>
      </rPr>
      <t xml:space="preserve"> * 0.205 (iznomātās platības koeficients) = 118,13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</si>
  <si>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5.79 stundas, (5,42 </t>
    </r>
    <r>
      <rPr>
        <i/>
        <sz val="12"/>
        <color theme="1"/>
        <rFont val="Times New Roman"/>
        <family val="1"/>
        <charset val="186"/>
      </rPr>
      <t>euro</t>
    </r>
    <r>
      <rPr>
        <sz val="12"/>
        <color theme="1"/>
        <rFont val="Times New Roman"/>
        <family val="1"/>
        <charset val="186"/>
      </rPr>
      <t xml:space="preserve"> * 5.79 h) = 31,39 </t>
    </r>
    <r>
      <rPr>
        <i/>
        <sz val="12"/>
        <color theme="1"/>
        <rFont val="Times New Roman"/>
        <family val="1"/>
        <charset val="186"/>
      </rPr>
      <t>euro</t>
    </r>
    <r>
      <rPr>
        <sz val="12"/>
        <color theme="1"/>
        <rFont val="Times New Roman"/>
        <family val="1"/>
        <charset val="186"/>
      </rPr>
      <t xml:space="preserve">/mēn. * 12 mēn. = 376,56 </t>
    </r>
    <r>
      <rPr>
        <i/>
        <sz val="12"/>
        <color theme="1"/>
        <rFont val="Times New Roman"/>
        <family val="1"/>
        <charset val="186"/>
      </rPr>
      <t>euro</t>
    </r>
    <r>
      <rPr>
        <sz val="12"/>
        <color theme="1"/>
        <rFont val="Times New Roman"/>
        <family val="1"/>
        <charset val="186"/>
      </rPr>
      <t xml:space="preserve"> * 0.205 (iznomātās platības koeficients) = 77,19 </t>
    </r>
    <r>
      <rPr>
        <i/>
        <sz val="12"/>
        <color theme="1"/>
        <rFont val="Times New Roman"/>
        <family val="1"/>
        <charset val="186"/>
      </rPr>
      <t>euro</t>
    </r>
    <r>
      <rPr>
        <sz val="12"/>
        <color theme="1"/>
        <rFont val="Times New Roman"/>
        <family val="1"/>
        <charset val="186"/>
      </rPr>
      <t xml:space="preserve">. </t>
    </r>
  </si>
  <si>
    <r>
      <t xml:space="preserve">Rīgas īpašumu pārvaldes nodaļas vadītājs (3. saime, V līmenis, 10. algu grupa, mēnešalga 1 914 </t>
    </r>
    <r>
      <rPr>
        <i/>
        <sz val="12"/>
        <color theme="1"/>
        <rFont val="Times New Roman"/>
        <family val="1"/>
        <charset val="186"/>
      </rPr>
      <t>euro</t>
    </r>
    <r>
      <rPr>
        <sz val="12"/>
        <color theme="1"/>
        <rFont val="Times New Roman"/>
        <family val="1"/>
        <charset val="186"/>
      </rPr>
      <t xml:space="preserve">). Stundas tarifa likme 11,56 </t>
    </r>
    <r>
      <rPr>
        <i/>
        <sz val="12"/>
        <color theme="1"/>
        <rFont val="Times New Roman"/>
        <family val="1"/>
        <charset val="186"/>
      </rPr>
      <t>euro</t>
    </r>
    <r>
      <rPr>
        <sz val="12"/>
        <color theme="1"/>
        <rFont val="Times New Roman"/>
        <family val="1"/>
        <charset val="186"/>
      </rPr>
      <t xml:space="preserve"> = 1 914 </t>
    </r>
    <r>
      <rPr>
        <i/>
        <sz val="12"/>
        <color theme="1"/>
        <rFont val="Times New Roman"/>
        <family val="1"/>
        <charset val="186"/>
      </rPr>
      <t>euro</t>
    </r>
    <r>
      <rPr>
        <sz val="12"/>
        <color theme="1"/>
        <rFont val="Times New Roman"/>
        <family val="1"/>
        <charset val="186"/>
      </rPr>
      <t xml:space="preserve"> / 165.58 (vid. d. stundu sk. mēnesī). Vid. mēn. noslogojums 44 minūtes, (11,56 </t>
    </r>
    <r>
      <rPr>
        <i/>
        <sz val="12"/>
        <color theme="1"/>
        <rFont val="Times New Roman"/>
        <family val="1"/>
        <charset val="186"/>
      </rPr>
      <t>euro</t>
    </r>
    <r>
      <rPr>
        <sz val="12"/>
        <color theme="1"/>
        <rFont val="Times New Roman"/>
        <family val="1"/>
        <charset val="186"/>
      </rPr>
      <t xml:space="preserve"> * 0.73 h) = 8,44 </t>
    </r>
    <r>
      <rPr>
        <i/>
        <sz val="12"/>
        <color theme="1"/>
        <rFont val="Times New Roman"/>
        <family val="1"/>
        <charset val="186"/>
      </rPr>
      <t>euro</t>
    </r>
    <r>
      <rPr>
        <sz val="12"/>
        <color theme="1"/>
        <rFont val="Times New Roman"/>
        <family val="1"/>
        <charset val="186"/>
      </rPr>
      <t xml:space="preserve">/mēn. * 12. mēn. = 101,28 </t>
    </r>
    <r>
      <rPr>
        <i/>
        <sz val="12"/>
        <color theme="1"/>
        <rFont val="Times New Roman"/>
        <family val="1"/>
        <charset val="186"/>
      </rPr>
      <t>euro</t>
    </r>
    <r>
      <rPr>
        <sz val="12"/>
        <color theme="1"/>
        <rFont val="Times New Roman"/>
        <family val="1"/>
        <charset val="186"/>
      </rPr>
      <t xml:space="preserve"> * 0.205 (iznomātās platības koeficients) = 20,76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</si>
  <si>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6 min, (11,47 </t>
    </r>
    <r>
      <rPr>
        <i/>
        <sz val="12"/>
        <color theme="1"/>
        <rFont val="Times New Roman"/>
        <family val="1"/>
        <charset val="186"/>
      </rPr>
      <t>euro</t>
    </r>
    <r>
      <rPr>
        <sz val="12"/>
        <color theme="1"/>
        <rFont val="Times New Roman"/>
        <family val="1"/>
        <charset val="186"/>
      </rPr>
      <t xml:space="preserve"> * 0.1 h) = 1,15 </t>
    </r>
    <r>
      <rPr>
        <i/>
        <sz val="12"/>
        <color theme="1"/>
        <rFont val="Times New Roman"/>
        <family val="1"/>
        <charset val="186"/>
      </rPr>
      <t>euro</t>
    </r>
    <r>
      <rPr>
        <sz val="12"/>
        <color theme="1"/>
        <rFont val="Times New Roman"/>
        <family val="1"/>
        <charset val="186"/>
      </rPr>
      <t xml:space="preserve">/mēn. * 12. mēn. = 13,80 </t>
    </r>
    <r>
      <rPr>
        <i/>
        <sz val="12"/>
        <color theme="1"/>
        <rFont val="Times New Roman"/>
        <family val="1"/>
        <charset val="186"/>
      </rPr>
      <t>euro</t>
    </r>
    <r>
      <rPr>
        <sz val="12"/>
        <color theme="1"/>
        <rFont val="Times New Roman"/>
        <family val="1"/>
        <charset val="186"/>
      </rPr>
      <t xml:space="preserve">* 0.205 (iznomātās platības koeficients) = 2,83 </t>
    </r>
    <r>
      <rPr>
        <i/>
        <sz val="12"/>
        <color theme="1"/>
        <rFont val="Times New Roman"/>
        <family val="1"/>
        <charset val="186"/>
      </rPr>
      <t>euro.</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</si>
  <si>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6 min, (7,65 </t>
    </r>
    <r>
      <rPr>
        <i/>
        <sz val="12"/>
        <color theme="1"/>
        <rFont val="Times New Roman"/>
        <family val="1"/>
        <charset val="186"/>
      </rPr>
      <t>euro</t>
    </r>
    <r>
      <rPr>
        <sz val="12"/>
        <color theme="1"/>
        <rFont val="Times New Roman"/>
        <family val="1"/>
        <charset val="186"/>
      </rPr>
      <t xml:space="preserve"> * 0.1 h) = 0,77 </t>
    </r>
    <r>
      <rPr>
        <i/>
        <sz val="12"/>
        <color theme="1"/>
        <rFont val="Times New Roman"/>
        <family val="1"/>
        <charset val="186"/>
      </rPr>
      <t>euro</t>
    </r>
    <r>
      <rPr>
        <sz val="12"/>
        <color theme="1"/>
        <rFont val="Times New Roman"/>
        <family val="1"/>
        <charset val="186"/>
      </rPr>
      <t xml:space="preserve">/mēn. * 12. mēn. = 9,24 </t>
    </r>
    <r>
      <rPr>
        <i/>
        <sz val="12"/>
        <color theme="1"/>
        <rFont val="Times New Roman"/>
        <family val="1"/>
        <charset val="186"/>
      </rPr>
      <t>euro</t>
    </r>
    <r>
      <rPr>
        <sz val="12"/>
        <color theme="1"/>
        <rFont val="Times New Roman"/>
        <family val="1"/>
        <charset val="186"/>
      </rPr>
      <t xml:space="preserve"> * 0.205 (iznomātās platības koeficients) = 1,89 </t>
    </r>
    <r>
      <rPr>
        <i/>
        <sz val="12"/>
        <color theme="1"/>
        <rFont val="Times New Roman"/>
        <family val="1"/>
        <charset val="186"/>
      </rPr>
      <t>euro</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</si>
  <si>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7 min, (11,47 </t>
    </r>
    <r>
      <rPr>
        <i/>
        <sz val="12"/>
        <color theme="1"/>
        <rFont val="Times New Roman"/>
        <family val="1"/>
        <charset val="186"/>
      </rPr>
      <t>euro</t>
    </r>
    <r>
      <rPr>
        <sz val="12"/>
        <color theme="1"/>
        <rFont val="Times New Roman"/>
        <family val="1"/>
        <charset val="186"/>
      </rPr>
      <t xml:space="preserve"> * 0.11 h) = 1,26 </t>
    </r>
    <r>
      <rPr>
        <i/>
        <sz val="12"/>
        <color theme="1"/>
        <rFont val="Times New Roman"/>
        <family val="1"/>
        <charset val="186"/>
      </rPr>
      <t>euro</t>
    </r>
    <r>
      <rPr>
        <sz val="12"/>
        <color theme="1"/>
        <rFont val="Times New Roman"/>
        <family val="1"/>
        <charset val="186"/>
      </rPr>
      <t xml:space="preserve">/mēn. * 12. mēn. = 15,12 </t>
    </r>
    <r>
      <rPr>
        <i/>
        <sz val="12"/>
        <color theme="1"/>
        <rFont val="Times New Roman"/>
        <family val="1"/>
        <charset val="186"/>
      </rPr>
      <t>euro</t>
    </r>
    <r>
      <rPr>
        <sz val="12"/>
        <color theme="1"/>
        <rFont val="Times New Roman"/>
        <family val="1"/>
        <charset val="186"/>
      </rPr>
      <t xml:space="preserve"> * 0.205 (iznomātās platības koeficients) = 3,10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</si>
  <si>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6 min, (15,15 </t>
    </r>
    <r>
      <rPr>
        <i/>
        <sz val="12"/>
        <color theme="1"/>
        <rFont val="Times New Roman"/>
        <family val="1"/>
        <charset val="186"/>
      </rPr>
      <t>euro</t>
    </r>
    <r>
      <rPr>
        <sz val="12"/>
        <color theme="1"/>
        <rFont val="Times New Roman"/>
        <family val="1"/>
        <charset val="186"/>
      </rPr>
      <t xml:space="preserve"> * 0.1 h) = 1,52 </t>
    </r>
    <r>
      <rPr>
        <i/>
        <sz val="12"/>
        <color theme="1"/>
        <rFont val="Times New Roman"/>
        <family val="1"/>
        <charset val="186"/>
      </rPr>
      <t>euro</t>
    </r>
    <r>
      <rPr>
        <sz val="12"/>
        <color theme="1"/>
        <rFont val="Times New Roman"/>
        <family val="1"/>
        <charset val="186"/>
      </rPr>
      <t xml:space="preserve">/mēn. * 12. mēn. = 18,24 </t>
    </r>
    <r>
      <rPr>
        <i/>
        <sz val="12"/>
        <color theme="1"/>
        <rFont val="Times New Roman"/>
        <family val="1"/>
        <charset val="186"/>
      </rPr>
      <t>euro</t>
    </r>
    <r>
      <rPr>
        <sz val="12"/>
        <color theme="1"/>
        <rFont val="Times New Roman"/>
        <family val="1"/>
        <charset val="186"/>
      </rPr>
      <t xml:space="preserve"> * 0.205 (iznomātās platības koeficients) = 3,74 </t>
    </r>
    <r>
      <rPr>
        <i/>
        <sz val="12"/>
        <color theme="1"/>
        <rFont val="Times New Roman"/>
        <family val="1"/>
        <charset val="186"/>
      </rPr>
      <t>euro.</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</si>
  <si>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6 min, (12,17 </t>
    </r>
    <r>
      <rPr>
        <i/>
        <sz val="12"/>
        <color theme="1"/>
        <rFont val="Times New Roman"/>
        <family val="1"/>
        <charset val="186"/>
      </rPr>
      <t>euro</t>
    </r>
    <r>
      <rPr>
        <sz val="12"/>
        <color theme="1"/>
        <rFont val="Times New Roman"/>
        <family val="1"/>
        <charset val="186"/>
      </rPr>
      <t xml:space="preserve"> * 0.1 h) = 1,22 </t>
    </r>
    <r>
      <rPr>
        <i/>
        <sz val="12"/>
        <color theme="1"/>
        <rFont val="Times New Roman"/>
        <family val="1"/>
        <charset val="186"/>
      </rPr>
      <t>euro</t>
    </r>
    <r>
      <rPr>
        <sz val="12"/>
        <color theme="1"/>
        <rFont val="Times New Roman"/>
        <family val="1"/>
        <charset val="186"/>
      </rPr>
      <t xml:space="preserve">/mēn. * 12. mēn. = 14,64 </t>
    </r>
    <r>
      <rPr>
        <i/>
        <sz val="12"/>
        <color theme="1"/>
        <rFont val="Times New Roman"/>
        <family val="1"/>
        <charset val="186"/>
      </rPr>
      <t>euro</t>
    </r>
    <r>
      <rPr>
        <sz val="12"/>
        <color theme="1"/>
        <rFont val="Times New Roman"/>
        <family val="1"/>
        <charset val="186"/>
      </rPr>
      <t xml:space="preserve"> * 0.205 (iznomātās platības koeficients) = 3,00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</si>
  <si>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3.35 stunda, (8,29 </t>
    </r>
    <r>
      <rPr>
        <i/>
        <sz val="12"/>
        <color theme="1"/>
        <rFont val="Times New Roman"/>
        <family val="1"/>
        <charset val="186"/>
      </rPr>
      <t>euro</t>
    </r>
    <r>
      <rPr>
        <sz val="12"/>
        <color theme="1"/>
        <rFont val="Times New Roman"/>
        <family val="1"/>
        <charset val="186"/>
      </rPr>
      <t xml:space="preserve"> * 3.35 h) = 27,77 </t>
    </r>
    <r>
      <rPr>
        <i/>
        <sz val="12"/>
        <color theme="1"/>
        <rFont val="Times New Roman"/>
        <family val="1"/>
        <charset val="186"/>
      </rPr>
      <t>euro</t>
    </r>
    <r>
      <rPr>
        <sz val="12"/>
        <color theme="1"/>
        <rFont val="Times New Roman"/>
        <family val="1"/>
        <charset val="186"/>
      </rPr>
      <t xml:space="preserve">/mēn. * 12. mēn. = 333,24 </t>
    </r>
    <r>
      <rPr>
        <i/>
        <sz val="12"/>
        <color theme="1"/>
        <rFont val="Times New Roman"/>
        <family val="1"/>
        <charset val="186"/>
      </rPr>
      <t>euro</t>
    </r>
    <r>
      <rPr>
        <sz val="12"/>
        <color theme="1"/>
        <rFont val="Times New Roman"/>
        <family val="1"/>
        <charset val="186"/>
      </rPr>
      <t xml:space="preserve"> * 0.205 (iznomātās platības koeficients) = 68,31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</si>
  <si>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3.08 stundas, (9,42 </t>
    </r>
    <r>
      <rPr>
        <i/>
        <sz val="12"/>
        <color theme="1"/>
        <rFont val="Times New Roman"/>
        <family val="1"/>
        <charset val="186"/>
      </rPr>
      <t>euro</t>
    </r>
    <r>
      <rPr>
        <sz val="12"/>
        <color theme="1"/>
        <rFont val="Times New Roman"/>
        <family val="1"/>
        <charset val="186"/>
      </rPr>
      <t xml:space="preserve"> * 3.08 h) = 29,01 </t>
    </r>
    <r>
      <rPr>
        <i/>
        <sz val="12"/>
        <color theme="1"/>
        <rFont val="Times New Roman"/>
        <family val="1"/>
        <charset val="186"/>
      </rPr>
      <t>euro</t>
    </r>
    <r>
      <rPr>
        <sz val="12"/>
        <color theme="1"/>
        <rFont val="Times New Roman"/>
        <family val="1"/>
        <charset val="186"/>
      </rPr>
      <t xml:space="preserve">/mēn. * 12. mēn. = 348,12 </t>
    </r>
    <r>
      <rPr>
        <i/>
        <sz val="12"/>
        <color theme="1"/>
        <rFont val="Times New Roman"/>
        <family val="1"/>
        <charset val="186"/>
      </rPr>
      <t>euro</t>
    </r>
    <r>
      <rPr>
        <sz val="12"/>
        <color theme="1"/>
        <rFont val="Times New Roman"/>
        <family val="1"/>
        <charset val="186"/>
      </rPr>
      <t xml:space="preserve"> * 0.205 (iznomātās platības koeficients) = 71,36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</si>
  <si>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4.77 stundas, (8,29 </t>
    </r>
    <r>
      <rPr>
        <i/>
        <sz val="12"/>
        <color theme="1"/>
        <rFont val="Times New Roman"/>
        <family val="1"/>
        <charset val="186"/>
      </rPr>
      <t>euro</t>
    </r>
    <r>
      <rPr>
        <sz val="12"/>
        <color theme="1"/>
        <rFont val="Times New Roman"/>
        <family val="1"/>
        <charset val="186"/>
      </rPr>
      <t xml:space="preserve"> * 4.77 h) = 39,54 </t>
    </r>
    <r>
      <rPr>
        <i/>
        <sz val="12"/>
        <color theme="1"/>
        <rFont val="Times New Roman"/>
        <family val="1"/>
        <charset val="186"/>
      </rPr>
      <t>euro</t>
    </r>
    <r>
      <rPr>
        <sz val="12"/>
        <color theme="1"/>
        <rFont val="Times New Roman"/>
        <family val="1"/>
        <charset val="186"/>
      </rPr>
      <t xml:space="preserve">/mēn. * 12. mēn. = 474,48 </t>
    </r>
    <r>
      <rPr>
        <i/>
        <sz val="12"/>
        <color theme="1"/>
        <rFont val="Times New Roman"/>
        <family val="1"/>
        <charset val="186"/>
      </rPr>
      <t>euro</t>
    </r>
    <r>
      <rPr>
        <sz val="12"/>
        <color theme="1"/>
        <rFont val="Times New Roman"/>
        <family val="1"/>
        <charset val="186"/>
      </rPr>
      <t xml:space="preserve"> * 0.205 (iznomātās platības koeficients) = 97,27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</si>
  <si>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4 062 </t>
    </r>
    <r>
      <rPr>
        <i/>
        <sz val="12"/>
        <color theme="1"/>
        <rFont val="Times New Roman"/>
        <family val="1"/>
        <charset val="186"/>
      </rPr>
      <t>euro</t>
    </r>
    <r>
      <rPr>
        <sz val="12"/>
        <color theme="1"/>
        <rFont val="Times New Roman"/>
        <family val="1"/>
        <charset val="186"/>
      </rPr>
      <t xml:space="preserve"> / 165.58 (vid. d. stundu sk. mēnesī). Vid. mēn. noslogojums 23 min., (25,09 </t>
    </r>
    <r>
      <rPr>
        <i/>
        <sz val="12"/>
        <color theme="1"/>
        <rFont val="Times New Roman"/>
        <family val="1"/>
        <charset val="186"/>
      </rPr>
      <t>euro</t>
    </r>
    <r>
      <rPr>
        <sz val="12"/>
        <color theme="1"/>
        <rFont val="Times New Roman"/>
        <family val="1"/>
        <charset val="186"/>
      </rPr>
      <t xml:space="preserve"> * 0.38 h) = 9,53 </t>
    </r>
    <r>
      <rPr>
        <i/>
        <sz val="12"/>
        <color theme="1"/>
        <rFont val="Times New Roman"/>
        <family val="1"/>
        <charset val="186"/>
      </rPr>
      <t>euro</t>
    </r>
    <r>
      <rPr>
        <sz val="12"/>
        <color theme="1"/>
        <rFont val="Times New Roman"/>
        <family val="1"/>
        <charset val="186"/>
      </rPr>
      <t xml:space="preserve">/mēn. * 12. mēn. = 114,36 </t>
    </r>
    <r>
      <rPr>
        <i/>
        <sz val="12"/>
        <color theme="1"/>
        <rFont val="Times New Roman"/>
        <family val="1"/>
        <charset val="186"/>
      </rPr>
      <t>euro</t>
    </r>
    <r>
      <rPr>
        <sz val="12"/>
        <color theme="1"/>
        <rFont val="Times New Roman"/>
        <family val="1"/>
        <charset val="186"/>
      </rPr>
      <t xml:space="preserve"> * 0.205 (iznomātās platības koeficients) = 23,44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</si>
  <si>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5 min., (27,18 </t>
    </r>
    <r>
      <rPr>
        <i/>
        <sz val="12"/>
        <color theme="1"/>
        <rFont val="Times New Roman"/>
        <family val="1"/>
        <charset val="186"/>
      </rPr>
      <t>euro</t>
    </r>
    <r>
      <rPr>
        <sz val="12"/>
        <color theme="1"/>
        <rFont val="Times New Roman"/>
        <family val="1"/>
        <charset val="186"/>
      </rPr>
      <t xml:space="preserve"> * 0.08 h) = 2,17 </t>
    </r>
    <r>
      <rPr>
        <i/>
        <sz val="12"/>
        <color theme="1"/>
        <rFont val="Times New Roman"/>
        <family val="1"/>
        <charset val="186"/>
      </rPr>
      <t>euro</t>
    </r>
    <r>
      <rPr>
        <sz val="12"/>
        <color theme="1"/>
        <rFont val="Times New Roman"/>
        <family val="1"/>
        <charset val="186"/>
      </rPr>
      <t xml:space="preserve">/mēn. * 12. mēn. = 26,04 </t>
    </r>
    <r>
      <rPr>
        <i/>
        <sz val="12"/>
        <color theme="1"/>
        <rFont val="Times New Roman"/>
        <family val="1"/>
        <charset val="186"/>
      </rPr>
      <t>euro</t>
    </r>
    <r>
      <rPr>
        <sz val="12"/>
        <color theme="1"/>
        <rFont val="Times New Roman"/>
        <family val="1"/>
        <charset val="186"/>
      </rPr>
      <t xml:space="preserve"> * 0.205 (iznomātās platības koeficients) = 5,34 </t>
    </r>
    <r>
      <rPr>
        <i/>
        <sz val="12"/>
        <color theme="1"/>
        <rFont val="Times New Roman"/>
        <family val="1"/>
        <charset val="186"/>
      </rPr>
      <t>euro</t>
    </r>
    <r>
      <rPr>
        <sz val="12"/>
        <color theme="1"/>
        <rFont val="Times New Roman"/>
        <family val="1"/>
        <charset val="186"/>
      </rPr>
      <t xml:space="preserve">. </t>
    </r>
  </si>
  <si>
    <r>
      <t xml:space="preserve">Darba devēja valsts sociālās apdrošināšanas obligātās iemaksas 301,04 </t>
    </r>
    <r>
      <rPr>
        <i/>
        <sz val="12"/>
        <color theme="1"/>
        <rFont val="Times New Roman"/>
        <family val="1"/>
        <charset val="186"/>
      </rPr>
      <t>euro</t>
    </r>
    <r>
      <rPr>
        <sz val="12"/>
        <color theme="1"/>
        <rFont val="Times New Roman"/>
        <family val="1"/>
        <charset val="186"/>
      </rPr>
      <t xml:space="preserve"> * 23,59 % = 71,02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</si>
  <si>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2.9 stundas, (8,20 </t>
    </r>
    <r>
      <rPr>
        <i/>
        <sz val="12"/>
        <color theme="1"/>
        <rFont val="Times New Roman"/>
        <family val="1"/>
        <charset val="186"/>
      </rPr>
      <t>euro</t>
    </r>
    <r>
      <rPr>
        <sz val="12"/>
        <color theme="1"/>
        <rFont val="Times New Roman"/>
        <family val="1"/>
        <charset val="186"/>
      </rPr>
      <t xml:space="preserve"> * 2.9 h) = 23.78 </t>
    </r>
    <r>
      <rPr>
        <i/>
        <sz val="12"/>
        <color theme="1"/>
        <rFont val="Times New Roman"/>
        <family val="1"/>
        <charset val="186"/>
      </rPr>
      <t>euro</t>
    </r>
    <r>
      <rPr>
        <sz val="12"/>
        <color theme="1"/>
        <rFont val="Times New Roman"/>
        <family val="1"/>
        <charset val="186"/>
      </rPr>
      <t xml:space="preserve">/mēn. * 12 mēn. = 285,36 </t>
    </r>
    <r>
      <rPr>
        <i/>
        <sz val="12"/>
        <color theme="1"/>
        <rFont val="Times New Roman"/>
        <family val="1"/>
        <charset val="186"/>
      </rPr>
      <t>euro</t>
    </r>
    <r>
      <rPr>
        <sz val="12"/>
        <color theme="1"/>
        <rFont val="Times New Roman"/>
        <family val="1"/>
        <charset val="186"/>
      </rPr>
      <t xml:space="preserve"> * 0.794 (iznomātās platības koeficients) = 226,58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</si>
  <si>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5.8 stundas, (8,20 </t>
    </r>
    <r>
      <rPr>
        <i/>
        <sz val="12"/>
        <color theme="1"/>
        <rFont val="Times New Roman"/>
        <family val="1"/>
        <charset val="186"/>
      </rPr>
      <t>euro</t>
    </r>
    <r>
      <rPr>
        <sz val="12"/>
        <color theme="1"/>
        <rFont val="Times New Roman"/>
        <family val="1"/>
        <charset val="186"/>
      </rPr>
      <t xml:space="preserve"> * 5.8 h) = 47,56 </t>
    </r>
    <r>
      <rPr>
        <i/>
        <sz val="12"/>
        <color theme="1"/>
        <rFont val="Times New Roman"/>
        <family val="1"/>
        <charset val="186"/>
      </rPr>
      <t>euro</t>
    </r>
    <r>
      <rPr>
        <sz val="12"/>
        <color theme="1"/>
        <rFont val="Times New Roman"/>
        <family val="1"/>
        <charset val="186"/>
      </rPr>
      <t xml:space="preserve">/mēn. * 12 mēn. = 570,72 </t>
    </r>
    <r>
      <rPr>
        <i/>
        <sz val="12"/>
        <color theme="1"/>
        <rFont val="Times New Roman"/>
        <family val="1"/>
        <charset val="186"/>
      </rPr>
      <t>euro</t>
    </r>
    <r>
      <rPr>
        <sz val="12"/>
        <color theme="1"/>
        <rFont val="Times New Roman"/>
        <family val="1"/>
        <charset val="186"/>
      </rPr>
      <t xml:space="preserve"> * 0.794 (iznomātās platības koeficients) = 453,15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</si>
  <si>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rFont val="Times New Roman"/>
        <family val="1"/>
        <charset val="186"/>
      </rPr>
      <t>euro</t>
    </r>
    <r>
      <rPr>
        <sz val="12"/>
        <rFont val="Times New Roman"/>
        <family val="1"/>
        <charset val="186"/>
      </rPr>
      <t xml:space="preserve">). Stundas tarifa likme 5,42 </t>
    </r>
    <r>
      <rPr>
        <i/>
        <sz val="12"/>
        <rFont val="Times New Roman"/>
        <family val="1"/>
        <charset val="186"/>
      </rPr>
      <t>euro</t>
    </r>
    <r>
      <rPr>
        <sz val="12"/>
        <rFont val="Times New Roman"/>
        <family val="1"/>
        <charset val="186"/>
      </rPr>
      <t xml:space="preserve"> = 897 </t>
    </r>
    <r>
      <rPr>
        <i/>
        <sz val="12"/>
        <rFont val="Times New Roman"/>
        <family val="1"/>
        <charset val="186"/>
      </rPr>
      <t>euro</t>
    </r>
    <r>
      <rPr>
        <sz val="12"/>
        <rFont val="Times New Roman"/>
        <family val="1"/>
        <charset val="186"/>
      </rPr>
      <t xml:space="preserve"> / 165.58 (vid. d. stundu sk. mēnesī). Vid. mēn. noslogojums 5.79 stundas, (5,42 </t>
    </r>
    <r>
      <rPr>
        <i/>
        <sz val="12"/>
        <rFont val="Times New Roman"/>
        <family val="1"/>
        <charset val="186"/>
      </rPr>
      <t>euro</t>
    </r>
    <r>
      <rPr>
        <sz val="12"/>
        <rFont val="Times New Roman"/>
        <family val="1"/>
        <charset val="186"/>
      </rPr>
      <t xml:space="preserve"> * 5.79 h) = 31,38 </t>
    </r>
    <r>
      <rPr>
        <i/>
        <sz val="12"/>
        <rFont val="Times New Roman"/>
        <family val="1"/>
        <charset val="186"/>
      </rPr>
      <t>euro</t>
    </r>
    <r>
      <rPr>
        <sz val="12"/>
        <rFont val="Times New Roman"/>
        <family val="1"/>
        <charset val="186"/>
      </rPr>
      <t xml:space="preserve">/mēn. * 12 mēn. = 376,56 </t>
    </r>
    <r>
      <rPr>
        <i/>
        <sz val="12"/>
        <rFont val="Times New Roman"/>
        <family val="1"/>
        <charset val="186"/>
      </rPr>
      <t>euro</t>
    </r>
    <r>
      <rPr>
        <sz val="12"/>
        <rFont val="Times New Roman"/>
        <family val="1"/>
        <charset val="186"/>
      </rPr>
      <t xml:space="preserve"> * 0.794 (iznomātās platības koeficients) = 298,99 </t>
    </r>
    <r>
      <rPr>
        <i/>
        <sz val="12"/>
        <rFont val="Times New Roman"/>
        <family val="1"/>
        <charset val="186"/>
      </rPr>
      <t>euro</t>
    </r>
    <r>
      <rPr>
        <sz val="12"/>
        <rFont val="Times New Roman"/>
        <family val="1"/>
        <charset val="186"/>
      </rPr>
      <t xml:space="preserve">. </t>
    </r>
  </si>
  <si>
    <r>
      <t xml:space="preserve">Galv. nekust. īpaš. pārvaldnieks (226,58 </t>
    </r>
    <r>
      <rPr>
        <i/>
        <sz val="12"/>
        <color theme="1"/>
        <rFont val="Times New Roman"/>
        <family val="1"/>
        <charset val="186"/>
      </rPr>
      <t>euro</t>
    </r>
    <r>
      <rPr>
        <sz val="12"/>
        <color theme="1"/>
        <rFont val="Times New Roman"/>
        <family val="1"/>
        <charset val="186"/>
      </rPr>
      <t xml:space="preserve"> * 10%) = 22,66 </t>
    </r>
    <r>
      <rPr>
        <i/>
        <sz val="12"/>
        <color theme="1"/>
        <rFont val="Times New Roman"/>
        <family val="1"/>
        <charset val="186"/>
      </rPr>
      <t>euro</t>
    </r>
    <r>
      <rPr>
        <sz val="12"/>
        <color theme="1"/>
        <rFont val="Times New Roman"/>
        <family val="1"/>
        <charset val="186"/>
      </rPr>
      <t xml:space="preserve">, Dienesta viesnīcas vadīotājs (453,15 </t>
    </r>
    <r>
      <rPr>
        <i/>
        <sz val="12"/>
        <color theme="1"/>
        <rFont val="Times New Roman"/>
        <family val="1"/>
        <charset val="186"/>
      </rPr>
      <t>euro</t>
    </r>
    <r>
      <rPr>
        <sz val="12"/>
        <color theme="1"/>
        <rFont val="Times New Roman"/>
        <family val="1"/>
        <charset val="186"/>
      </rPr>
      <t xml:space="preserve"> * 10%) = 45,32 euro.  Saimniecības pārzinis (298,99 </t>
    </r>
    <r>
      <rPr>
        <i/>
        <sz val="12"/>
        <color theme="1"/>
        <rFont val="Times New Roman"/>
        <family val="1"/>
        <charset val="186"/>
      </rPr>
      <t>euro</t>
    </r>
    <r>
      <rPr>
        <sz val="12"/>
        <color theme="1"/>
        <rFont val="Times New Roman"/>
        <family val="1"/>
        <charset val="186"/>
      </rPr>
      <t xml:space="preserve"> * 10%) = 29,90 </t>
    </r>
    <r>
      <rPr>
        <i/>
        <sz val="12"/>
        <color theme="1"/>
        <rFont val="Times New Roman"/>
        <family val="1"/>
        <charset val="186"/>
      </rPr>
      <t>euro.</t>
    </r>
    <r>
      <rPr>
        <sz val="12"/>
        <color theme="1"/>
        <rFont val="Times New Roman"/>
        <family val="1"/>
        <charset val="186"/>
      </rPr>
      <t xml:space="preserve"> Kopā (22,66 </t>
    </r>
    <r>
      <rPr>
        <i/>
        <sz val="12"/>
        <color theme="1"/>
        <rFont val="Times New Roman"/>
        <family val="1"/>
        <charset val="186"/>
      </rPr>
      <t>euro</t>
    </r>
    <r>
      <rPr>
        <sz val="12"/>
        <color theme="1"/>
        <rFont val="Times New Roman"/>
        <family val="1"/>
        <charset val="186"/>
      </rPr>
      <t xml:space="preserve"> + 45,32 </t>
    </r>
    <r>
      <rPr>
        <i/>
        <sz val="12"/>
        <color theme="1"/>
        <rFont val="Times New Roman"/>
        <family val="1"/>
        <charset val="186"/>
      </rPr>
      <t>euro</t>
    </r>
    <r>
      <rPr>
        <sz val="12"/>
        <color theme="1"/>
        <rFont val="Times New Roman"/>
        <family val="1"/>
        <charset val="186"/>
      </rPr>
      <t xml:space="preserve"> + 29,90 </t>
    </r>
    <r>
      <rPr>
        <i/>
        <sz val="12"/>
        <color theme="1"/>
        <rFont val="Times New Roman"/>
        <family val="1"/>
        <charset val="186"/>
      </rPr>
      <t>euro</t>
    </r>
    <r>
      <rPr>
        <sz val="12"/>
        <color theme="1"/>
        <rFont val="Times New Roman"/>
        <family val="1"/>
        <charset val="186"/>
      </rPr>
      <t xml:space="preserve">) = 97,88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</si>
  <si>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(1 076,60 </t>
    </r>
    <r>
      <rPr>
        <i/>
        <sz val="12"/>
        <color theme="1"/>
        <rFont val="Times New Roman"/>
        <family val="1"/>
        <charset val="186"/>
      </rPr>
      <t>euro</t>
    </r>
    <r>
      <rPr>
        <sz val="12"/>
        <color theme="1"/>
        <rFont val="Times New Roman"/>
        <family val="1"/>
        <charset val="186"/>
      </rPr>
      <t xml:space="preserve"> * 23,59 %) = 253,97 </t>
    </r>
    <r>
      <rPr>
        <i/>
        <sz val="12"/>
        <color theme="1"/>
        <rFont val="Times New Roman"/>
        <family val="1"/>
        <charset val="186"/>
      </rPr>
      <t xml:space="preserve">euro. </t>
    </r>
  </si>
  <si>
    <r>
      <t xml:space="preserve">Veselības apdrošināšana. Galv. nekust. īpaš. pārvaldnieks ((226,58 </t>
    </r>
    <r>
      <rPr>
        <i/>
        <sz val="12"/>
        <color theme="1"/>
        <rFont val="Times New Roman"/>
        <family val="1"/>
        <charset val="186"/>
      </rPr>
      <t>euro</t>
    </r>
    <r>
      <rPr>
        <sz val="12"/>
        <color theme="1"/>
        <rFont val="Times New Roman"/>
        <family val="1"/>
        <charset val="186"/>
      </rPr>
      <t xml:space="preserve"> * 5%) = 11,33 </t>
    </r>
    <r>
      <rPr>
        <i/>
        <sz val="12"/>
        <color theme="1"/>
        <rFont val="Times New Roman"/>
        <family val="1"/>
        <charset val="186"/>
      </rPr>
      <t>euro</t>
    </r>
    <r>
      <rPr>
        <sz val="12"/>
        <color theme="1"/>
        <rFont val="Times New Roman"/>
        <family val="1"/>
        <charset val="186"/>
      </rPr>
      <t xml:space="preserve">, Dienesta viesnīcas vadīotājs ((453,15 </t>
    </r>
    <r>
      <rPr>
        <i/>
        <sz val="12"/>
        <color theme="1"/>
        <rFont val="Times New Roman"/>
        <family val="1"/>
        <charset val="186"/>
      </rPr>
      <t>euro</t>
    </r>
    <r>
      <rPr>
        <sz val="12"/>
        <color theme="1"/>
        <rFont val="Times New Roman"/>
        <family val="1"/>
        <charset val="186"/>
      </rPr>
      <t xml:space="preserve"> * 5%) = 22,66 </t>
    </r>
    <r>
      <rPr>
        <i/>
        <sz val="12"/>
        <color theme="1"/>
        <rFont val="Times New Roman"/>
        <family val="1"/>
        <charset val="186"/>
      </rPr>
      <t>euro</t>
    </r>
    <r>
      <rPr>
        <sz val="12"/>
        <color theme="1"/>
        <rFont val="Times New Roman"/>
        <family val="1"/>
        <charset val="186"/>
      </rPr>
      <t xml:space="preserve">. Saimniecības pārzinis 298,99 </t>
    </r>
    <r>
      <rPr>
        <i/>
        <sz val="12"/>
        <color theme="1"/>
        <rFont val="Times New Roman"/>
        <family val="1"/>
        <charset val="186"/>
      </rPr>
      <t>euro</t>
    </r>
    <r>
      <rPr>
        <sz val="12"/>
        <color theme="1"/>
        <rFont val="Times New Roman"/>
        <family val="1"/>
        <charset val="186"/>
      </rPr>
      <t xml:space="preserve"> * 5%) = 14,95 </t>
    </r>
    <r>
      <rPr>
        <i/>
        <sz val="12"/>
        <color theme="1"/>
        <rFont val="Times New Roman"/>
        <family val="1"/>
        <charset val="186"/>
      </rPr>
      <t>euro</t>
    </r>
    <r>
      <rPr>
        <sz val="12"/>
        <color theme="1"/>
        <rFont val="Times New Roman"/>
        <family val="1"/>
        <charset val="186"/>
      </rPr>
      <t xml:space="preserve">. Kopā (11,33 </t>
    </r>
    <r>
      <rPr>
        <i/>
        <sz val="12"/>
        <color theme="1"/>
        <rFont val="Times New Roman"/>
        <family val="1"/>
        <charset val="186"/>
      </rPr>
      <t>euro</t>
    </r>
    <r>
      <rPr>
        <sz val="12"/>
        <color theme="1"/>
        <rFont val="Times New Roman"/>
        <family val="1"/>
        <charset val="186"/>
      </rPr>
      <t xml:space="preserve"> + 22,66 </t>
    </r>
    <r>
      <rPr>
        <i/>
        <sz val="12"/>
        <color theme="1"/>
        <rFont val="Times New Roman"/>
        <family val="1"/>
        <charset val="186"/>
      </rPr>
      <t>euro</t>
    </r>
    <r>
      <rPr>
        <sz val="12"/>
        <color theme="1"/>
        <rFont val="Times New Roman"/>
        <family val="1"/>
        <charset val="186"/>
      </rPr>
      <t xml:space="preserve"> + 14,95  </t>
    </r>
    <r>
      <rPr>
        <i/>
        <sz val="12"/>
        <color theme="1"/>
        <rFont val="Times New Roman"/>
        <family val="1"/>
        <charset val="186"/>
      </rPr>
      <t>euro</t>
    </r>
    <r>
      <rPr>
        <sz val="12"/>
        <color theme="1"/>
        <rFont val="Times New Roman"/>
        <family val="1"/>
        <charset val="186"/>
      </rPr>
      <t xml:space="preserve">) = 48,94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</si>
  <si>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253,97 </t>
    </r>
    <r>
      <rPr>
        <i/>
        <sz val="12"/>
        <color theme="1"/>
        <rFont val="Times New Roman"/>
        <family val="1"/>
        <charset val="186"/>
      </rPr>
      <t>euro</t>
    </r>
    <r>
      <rPr>
        <sz val="12"/>
        <color theme="1"/>
        <rFont val="Times New Roman"/>
        <family val="1"/>
        <charset val="186"/>
      </rPr>
      <t xml:space="preserve">. Veselības apdrošināšana 48,94 </t>
    </r>
    <r>
      <rPr>
        <i/>
        <sz val="12"/>
        <color theme="1"/>
        <rFont val="Times New Roman"/>
        <family val="1"/>
        <charset val="186"/>
      </rPr>
      <t>euro</t>
    </r>
    <r>
      <rPr>
        <sz val="12"/>
        <color theme="1"/>
        <rFont val="Times New Roman"/>
        <family val="1"/>
        <charset val="186"/>
      </rPr>
      <t xml:space="preserve">. Kopā 302,91 </t>
    </r>
    <r>
      <rPr>
        <i/>
        <sz val="12"/>
        <color theme="1"/>
        <rFont val="Times New Roman"/>
        <family val="1"/>
        <charset val="186"/>
      </rPr>
      <t>euro</t>
    </r>
    <r>
      <rPr>
        <sz val="12"/>
        <color theme="1"/>
        <rFont val="Times New Roman"/>
        <family val="1"/>
        <charset val="186"/>
      </rPr>
      <t>.</t>
    </r>
  </si>
  <si>
    <r>
      <t xml:space="preserve">Rīgas īpašumu pārvaldes nodaļas vadītājs (3. saime, V līmenis, 10. algu grupa, mēnešalga 1 914 </t>
    </r>
    <r>
      <rPr>
        <i/>
        <sz val="12"/>
        <color theme="1"/>
        <rFont val="Times New Roman"/>
        <family val="1"/>
        <charset val="186"/>
      </rPr>
      <t>euro</t>
    </r>
    <r>
      <rPr>
        <sz val="12"/>
        <color theme="1"/>
        <rFont val="Times New Roman"/>
        <family val="1"/>
        <charset val="186"/>
      </rPr>
      <t xml:space="preserve">). Stundas tarifa likme 11,56 </t>
    </r>
    <r>
      <rPr>
        <i/>
        <sz val="12"/>
        <color theme="1"/>
        <rFont val="Times New Roman"/>
        <family val="1"/>
        <charset val="186"/>
      </rPr>
      <t>euro</t>
    </r>
    <r>
      <rPr>
        <sz val="12"/>
        <color theme="1"/>
        <rFont val="Times New Roman"/>
        <family val="1"/>
        <charset val="186"/>
      </rPr>
      <t xml:space="preserve"> = 1 914 </t>
    </r>
    <r>
      <rPr>
        <i/>
        <sz val="12"/>
        <color theme="1"/>
        <rFont val="Times New Roman"/>
        <family val="1"/>
        <charset val="186"/>
      </rPr>
      <t>euro</t>
    </r>
    <r>
      <rPr>
        <sz val="12"/>
        <color theme="1"/>
        <rFont val="Times New Roman"/>
        <family val="1"/>
        <charset val="186"/>
      </rPr>
      <t xml:space="preserve"> / 165.58 (vid. d. stundu sk. mēnesī). Vid. mēn. noslogojums 44 minūtes, (11,56 </t>
    </r>
    <r>
      <rPr>
        <i/>
        <sz val="12"/>
        <color theme="1"/>
        <rFont val="Times New Roman"/>
        <family val="1"/>
        <charset val="186"/>
      </rPr>
      <t>euro</t>
    </r>
    <r>
      <rPr>
        <sz val="12"/>
        <color theme="1"/>
        <rFont val="Times New Roman"/>
        <family val="1"/>
        <charset val="186"/>
      </rPr>
      <t xml:space="preserve"> * 0.73 h) = 8,44 </t>
    </r>
    <r>
      <rPr>
        <i/>
        <sz val="12"/>
        <color theme="1"/>
        <rFont val="Times New Roman"/>
        <family val="1"/>
        <charset val="186"/>
      </rPr>
      <t>euro</t>
    </r>
    <r>
      <rPr>
        <sz val="12"/>
        <color theme="1"/>
        <rFont val="Times New Roman"/>
        <family val="1"/>
        <charset val="186"/>
      </rPr>
      <t xml:space="preserve">/mēn. * 12. mēn. = 101,28 </t>
    </r>
    <r>
      <rPr>
        <i/>
        <sz val="12"/>
        <color theme="1"/>
        <rFont val="Times New Roman"/>
        <family val="1"/>
        <charset val="186"/>
      </rPr>
      <t>euro</t>
    </r>
    <r>
      <rPr>
        <sz val="12"/>
        <color theme="1"/>
        <rFont val="Times New Roman"/>
        <family val="1"/>
        <charset val="186"/>
      </rPr>
      <t xml:space="preserve"> * 0.794 (iznomātās platības koeficients) = 80,42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</si>
  <si>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6 min, (11,47 </t>
    </r>
    <r>
      <rPr>
        <i/>
        <sz val="12"/>
        <color theme="1"/>
        <rFont val="Times New Roman"/>
        <family val="1"/>
        <charset val="186"/>
      </rPr>
      <t>euro</t>
    </r>
    <r>
      <rPr>
        <sz val="12"/>
        <color theme="1"/>
        <rFont val="Times New Roman"/>
        <family val="1"/>
        <charset val="186"/>
      </rPr>
      <t xml:space="preserve"> * 0.1 h) = 1,15 </t>
    </r>
    <r>
      <rPr>
        <i/>
        <sz val="12"/>
        <color theme="1"/>
        <rFont val="Times New Roman"/>
        <family val="1"/>
        <charset val="186"/>
      </rPr>
      <t>euro</t>
    </r>
    <r>
      <rPr>
        <sz val="12"/>
        <color theme="1"/>
        <rFont val="Times New Roman"/>
        <family val="1"/>
        <charset val="186"/>
      </rPr>
      <t xml:space="preserve">/mēn. * 12. mēn. = 13,80 </t>
    </r>
    <r>
      <rPr>
        <i/>
        <sz val="12"/>
        <color theme="1"/>
        <rFont val="Times New Roman"/>
        <family val="1"/>
        <charset val="186"/>
      </rPr>
      <t>euro</t>
    </r>
    <r>
      <rPr>
        <sz val="12"/>
        <color theme="1"/>
        <rFont val="Times New Roman"/>
        <family val="1"/>
        <charset val="186"/>
      </rPr>
      <t xml:space="preserve"> * 0.794 (iznomātās platības koeficients) = 10,96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</si>
  <si>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6 min, (7,65 </t>
    </r>
    <r>
      <rPr>
        <i/>
        <sz val="12"/>
        <color theme="1"/>
        <rFont val="Times New Roman"/>
        <family val="1"/>
        <charset val="186"/>
      </rPr>
      <t>euro</t>
    </r>
    <r>
      <rPr>
        <sz val="12"/>
        <color theme="1"/>
        <rFont val="Times New Roman"/>
        <family val="1"/>
        <charset val="186"/>
      </rPr>
      <t xml:space="preserve"> * 0.1 h) = 0,77 </t>
    </r>
    <r>
      <rPr>
        <i/>
        <sz val="12"/>
        <color theme="1"/>
        <rFont val="Times New Roman"/>
        <family val="1"/>
        <charset val="186"/>
      </rPr>
      <t>euro</t>
    </r>
    <r>
      <rPr>
        <sz val="12"/>
        <color theme="1"/>
        <rFont val="Times New Roman"/>
        <family val="1"/>
        <charset val="186"/>
      </rPr>
      <t xml:space="preserve">/mēn. * 12. mēn. = 9,24 </t>
    </r>
    <r>
      <rPr>
        <i/>
        <sz val="12"/>
        <color theme="1"/>
        <rFont val="Times New Roman"/>
        <family val="1"/>
        <charset val="186"/>
      </rPr>
      <t>euro</t>
    </r>
    <r>
      <rPr>
        <sz val="12"/>
        <color theme="1"/>
        <rFont val="Times New Roman"/>
        <family val="1"/>
        <charset val="186"/>
      </rPr>
      <t xml:space="preserve"> * 0.794 (iznomātās platības koeficients) = 7,34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</si>
  <si>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7 min, (11,47 </t>
    </r>
    <r>
      <rPr>
        <i/>
        <sz val="12"/>
        <color theme="1"/>
        <rFont val="Times New Roman"/>
        <family val="1"/>
        <charset val="186"/>
      </rPr>
      <t>euro</t>
    </r>
    <r>
      <rPr>
        <sz val="12"/>
        <color theme="1"/>
        <rFont val="Times New Roman"/>
        <family val="1"/>
        <charset val="186"/>
      </rPr>
      <t xml:space="preserve"> * 0.11 h) = 1,26 </t>
    </r>
    <r>
      <rPr>
        <i/>
        <sz val="12"/>
        <color theme="1"/>
        <rFont val="Times New Roman"/>
        <family val="1"/>
        <charset val="186"/>
      </rPr>
      <t>euro</t>
    </r>
    <r>
      <rPr>
        <sz val="12"/>
        <color theme="1"/>
        <rFont val="Times New Roman"/>
        <family val="1"/>
        <charset val="186"/>
      </rPr>
      <t xml:space="preserve">/mēn. * 12. mēn. = 15,12 </t>
    </r>
    <r>
      <rPr>
        <i/>
        <sz val="12"/>
        <color theme="1"/>
        <rFont val="Times New Roman"/>
        <family val="1"/>
        <charset val="186"/>
      </rPr>
      <t>euro</t>
    </r>
    <r>
      <rPr>
        <sz val="12"/>
        <color theme="1"/>
        <rFont val="Times New Roman"/>
        <family val="1"/>
        <charset val="186"/>
      </rPr>
      <t xml:space="preserve"> * 0.794 (iznomātās platības koeficients) = 12,01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</si>
  <si>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6 min, (15,15 </t>
    </r>
    <r>
      <rPr>
        <i/>
        <sz val="12"/>
        <color theme="1"/>
        <rFont val="Times New Roman"/>
        <family val="1"/>
        <charset val="186"/>
      </rPr>
      <t>euro</t>
    </r>
    <r>
      <rPr>
        <sz val="12"/>
        <color theme="1"/>
        <rFont val="Times New Roman"/>
        <family val="1"/>
        <charset val="186"/>
      </rPr>
      <t xml:space="preserve"> * 0.1 h) = 1,52 </t>
    </r>
    <r>
      <rPr>
        <i/>
        <sz val="12"/>
        <color theme="1"/>
        <rFont val="Times New Roman"/>
        <family val="1"/>
        <charset val="186"/>
      </rPr>
      <t>euro</t>
    </r>
    <r>
      <rPr>
        <sz val="12"/>
        <color theme="1"/>
        <rFont val="Times New Roman"/>
        <family val="1"/>
        <charset val="186"/>
      </rPr>
      <t xml:space="preserve">/mēn. * 12. mēn. = 18,24 </t>
    </r>
    <r>
      <rPr>
        <i/>
        <sz val="12"/>
        <color theme="1"/>
        <rFont val="Times New Roman"/>
        <family val="1"/>
        <charset val="186"/>
      </rPr>
      <t>euro</t>
    </r>
    <r>
      <rPr>
        <sz val="12"/>
        <color theme="1"/>
        <rFont val="Times New Roman"/>
        <family val="1"/>
        <charset val="186"/>
      </rPr>
      <t xml:space="preserve"> * 0.794 (iznomātās platības koeficients) = 14,48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</si>
  <si>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6 min, (12,17 </t>
    </r>
    <r>
      <rPr>
        <i/>
        <sz val="12"/>
        <color theme="1"/>
        <rFont val="Times New Roman"/>
        <family val="1"/>
        <charset val="186"/>
      </rPr>
      <t>euro</t>
    </r>
    <r>
      <rPr>
        <sz val="12"/>
        <color theme="1"/>
        <rFont val="Times New Roman"/>
        <family val="1"/>
        <charset val="186"/>
      </rPr>
      <t xml:space="preserve"> * 0.1 h) = 1,22 </t>
    </r>
    <r>
      <rPr>
        <i/>
        <sz val="12"/>
        <color theme="1"/>
        <rFont val="Times New Roman"/>
        <family val="1"/>
        <charset val="186"/>
      </rPr>
      <t>euro</t>
    </r>
    <r>
      <rPr>
        <sz val="12"/>
        <color theme="1"/>
        <rFont val="Times New Roman"/>
        <family val="1"/>
        <charset val="186"/>
      </rPr>
      <t xml:space="preserve">/mēn. * 12. mēn. = 14,64 </t>
    </r>
    <r>
      <rPr>
        <i/>
        <sz val="12"/>
        <color theme="1"/>
        <rFont val="Times New Roman"/>
        <family val="1"/>
        <charset val="186"/>
      </rPr>
      <t>euro</t>
    </r>
    <r>
      <rPr>
        <sz val="12"/>
        <color theme="1"/>
        <rFont val="Times New Roman"/>
        <family val="1"/>
        <charset val="186"/>
      </rPr>
      <t xml:space="preserve"> * 0.794 (iznomātās platības koeficients) = 11,62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</si>
  <si>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3.34 stunda, (8,29 </t>
    </r>
    <r>
      <rPr>
        <i/>
        <sz val="12"/>
        <color theme="1"/>
        <rFont val="Times New Roman"/>
        <family val="1"/>
        <charset val="186"/>
      </rPr>
      <t>euro</t>
    </r>
    <r>
      <rPr>
        <sz val="12"/>
        <color theme="1"/>
        <rFont val="Times New Roman"/>
        <family val="1"/>
        <charset val="186"/>
      </rPr>
      <t xml:space="preserve"> * 3.34 h) = 27,69 </t>
    </r>
    <r>
      <rPr>
        <i/>
        <sz val="12"/>
        <color theme="1"/>
        <rFont val="Times New Roman"/>
        <family val="1"/>
        <charset val="186"/>
      </rPr>
      <t>euro</t>
    </r>
    <r>
      <rPr>
        <sz val="12"/>
        <color theme="1"/>
        <rFont val="Times New Roman"/>
        <family val="1"/>
        <charset val="186"/>
      </rPr>
      <t xml:space="preserve">/mēn. * 12. mēn. = 332,28 </t>
    </r>
    <r>
      <rPr>
        <i/>
        <sz val="12"/>
        <color theme="1"/>
        <rFont val="Times New Roman"/>
        <family val="1"/>
        <charset val="186"/>
      </rPr>
      <t>euro</t>
    </r>
    <r>
      <rPr>
        <sz val="12"/>
        <color theme="1"/>
        <rFont val="Times New Roman"/>
        <family val="1"/>
        <charset val="186"/>
      </rPr>
      <t xml:space="preserve"> * 0.794 (iznomātās platības koeficients) = 263,83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</si>
  <si>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3.08 stundas, (9,42 </t>
    </r>
    <r>
      <rPr>
        <i/>
        <sz val="12"/>
        <color theme="1"/>
        <rFont val="Times New Roman"/>
        <family val="1"/>
        <charset val="186"/>
      </rPr>
      <t>euro</t>
    </r>
    <r>
      <rPr>
        <sz val="12"/>
        <color theme="1"/>
        <rFont val="Times New Roman"/>
        <family val="1"/>
        <charset val="186"/>
      </rPr>
      <t xml:space="preserve"> * 3.08 h) = 29,01 </t>
    </r>
    <r>
      <rPr>
        <i/>
        <sz val="12"/>
        <color theme="1"/>
        <rFont val="Times New Roman"/>
        <family val="1"/>
        <charset val="186"/>
      </rPr>
      <t>euro</t>
    </r>
    <r>
      <rPr>
        <sz val="12"/>
        <color theme="1"/>
        <rFont val="Times New Roman"/>
        <family val="1"/>
        <charset val="186"/>
      </rPr>
      <t xml:space="preserve">/mēn. * 12. mēn. = 348,12 </t>
    </r>
    <r>
      <rPr>
        <i/>
        <sz val="12"/>
        <color theme="1"/>
        <rFont val="Times New Roman"/>
        <family val="1"/>
        <charset val="186"/>
      </rPr>
      <t>euro</t>
    </r>
    <r>
      <rPr>
        <sz val="12"/>
        <color theme="1"/>
        <rFont val="Times New Roman"/>
        <family val="1"/>
        <charset val="186"/>
      </rPr>
      <t xml:space="preserve"> * 0.794 (iznomātās platības koeficients) = 276,41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</si>
  <si>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euro). Stundas tarifa likme 8,29 euro = 1 372 euro / 165.58 (vid. d. stundu sk. mēnesī). Vid. mēn. noslogojums  4.77 stundas, (8,29 euro * 4.77 h) = 39,54 euro/mēn. * 12. mēn. = 474,48 euro * 0.794 (iznomātās platības koeficients) = 376,74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</si>
  <si>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23 min., (25,09 </t>
    </r>
    <r>
      <rPr>
        <i/>
        <sz val="12"/>
        <color theme="1"/>
        <rFont val="Times New Roman"/>
        <family val="1"/>
        <charset val="186"/>
      </rPr>
      <t>euro</t>
    </r>
    <r>
      <rPr>
        <sz val="12"/>
        <color theme="1"/>
        <rFont val="Times New Roman"/>
        <family val="1"/>
        <charset val="186"/>
      </rPr>
      <t xml:space="preserve"> * 0.38 h) = 9,53 </t>
    </r>
    <r>
      <rPr>
        <i/>
        <sz val="12"/>
        <color theme="1"/>
        <rFont val="Times New Roman"/>
        <family val="1"/>
        <charset val="186"/>
      </rPr>
      <t>euro</t>
    </r>
    <r>
      <rPr>
        <sz val="12"/>
        <color theme="1"/>
        <rFont val="Times New Roman"/>
        <family val="1"/>
        <charset val="186"/>
      </rPr>
      <t xml:space="preserve">/mēn. * 12. mēn. = 114,36 </t>
    </r>
    <r>
      <rPr>
        <i/>
        <sz val="12"/>
        <color theme="1"/>
        <rFont val="Times New Roman"/>
        <family val="1"/>
        <charset val="186"/>
      </rPr>
      <t>euro</t>
    </r>
    <r>
      <rPr>
        <sz val="12"/>
        <color theme="1"/>
        <rFont val="Times New Roman"/>
        <family val="1"/>
        <charset val="186"/>
      </rPr>
      <t xml:space="preserve"> * 0.794 (iznomātās platības koeficients) = 90,80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</si>
  <si>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5 min., (27,18 </t>
    </r>
    <r>
      <rPr>
        <i/>
        <sz val="12"/>
        <color theme="1"/>
        <rFont val="Times New Roman"/>
        <family val="1"/>
        <charset val="186"/>
      </rPr>
      <t>euro</t>
    </r>
    <r>
      <rPr>
        <sz val="12"/>
        <color theme="1"/>
        <rFont val="Times New Roman"/>
        <family val="1"/>
        <charset val="186"/>
      </rPr>
      <t xml:space="preserve"> * 0.08 h) = 2,17 </t>
    </r>
    <r>
      <rPr>
        <i/>
        <sz val="12"/>
        <color theme="1"/>
        <rFont val="Times New Roman"/>
        <family val="1"/>
        <charset val="186"/>
      </rPr>
      <t>euro</t>
    </r>
    <r>
      <rPr>
        <sz val="12"/>
        <color theme="1"/>
        <rFont val="Times New Roman"/>
        <family val="1"/>
        <charset val="186"/>
      </rPr>
      <t xml:space="preserve">/mēn. * 12. mēn. = 26,04 </t>
    </r>
    <r>
      <rPr>
        <i/>
        <sz val="12"/>
        <color theme="1"/>
        <rFont val="Times New Roman"/>
        <family val="1"/>
        <charset val="186"/>
      </rPr>
      <t>euro</t>
    </r>
    <r>
      <rPr>
        <sz val="12"/>
        <color theme="1"/>
        <rFont val="Times New Roman"/>
        <family val="1"/>
        <charset val="186"/>
      </rPr>
      <t xml:space="preserve"> * 0.794 (iznomātās platības koeficients) = 20,68 </t>
    </r>
    <r>
      <rPr>
        <i/>
        <sz val="12"/>
        <color theme="1"/>
        <rFont val="Times New Roman"/>
        <family val="1"/>
        <charset val="186"/>
      </rPr>
      <t>euro</t>
    </r>
  </si>
  <si>
    <r>
      <t xml:space="preserve">Darba devēja valsts sociālās apdrošināšanas obligātās iemaksas 1 165,29 </t>
    </r>
    <r>
      <rPr>
        <i/>
        <sz val="12"/>
        <color theme="1"/>
        <rFont val="Times New Roman"/>
        <family val="1"/>
        <charset val="186"/>
      </rPr>
      <t>euro</t>
    </r>
    <r>
      <rPr>
        <sz val="12"/>
        <color theme="1"/>
        <rFont val="Times New Roman"/>
        <family val="1"/>
        <charset val="186"/>
      </rPr>
      <t xml:space="preserve"> * 23,59 % = 274,89 </t>
    </r>
    <r>
      <rPr>
        <i/>
        <sz val="12"/>
        <color theme="1"/>
        <rFont val="Times New Roman"/>
        <family val="1"/>
        <charset val="186"/>
      </rPr>
      <t>euro.</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</si>
  <si>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0.051 (iznomātās platības koeficients) = 299,75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</si>
  <si>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euro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t>
    </r>
    <r>
      <rPr>
        <sz val="12"/>
        <color theme="1"/>
        <rFont val="Times New Roman"/>
        <family val="1"/>
        <charset val="186"/>
      </rPr>
      <t xml:space="preserve">/mēn. * 12 mēn. = 7 429,56 </t>
    </r>
    <r>
      <rPr>
        <i/>
        <sz val="12"/>
        <color theme="1"/>
        <rFont val="Times New Roman"/>
        <family val="1"/>
        <charset val="186"/>
      </rPr>
      <t>euro</t>
    </r>
    <r>
      <rPr>
        <sz val="12"/>
        <color theme="1"/>
        <rFont val="Times New Roman"/>
        <family val="1"/>
        <charset val="186"/>
      </rPr>
      <t xml:space="preserve"> * 0.051 (iznomātās platības koeficients)  = 378,91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</si>
  <si>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t>
    </r>
    <r>
      <rPr>
        <sz val="12"/>
        <color theme="1"/>
        <rFont val="Times New Roman"/>
        <family val="1"/>
        <charset val="186"/>
      </rPr>
      <t xml:space="preserve">/mēn. * 12 mēn. = 6 954,36 </t>
    </r>
    <r>
      <rPr>
        <i/>
        <sz val="12"/>
        <color theme="1"/>
        <rFont val="Times New Roman"/>
        <family val="1"/>
        <charset val="186"/>
      </rPr>
      <t>euro</t>
    </r>
    <r>
      <rPr>
        <sz val="12"/>
        <color theme="1"/>
        <rFont val="Times New Roman"/>
        <family val="1"/>
        <charset val="186"/>
      </rPr>
      <t xml:space="preserve"> * 0.051 (iznomātās platības koeficients) = 354,67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</si>
  <si>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0.051 (iznomātās platības koeficients) = 319,16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</si>
  <si>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0.051 (iznomātās platības koeficients) = 170,87 </t>
    </r>
    <r>
      <rPr>
        <i/>
        <sz val="12"/>
        <color theme="1"/>
        <rFont val="Times New Roman"/>
        <family val="1"/>
        <charset val="186"/>
      </rPr>
      <t>euro</t>
    </r>
    <r>
      <rPr>
        <sz val="12"/>
        <color theme="1"/>
        <rFont val="Times New Roman"/>
        <family val="1"/>
        <charset val="186"/>
      </rPr>
      <t xml:space="preserve">. </t>
    </r>
  </si>
  <si>
    <r>
      <t xml:space="preserve">Galv. nekust. īpaš. pārvaldnieks (299,75 </t>
    </r>
    <r>
      <rPr>
        <i/>
        <sz val="12"/>
        <color theme="1"/>
        <rFont val="Times New Roman"/>
        <family val="1"/>
        <charset val="186"/>
      </rPr>
      <t>euro</t>
    </r>
    <r>
      <rPr>
        <sz val="12"/>
        <color theme="1"/>
        <rFont val="Times New Roman"/>
        <family val="1"/>
        <charset val="186"/>
      </rPr>
      <t xml:space="preserve"> * 10%) = 29,98 </t>
    </r>
    <r>
      <rPr>
        <i/>
        <sz val="12"/>
        <color theme="1"/>
        <rFont val="Times New Roman"/>
        <family val="1"/>
        <charset val="186"/>
      </rPr>
      <t>euro</t>
    </r>
    <r>
      <rPr>
        <sz val="12"/>
        <color theme="1"/>
        <rFont val="Times New Roman"/>
        <family val="1"/>
        <charset val="186"/>
      </rPr>
      <t xml:space="preserve">, Saimniecības pārzinis (378,91 </t>
    </r>
    <r>
      <rPr>
        <i/>
        <sz val="12"/>
        <color theme="1"/>
        <rFont val="Times New Roman"/>
        <family val="1"/>
        <charset val="186"/>
      </rPr>
      <t>euro</t>
    </r>
    <r>
      <rPr>
        <sz val="12"/>
        <color theme="1"/>
        <rFont val="Times New Roman"/>
        <family val="1"/>
        <charset val="186"/>
      </rPr>
      <t xml:space="preserve"> * 10%) = 37,89 </t>
    </r>
    <r>
      <rPr>
        <i/>
        <sz val="12"/>
        <color theme="1"/>
        <rFont val="Times New Roman"/>
        <family val="1"/>
        <charset val="186"/>
      </rPr>
      <t>euro</t>
    </r>
    <r>
      <rPr>
        <sz val="12"/>
        <color theme="1"/>
        <rFont val="Times New Roman"/>
        <family val="1"/>
        <charset val="186"/>
      </rPr>
      <t xml:space="preserve">, Istabene (354,67 </t>
    </r>
    <r>
      <rPr>
        <i/>
        <sz val="12"/>
        <color theme="1"/>
        <rFont val="Times New Roman"/>
        <family val="1"/>
        <charset val="186"/>
      </rPr>
      <t>euro</t>
    </r>
    <r>
      <rPr>
        <sz val="12"/>
        <color theme="1"/>
        <rFont val="Times New Roman"/>
        <family val="1"/>
        <charset val="186"/>
      </rPr>
      <t xml:space="preserve"> * 10%) = 35,47 </t>
    </r>
    <r>
      <rPr>
        <i/>
        <sz val="12"/>
        <color theme="1"/>
        <rFont val="Times New Roman"/>
        <family val="1"/>
        <charset val="186"/>
      </rPr>
      <t>euro</t>
    </r>
    <r>
      <rPr>
        <sz val="12"/>
        <color theme="1"/>
        <rFont val="Times New Roman"/>
        <family val="1"/>
        <charset val="186"/>
      </rPr>
      <t xml:space="preserve">, Apkopēja (319,16 </t>
    </r>
    <r>
      <rPr>
        <i/>
        <sz val="12"/>
        <color theme="1"/>
        <rFont val="Times New Roman"/>
        <family val="1"/>
        <charset val="186"/>
      </rPr>
      <t>euro</t>
    </r>
    <r>
      <rPr>
        <sz val="12"/>
        <color theme="1"/>
        <rFont val="Times New Roman"/>
        <family val="1"/>
        <charset val="186"/>
      </rPr>
      <t xml:space="preserve"> * 10%) = 31,92 </t>
    </r>
    <r>
      <rPr>
        <i/>
        <sz val="12"/>
        <color theme="1"/>
        <rFont val="Times New Roman"/>
        <family val="1"/>
        <charset val="186"/>
      </rPr>
      <t>euro</t>
    </r>
    <r>
      <rPr>
        <sz val="12"/>
        <color theme="1"/>
        <rFont val="Times New Roman"/>
        <family val="1"/>
        <charset val="186"/>
      </rPr>
      <t xml:space="preserve">, Sētnieks (170,87 </t>
    </r>
    <r>
      <rPr>
        <i/>
        <sz val="12"/>
        <color theme="1"/>
        <rFont val="Times New Roman"/>
        <family val="1"/>
        <charset val="186"/>
      </rPr>
      <t>euro</t>
    </r>
    <r>
      <rPr>
        <sz val="12"/>
        <color theme="1"/>
        <rFont val="Times New Roman"/>
        <family val="1"/>
        <charset val="186"/>
      </rPr>
      <t xml:space="preserve"> * 10%) = 17,09 </t>
    </r>
    <r>
      <rPr>
        <i/>
        <sz val="12"/>
        <color theme="1"/>
        <rFont val="Times New Roman"/>
        <family val="1"/>
        <charset val="186"/>
      </rPr>
      <t>euro</t>
    </r>
    <r>
      <rPr>
        <sz val="12"/>
        <color theme="1"/>
        <rFont val="Times New Roman"/>
        <family val="1"/>
        <charset val="186"/>
      </rPr>
      <t xml:space="preserve">. Kopā (29,98 </t>
    </r>
    <r>
      <rPr>
        <i/>
        <sz val="12"/>
        <color theme="1"/>
        <rFont val="Times New Roman"/>
        <family val="1"/>
        <charset val="186"/>
      </rPr>
      <t>euro</t>
    </r>
    <r>
      <rPr>
        <sz val="12"/>
        <color theme="1"/>
        <rFont val="Times New Roman"/>
        <family val="1"/>
        <charset val="186"/>
      </rPr>
      <t xml:space="preserve"> + 37,89 </t>
    </r>
    <r>
      <rPr>
        <i/>
        <sz val="12"/>
        <color theme="1"/>
        <rFont val="Times New Roman"/>
        <family val="1"/>
        <charset val="186"/>
      </rPr>
      <t>euro</t>
    </r>
    <r>
      <rPr>
        <sz val="12"/>
        <color theme="1"/>
        <rFont val="Times New Roman"/>
        <family val="1"/>
        <charset val="186"/>
      </rPr>
      <t xml:space="preserve"> + 35,47 </t>
    </r>
    <r>
      <rPr>
        <i/>
        <sz val="12"/>
        <color theme="1"/>
        <rFont val="Times New Roman"/>
        <family val="1"/>
        <charset val="186"/>
      </rPr>
      <t>euro</t>
    </r>
    <r>
      <rPr>
        <sz val="12"/>
        <color theme="1"/>
        <rFont val="Times New Roman"/>
        <family val="1"/>
        <charset val="186"/>
      </rPr>
      <t xml:space="preserve"> + 31,92 </t>
    </r>
    <r>
      <rPr>
        <i/>
        <sz val="12"/>
        <color theme="1"/>
        <rFont val="Times New Roman"/>
        <family val="1"/>
        <charset val="186"/>
      </rPr>
      <t>euro</t>
    </r>
    <r>
      <rPr>
        <sz val="12"/>
        <color theme="1"/>
        <rFont val="Times New Roman"/>
        <family val="1"/>
        <charset val="186"/>
      </rPr>
      <t xml:space="preserve"> + 17,09 </t>
    </r>
    <r>
      <rPr>
        <i/>
        <sz val="12"/>
        <color theme="1"/>
        <rFont val="Times New Roman"/>
        <family val="1"/>
        <charset val="186"/>
      </rPr>
      <t>euro</t>
    </r>
    <r>
      <rPr>
        <sz val="12"/>
        <color theme="1"/>
        <rFont val="Times New Roman"/>
        <family val="1"/>
        <charset val="186"/>
      </rPr>
      <t xml:space="preserve">) = 152,35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</si>
  <si>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(1 675,71 </t>
    </r>
    <r>
      <rPr>
        <i/>
        <sz val="12"/>
        <color theme="1"/>
        <rFont val="Times New Roman"/>
        <family val="1"/>
        <charset val="186"/>
      </rPr>
      <t>euro</t>
    </r>
    <r>
      <rPr>
        <sz val="12"/>
        <color theme="1"/>
        <rFont val="Times New Roman"/>
        <family val="1"/>
        <charset val="186"/>
      </rPr>
      <t xml:space="preserve"> * 23,59 %) = 395,30 </t>
    </r>
    <r>
      <rPr>
        <i/>
        <sz val="12"/>
        <color theme="1"/>
        <rFont val="Times New Roman"/>
        <family val="1"/>
        <charset val="186"/>
      </rPr>
      <t xml:space="preserve">euro. </t>
    </r>
  </si>
  <si>
    <r>
      <t xml:space="preserve">Veselības apdrošināšana, Galv. nekust. īpaš. pārvaldnieks (299,75 </t>
    </r>
    <r>
      <rPr>
        <i/>
        <sz val="12"/>
        <color theme="1"/>
        <rFont val="Times New Roman"/>
        <family val="1"/>
        <charset val="186"/>
      </rPr>
      <t>euro</t>
    </r>
    <r>
      <rPr>
        <sz val="12"/>
        <color theme="1"/>
        <rFont val="Times New Roman"/>
        <family val="1"/>
        <charset val="186"/>
      </rPr>
      <t xml:space="preserve"> * 5%) = 14,99 </t>
    </r>
    <r>
      <rPr>
        <i/>
        <sz val="12"/>
        <color theme="1"/>
        <rFont val="Times New Roman"/>
        <family val="1"/>
        <charset val="186"/>
      </rPr>
      <t>euro</t>
    </r>
    <r>
      <rPr>
        <sz val="12"/>
        <color theme="1"/>
        <rFont val="Times New Roman"/>
        <family val="1"/>
        <charset val="186"/>
      </rPr>
      <t xml:space="preserve">, Saimniecības pārzinis (378,91 </t>
    </r>
    <r>
      <rPr>
        <i/>
        <sz val="12"/>
        <color theme="1"/>
        <rFont val="Times New Roman"/>
        <family val="1"/>
        <charset val="186"/>
      </rPr>
      <t>euro</t>
    </r>
    <r>
      <rPr>
        <sz val="12"/>
        <color theme="1"/>
        <rFont val="Times New Roman"/>
        <family val="1"/>
        <charset val="186"/>
      </rPr>
      <t xml:space="preserve"> * 5%) = 18,95 </t>
    </r>
    <r>
      <rPr>
        <i/>
        <sz val="12"/>
        <color theme="1"/>
        <rFont val="Times New Roman"/>
        <family val="1"/>
        <charset val="186"/>
      </rPr>
      <t>euro</t>
    </r>
    <r>
      <rPr>
        <sz val="12"/>
        <color theme="1"/>
        <rFont val="Times New Roman"/>
        <family val="1"/>
        <charset val="186"/>
      </rPr>
      <t xml:space="preserve">, Istabene (354,67 </t>
    </r>
    <r>
      <rPr>
        <i/>
        <sz val="12"/>
        <color theme="1"/>
        <rFont val="Times New Roman"/>
        <family val="1"/>
        <charset val="186"/>
      </rPr>
      <t>euro</t>
    </r>
    <r>
      <rPr>
        <sz val="12"/>
        <color theme="1"/>
        <rFont val="Times New Roman"/>
        <family val="1"/>
        <charset val="186"/>
      </rPr>
      <t xml:space="preserve"> * 5%) = 17,73 </t>
    </r>
    <r>
      <rPr>
        <i/>
        <sz val="12"/>
        <color theme="1"/>
        <rFont val="Times New Roman"/>
        <family val="1"/>
        <charset val="186"/>
      </rPr>
      <t>euro</t>
    </r>
    <r>
      <rPr>
        <sz val="12"/>
        <color theme="1"/>
        <rFont val="Times New Roman"/>
        <family val="1"/>
        <charset val="186"/>
      </rPr>
      <t xml:space="preserve">, Apkopēja (319,16 </t>
    </r>
    <r>
      <rPr>
        <i/>
        <sz val="12"/>
        <color theme="1"/>
        <rFont val="Times New Roman"/>
        <family val="1"/>
        <charset val="186"/>
      </rPr>
      <t>euro</t>
    </r>
    <r>
      <rPr>
        <sz val="12"/>
        <color theme="1"/>
        <rFont val="Times New Roman"/>
        <family val="1"/>
        <charset val="186"/>
      </rPr>
      <t xml:space="preserve"> * 5%) = 15,96 </t>
    </r>
    <r>
      <rPr>
        <i/>
        <sz val="12"/>
        <color theme="1"/>
        <rFont val="Times New Roman"/>
        <family val="1"/>
        <charset val="186"/>
      </rPr>
      <t>euro</t>
    </r>
    <r>
      <rPr>
        <sz val="12"/>
        <color theme="1"/>
        <rFont val="Times New Roman"/>
        <family val="1"/>
        <charset val="186"/>
      </rPr>
      <t xml:space="preserve">, Sētnieks (170,87 </t>
    </r>
    <r>
      <rPr>
        <i/>
        <sz val="12"/>
        <color theme="1"/>
        <rFont val="Times New Roman"/>
        <family val="1"/>
        <charset val="186"/>
      </rPr>
      <t>euro</t>
    </r>
    <r>
      <rPr>
        <sz val="12"/>
        <color theme="1"/>
        <rFont val="Times New Roman"/>
        <family val="1"/>
        <charset val="186"/>
      </rPr>
      <t xml:space="preserve"> * 5%) = 8,54 </t>
    </r>
    <r>
      <rPr>
        <i/>
        <sz val="12"/>
        <color theme="1"/>
        <rFont val="Times New Roman"/>
        <family val="1"/>
        <charset val="186"/>
      </rPr>
      <t>euro</t>
    </r>
    <r>
      <rPr>
        <sz val="12"/>
        <color theme="1"/>
        <rFont val="Times New Roman"/>
        <family val="1"/>
        <charset val="186"/>
      </rPr>
      <t xml:space="preserve">. Kopā (14,99 </t>
    </r>
    <r>
      <rPr>
        <i/>
        <sz val="12"/>
        <color theme="1"/>
        <rFont val="Times New Roman"/>
        <family val="1"/>
        <charset val="186"/>
      </rPr>
      <t>euro</t>
    </r>
    <r>
      <rPr>
        <sz val="12"/>
        <color theme="1"/>
        <rFont val="Times New Roman"/>
        <family val="1"/>
        <charset val="186"/>
      </rPr>
      <t xml:space="preserve"> + 18,95 </t>
    </r>
    <r>
      <rPr>
        <i/>
        <sz val="12"/>
        <color theme="1"/>
        <rFont val="Times New Roman"/>
        <family val="1"/>
        <charset val="186"/>
      </rPr>
      <t>euro</t>
    </r>
    <r>
      <rPr>
        <sz val="12"/>
        <color theme="1"/>
        <rFont val="Times New Roman"/>
        <family val="1"/>
        <charset val="186"/>
      </rPr>
      <t xml:space="preserve"> + 17,73 </t>
    </r>
    <r>
      <rPr>
        <i/>
        <sz val="12"/>
        <color theme="1"/>
        <rFont val="Times New Roman"/>
        <family val="1"/>
        <charset val="186"/>
      </rPr>
      <t>euro</t>
    </r>
    <r>
      <rPr>
        <sz val="12"/>
        <color theme="1"/>
        <rFont val="Times New Roman"/>
        <family val="1"/>
        <charset val="186"/>
      </rPr>
      <t xml:space="preserve"> + 15,96 </t>
    </r>
    <r>
      <rPr>
        <i/>
        <sz val="12"/>
        <color theme="1"/>
        <rFont val="Times New Roman"/>
        <family val="1"/>
        <charset val="186"/>
      </rPr>
      <t>euro</t>
    </r>
    <r>
      <rPr>
        <sz val="12"/>
        <color theme="1"/>
        <rFont val="Times New Roman"/>
        <family val="1"/>
        <charset val="186"/>
      </rPr>
      <t xml:space="preserve"> + 8,54 </t>
    </r>
    <r>
      <rPr>
        <i/>
        <sz val="12"/>
        <color theme="1"/>
        <rFont val="Times New Roman"/>
        <family val="1"/>
        <charset val="186"/>
      </rPr>
      <t>euro</t>
    </r>
    <r>
      <rPr>
        <sz val="12"/>
        <color theme="1"/>
        <rFont val="Times New Roman"/>
        <family val="1"/>
        <charset val="186"/>
      </rPr>
      <t xml:space="preserve">) = 76,17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</si>
  <si>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0.051 (iznomātās platības koeficients) = 8,42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</si>
  <si>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0.051 (iznomātās platības koeficients) = 5,76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</si>
  <si>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395,30 </t>
    </r>
    <r>
      <rPr>
        <i/>
        <sz val="12"/>
        <color theme="1"/>
        <rFont val="Times New Roman"/>
        <family val="1"/>
        <charset val="186"/>
      </rPr>
      <t>euro</t>
    </r>
    <r>
      <rPr>
        <sz val="12"/>
        <color theme="1"/>
        <rFont val="Times New Roman"/>
        <family val="1"/>
        <charset val="186"/>
      </rPr>
      <t xml:space="preserve">. Veselības apdrošināšana 76,17 </t>
    </r>
    <r>
      <rPr>
        <i/>
        <sz val="12"/>
        <color theme="1"/>
        <rFont val="Times New Roman"/>
        <family val="1"/>
        <charset val="186"/>
      </rPr>
      <t>euro</t>
    </r>
    <r>
      <rPr>
        <sz val="12"/>
        <color theme="1"/>
        <rFont val="Times New Roman"/>
        <family val="1"/>
        <charset val="186"/>
      </rPr>
      <t xml:space="preserve">. Kopā 471,47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</si>
  <si>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1.20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0.051 (iznomātās platības koeficients) = 8,42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</si>
  <si>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0.051 (iznomātās platības koeficients) = 11,50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</si>
  <si>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0.051 (iznomātās platības koeficients) = 8,12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</si>
  <si>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0.051 (iznomātās platības koeficients) = 46,78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</si>
  <si>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 xml:space="preserve">euro </t>
    </r>
    <r>
      <rPr>
        <sz val="12"/>
        <color theme="1"/>
        <rFont val="Times New Roman"/>
        <family val="1"/>
        <charset val="186"/>
      </rPr>
      <t xml:space="preserve">* 0.051 (iznomātās platības koeficients) = 48,89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</si>
  <si>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0.051 (iznomātās platības koeficients) = 61,08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</si>
  <si>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0.051 (iznomātās platības koeficients) = 72,47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</si>
  <si>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0.051 (iznomātās platības koeficients) = 17,96 </t>
    </r>
    <r>
      <rPr>
        <i/>
        <sz val="12"/>
        <color theme="1"/>
        <rFont val="Times New Roman"/>
        <family val="1"/>
        <charset val="186"/>
      </rPr>
      <t>euro.</t>
    </r>
  </si>
  <si>
    <r>
      <t xml:space="preserve">Galv. nekust. īpaš. pārvaldnieks (49,96 </t>
    </r>
    <r>
      <rPr>
        <i/>
        <sz val="12"/>
        <color theme="1"/>
        <rFont val="Times New Roman"/>
        <family val="1"/>
        <charset val="186"/>
      </rPr>
      <t>euro</t>
    </r>
    <r>
      <rPr>
        <sz val="12"/>
        <color theme="1"/>
        <rFont val="Times New Roman"/>
        <family val="1"/>
        <charset val="186"/>
      </rPr>
      <t xml:space="preserve"> * 10%) = 5,00 </t>
    </r>
    <r>
      <rPr>
        <i/>
        <sz val="12"/>
        <color theme="1"/>
        <rFont val="Times New Roman"/>
        <family val="1"/>
        <charset val="186"/>
      </rPr>
      <t>euro</t>
    </r>
    <r>
      <rPr>
        <sz val="12"/>
        <color theme="1"/>
        <rFont val="Times New Roman"/>
        <family val="1"/>
        <charset val="186"/>
      </rPr>
      <t xml:space="preserve">, Saimniecības pārzinis (63,15 </t>
    </r>
    <r>
      <rPr>
        <i/>
        <sz val="12"/>
        <color theme="1"/>
        <rFont val="Times New Roman"/>
        <family val="1"/>
        <charset val="186"/>
      </rPr>
      <t>euro</t>
    </r>
    <r>
      <rPr>
        <sz val="12"/>
        <color theme="1"/>
        <rFont val="Times New Roman"/>
        <family val="1"/>
        <charset val="186"/>
      </rPr>
      <t xml:space="preserve"> * 10%) = 6,32 </t>
    </r>
    <r>
      <rPr>
        <i/>
        <sz val="12"/>
        <color theme="1"/>
        <rFont val="Times New Roman"/>
        <family val="1"/>
        <charset val="186"/>
      </rPr>
      <t>euro</t>
    </r>
    <r>
      <rPr>
        <sz val="12"/>
        <color theme="1"/>
        <rFont val="Times New Roman"/>
        <family val="1"/>
        <charset val="186"/>
      </rPr>
      <t xml:space="preserve">, Istabene (59,11 </t>
    </r>
    <r>
      <rPr>
        <i/>
        <sz val="12"/>
        <color theme="1"/>
        <rFont val="Times New Roman"/>
        <family val="1"/>
        <charset val="186"/>
      </rPr>
      <t>euro</t>
    </r>
    <r>
      <rPr>
        <sz val="12"/>
        <color theme="1"/>
        <rFont val="Times New Roman"/>
        <family val="1"/>
        <charset val="186"/>
      </rPr>
      <t xml:space="preserve"> * 10%) = 5,91 </t>
    </r>
    <r>
      <rPr>
        <i/>
        <sz val="12"/>
        <color theme="1"/>
        <rFont val="Times New Roman"/>
        <family val="1"/>
        <charset val="186"/>
      </rPr>
      <t>euro</t>
    </r>
    <r>
      <rPr>
        <sz val="12"/>
        <color theme="1"/>
        <rFont val="Times New Roman"/>
        <family val="1"/>
        <charset val="186"/>
      </rPr>
      <t xml:space="preserve">, Apkopēja (53,19 </t>
    </r>
    <r>
      <rPr>
        <i/>
        <sz val="12"/>
        <color theme="1"/>
        <rFont val="Times New Roman"/>
        <family val="1"/>
        <charset val="186"/>
      </rPr>
      <t>euro</t>
    </r>
    <r>
      <rPr>
        <sz val="12"/>
        <color theme="1"/>
        <rFont val="Times New Roman"/>
        <family val="1"/>
        <charset val="186"/>
      </rPr>
      <t xml:space="preserve"> * 10%) = 5,32 </t>
    </r>
    <r>
      <rPr>
        <i/>
        <sz val="12"/>
        <color theme="1"/>
        <rFont val="Times New Roman"/>
        <family val="1"/>
        <charset val="186"/>
      </rPr>
      <t>euro</t>
    </r>
    <r>
      <rPr>
        <sz val="12"/>
        <color theme="1"/>
        <rFont val="Times New Roman"/>
        <family val="1"/>
        <charset val="186"/>
      </rPr>
      <t xml:space="preserve">, Sētnieks (28,48 </t>
    </r>
    <r>
      <rPr>
        <i/>
        <sz val="12"/>
        <color theme="1"/>
        <rFont val="Times New Roman"/>
        <family val="1"/>
        <charset val="186"/>
      </rPr>
      <t>euro</t>
    </r>
    <r>
      <rPr>
        <sz val="12"/>
        <color theme="1"/>
        <rFont val="Times New Roman"/>
        <family val="1"/>
        <charset val="186"/>
      </rPr>
      <t xml:space="preserve"> * 10%) = 2,85 </t>
    </r>
    <r>
      <rPr>
        <i/>
        <sz val="12"/>
        <color theme="1"/>
        <rFont val="Times New Roman"/>
        <family val="1"/>
        <charset val="186"/>
      </rPr>
      <t>euro</t>
    </r>
    <r>
      <rPr>
        <sz val="12"/>
        <color theme="1"/>
        <rFont val="Times New Roman"/>
        <family val="1"/>
        <charset val="186"/>
      </rPr>
      <t xml:space="preserve">. Kopā (5,00 </t>
    </r>
    <r>
      <rPr>
        <i/>
        <sz val="12"/>
        <color theme="1"/>
        <rFont val="Times New Roman"/>
        <family val="1"/>
        <charset val="186"/>
      </rPr>
      <t>euro</t>
    </r>
    <r>
      <rPr>
        <sz val="12"/>
        <color theme="1"/>
        <rFont val="Times New Roman"/>
        <family val="1"/>
        <charset val="186"/>
      </rPr>
      <t xml:space="preserve"> + 6,32 </t>
    </r>
    <r>
      <rPr>
        <i/>
        <sz val="12"/>
        <color theme="1"/>
        <rFont val="Times New Roman"/>
        <family val="1"/>
        <charset val="186"/>
      </rPr>
      <t>euro</t>
    </r>
    <r>
      <rPr>
        <sz val="12"/>
        <color theme="1"/>
        <rFont val="Times New Roman"/>
        <family val="1"/>
        <charset val="186"/>
      </rPr>
      <t xml:space="preserve"> + 5,91 </t>
    </r>
    <r>
      <rPr>
        <i/>
        <sz val="12"/>
        <color theme="1"/>
        <rFont val="Times New Roman"/>
        <family val="1"/>
        <charset val="186"/>
      </rPr>
      <t>euro</t>
    </r>
    <r>
      <rPr>
        <sz val="12"/>
        <color theme="1"/>
        <rFont val="Times New Roman"/>
        <family val="1"/>
        <charset val="186"/>
      </rPr>
      <t xml:space="preserve"> + 5,32 </t>
    </r>
    <r>
      <rPr>
        <i/>
        <sz val="12"/>
        <color theme="1"/>
        <rFont val="Times New Roman"/>
        <family val="1"/>
        <charset val="186"/>
      </rPr>
      <t>euro</t>
    </r>
    <r>
      <rPr>
        <sz val="12"/>
        <color theme="1"/>
        <rFont val="Times New Roman"/>
        <family val="1"/>
        <charset val="186"/>
      </rPr>
      <t xml:space="preserve"> + 2,85 </t>
    </r>
    <r>
      <rPr>
        <i/>
        <sz val="12"/>
        <color theme="1"/>
        <rFont val="Times New Roman"/>
        <family val="1"/>
        <charset val="186"/>
      </rPr>
      <t>euro</t>
    </r>
    <r>
      <rPr>
        <sz val="12"/>
        <color theme="1"/>
        <rFont val="Times New Roman"/>
        <family val="1"/>
        <charset val="186"/>
      </rPr>
      <t xml:space="preserve">) = 25,40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</si>
  <si>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(279,29 </t>
    </r>
    <r>
      <rPr>
        <i/>
        <sz val="12"/>
        <color theme="1"/>
        <rFont val="Times New Roman"/>
        <family val="1"/>
        <charset val="186"/>
      </rPr>
      <t>euro</t>
    </r>
    <r>
      <rPr>
        <sz val="12"/>
        <color theme="1"/>
        <rFont val="Times New Roman"/>
        <family val="1"/>
        <charset val="186"/>
      </rPr>
      <t xml:space="preserve"> * 23,59 %) = 28,49 </t>
    </r>
    <r>
      <rPr>
        <i/>
        <sz val="12"/>
        <color theme="1"/>
        <rFont val="Times New Roman"/>
        <family val="1"/>
        <charset val="186"/>
      </rPr>
      <t xml:space="preserve">euro. </t>
    </r>
  </si>
  <si>
    <r>
      <t xml:space="preserve">Veselības apdrošināšana, Galv. nekust. īpaš. pārvaldnieks  (49,96 </t>
    </r>
    <r>
      <rPr>
        <i/>
        <sz val="12"/>
        <color theme="1"/>
        <rFont val="Times New Roman"/>
        <family val="1"/>
        <charset val="186"/>
      </rPr>
      <t>euro</t>
    </r>
    <r>
      <rPr>
        <sz val="12"/>
        <color theme="1"/>
        <rFont val="Times New Roman"/>
        <family val="1"/>
        <charset val="186"/>
      </rPr>
      <t xml:space="preserve"> * 5%) = 2,50 </t>
    </r>
    <r>
      <rPr>
        <i/>
        <sz val="12"/>
        <color theme="1"/>
        <rFont val="Times New Roman"/>
        <family val="1"/>
        <charset val="186"/>
      </rPr>
      <t>euro</t>
    </r>
    <r>
      <rPr>
        <sz val="12"/>
        <color theme="1"/>
        <rFont val="Times New Roman"/>
        <family val="1"/>
        <charset val="186"/>
      </rPr>
      <t xml:space="preserve">, Saimniecības pārzinis (63,15 </t>
    </r>
    <r>
      <rPr>
        <i/>
        <sz val="12"/>
        <color theme="1"/>
        <rFont val="Times New Roman"/>
        <family val="1"/>
        <charset val="186"/>
      </rPr>
      <t>euro</t>
    </r>
    <r>
      <rPr>
        <sz val="12"/>
        <color theme="1"/>
        <rFont val="Times New Roman"/>
        <family val="1"/>
        <charset val="186"/>
      </rPr>
      <t xml:space="preserve"> * 5%) = 3,16 </t>
    </r>
    <r>
      <rPr>
        <i/>
        <sz val="12"/>
        <color theme="1"/>
        <rFont val="Times New Roman"/>
        <family val="1"/>
        <charset val="186"/>
      </rPr>
      <t>euro</t>
    </r>
    <r>
      <rPr>
        <sz val="12"/>
        <color theme="1"/>
        <rFont val="Times New Roman"/>
        <family val="1"/>
        <charset val="186"/>
      </rPr>
      <t xml:space="preserve">, Istabene (59,11 </t>
    </r>
    <r>
      <rPr>
        <i/>
        <sz val="12"/>
        <color theme="1"/>
        <rFont val="Times New Roman"/>
        <family val="1"/>
        <charset val="186"/>
      </rPr>
      <t>euro</t>
    </r>
    <r>
      <rPr>
        <sz val="12"/>
        <color theme="1"/>
        <rFont val="Times New Roman"/>
        <family val="1"/>
        <charset val="186"/>
      </rPr>
      <t xml:space="preserve"> * 5%) = 2,96 </t>
    </r>
    <r>
      <rPr>
        <i/>
        <sz val="12"/>
        <color theme="1"/>
        <rFont val="Times New Roman"/>
        <family val="1"/>
        <charset val="186"/>
      </rPr>
      <t>euro</t>
    </r>
    <r>
      <rPr>
        <sz val="12"/>
        <color theme="1"/>
        <rFont val="Times New Roman"/>
        <family val="1"/>
        <charset val="186"/>
      </rPr>
      <t xml:space="preserve">, Apkopēja (53,19 </t>
    </r>
    <r>
      <rPr>
        <i/>
        <sz val="12"/>
        <color theme="1"/>
        <rFont val="Times New Roman"/>
        <family val="1"/>
        <charset val="186"/>
      </rPr>
      <t>euro</t>
    </r>
    <r>
      <rPr>
        <sz val="12"/>
        <color theme="1"/>
        <rFont val="Times New Roman"/>
        <family val="1"/>
        <charset val="186"/>
      </rPr>
      <t xml:space="preserve"> * 5%) = 2,66 </t>
    </r>
    <r>
      <rPr>
        <i/>
        <sz val="12"/>
        <color theme="1"/>
        <rFont val="Times New Roman"/>
        <family val="1"/>
        <charset val="186"/>
      </rPr>
      <t>euro</t>
    </r>
    <r>
      <rPr>
        <sz val="12"/>
        <color theme="1"/>
        <rFont val="Times New Roman"/>
        <family val="1"/>
        <charset val="186"/>
      </rPr>
      <t xml:space="preserve">, Sētnieks (28,48 </t>
    </r>
    <r>
      <rPr>
        <i/>
        <sz val="12"/>
        <color theme="1"/>
        <rFont val="Times New Roman"/>
        <family val="1"/>
        <charset val="186"/>
      </rPr>
      <t>euro</t>
    </r>
    <r>
      <rPr>
        <sz val="12"/>
        <color theme="1"/>
        <rFont val="Times New Roman"/>
        <family val="1"/>
        <charset val="186"/>
      </rPr>
      <t xml:space="preserve"> * 5%) = 1,42 </t>
    </r>
    <r>
      <rPr>
        <i/>
        <sz val="12"/>
        <color theme="1"/>
        <rFont val="Times New Roman"/>
        <family val="1"/>
        <charset val="186"/>
      </rPr>
      <t>euro</t>
    </r>
    <r>
      <rPr>
        <sz val="12"/>
        <color theme="1"/>
        <rFont val="Times New Roman"/>
        <family val="1"/>
        <charset val="186"/>
      </rPr>
      <t xml:space="preserve">. Kopā (2,50 </t>
    </r>
    <r>
      <rPr>
        <i/>
        <sz val="12"/>
        <color theme="1"/>
        <rFont val="Times New Roman"/>
        <family val="1"/>
        <charset val="186"/>
      </rPr>
      <t>euro</t>
    </r>
    <r>
      <rPr>
        <sz val="12"/>
        <color theme="1"/>
        <rFont val="Times New Roman"/>
        <family val="1"/>
        <charset val="186"/>
      </rPr>
      <t xml:space="preserve"> + 3,16 </t>
    </r>
    <r>
      <rPr>
        <i/>
        <sz val="12"/>
        <color theme="1"/>
        <rFont val="Times New Roman"/>
        <family val="1"/>
        <charset val="186"/>
      </rPr>
      <t>euro</t>
    </r>
    <r>
      <rPr>
        <sz val="12"/>
        <color theme="1"/>
        <rFont val="Times New Roman"/>
        <family val="1"/>
        <charset val="186"/>
      </rPr>
      <t xml:space="preserve"> + 2,96 </t>
    </r>
    <r>
      <rPr>
        <i/>
        <sz val="12"/>
        <color theme="1"/>
        <rFont val="Times New Roman"/>
        <family val="1"/>
        <charset val="186"/>
      </rPr>
      <t>euro</t>
    </r>
    <r>
      <rPr>
        <sz val="12"/>
        <color theme="1"/>
        <rFont val="Times New Roman"/>
        <family val="1"/>
        <charset val="186"/>
      </rPr>
      <t xml:space="preserve"> + 2,66 </t>
    </r>
    <r>
      <rPr>
        <i/>
        <sz val="12"/>
        <color theme="1"/>
        <rFont val="Times New Roman"/>
        <family val="1"/>
        <charset val="186"/>
      </rPr>
      <t>euro</t>
    </r>
    <r>
      <rPr>
        <sz val="12"/>
        <color theme="1"/>
        <rFont val="Times New Roman"/>
        <family val="1"/>
        <charset val="186"/>
      </rPr>
      <t xml:space="preserve"> + 1,42 </t>
    </r>
    <r>
      <rPr>
        <i/>
        <sz val="12"/>
        <color theme="1"/>
        <rFont val="Times New Roman"/>
        <family val="1"/>
        <charset val="186"/>
      </rPr>
      <t>euro</t>
    </r>
    <r>
      <rPr>
        <sz val="12"/>
        <color theme="1"/>
        <rFont val="Times New Roman"/>
        <family val="1"/>
        <charset val="186"/>
      </rPr>
      <t xml:space="preserve">) = 12,70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</si>
  <si>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28,49 </t>
    </r>
    <r>
      <rPr>
        <i/>
        <sz val="12"/>
        <color theme="1"/>
        <rFont val="Times New Roman"/>
        <family val="1"/>
        <charset val="186"/>
      </rPr>
      <t>euro</t>
    </r>
    <r>
      <rPr>
        <sz val="12"/>
        <color theme="1"/>
        <rFont val="Times New Roman"/>
        <family val="1"/>
        <charset val="186"/>
      </rPr>
      <t xml:space="preserve">. Veselības apdrošināšana 12,70 </t>
    </r>
    <r>
      <rPr>
        <i/>
        <sz val="12"/>
        <color theme="1"/>
        <rFont val="Times New Roman"/>
        <family val="1"/>
        <charset val="186"/>
      </rPr>
      <t>euro</t>
    </r>
    <r>
      <rPr>
        <sz val="12"/>
        <color theme="1"/>
        <rFont val="Times New Roman"/>
        <family val="1"/>
        <charset val="186"/>
      </rPr>
      <t xml:space="preserve">. Kopā 41,19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</si>
  <si>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48,29 </t>
    </r>
    <r>
      <rPr>
        <i/>
        <sz val="12"/>
        <color theme="1"/>
        <rFont val="Times New Roman"/>
        <family val="1"/>
        <charset val="186"/>
      </rPr>
      <t>euro</t>
    </r>
    <r>
      <rPr>
        <sz val="12"/>
        <color theme="1"/>
        <rFont val="Times New Roman"/>
        <family val="1"/>
        <charset val="186"/>
      </rPr>
      <t xml:space="preserve"> * 23,59 % = 11,39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</si>
  <si>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0.0085 (iznomātās platības koeficients) = 49,96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</si>
  <si>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t>
    </r>
    <r>
      <rPr>
        <sz val="12"/>
        <color theme="1"/>
        <rFont val="Times New Roman"/>
        <family val="1"/>
        <charset val="186"/>
      </rPr>
      <t xml:space="preserve">/mēn. * 12 mēn. = 7 429,56 </t>
    </r>
    <r>
      <rPr>
        <i/>
        <sz val="12"/>
        <color theme="1"/>
        <rFont val="Times New Roman"/>
        <family val="1"/>
        <charset val="186"/>
      </rPr>
      <t>euro</t>
    </r>
    <r>
      <rPr>
        <sz val="12"/>
        <color theme="1"/>
        <rFont val="Times New Roman"/>
        <family val="1"/>
        <charset val="186"/>
      </rPr>
      <t xml:space="preserve"> * 0.0085 (iznomātās platības koeficients) = 63,15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</si>
  <si>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t>
    </r>
    <r>
      <rPr>
        <sz val="12"/>
        <color theme="1"/>
        <rFont val="Times New Roman"/>
        <family val="1"/>
        <charset val="186"/>
      </rPr>
      <t xml:space="preserve">/mēn. * 12 mēn. = 6 954,36 </t>
    </r>
    <r>
      <rPr>
        <i/>
        <sz val="12"/>
        <color theme="1"/>
        <rFont val="Times New Roman"/>
        <family val="1"/>
        <charset val="186"/>
      </rPr>
      <t>euro</t>
    </r>
    <r>
      <rPr>
        <sz val="12"/>
        <color theme="1"/>
        <rFont val="Times New Roman"/>
        <family val="1"/>
        <charset val="186"/>
      </rPr>
      <t xml:space="preserve"> * 0.0085 (iznomātās platības koeficients) = 59,11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</si>
  <si>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0.0085 (iznomātās platības koeficients) = 53,19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</si>
  <si>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0.0085 (iznomātās platības koeficients) = 28,48 </t>
    </r>
    <r>
      <rPr>
        <i/>
        <sz val="12"/>
        <color theme="1"/>
        <rFont val="Times New Roman"/>
        <family val="1"/>
        <charset val="186"/>
      </rPr>
      <t>euro</t>
    </r>
    <r>
      <rPr>
        <sz val="12"/>
        <color theme="1"/>
        <rFont val="Times New Roman"/>
        <family val="1"/>
        <charset val="186"/>
      </rPr>
      <t xml:space="preserve">. </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</si>
  <si>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0.0085 (iznomātās platības koeficients) = 1,46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</si>
  <si>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0.0085 (iznomātās platības koeficients) = 0,96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</si>
  <si>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0.0085 (iznomātās platības koeficients) = 1,40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</si>
  <si>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0.0085 (iznomātās platības koeficients) = 1,92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</si>
  <si>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0.0085 (iznomātās platības koeficients) = 1,35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</si>
  <si>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0.0085 (iznomātās platības koeficients) = 7,80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</si>
  <si>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0.0085 (iznomātās platības koeficients) = 8,15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</si>
  <si>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0.0085 (iznomātās platības koeficients) = 10,18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</si>
  <si>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0.0085 (iznomātās platības koeficients) = 12,08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</si>
  <si>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0.0085 (iznomātās platības koeficients) = 2,99 </t>
    </r>
    <r>
      <rPr>
        <i/>
        <sz val="12"/>
        <color theme="1"/>
        <rFont val="Times New Roman"/>
        <family val="1"/>
        <charset val="186"/>
      </rPr>
      <t>euro</t>
    </r>
    <r>
      <rPr>
        <sz val="12"/>
        <color theme="1"/>
        <rFont val="Times New Roman"/>
        <family val="1"/>
        <charset val="186"/>
      </rPr>
      <t>.</t>
    </r>
  </si>
  <si>
    <r>
      <t xml:space="preserve">Galv. nekust. īpaš. pārvaldnieks (154,58 </t>
    </r>
    <r>
      <rPr>
        <i/>
        <sz val="12"/>
        <color theme="1"/>
        <rFont val="Times New Roman"/>
        <family val="1"/>
        <charset val="186"/>
      </rPr>
      <t>euro</t>
    </r>
    <r>
      <rPr>
        <sz val="12"/>
        <color theme="1"/>
        <rFont val="Times New Roman"/>
        <family val="1"/>
        <charset val="186"/>
      </rPr>
      <t xml:space="preserve"> * 10%) = 15,46 </t>
    </r>
    <r>
      <rPr>
        <i/>
        <sz val="12"/>
        <color theme="1"/>
        <rFont val="Times New Roman"/>
        <family val="1"/>
        <charset val="186"/>
      </rPr>
      <t>euro</t>
    </r>
    <r>
      <rPr>
        <sz val="12"/>
        <color theme="1"/>
        <rFont val="Times New Roman"/>
        <family val="1"/>
        <charset val="186"/>
      </rPr>
      <t xml:space="preserve">, Saimniecības pārzinis (195,40 </t>
    </r>
    <r>
      <rPr>
        <i/>
        <sz val="12"/>
        <color theme="1"/>
        <rFont val="Times New Roman"/>
        <family val="1"/>
        <charset val="186"/>
      </rPr>
      <t>euro</t>
    </r>
    <r>
      <rPr>
        <sz val="12"/>
        <color theme="1"/>
        <rFont val="Times New Roman"/>
        <family val="1"/>
        <charset val="186"/>
      </rPr>
      <t xml:space="preserve"> * 10%) = 19,54 </t>
    </r>
    <r>
      <rPr>
        <i/>
        <sz val="12"/>
        <color theme="1"/>
        <rFont val="Times New Roman"/>
        <family val="1"/>
        <charset val="186"/>
      </rPr>
      <t>euro</t>
    </r>
    <r>
      <rPr>
        <sz val="12"/>
        <color theme="1"/>
        <rFont val="Times New Roman"/>
        <family val="1"/>
        <charset val="186"/>
      </rPr>
      <t xml:space="preserve">, Istabene (182,90 </t>
    </r>
    <r>
      <rPr>
        <i/>
        <sz val="12"/>
        <color theme="1"/>
        <rFont val="Times New Roman"/>
        <family val="1"/>
        <charset val="186"/>
      </rPr>
      <t>euro</t>
    </r>
    <r>
      <rPr>
        <sz val="12"/>
        <color theme="1"/>
        <rFont val="Times New Roman"/>
        <family val="1"/>
        <charset val="186"/>
      </rPr>
      <t xml:space="preserve"> * 10%) = 18,29 </t>
    </r>
    <r>
      <rPr>
        <i/>
        <sz val="12"/>
        <color theme="1"/>
        <rFont val="Times New Roman"/>
        <family val="1"/>
        <charset val="186"/>
      </rPr>
      <t>euro</t>
    </r>
    <r>
      <rPr>
        <sz val="12"/>
        <color theme="1"/>
        <rFont val="Times New Roman"/>
        <family val="1"/>
        <charset val="186"/>
      </rPr>
      <t xml:space="preserve">, Apkopēja (164,59 </t>
    </r>
    <r>
      <rPr>
        <i/>
        <sz val="12"/>
        <color theme="1"/>
        <rFont val="Times New Roman"/>
        <family val="1"/>
        <charset val="186"/>
      </rPr>
      <t>euro</t>
    </r>
    <r>
      <rPr>
        <sz val="12"/>
        <color theme="1"/>
        <rFont val="Times New Roman"/>
        <family val="1"/>
        <charset val="186"/>
      </rPr>
      <t xml:space="preserve"> * 10%) = 16,46 </t>
    </r>
    <r>
      <rPr>
        <i/>
        <sz val="12"/>
        <color theme="1"/>
        <rFont val="Times New Roman"/>
        <family val="1"/>
        <charset val="186"/>
      </rPr>
      <t>euro</t>
    </r>
    <r>
      <rPr>
        <sz val="12"/>
        <color theme="1"/>
        <rFont val="Times New Roman"/>
        <family val="1"/>
        <charset val="186"/>
      </rPr>
      <t xml:space="preserve">, Sētnieks (88,12 </t>
    </r>
    <r>
      <rPr>
        <i/>
        <sz val="12"/>
        <color theme="1"/>
        <rFont val="Times New Roman"/>
        <family val="1"/>
        <charset val="186"/>
      </rPr>
      <t>euro</t>
    </r>
    <r>
      <rPr>
        <sz val="12"/>
        <color theme="1"/>
        <rFont val="Times New Roman"/>
        <family val="1"/>
        <charset val="186"/>
      </rPr>
      <t xml:space="preserve"> * 10%) = 8,81 </t>
    </r>
    <r>
      <rPr>
        <i/>
        <sz val="12"/>
        <color theme="1"/>
        <rFont val="Times New Roman"/>
        <family val="1"/>
        <charset val="186"/>
      </rPr>
      <t>euro</t>
    </r>
    <r>
      <rPr>
        <sz val="12"/>
        <color theme="1"/>
        <rFont val="Times New Roman"/>
        <family val="1"/>
        <charset val="186"/>
      </rPr>
      <t xml:space="preserve">. Kopā (15,46 </t>
    </r>
    <r>
      <rPr>
        <i/>
        <sz val="12"/>
        <color theme="1"/>
        <rFont val="Times New Roman"/>
        <family val="1"/>
        <charset val="186"/>
      </rPr>
      <t>euro</t>
    </r>
    <r>
      <rPr>
        <sz val="12"/>
        <color theme="1"/>
        <rFont val="Times New Roman"/>
        <family val="1"/>
        <charset val="186"/>
      </rPr>
      <t xml:space="preserve"> + 19,54 </t>
    </r>
    <r>
      <rPr>
        <i/>
        <sz val="12"/>
        <color theme="1"/>
        <rFont val="Times New Roman"/>
        <family val="1"/>
        <charset val="186"/>
      </rPr>
      <t>euro</t>
    </r>
    <r>
      <rPr>
        <sz val="12"/>
        <color theme="1"/>
        <rFont val="Times New Roman"/>
        <family val="1"/>
        <charset val="186"/>
      </rPr>
      <t xml:space="preserve"> + 18,29 </t>
    </r>
    <r>
      <rPr>
        <i/>
        <sz val="12"/>
        <color theme="1"/>
        <rFont val="Times New Roman"/>
        <family val="1"/>
        <charset val="186"/>
      </rPr>
      <t>euro</t>
    </r>
    <r>
      <rPr>
        <sz val="12"/>
        <color theme="1"/>
        <rFont val="Times New Roman"/>
        <family val="1"/>
        <charset val="186"/>
      </rPr>
      <t xml:space="preserve"> + 16,46 </t>
    </r>
    <r>
      <rPr>
        <i/>
        <sz val="12"/>
        <color theme="1"/>
        <rFont val="Times New Roman"/>
        <family val="1"/>
        <charset val="186"/>
      </rPr>
      <t>euro</t>
    </r>
    <r>
      <rPr>
        <sz val="12"/>
        <color theme="1"/>
        <rFont val="Times New Roman"/>
        <family val="1"/>
        <charset val="186"/>
      </rPr>
      <t xml:space="preserve"> + 8,81 </t>
    </r>
    <r>
      <rPr>
        <i/>
        <sz val="12"/>
        <color theme="1"/>
        <rFont val="Times New Roman"/>
        <family val="1"/>
        <charset val="186"/>
      </rPr>
      <t>euro</t>
    </r>
    <r>
      <rPr>
        <sz val="12"/>
        <color theme="1"/>
        <rFont val="Times New Roman"/>
        <family val="1"/>
        <charset val="186"/>
      </rPr>
      <t xml:space="preserve">) = 78,56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</si>
  <si>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(864,15 </t>
    </r>
    <r>
      <rPr>
        <i/>
        <sz val="12"/>
        <color theme="1"/>
        <rFont val="Times New Roman"/>
        <family val="1"/>
        <charset val="186"/>
      </rPr>
      <t>euro</t>
    </r>
    <r>
      <rPr>
        <sz val="12"/>
        <color theme="1"/>
        <rFont val="Times New Roman"/>
        <family val="1"/>
        <charset val="186"/>
      </rPr>
      <t xml:space="preserve"> * 23,59 %) = 203,85 </t>
    </r>
    <r>
      <rPr>
        <i/>
        <sz val="12"/>
        <color theme="1"/>
        <rFont val="Times New Roman"/>
        <family val="1"/>
        <charset val="186"/>
      </rPr>
      <t xml:space="preserve">euro. </t>
    </r>
  </si>
  <si>
    <r>
      <t xml:space="preserve">Galv. nekust. īpaš. pārvaldnieks (154,58 </t>
    </r>
    <r>
      <rPr>
        <i/>
        <sz val="12"/>
        <color theme="1"/>
        <rFont val="Times New Roman"/>
        <family val="1"/>
        <charset val="186"/>
      </rPr>
      <t>euro</t>
    </r>
    <r>
      <rPr>
        <sz val="12"/>
        <color theme="1"/>
        <rFont val="Times New Roman"/>
        <family val="1"/>
        <charset val="186"/>
      </rPr>
      <t xml:space="preserve"> * 5%) = 7,73 </t>
    </r>
    <r>
      <rPr>
        <i/>
        <sz val="12"/>
        <color theme="1"/>
        <rFont val="Times New Roman"/>
        <family val="1"/>
        <charset val="186"/>
      </rPr>
      <t>euro</t>
    </r>
    <r>
      <rPr>
        <sz val="12"/>
        <color theme="1"/>
        <rFont val="Times New Roman"/>
        <family val="1"/>
        <charset val="186"/>
      </rPr>
      <t xml:space="preserve">, Saimniecības pārzinis (195,40 </t>
    </r>
    <r>
      <rPr>
        <i/>
        <sz val="12"/>
        <color theme="1"/>
        <rFont val="Times New Roman"/>
        <family val="1"/>
        <charset val="186"/>
      </rPr>
      <t>euro</t>
    </r>
    <r>
      <rPr>
        <sz val="12"/>
        <color theme="1"/>
        <rFont val="Times New Roman"/>
        <family val="1"/>
        <charset val="186"/>
      </rPr>
      <t xml:space="preserve"> * 5%) = 9,77 </t>
    </r>
    <r>
      <rPr>
        <i/>
        <sz val="12"/>
        <color theme="1"/>
        <rFont val="Times New Roman"/>
        <family val="1"/>
        <charset val="186"/>
      </rPr>
      <t>euro</t>
    </r>
    <r>
      <rPr>
        <sz val="12"/>
        <color theme="1"/>
        <rFont val="Times New Roman"/>
        <family val="1"/>
        <charset val="186"/>
      </rPr>
      <t xml:space="preserve">,  Istabene (182,90 </t>
    </r>
    <r>
      <rPr>
        <i/>
        <sz val="12"/>
        <color theme="1"/>
        <rFont val="Times New Roman"/>
        <family val="1"/>
        <charset val="186"/>
      </rPr>
      <t>euro</t>
    </r>
    <r>
      <rPr>
        <sz val="12"/>
        <color theme="1"/>
        <rFont val="Times New Roman"/>
        <family val="1"/>
        <charset val="186"/>
      </rPr>
      <t xml:space="preserve"> * 5%) = 9,15 </t>
    </r>
    <r>
      <rPr>
        <i/>
        <sz val="12"/>
        <color theme="1"/>
        <rFont val="Times New Roman"/>
        <family val="1"/>
        <charset val="186"/>
      </rPr>
      <t>euro</t>
    </r>
    <r>
      <rPr>
        <sz val="12"/>
        <color theme="1"/>
        <rFont val="Times New Roman"/>
        <family val="1"/>
        <charset val="186"/>
      </rPr>
      <t xml:space="preserve">,  Apkopēja (164,59 </t>
    </r>
    <r>
      <rPr>
        <i/>
        <sz val="12"/>
        <color theme="1"/>
        <rFont val="Times New Roman"/>
        <family val="1"/>
        <charset val="186"/>
      </rPr>
      <t>euro</t>
    </r>
    <r>
      <rPr>
        <sz val="12"/>
        <color theme="1"/>
        <rFont val="Times New Roman"/>
        <family val="1"/>
        <charset val="186"/>
      </rPr>
      <t xml:space="preserve"> * 5%) = 8,23 </t>
    </r>
    <r>
      <rPr>
        <i/>
        <sz val="12"/>
        <color theme="1"/>
        <rFont val="Times New Roman"/>
        <family val="1"/>
        <charset val="186"/>
      </rPr>
      <t>euro</t>
    </r>
    <r>
      <rPr>
        <sz val="12"/>
        <color theme="1"/>
        <rFont val="Times New Roman"/>
        <family val="1"/>
        <charset val="186"/>
      </rPr>
      <t xml:space="preserve">, Sētnieks (87,33 </t>
    </r>
    <r>
      <rPr>
        <i/>
        <sz val="12"/>
        <color theme="1"/>
        <rFont val="Times New Roman"/>
        <family val="1"/>
        <charset val="186"/>
      </rPr>
      <t>euro</t>
    </r>
    <r>
      <rPr>
        <sz val="12"/>
        <color theme="1"/>
        <rFont val="Times New Roman"/>
        <family val="1"/>
        <charset val="186"/>
      </rPr>
      <t xml:space="preserve"> * 5%) = 4,37 </t>
    </r>
    <r>
      <rPr>
        <i/>
        <sz val="12"/>
        <color theme="1"/>
        <rFont val="Times New Roman"/>
        <family val="1"/>
        <charset val="186"/>
      </rPr>
      <t>euro</t>
    </r>
    <r>
      <rPr>
        <sz val="12"/>
        <color theme="1"/>
        <rFont val="Times New Roman"/>
        <family val="1"/>
        <charset val="186"/>
      </rPr>
      <t xml:space="preserve">. Kopā (7,73 </t>
    </r>
    <r>
      <rPr>
        <i/>
        <sz val="12"/>
        <color theme="1"/>
        <rFont val="Times New Roman"/>
        <family val="1"/>
        <charset val="186"/>
      </rPr>
      <t>euro</t>
    </r>
    <r>
      <rPr>
        <sz val="12"/>
        <color theme="1"/>
        <rFont val="Times New Roman"/>
        <family val="1"/>
        <charset val="186"/>
      </rPr>
      <t xml:space="preserve"> + 9,77 </t>
    </r>
    <r>
      <rPr>
        <i/>
        <sz val="12"/>
        <color theme="1"/>
        <rFont val="Times New Roman"/>
        <family val="1"/>
        <charset val="186"/>
      </rPr>
      <t>euro</t>
    </r>
    <r>
      <rPr>
        <sz val="12"/>
        <color theme="1"/>
        <rFont val="Times New Roman"/>
        <family val="1"/>
        <charset val="186"/>
      </rPr>
      <t xml:space="preserve"> + 9,15 </t>
    </r>
    <r>
      <rPr>
        <i/>
        <sz val="12"/>
        <color theme="1"/>
        <rFont val="Times New Roman"/>
        <family val="1"/>
        <charset val="186"/>
      </rPr>
      <t>euro</t>
    </r>
    <r>
      <rPr>
        <sz val="12"/>
        <color theme="1"/>
        <rFont val="Times New Roman"/>
        <family val="1"/>
        <charset val="186"/>
      </rPr>
      <t xml:space="preserve"> + 8,23 </t>
    </r>
    <r>
      <rPr>
        <i/>
        <sz val="12"/>
        <color theme="1"/>
        <rFont val="Times New Roman"/>
        <family val="1"/>
        <charset val="186"/>
      </rPr>
      <t>euro</t>
    </r>
    <r>
      <rPr>
        <sz val="12"/>
        <color theme="1"/>
        <rFont val="Times New Roman"/>
        <family val="1"/>
        <charset val="186"/>
      </rPr>
      <t xml:space="preserve"> + 4,37 </t>
    </r>
    <r>
      <rPr>
        <i/>
        <sz val="12"/>
        <color theme="1"/>
        <rFont val="Times New Roman"/>
        <family val="1"/>
        <charset val="186"/>
      </rPr>
      <t>euro</t>
    </r>
    <r>
      <rPr>
        <sz val="12"/>
        <color theme="1"/>
        <rFont val="Times New Roman"/>
        <family val="1"/>
        <charset val="186"/>
      </rPr>
      <t xml:space="preserve">) = 39,25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</si>
  <si>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0.0263 (iznomātās platības koeficients) = 154,58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</si>
  <si>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t>
    </r>
    <r>
      <rPr>
        <sz val="12"/>
        <color theme="1"/>
        <rFont val="Times New Roman"/>
        <family val="1"/>
        <charset val="186"/>
      </rPr>
      <t xml:space="preserve">/mēn. * 12 mēn. = 7 429,56 </t>
    </r>
    <r>
      <rPr>
        <i/>
        <sz val="12"/>
        <color theme="1"/>
        <rFont val="Times New Roman"/>
        <family val="1"/>
        <charset val="186"/>
      </rPr>
      <t>euro</t>
    </r>
    <r>
      <rPr>
        <sz val="12"/>
        <color theme="1"/>
        <rFont val="Times New Roman"/>
        <family val="1"/>
        <charset val="186"/>
      </rPr>
      <t xml:space="preserve"> * 0.0263 (iznomātās platības koeficients) = 195,40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</si>
  <si>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t>
    </r>
    <r>
      <rPr>
        <sz val="12"/>
        <color theme="1"/>
        <rFont val="Times New Roman"/>
        <family val="1"/>
        <charset val="186"/>
      </rPr>
      <t xml:space="preserve">/mēn. * 12 mēn. = 6 954,36 </t>
    </r>
    <r>
      <rPr>
        <i/>
        <sz val="12"/>
        <color theme="1"/>
        <rFont val="Times New Roman"/>
        <family val="1"/>
        <charset val="186"/>
      </rPr>
      <t>euro</t>
    </r>
    <r>
      <rPr>
        <sz val="12"/>
        <color theme="1"/>
        <rFont val="Times New Roman"/>
        <family val="1"/>
        <charset val="186"/>
      </rPr>
      <t xml:space="preserve"> * 0.0263 (iznomātās platības koeficients) = 182,90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</si>
  <si>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0.0263 ((iznomātās platības koeficients) = 164,59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</si>
  <si>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0.0263 (iznomātās platības koeficients)  = 88,12 </t>
    </r>
    <r>
      <rPr>
        <i/>
        <sz val="12"/>
        <color theme="1"/>
        <rFont val="Times New Roman"/>
        <family val="1"/>
        <charset val="186"/>
      </rPr>
      <t>euro</t>
    </r>
    <r>
      <rPr>
        <sz val="12"/>
        <color theme="1"/>
        <rFont val="Times New Roman"/>
        <family val="1"/>
        <charset val="186"/>
      </rPr>
      <t xml:space="preserve">. </t>
    </r>
  </si>
  <si>
    <r>
      <t xml:space="preserve">Darba devēja valsts sociālās apdrošināšanas obligātās iemaksas 203,85 </t>
    </r>
    <r>
      <rPr>
        <i/>
        <sz val="12"/>
        <color theme="1"/>
        <rFont val="Times New Roman"/>
        <family val="1"/>
        <charset val="186"/>
      </rPr>
      <t>euro</t>
    </r>
    <r>
      <rPr>
        <sz val="12"/>
        <color theme="1"/>
        <rFont val="Times New Roman"/>
        <family val="1"/>
        <charset val="186"/>
      </rPr>
      <t xml:space="preserve">. Veselības apdrošināšana 39,25 </t>
    </r>
    <r>
      <rPr>
        <i/>
        <sz val="12"/>
        <color theme="1"/>
        <rFont val="Times New Roman"/>
        <family val="1"/>
        <charset val="186"/>
      </rPr>
      <t>euro</t>
    </r>
    <r>
      <rPr>
        <sz val="12"/>
        <color theme="1"/>
        <rFont val="Times New Roman"/>
        <family val="1"/>
        <charset val="186"/>
      </rPr>
      <t xml:space="preserve">. Kopā 243,10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</si>
  <si>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149,42 </t>
    </r>
    <r>
      <rPr>
        <i/>
        <sz val="12"/>
        <color theme="1"/>
        <rFont val="Times New Roman"/>
        <family val="1"/>
        <charset val="186"/>
      </rPr>
      <t>euro</t>
    </r>
    <r>
      <rPr>
        <sz val="12"/>
        <color theme="1"/>
        <rFont val="Times New Roman"/>
        <family val="1"/>
        <charset val="186"/>
      </rPr>
      <t xml:space="preserve"> * 23,59 % = 35,25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</si>
  <si>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0.0263 (iznomātās platības koeficients) = 4,53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</si>
  <si>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0.0263 (iznomātās platības koeficients) = 2,97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</si>
  <si>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0.0263 (iznomātās platības koeficients) = 4,34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</si>
  <si>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0.0263 (iznomātās platības koeficients) = 5,93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</si>
  <si>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0.0263 (iznomātās platības koeficients) = 4,19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</si>
  <si>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0.0263  (iznomātās platības koeficients) = 24,12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</si>
  <si>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0.0263 (iznomātās platības koeficients) = 25,21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</si>
  <si>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0.0263 (iznomātās platības koeficients) = 31,50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</si>
  <si>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0.0263 (iznomātās platības koeficients) = 37,37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</si>
  <si>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0.0263 (iznomātās platības koeficients) = 9,26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</si>
  <si>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euro). Stundas tarifa likme 8,20 euro = 1 358 euro/ 165.58 (vid. d. stundu sk. mēnesī). Vid. mēn. noslogojums 59.73 stundas, (8,20 euro * 59.73 h) = 489,79 euro/mēn. * 12 mēn. = 5 877,48 euro * 0.3646 (iznomātās platības koeficients) = 2 142,93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</si>
  <si>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euro). Stundas tarifa likme 5,42 euro = 897 euro / 165.58 (vid. d. stundu sk. mēnesī). Vid. mēn. noslogojums 114.23 stundas, (5,42 euro * 114.23 h) = 619,13 euro/mēn. * 12 mēn. = 7 429,56 euro * 0.3646 (iznomātās platības koeficients) = 2 708,82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</si>
  <si>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euro). Stundas tarifa likme 4,59 euro = 760 euro / 165.58 (vid. d. stundu sk. mēnesī). Vid. mēn. noslogojums 126.26 stundas, (4,59 euro * 126.26 h) = 579,53 euro/mēn. * 12 mēn. = 6 954,36 euro * 0.3646 (iznomātās platības koeficients) = 2 535,56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</si>
  <si>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euro). Stundas tarifa likme 4,47 euro = 739 euro / 165.58 (vid. d. stundu sk. mēnesī). Vid. mēn. noslogojums 116.67 stundas, (4,47 euro * 116.67 h) = 521,51 euro/mēn. * 12 mēn. = 6 258,12 euro * 0.3646 (iznomātās platības koeficients) = 2 281,71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</si>
  <si>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euro). Stundas tarifa likme 4,47 euro = 740 euro / 165.58 (vid. d. stundu sk. mēnesī). Vid. mēn. noslogojums 62.46 stundas, (4,47 euro * 62.46 h) = 279,20 euro/mēn. * 12 mēn. = 3 350,40 euro * 0.3646 (iznomātās platības koeficients) = 1 221,56 </t>
    </r>
    <r>
      <rPr>
        <i/>
        <sz val="12"/>
        <color theme="1"/>
        <rFont val="Times New Roman"/>
        <family val="1"/>
        <charset val="186"/>
      </rPr>
      <t>euro</t>
    </r>
    <r>
      <rPr>
        <sz val="12"/>
        <color theme="1"/>
        <rFont val="Times New Roman"/>
        <family val="1"/>
        <charset val="186"/>
      </rPr>
      <t xml:space="preserve">. </t>
    </r>
  </si>
  <si>
    <r>
      <t xml:space="preserve">Galv. nekust. īpaš. pārvaldnieks (2 142,93 </t>
    </r>
    <r>
      <rPr>
        <i/>
        <sz val="12"/>
        <color theme="1"/>
        <rFont val="Times New Roman"/>
        <family val="1"/>
        <charset val="186"/>
      </rPr>
      <t>euro</t>
    </r>
    <r>
      <rPr>
        <sz val="12"/>
        <color theme="1"/>
        <rFont val="Times New Roman"/>
        <family val="1"/>
        <charset val="186"/>
      </rPr>
      <t xml:space="preserve"> * 10%) = 214,29 </t>
    </r>
    <r>
      <rPr>
        <i/>
        <sz val="12"/>
        <color theme="1"/>
        <rFont val="Times New Roman"/>
        <family val="1"/>
        <charset val="186"/>
      </rPr>
      <t>euro</t>
    </r>
    <r>
      <rPr>
        <sz val="12"/>
        <color theme="1"/>
        <rFont val="Times New Roman"/>
        <family val="1"/>
        <charset val="186"/>
      </rPr>
      <t xml:space="preserve">, Saimniecības pārzinis (2 708,82 </t>
    </r>
    <r>
      <rPr>
        <i/>
        <sz val="12"/>
        <color theme="1"/>
        <rFont val="Times New Roman"/>
        <family val="1"/>
        <charset val="186"/>
      </rPr>
      <t>euro</t>
    </r>
    <r>
      <rPr>
        <sz val="12"/>
        <color theme="1"/>
        <rFont val="Times New Roman"/>
        <family val="1"/>
        <charset val="186"/>
      </rPr>
      <t xml:space="preserve"> * 10%) = 270,88 </t>
    </r>
    <r>
      <rPr>
        <i/>
        <sz val="12"/>
        <color theme="1"/>
        <rFont val="Times New Roman"/>
        <family val="1"/>
        <charset val="186"/>
      </rPr>
      <t>euro</t>
    </r>
    <r>
      <rPr>
        <sz val="12"/>
        <color theme="1"/>
        <rFont val="Times New Roman"/>
        <family val="1"/>
        <charset val="186"/>
      </rPr>
      <t xml:space="preserve">, Istabene (2 535,56 </t>
    </r>
    <r>
      <rPr>
        <i/>
        <sz val="12"/>
        <color theme="1"/>
        <rFont val="Times New Roman"/>
        <family val="1"/>
        <charset val="186"/>
      </rPr>
      <t>euro</t>
    </r>
    <r>
      <rPr>
        <sz val="12"/>
        <color theme="1"/>
        <rFont val="Times New Roman"/>
        <family val="1"/>
        <charset val="186"/>
      </rPr>
      <t xml:space="preserve"> * 10%) = 253,56 </t>
    </r>
    <r>
      <rPr>
        <i/>
        <sz val="12"/>
        <color theme="1"/>
        <rFont val="Times New Roman"/>
        <family val="1"/>
        <charset val="186"/>
      </rPr>
      <t>euro</t>
    </r>
    <r>
      <rPr>
        <sz val="12"/>
        <color theme="1"/>
        <rFont val="Times New Roman"/>
        <family val="1"/>
        <charset val="186"/>
      </rPr>
      <t xml:space="preserve">, Apkopēja (2 281,71 </t>
    </r>
    <r>
      <rPr>
        <i/>
        <sz val="12"/>
        <color theme="1"/>
        <rFont val="Times New Roman"/>
        <family val="1"/>
        <charset val="186"/>
      </rPr>
      <t>euro</t>
    </r>
    <r>
      <rPr>
        <sz val="12"/>
        <color theme="1"/>
        <rFont val="Times New Roman"/>
        <family val="1"/>
        <charset val="186"/>
      </rPr>
      <t xml:space="preserve"> * 10%) = 228,17 </t>
    </r>
    <r>
      <rPr>
        <i/>
        <sz val="12"/>
        <color theme="1"/>
        <rFont val="Times New Roman"/>
        <family val="1"/>
        <charset val="186"/>
      </rPr>
      <t>euro</t>
    </r>
    <r>
      <rPr>
        <sz val="12"/>
        <color theme="1"/>
        <rFont val="Times New Roman"/>
        <family val="1"/>
        <charset val="186"/>
      </rPr>
      <t xml:space="preserve">, Sētnieks (1 221,56 </t>
    </r>
    <r>
      <rPr>
        <i/>
        <sz val="12"/>
        <color theme="1"/>
        <rFont val="Times New Roman"/>
        <family val="1"/>
        <charset val="186"/>
      </rPr>
      <t>euro</t>
    </r>
    <r>
      <rPr>
        <sz val="12"/>
        <color theme="1"/>
        <rFont val="Times New Roman"/>
        <family val="1"/>
        <charset val="186"/>
      </rPr>
      <t xml:space="preserve"> * 10%) = 122,16 </t>
    </r>
    <r>
      <rPr>
        <i/>
        <sz val="12"/>
        <color theme="1"/>
        <rFont val="Times New Roman"/>
        <family val="1"/>
        <charset val="186"/>
      </rPr>
      <t>euro</t>
    </r>
    <r>
      <rPr>
        <sz val="12"/>
        <color theme="1"/>
        <rFont val="Times New Roman"/>
        <family val="1"/>
        <charset val="186"/>
      </rPr>
      <t xml:space="preserve">. Kopā (214,29 </t>
    </r>
    <r>
      <rPr>
        <i/>
        <sz val="12"/>
        <color theme="1"/>
        <rFont val="Times New Roman"/>
        <family val="1"/>
        <charset val="186"/>
      </rPr>
      <t>euro</t>
    </r>
    <r>
      <rPr>
        <sz val="12"/>
        <color theme="1"/>
        <rFont val="Times New Roman"/>
        <family val="1"/>
        <charset val="186"/>
      </rPr>
      <t xml:space="preserve"> + 270,88 </t>
    </r>
    <r>
      <rPr>
        <i/>
        <sz val="12"/>
        <color theme="1"/>
        <rFont val="Times New Roman"/>
        <family val="1"/>
        <charset val="186"/>
      </rPr>
      <t>euro</t>
    </r>
    <r>
      <rPr>
        <sz val="12"/>
        <color theme="1"/>
        <rFont val="Times New Roman"/>
        <family val="1"/>
        <charset val="186"/>
      </rPr>
      <t xml:space="preserve"> + 253,56 </t>
    </r>
    <r>
      <rPr>
        <i/>
        <sz val="12"/>
        <color theme="1"/>
        <rFont val="Times New Roman"/>
        <family val="1"/>
        <charset val="186"/>
      </rPr>
      <t>euro</t>
    </r>
    <r>
      <rPr>
        <sz val="12"/>
        <color theme="1"/>
        <rFont val="Times New Roman"/>
        <family val="1"/>
        <charset val="186"/>
      </rPr>
      <t xml:space="preserve"> + 228,17 </t>
    </r>
    <r>
      <rPr>
        <i/>
        <sz val="12"/>
        <color theme="1"/>
        <rFont val="Times New Roman"/>
        <family val="1"/>
        <charset val="186"/>
      </rPr>
      <t>euro</t>
    </r>
    <r>
      <rPr>
        <sz val="12"/>
        <color theme="1"/>
        <rFont val="Times New Roman"/>
        <family val="1"/>
        <charset val="186"/>
      </rPr>
      <t xml:space="preserve"> + 122,16 </t>
    </r>
    <r>
      <rPr>
        <i/>
        <sz val="12"/>
        <color theme="1"/>
        <rFont val="Times New Roman"/>
        <family val="1"/>
        <charset val="186"/>
      </rPr>
      <t>euro</t>
    </r>
    <r>
      <rPr>
        <sz val="12"/>
        <color theme="1"/>
        <rFont val="Times New Roman"/>
        <family val="1"/>
        <charset val="186"/>
      </rPr>
      <t xml:space="preserve">) = 1 089,06 </t>
    </r>
    <r>
      <rPr>
        <i/>
        <sz val="12"/>
        <color theme="1"/>
        <rFont val="Times New Roman"/>
        <family val="1"/>
        <charset val="186"/>
      </rPr>
      <t>euro</t>
    </r>
    <r>
      <rPr>
        <sz val="12"/>
        <color theme="1"/>
        <rFont val="Times New Roman"/>
        <family val="1"/>
        <charset val="186"/>
      </rPr>
      <t>.</t>
    </r>
  </si>
  <si>
    <r>
      <t xml:space="preserve">Galv. nekust. īpaš. pārvaldnieks (2 142,93 </t>
    </r>
    <r>
      <rPr>
        <i/>
        <sz val="12"/>
        <color theme="1"/>
        <rFont val="Times New Roman"/>
        <family val="1"/>
        <charset val="186"/>
      </rPr>
      <t>euro</t>
    </r>
    <r>
      <rPr>
        <sz val="12"/>
        <color theme="1"/>
        <rFont val="Times New Roman"/>
        <family val="1"/>
        <charset val="186"/>
      </rPr>
      <t xml:space="preserve"> * 5%) = 107,15 </t>
    </r>
    <r>
      <rPr>
        <i/>
        <sz val="12"/>
        <color theme="1"/>
        <rFont val="Times New Roman"/>
        <family val="1"/>
        <charset val="186"/>
      </rPr>
      <t>euro</t>
    </r>
    <r>
      <rPr>
        <sz val="12"/>
        <color theme="1"/>
        <rFont val="Times New Roman"/>
        <family val="1"/>
        <charset val="186"/>
      </rPr>
      <t xml:space="preserve">, Saimniecības pārzinis (2 708,82 </t>
    </r>
    <r>
      <rPr>
        <i/>
        <sz val="12"/>
        <color theme="1"/>
        <rFont val="Times New Roman"/>
        <family val="1"/>
        <charset val="186"/>
      </rPr>
      <t>euro</t>
    </r>
    <r>
      <rPr>
        <sz val="12"/>
        <color theme="1"/>
        <rFont val="Times New Roman"/>
        <family val="1"/>
        <charset val="186"/>
      </rPr>
      <t xml:space="preserve"> * 5%) = 135,44 </t>
    </r>
    <r>
      <rPr>
        <i/>
        <sz val="12"/>
        <color theme="1"/>
        <rFont val="Times New Roman"/>
        <family val="1"/>
        <charset val="186"/>
      </rPr>
      <t>euro</t>
    </r>
    <r>
      <rPr>
        <sz val="12"/>
        <color theme="1"/>
        <rFont val="Times New Roman"/>
        <family val="1"/>
        <charset val="186"/>
      </rPr>
      <t xml:space="preserve">, Istabene (2 535,56 </t>
    </r>
    <r>
      <rPr>
        <i/>
        <sz val="12"/>
        <color theme="1"/>
        <rFont val="Times New Roman"/>
        <family val="1"/>
        <charset val="186"/>
      </rPr>
      <t>euro</t>
    </r>
    <r>
      <rPr>
        <sz val="12"/>
        <color theme="1"/>
        <rFont val="Times New Roman"/>
        <family val="1"/>
        <charset val="186"/>
      </rPr>
      <t xml:space="preserve"> * 5%) = 126,78 </t>
    </r>
    <r>
      <rPr>
        <i/>
        <sz val="12"/>
        <color theme="1"/>
        <rFont val="Times New Roman"/>
        <family val="1"/>
        <charset val="186"/>
      </rPr>
      <t>euro</t>
    </r>
    <r>
      <rPr>
        <sz val="12"/>
        <color theme="1"/>
        <rFont val="Times New Roman"/>
        <family val="1"/>
        <charset val="186"/>
      </rPr>
      <t xml:space="preserve">, Apkopēja (2 281,71 </t>
    </r>
    <r>
      <rPr>
        <i/>
        <sz val="12"/>
        <color theme="1"/>
        <rFont val="Times New Roman"/>
        <family val="1"/>
        <charset val="186"/>
      </rPr>
      <t>euro</t>
    </r>
    <r>
      <rPr>
        <sz val="12"/>
        <color theme="1"/>
        <rFont val="Times New Roman"/>
        <family val="1"/>
        <charset val="186"/>
      </rPr>
      <t xml:space="preserve"> * 5%) = 114,09 </t>
    </r>
    <r>
      <rPr>
        <i/>
        <sz val="12"/>
        <color theme="1"/>
        <rFont val="Times New Roman"/>
        <family val="1"/>
        <charset val="186"/>
      </rPr>
      <t>euro</t>
    </r>
    <r>
      <rPr>
        <sz val="12"/>
        <color theme="1"/>
        <rFont val="Times New Roman"/>
        <family val="1"/>
        <charset val="186"/>
      </rPr>
      <t xml:space="preserve">, Sētnieks (1 221,56 </t>
    </r>
    <r>
      <rPr>
        <i/>
        <sz val="12"/>
        <color theme="1"/>
        <rFont val="Times New Roman"/>
        <family val="1"/>
        <charset val="186"/>
      </rPr>
      <t>euro</t>
    </r>
    <r>
      <rPr>
        <sz val="12"/>
        <color theme="1"/>
        <rFont val="Times New Roman"/>
        <family val="1"/>
        <charset val="186"/>
      </rPr>
      <t xml:space="preserve"> * 5%) = 61,08 </t>
    </r>
    <r>
      <rPr>
        <i/>
        <sz val="12"/>
        <color theme="1"/>
        <rFont val="Times New Roman"/>
        <family val="1"/>
        <charset val="186"/>
      </rPr>
      <t>euro</t>
    </r>
    <r>
      <rPr>
        <sz val="12"/>
        <color theme="1"/>
        <rFont val="Times New Roman"/>
        <family val="1"/>
        <charset val="186"/>
      </rPr>
      <t xml:space="preserve">. Kopā (107,15 </t>
    </r>
    <r>
      <rPr>
        <i/>
        <sz val="12"/>
        <color theme="1"/>
        <rFont val="Times New Roman"/>
        <family val="1"/>
        <charset val="186"/>
      </rPr>
      <t>euro</t>
    </r>
    <r>
      <rPr>
        <sz val="12"/>
        <color theme="1"/>
        <rFont val="Times New Roman"/>
        <family val="1"/>
        <charset val="186"/>
      </rPr>
      <t xml:space="preserve"> + 135,44 </t>
    </r>
    <r>
      <rPr>
        <i/>
        <sz val="12"/>
        <color theme="1"/>
        <rFont val="Times New Roman"/>
        <family val="1"/>
        <charset val="186"/>
      </rPr>
      <t>euro</t>
    </r>
    <r>
      <rPr>
        <sz val="12"/>
        <color theme="1"/>
        <rFont val="Times New Roman"/>
        <family val="1"/>
        <charset val="186"/>
      </rPr>
      <t xml:space="preserve"> + 126,78 </t>
    </r>
    <r>
      <rPr>
        <i/>
        <sz val="12"/>
        <color theme="1"/>
        <rFont val="Times New Roman"/>
        <family val="1"/>
        <charset val="186"/>
      </rPr>
      <t>euro</t>
    </r>
    <r>
      <rPr>
        <sz val="12"/>
        <color theme="1"/>
        <rFont val="Times New Roman"/>
        <family val="1"/>
        <charset val="186"/>
      </rPr>
      <t xml:space="preserve"> + 114,09 </t>
    </r>
    <r>
      <rPr>
        <i/>
        <sz val="12"/>
        <color theme="1"/>
        <rFont val="Times New Roman"/>
        <family val="1"/>
        <charset val="186"/>
      </rPr>
      <t>euro</t>
    </r>
    <r>
      <rPr>
        <sz val="12"/>
        <color theme="1"/>
        <rFont val="Times New Roman"/>
        <family val="1"/>
        <charset val="186"/>
      </rPr>
      <t xml:space="preserve"> + 61,08 </t>
    </r>
    <r>
      <rPr>
        <i/>
        <sz val="12"/>
        <color theme="1"/>
        <rFont val="Times New Roman"/>
        <family val="1"/>
        <charset val="186"/>
      </rPr>
      <t>euro</t>
    </r>
    <r>
      <rPr>
        <sz val="12"/>
        <color theme="1"/>
        <rFont val="Times New Roman"/>
        <family val="1"/>
        <charset val="186"/>
      </rPr>
      <t xml:space="preserve">) = 544,54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</si>
  <si>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(11 979,64 </t>
    </r>
    <r>
      <rPr>
        <i/>
        <sz val="12"/>
        <color theme="1"/>
        <rFont val="Times New Roman"/>
        <family val="1"/>
        <charset val="186"/>
      </rPr>
      <t>euro</t>
    </r>
    <r>
      <rPr>
        <sz val="12"/>
        <color theme="1"/>
        <rFont val="Times New Roman"/>
        <family val="1"/>
        <charset val="186"/>
      </rPr>
      <t xml:space="preserve"> * 23,59 %) = 2 826,00 </t>
    </r>
    <r>
      <rPr>
        <i/>
        <sz val="12"/>
        <color theme="1"/>
        <rFont val="Times New Roman"/>
        <family val="1"/>
        <charset val="186"/>
      </rPr>
      <t xml:space="preserve">euro. </t>
    </r>
  </si>
  <si>
    <r>
      <t xml:space="preserve">Darba devēja valsts sociālās apdrošināšanas obligātās iemaksas 2 826,00 </t>
    </r>
    <r>
      <rPr>
        <i/>
        <sz val="12"/>
        <color theme="1"/>
        <rFont val="Times New Roman"/>
        <family val="1"/>
        <charset val="186"/>
      </rPr>
      <t>euro</t>
    </r>
    <r>
      <rPr>
        <sz val="12"/>
        <color theme="1"/>
        <rFont val="Times New Roman"/>
        <family val="1"/>
        <charset val="186"/>
      </rPr>
      <t xml:space="preserve">. Veselības apdrošināšana 544,54 </t>
    </r>
    <r>
      <rPr>
        <i/>
        <sz val="12"/>
        <color theme="1"/>
        <rFont val="Times New Roman"/>
        <family val="1"/>
        <charset val="186"/>
      </rPr>
      <t>euro</t>
    </r>
    <r>
      <rPr>
        <sz val="12"/>
        <color theme="1"/>
        <rFont val="Times New Roman"/>
        <family val="1"/>
        <charset val="186"/>
      </rPr>
      <t xml:space="preserve">. Kopā 3 370,54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</si>
  <si>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2 071,48 </t>
    </r>
    <r>
      <rPr>
        <i/>
        <sz val="12"/>
        <color theme="1"/>
        <rFont val="Times New Roman"/>
        <family val="1"/>
        <charset val="186"/>
      </rPr>
      <t>euro</t>
    </r>
    <r>
      <rPr>
        <sz val="12"/>
        <color theme="1"/>
        <rFont val="Times New Roman"/>
        <family val="1"/>
        <charset val="186"/>
      </rPr>
      <t xml:space="preserve"> * 23,59 % = 488,66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</si>
  <si>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0.3646 (iznomātās platības koeficients) = 62,74 </t>
    </r>
    <r>
      <rPr>
        <i/>
        <sz val="12"/>
        <color theme="1"/>
        <rFont val="Times New Roman"/>
        <family val="1"/>
        <charset val="186"/>
      </rPr>
      <t>euro</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</si>
  <si>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0.3646 (iznomātās platības koeficients) = 41,17 </t>
    </r>
    <r>
      <rPr>
        <i/>
        <sz val="12"/>
        <color theme="1"/>
        <rFont val="Times New Roman"/>
        <family val="1"/>
        <charset val="186"/>
      </rPr>
      <t>euro.</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</si>
  <si>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0.3646 (iznomātās platības koeficients) = 60,20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</si>
  <si>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0.3646 (iznomātās platības koeficients) = 82,21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</si>
  <si>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0.3646 (iznomātās platības koeficients) = 58,06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</si>
  <si>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0.3646 (iznomātās platības koeficients) = 334,40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</si>
  <si>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0.3646 (iznomātās platības koeficients) = 349,49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</si>
  <si>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0.3646  (iznomātās platības koeficients) = 436,69 </t>
    </r>
    <r>
      <rPr>
        <i/>
        <sz val="12"/>
        <color theme="1"/>
        <rFont val="Times New Roman"/>
        <family val="1"/>
        <charset val="186"/>
      </rPr>
      <t>euro.</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</si>
  <si>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0.3646 (iznomātās platības koeficients) = 518,11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</si>
  <si>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0.3646 (iznomātās platības koeficients) = 128,41 </t>
    </r>
    <r>
      <rPr>
        <i/>
        <sz val="12"/>
        <color theme="1"/>
        <rFont val="Times New Roman"/>
        <family val="1"/>
        <charset val="186"/>
      </rPr>
      <t>euro</t>
    </r>
    <r>
      <rPr>
        <sz val="12"/>
        <color theme="1"/>
        <rFont val="Times New Roman"/>
        <family val="1"/>
        <charset val="186"/>
      </rPr>
      <t>.</t>
    </r>
  </si>
  <si>
    <r>
      <t xml:space="preserve">Galv. nekust. īpaš. pārvaldnieks (325,02 </t>
    </r>
    <r>
      <rPr>
        <i/>
        <sz val="12"/>
        <color theme="1"/>
        <rFont val="Times New Roman"/>
        <family val="1"/>
        <charset val="186"/>
      </rPr>
      <t>euro</t>
    </r>
    <r>
      <rPr>
        <sz val="12"/>
        <color theme="1"/>
        <rFont val="Times New Roman"/>
        <family val="1"/>
        <charset val="186"/>
      </rPr>
      <t xml:space="preserve"> * 10%) = 32,50 </t>
    </r>
    <r>
      <rPr>
        <i/>
        <sz val="12"/>
        <color theme="1"/>
        <rFont val="Times New Roman"/>
        <family val="1"/>
        <charset val="186"/>
      </rPr>
      <t>euro</t>
    </r>
    <r>
      <rPr>
        <sz val="12"/>
        <color theme="1"/>
        <rFont val="Times New Roman"/>
        <family val="1"/>
        <charset val="186"/>
      </rPr>
      <t xml:space="preserve">, Saimniecības pārzinis (410,85 </t>
    </r>
    <r>
      <rPr>
        <i/>
        <sz val="12"/>
        <color theme="1"/>
        <rFont val="Times New Roman"/>
        <family val="1"/>
        <charset val="186"/>
      </rPr>
      <t>euro</t>
    </r>
    <r>
      <rPr>
        <sz val="12"/>
        <color theme="1"/>
        <rFont val="Times New Roman"/>
        <family val="1"/>
        <charset val="186"/>
      </rPr>
      <t xml:space="preserve"> * 10%) = 41,09 </t>
    </r>
    <r>
      <rPr>
        <i/>
        <sz val="12"/>
        <color theme="1"/>
        <rFont val="Times New Roman"/>
        <family val="1"/>
        <charset val="186"/>
      </rPr>
      <t>euro</t>
    </r>
    <r>
      <rPr>
        <sz val="12"/>
        <color theme="1"/>
        <rFont val="Times New Roman"/>
        <family val="1"/>
        <charset val="186"/>
      </rPr>
      <t xml:space="preserve">, Istabene (384,58 </t>
    </r>
    <r>
      <rPr>
        <i/>
        <sz val="12"/>
        <color theme="1"/>
        <rFont val="Times New Roman"/>
        <family val="1"/>
        <charset val="186"/>
      </rPr>
      <t>euro</t>
    </r>
    <r>
      <rPr>
        <sz val="12"/>
        <color theme="1"/>
        <rFont val="Times New Roman"/>
        <family val="1"/>
        <charset val="186"/>
      </rPr>
      <t xml:space="preserve"> * 10%) = 38,46 </t>
    </r>
    <r>
      <rPr>
        <i/>
        <sz val="12"/>
        <color theme="1"/>
        <rFont val="Times New Roman"/>
        <family val="1"/>
        <charset val="186"/>
      </rPr>
      <t>euro</t>
    </r>
    <r>
      <rPr>
        <sz val="12"/>
        <color theme="1"/>
        <rFont val="Times New Roman"/>
        <family val="1"/>
        <charset val="186"/>
      </rPr>
      <t xml:space="preserve">, Apkopēja (346,07 </t>
    </r>
    <r>
      <rPr>
        <i/>
        <sz val="12"/>
        <color theme="1"/>
        <rFont val="Times New Roman"/>
        <family val="1"/>
        <charset val="186"/>
      </rPr>
      <t>euro</t>
    </r>
    <r>
      <rPr>
        <sz val="12"/>
        <color theme="1"/>
        <rFont val="Times New Roman"/>
        <family val="1"/>
        <charset val="186"/>
      </rPr>
      <t xml:space="preserve"> * 10%) = 34,61 </t>
    </r>
    <r>
      <rPr>
        <i/>
        <sz val="12"/>
        <color theme="1"/>
        <rFont val="Times New Roman"/>
        <family val="1"/>
        <charset val="186"/>
      </rPr>
      <t>euro</t>
    </r>
    <r>
      <rPr>
        <sz val="12"/>
        <color theme="1"/>
        <rFont val="Times New Roman"/>
        <family val="1"/>
        <charset val="186"/>
      </rPr>
      <t xml:space="preserve">, Sētnieks (185,28 </t>
    </r>
    <r>
      <rPr>
        <i/>
        <sz val="12"/>
        <color theme="1"/>
        <rFont val="Times New Roman"/>
        <family val="1"/>
        <charset val="186"/>
      </rPr>
      <t>euro</t>
    </r>
    <r>
      <rPr>
        <sz val="12"/>
        <color theme="1"/>
        <rFont val="Times New Roman"/>
        <family val="1"/>
        <charset val="186"/>
      </rPr>
      <t xml:space="preserve"> * 10%) = 18,53 </t>
    </r>
    <r>
      <rPr>
        <i/>
        <sz val="12"/>
        <color theme="1"/>
        <rFont val="Times New Roman"/>
        <family val="1"/>
        <charset val="186"/>
      </rPr>
      <t>euro</t>
    </r>
    <r>
      <rPr>
        <sz val="12"/>
        <color theme="1"/>
        <rFont val="Times New Roman"/>
        <family val="1"/>
        <charset val="186"/>
      </rPr>
      <t xml:space="preserve">. Kopā (32,50 </t>
    </r>
    <r>
      <rPr>
        <i/>
        <sz val="12"/>
        <color theme="1"/>
        <rFont val="Times New Roman"/>
        <family val="1"/>
        <charset val="186"/>
      </rPr>
      <t>euro</t>
    </r>
    <r>
      <rPr>
        <sz val="12"/>
        <color theme="1"/>
        <rFont val="Times New Roman"/>
        <family val="1"/>
        <charset val="186"/>
      </rPr>
      <t xml:space="preserve"> + 41,09 </t>
    </r>
    <r>
      <rPr>
        <i/>
        <sz val="12"/>
        <color theme="1"/>
        <rFont val="Times New Roman"/>
        <family val="1"/>
        <charset val="186"/>
      </rPr>
      <t>euro</t>
    </r>
    <r>
      <rPr>
        <sz val="12"/>
        <color theme="1"/>
        <rFont val="Times New Roman"/>
        <family val="1"/>
        <charset val="186"/>
      </rPr>
      <t xml:space="preserve"> + 38,46 </t>
    </r>
    <r>
      <rPr>
        <i/>
        <sz val="12"/>
        <color theme="1"/>
        <rFont val="Times New Roman"/>
        <family val="1"/>
        <charset val="186"/>
      </rPr>
      <t>euro</t>
    </r>
    <r>
      <rPr>
        <sz val="12"/>
        <color theme="1"/>
        <rFont val="Times New Roman"/>
        <family val="1"/>
        <charset val="186"/>
      </rPr>
      <t xml:space="preserve"> + 34,61 </t>
    </r>
    <r>
      <rPr>
        <i/>
        <sz val="12"/>
        <color theme="1"/>
        <rFont val="Times New Roman"/>
        <family val="1"/>
        <charset val="186"/>
      </rPr>
      <t>euro</t>
    </r>
    <r>
      <rPr>
        <sz val="12"/>
        <color theme="1"/>
        <rFont val="Times New Roman"/>
        <family val="1"/>
        <charset val="186"/>
      </rPr>
      <t xml:space="preserve"> + 18,53 </t>
    </r>
    <r>
      <rPr>
        <i/>
        <sz val="12"/>
        <color theme="1"/>
        <rFont val="Times New Roman"/>
        <family val="1"/>
        <charset val="186"/>
      </rPr>
      <t>euro</t>
    </r>
    <r>
      <rPr>
        <sz val="12"/>
        <color theme="1"/>
        <rFont val="Times New Roman"/>
        <family val="1"/>
        <charset val="186"/>
      </rPr>
      <t xml:space="preserve">) = 165,19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</si>
  <si>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(1 816,99 </t>
    </r>
    <r>
      <rPr>
        <i/>
        <sz val="12"/>
        <color theme="1"/>
        <rFont val="Times New Roman"/>
        <family val="1"/>
        <charset val="186"/>
      </rPr>
      <t>euro</t>
    </r>
    <r>
      <rPr>
        <sz val="12"/>
        <color theme="1"/>
        <rFont val="Times New Roman"/>
        <family val="1"/>
        <charset val="186"/>
      </rPr>
      <t xml:space="preserve"> * 23,59 %) = 428,63 </t>
    </r>
    <r>
      <rPr>
        <i/>
        <sz val="12"/>
        <color theme="1"/>
        <rFont val="Times New Roman"/>
        <family val="1"/>
        <charset val="186"/>
      </rPr>
      <t xml:space="preserve">euro. </t>
    </r>
  </si>
  <si>
    <r>
      <t xml:space="preserve">Galv. nekust. īpaš. pārvaldnieks 325,02 </t>
    </r>
    <r>
      <rPr>
        <i/>
        <sz val="12"/>
        <color theme="1"/>
        <rFont val="Times New Roman"/>
        <family val="1"/>
        <charset val="186"/>
      </rPr>
      <t>euro</t>
    </r>
    <r>
      <rPr>
        <sz val="12"/>
        <color theme="1"/>
        <rFont val="Times New Roman"/>
        <family val="1"/>
        <charset val="186"/>
      </rPr>
      <t xml:space="preserve"> * 5%) = 16,25 </t>
    </r>
    <r>
      <rPr>
        <i/>
        <sz val="12"/>
        <color theme="1"/>
        <rFont val="Times New Roman"/>
        <family val="1"/>
        <charset val="186"/>
      </rPr>
      <t>euro</t>
    </r>
    <r>
      <rPr>
        <sz val="12"/>
        <color theme="1"/>
        <rFont val="Times New Roman"/>
        <family val="1"/>
        <charset val="186"/>
      </rPr>
      <t xml:space="preserve">, Saimniecības pārzinis (410,85 </t>
    </r>
    <r>
      <rPr>
        <i/>
        <sz val="12"/>
        <color theme="1"/>
        <rFont val="Times New Roman"/>
        <family val="1"/>
        <charset val="186"/>
      </rPr>
      <t>euro</t>
    </r>
    <r>
      <rPr>
        <sz val="12"/>
        <color theme="1"/>
        <rFont val="Times New Roman"/>
        <family val="1"/>
        <charset val="186"/>
      </rPr>
      <t xml:space="preserve"> * 5%) = 20,54 </t>
    </r>
    <r>
      <rPr>
        <i/>
        <sz val="12"/>
        <color theme="1"/>
        <rFont val="Times New Roman"/>
        <family val="1"/>
        <charset val="186"/>
      </rPr>
      <t>euro</t>
    </r>
    <r>
      <rPr>
        <sz val="12"/>
        <color theme="1"/>
        <rFont val="Times New Roman"/>
        <family val="1"/>
        <charset val="186"/>
      </rPr>
      <t xml:space="preserve">,  Istabene (384,58 </t>
    </r>
    <r>
      <rPr>
        <i/>
        <sz val="12"/>
        <color theme="1"/>
        <rFont val="Times New Roman"/>
        <family val="1"/>
        <charset val="186"/>
      </rPr>
      <t>euro</t>
    </r>
    <r>
      <rPr>
        <sz val="12"/>
        <color theme="1"/>
        <rFont val="Times New Roman"/>
        <family val="1"/>
        <charset val="186"/>
      </rPr>
      <t xml:space="preserve"> * 5%) = 19,23 </t>
    </r>
    <r>
      <rPr>
        <i/>
        <sz val="12"/>
        <color theme="1"/>
        <rFont val="Times New Roman"/>
        <family val="1"/>
        <charset val="186"/>
      </rPr>
      <t>euro</t>
    </r>
    <r>
      <rPr>
        <sz val="12"/>
        <color theme="1"/>
        <rFont val="Times New Roman"/>
        <family val="1"/>
        <charset val="186"/>
      </rPr>
      <t xml:space="preserve">,  Apkopēja (346,07 </t>
    </r>
    <r>
      <rPr>
        <i/>
        <sz val="12"/>
        <color theme="1"/>
        <rFont val="Times New Roman"/>
        <family val="1"/>
        <charset val="186"/>
      </rPr>
      <t>euro</t>
    </r>
    <r>
      <rPr>
        <sz val="12"/>
        <color theme="1"/>
        <rFont val="Times New Roman"/>
        <family val="1"/>
        <charset val="186"/>
      </rPr>
      <t xml:space="preserve"> * 5%) = 17,30 </t>
    </r>
    <r>
      <rPr>
        <i/>
        <sz val="12"/>
        <color theme="1"/>
        <rFont val="Times New Roman"/>
        <family val="1"/>
        <charset val="186"/>
      </rPr>
      <t>euro</t>
    </r>
    <r>
      <rPr>
        <sz val="12"/>
        <color theme="1"/>
        <rFont val="Times New Roman"/>
        <family val="1"/>
        <charset val="186"/>
      </rPr>
      <t xml:space="preserve">, Sētnieks (185,28 </t>
    </r>
    <r>
      <rPr>
        <i/>
        <sz val="12"/>
        <color theme="1"/>
        <rFont val="Times New Roman"/>
        <family val="1"/>
        <charset val="186"/>
      </rPr>
      <t>euro</t>
    </r>
    <r>
      <rPr>
        <sz val="12"/>
        <color theme="1"/>
        <rFont val="Times New Roman"/>
        <family val="1"/>
        <charset val="186"/>
      </rPr>
      <t xml:space="preserve"> * 5%) = 9,26 </t>
    </r>
    <r>
      <rPr>
        <i/>
        <sz val="12"/>
        <color theme="1"/>
        <rFont val="Times New Roman"/>
        <family val="1"/>
        <charset val="186"/>
      </rPr>
      <t>euro</t>
    </r>
    <r>
      <rPr>
        <sz val="12"/>
        <color theme="1"/>
        <rFont val="Times New Roman"/>
        <family val="1"/>
        <charset val="186"/>
      </rPr>
      <t xml:space="preserve">. Kopā (16,25 </t>
    </r>
    <r>
      <rPr>
        <i/>
        <sz val="12"/>
        <color theme="1"/>
        <rFont val="Times New Roman"/>
        <family val="1"/>
        <charset val="186"/>
      </rPr>
      <t>euro</t>
    </r>
    <r>
      <rPr>
        <sz val="12"/>
        <color theme="1"/>
        <rFont val="Times New Roman"/>
        <family val="1"/>
        <charset val="186"/>
      </rPr>
      <t xml:space="preserve"> + 20,54 </t>
    </r>
    <r>
      <rPr>
        <i/>
        <sz val="12"/>
        <color theme="1"/>
        <rFont val="Times New Roman"/>
        <family val="1"/>
        <charset val="186"/>
      </rPr>
      <t>euro</t>
    </r>
    <r>
      <rPr>
        <sz val="12"/>
        <color theme="1"/>
        <rFont val="Times New Roman"/>
        <family val="1"/>
        <charset val="186"/>
      </rPr>
      <t xml:space="preserve"> + 19,23 </t>
    </r>
    <r>
      <rPr>
        <i/>
        <sz val="12"/>
        <color theme="1"/>
        <rFont val="Times New Roman"/>
        <family val="1"/>
        <charset val="186"/>
      </rPr>
      <t>euro</t>
    </r>
    <r>
      <rPr>
        <sz val="12"/>
        <color theme="1"/>
        <rFont val="Times New Roman"/>
        <family val="1"/>
        <charset val="186"/>
      </rPr>
      <t xml:space="preserve"> + 17,30 </t>
    </r>
    <r>
      <rPr>
        <i/>
        <sz val="12"/>
        <color theme="1"/>
        <rFont val="Times New Roman"/>
        <family val="1"/>
        <charset val="186"/>
      </rPr>
      <t>euro</t>
    </r>
    <r>
      <rPr>
        <sz val="12"/>
        <color theme="1"/>
        <rFont val="Times New Roman"/>
        <family val="1"/>
        <charset val="186"/>
      </rPr>
      <t xml:space="preserve"> + 9,26 </t>
    </r>
    <r>
      <rPr>
        <i/>
        <sz val="12"/>
        <color theme="1"/>
        <rFont val="Times New Roman"/>
        <family val="1"/>
        <charset val="186"/>
      </rPr>
      <t>euro</t>
    </r>
    <r>
      <rPr>
        <sz val="12"/>
        <color theme="1"/>
        <rFont val="Times New Roman"/>
        <family val="1"/>
        <charset val="186"/>
      </rPr>
      <t xml:space="preserve">) = 82,58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</si>
  <si>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428,63 </t>
    </r>
    <r>
      <rPr>
        <i/>
        <sz val="12"/>
        <color theme="1"/>
        <rFont val="Times New Roman"/>
        <family val="1"/>
        <charset val="186"/>
      </rPr>
      <t>euro</t>
    </r>
    <r>
      <rPr>
        <sz val="12"/>
        <color theme="1"/>
        <rFont val="Times New Roman"/>
        <family val="1"/>
        <charset val="186"/>
      </rPr>
      <t xml:space="preserve">. Veselības apdrošināšana 82,58 </t>
    </r>
    <r>
      <rPr>
        <i/>
        <sz val="12"/>
        <color theme="1"/>
        <rFont val="Times New Roman"/>
        <family val="1"/>
        <charset val="186"/>
      </rPr>
      <t>euro</t>
    </r>
    <r>
      <rPr>
        <sz val="12"/>
        <color theme="1"/>
        <rFont val="Times New Roman"/>
        <family val="1"/>
        <charset val="186"/>
      </rPr>
      <t xml:space="preserve">. Kopā 511,21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</si>
  <si>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314,19 </t>
    </r>
    <r>
      <rPr>
        <i/>
        <sz val="12"/>
        <color theme="1"/>
        <rFont val="Times New Roman"/>
        <family val="1"/>
        <charset val="186"/>
      </rPr>
      <t>euro</t>
    </r>
    <r>
      <rPr>
        <sz val="12"/>
        <color theme="1"/>
        <rFont val="Times New Roman"/>
        <family val="1"/>
        <charset val="186"/>
      </rPr>
      <t xml:space="preserve"> * 23,59 % = 74,12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</si>
  <si>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0.0553 (iznomātās platības koeficients) = 325,02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</si>
  <si>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t>
    </r>
    <r>
      <rPr>
        <sz val="12"/>
        <color theme="1"/>
        <rFont val="Times New Roman"/>
        <family val="1"/>
        <charset val="186"/>
      </rPr>
      <t xml:space="preserve">/mēn. * 12 mēn. = 7 429,56 </t>
    </r>
    <r>
      <rPr>
        <i/>
        <sz val="12"/>
        <color theme="1"/>
        <rFont val="Times New Roman"/>
        <family val="1"/>
        <charset val="186"/>
      </rPr>
      <t>euro</t>
    </r>
    <r>
      <rPr>
        <sz val="12"/>
        <color theme="1"/>
        <rFont val="Times New Roman"/>
        <family val="1"/>
        <charset val="186"/>
      </rPr>
      <t xml:space="preserve"> * 0.0553 (iznomātās platības koeficients) = 410,85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</si>
  <si>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t>
    </r>
    <r>
      <rPr>
        <sz val="12"/>
        <color theme="1"/>
        <rFont val="Times New Roman"/>
        <family val="1"/>
        <charset val="186"/>
      </rPr>
      <t xml:space="preserve">/mēn. * 12 mēn. = 6 954,36 </t>
    </r>
    <r>
      <rPr>
        <i/>
        <sz val="12"/>
        <color theme="1"/>
        <rFont val="Times New Roman"/>
        <family val="1"/>
        <charset val="186"/>
      </rPr>
      <t>euro</t>
    </r>
    <r>
      <rPr>
        <sz val="12"/>
        <color theme="1"/>
        <rFont val="Times New Roman"/>
        <family val="1"/>
        <charset val="186"/>
      </rPr>
      <t xml:space="preserve"> * 0.0553 (iznomātās platības koeficients) = 384,58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</si>
  <si>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0.0553 (iznomātās platības koeficients) = 346,07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</si>
  <si>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euro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0.0553 (iznomātās platības koeficients) = 185,28 </t>
    </r>
    <r>
      <rPr>
        <i/>
        <sz val="12"/>
        <color theme="1"/>
        <rFont val="Times New Roman"/>
        <family val="1"/>
        <charset val="186"/>
      </rPr>
      <t>euro</t>
    </r>
    <r>
      <rPr>
        <sz val="12"/>
        <color theme="1"/>
        <rFont val="Times New Roman"/>
        <family val="1"/>
        <charset val="186"/>
      </rPr>
      <t xml:space="preserve">. </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</si>
  <si>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0.0553 (iznomātās platības koeficients) = 9,52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</si>
  <si>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0.0553 (iznomātās platības koeficients) = 6,24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</si>
  <si>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0.0553 (iznomātās platības koeficients) = 9,13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</si>
  <si>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0.0553 (iznomātās platības koeficients) = 12,47 </t>
    </r>
    <r>
      <rPr>
        <i/>
        <sz val="12"/>
        <color theme="1"/>
        <rFont val="Times New Roman"/>
        <family val="1"/>
        <charset val="186"/>
      </rPr>
      <t>euro.</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</si>
  <si>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0.0553 (iznomātās platības koeficients) = 8,81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</si>
  <si>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0.0553  (iznomātās platības koeficients) = 50,72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</si>
  <si>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0.0553 (iznomātās platības koeficients) = 53,01 </t>
    </r>
    <r>
      <rPr>
        <i/>
        <sz val="12"/>
        <color theme="1"/>
        <rFont val="Times New Roman"/>
        <family val="1"/>
        <charset val="186"/>
      </rPr>
      <t>euro.</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</si>
  <si>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0.0553 (iznomātās platības koeficients) = 66,23 </t>
    </r>
    <r>
      <rPr>
        <i/>
        <sz val="12"/>
        <color theme="1"/>
        <rFont val="Times New Roman"/>
        <family val="1"/>
        <charset val="186"/>
      </rPr>
      <t>euro.</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</si>
  <si>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0.0553 (iznomātās platības koeficients) = 78,58 </t>
    </r>
    <r>
      <rPr>
        <i/>
        <sz val="12"/>
        <color theme="1"/>
        <rFont val="Times New Roman"/>
        <family val="1"/>
        <charset val="186"/>
      </rPr>
      <t>euro.</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</si>
  <si>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0.0553 (iznomātās platības koeficients) = 19,48 </t>
    </r>
    <r>
      <rPr>
        <i/>
        <sz val="12"/>
        <color theme="1"/>
        <rFont val="Times New Roman"/>
        <family val="1"/>
        <charset val="186"/>
      </rPr>
      <t>euro.</t>
    </r>
  </si>
  <si>
    <r>
      <t xml:space="preserve">Galv. nekust. īpaš. pārvaldnieks (193,96 </t>
    </r>
    <r>
      <rPr>
        <i/>
        <sz val="12"/>
        <color theme="1"/>
        <rFont val="Times New Roman"/>
        <family val="1"/>
        <charset val="186"/>
      </rPr>
      <t>euro</t>
    </r>
    <r>
      <rPr>
        <sz val="12"/>
        <color theme="1"/>
        <rFont val="Times New Roman"/>
        <family val="1"/>
        <charset val="186"/>
      </rPr>
      <t xml:space="preserve"> * 10%) = 19,40 </t>
    </r>
    <r>
      <rPr>
        <i/>
        <sz val="12"/>
        <color theme="1"/>
        <rFont val="Times New Roman"/>
        <family val="1"/>
        <charset val="186"/>
      </rPr>
      <t>euro</t>
    </r>
    <r>
      <rPr>
        <sz val="12"/>
        <color theme="1"/>
        <rFont val="Times New Roman"/>
        <family val="1"/>
        <charset val="186"/>
      </rPr>
      <t xml:space="preserve">, Saimniecības pārzinis (245,18 </t>
    </r>
    <r>
      <rPr>
        <i/>
        <sz val="12"/>
        <color theme="1"/>
        <rFont val="Times New Roman"/>
        <family val="1"/>
        <charset val="186"/>
      </rPr>
      <t>euro</t>
    </r>
    <r>
      <rPr>
        <sz val="12"/>
        <color theme="1"/>
        <rFont val="Times New Roman"/>
        <family val="1"/>
        <charset val="186"/>
      </rPr>
      <t xml:space="preserve"> * 10%) = 24,52 </t>
    </r>
    <r>
      <rPr>
        <i/>
        <sz val="12"/>
        <color theme="1"/>
        <rFont val="Times New Roman"/>
        <family val="1"/>
        <charset val="186"/>
      </rPr>
      <t>euro</t>
    </r>
    <r>
      <rPr>
        <sz val="12"/>
        <color theme="1"/>
        <rFont val="Times New Roman"/>
        <family val="1"/>
        <charset val="186"/>
      </rPr>
      <t xml:space="preserve">, Istabene (229,49 </t>
    </r>
    <r>
      <rPr>
        <i/>
        <sz val="12"/>
        <color theme="1"/>
        <rFont val="Times New Roman"/>
        <family val="1"/>
        <charset val="186"/>
      </rPr>
      <t>euro</t>
    </r>
    <r>
      <rPr>
        <sz val="12"/>
        <color theme="1"/>
        <rFont val="Times New Roman"/>
        <family val="1"/>
        <charset val="186"/>
      </rPr>
      <t xml:space="preserve"> * 10%) = 22,95 </t>
    </r>
    <r>
      <rPr>
        <i/>
        <sz val="12"/>
        <color theme="1"/>
        <rFont val="Times New Roman"/>
        <family val="1"/>
        <charset val="186"/>
      </rPr>
      <t>euro</t>
    </r>
    <r>
      <rPr>
        <sz val="12"/>
        <color theme="1"/>
        <rFont val="Times New Roman"/>
        <family val="1"/>
        <charset val="186"/>
      </rPr>
      <t xml:space="preserve">, Apkopēja (206,52 </t>
    </r>
    <r>
      <rPr>
        <i/>
        <sz val="12"/>
        <color theme="1"/>
        <rFont val="Times New Roman"/>
        <family val="1"/>
        <charset val="186"/>
      </rPr>
      <t>euro</t>
    </r>
    <r>
      <rPr>
        <sz val="12"/>
        <color theme="1"/>
        <rFont val="Times New Roman"/>
        <family val="1"/>
        <charset val="186"/>
      </rPr>
      <t xml:space="preserve"> * 10%) = 20,65 </t>
    </r>
    <r>
      <rPr>
        <i/>
        <sz val="12"/>
        <color theme="1"/>
        <rFont val="Times New Roman"/>
        <family val="1"/>
        <charset val="186"/>
      </rPr>
      <t>euro</t>
    </r>
    <r>
      <rPr>
        <sz val="12"/>
        <color theme="1"/>
        <rFont val="Times New Roman"/>
        <family val="1"/>
        <charset val="186"/>
      </rPr>
      <t xml:space="preserve">, Sētnieks (110,56 </t>
    </r>
    <r>
      <rPr>
        <i/>
        <sz val="12"/>
        <color theme="1"/>
        <rFont val="Times New Roman"/>
        <family val="1"/>
        <charset val="186"/>
      </rPr>
      <t>euro</t>
    </r>
    <r>
      <rPr>
        <sz val="12"/>
        <color theme="1"/>
        <rFont val="Times New Roman"/>
        <family val="1"/>
        <charset val="186"/>
      </rPr>
      <t xml:space="preserve"> * 10%) = 11,06 </t>
    </r>
    <r>
      <rPr>
        <i/>
        <sz val="12"/>
        <color theme="1"/>
        <rFont val="Times New Roman"/>
        <family val="1"/>
        <charset val="186"/>
      </rPr>
      <t>euro</t>
    </r>
    <r>
      <rPr>
        <sz val="12"/>
        <color theme="1"/>
        <rFont val="Times New Roman"/>
        <family val="1"/>
        <charset val="186"/>
      </rPr>
      <t xml:space="preserve">. Kopā (19,40 </t>
    </r>
    <r>
      <rPr>
        <i/>
        <sz val="12"/>
        <color theme="1"/>
        <rFont val="Times New Roman"/>
        <family val="1"/>
        <charset val="186"/>
      </rPr>
      <t>euro</t>
    </r>
    <r>
      <rPr>
        <sz val="12"/>
        <color theme="1"/>
        <rFont val="Times New Roman"/>
        <family val="1"/>
        <charset val="186"/>
      </rPr>
      <t xml:space="preserve"> + 24,52 </t>
    </r>
    <r>
      <rPr>
        <i/>
        <sz val="12"/>
        <color theme="1"/>
        <rFont val="Times New Roman"/>
        <family val="1"/>
        <charset val="186"/>
      </rPr>
      <t>euro</t>
    </r>
    <r>
      <rPr>
        <sz val="12"/>
        <color theme="1"/>
        <rFont val="Times New Roman"/>
        <family val="1"/>
        <charset val="186"/>
      </rPr>
      <t xml:space="preserve"> + 22,95 </t>
    </r>
    <r>
      <rPr>
        <i/>
        <sz val="12"/>
        <color theme="1"/>
        <rFont val="Times New Roman"/>
        <family val="1"/>
        <charset val="186"/>
      </rPr>
      <t>euro</t>
    </r>
    <r>
      <rPr>
        <sz val="12"/>
        <color theme="1"/>
        <rFont val="Times New Roman"/>
        <family val="1"/>
        <charset val="186"/>
      </rPr>
      <t xml:space="preserve"> + 20,65 </t>
    </r>
    <r>
      <rPr>
        <i/>
        <sz val="12"/>
        <color theme="1"/>
        <rFont val="Times New Roman"/>
        <family val="1"/>
        <charset val="186"/>
      </rPr>
      <t>euro</t>
    </r>
    <r>
      <rPr>
        <sz val="12"/>
        <color theme="1"/>
        <rFont val="Times New Roman"/>
        <family val="1"/>
        <charset val="186"/>
      </rPr>
      <t xml:space="preserve"> + 11,06 </t>
    </r>
    <r>
      <rPr>
        <i/>
        <sz val="12"/>
        <color theme="1"/>
        <rFont val="Times New Roman"/>
        <family val="1"/>
        <charset val="186"/>
      </rPr>
      <t>euro</t>
    </r>
    <r>
      <rPr>
        <sz val="12"/>
        <color theme="1"/>
        <rFont val="Times New Roman"/>
        <family val="1"/>
        <charset val="186"/>
      </rPr>
      <t xml:space="preserve">) = 98,58 </t>
    </r>
    <r>
      <rPr>
        <i/>
        <sz val="12"/>
        <color theme="1"/>
        <rFont val="Times New Roman"/>
        <family val="1"/>
        <charset val="186"/>
      </rPr>
      <t>euro</t>
    </r>
    <r>
      <rPr>
        <sz val="12"/>
        <color theme="1"/>
        <rFont val="Times New Roman"/>
        <family val="1"/>
        <charset val="186"/>
      </rPr>
      <t>.</t>
    </r>
  </si>
  <si>
    <r>
      <t xml:space="preserve">Galv. nekust. īpaš. pārvaldnieks (193,96 </t>
    </r>
    <r>
      <rPr>
        <i/>
        <sz val="12"/>
        <color theme="1"/>
        <rFont val="Times New Roman"/>
        <family val="1"/>
        <charset val="186"/>
      </rPr>
      <t>euro</t>
    </r>
    <r>
      <rPr>
        <sz val="12"/>
        <color theme="1"/>
        <rFont val="Times New Roman"/>
        <family val="1"/>
        <charset val="186"/>
      </rPr>
      <t xml:space="preserve"> * 5%) = 9,70 </t>
    </r>
    <r>
      <rPr>
        <i/>
        <sz val="12"/>
        <color theme="1"/>
        <rFont val="Times New Roman"/>
        <family val="1"/>
        <charset val="186"/>
      </rPr>
      <t>euro</t>
    </r>
    <r>
      <rPr>
        <sz val="12"/>
        <color theme="1"/>
        <rFont val="Times New Roman"/>
        <family val="1"/>
        <charset val="186"/>
      </rPr>
      <t xml:space="preserve">, Saimniecības pārzinis (245,18 </t>
    </r>
    <r>
      <rPr>
        <i/>
        <sz val="12"/>
        <color theme="1"/>
        <rFont val="Times New Roman"/>
        <family val="1"/>
        <charset val="186"/>
      </rPr>
      <t>euro</t>
    </r>
    <r>
      <rPr>
        <sz val="12"/>
        <color theme="1"/>
        <rFont val="Times New Roman"/>
        <family val="1"/>
        <charset val="186"/>
      </rPr>
      <t xml:space="preserve"> * 5%) = 12,26 </t>
    </r>
    <r>
      <rPr>
        <i/>
        <sz val="12"/>
        <color theme="1"/>
        <rFont val="Times New Roman"/>
        <family val="1"/>
        <charset val="186"/>
      </rPr>
      <t>euro</t>
    </r>
    <r>
      <rPr>
        <sz val="12"/>
        <color theme="1"/>
        <rFont val="Times New Roman"/>
        <family val="1"/>
        <charset val="186"/>
      </rPr>
      <t xml:space="preserve">, Istabene (229,49  </t>
    </r>
    <r>
      <rPr>
        <i/>
        <sz val="12"/>
        <color theme="1"/>
        <rFont val="Times New Roman"/>
        <family val="1"/>
        <charset val="186"/>
      </rPr>
      <t>euro</t>
    </r>
    <r>
      <rPr>
        <sz val="12"/>
        <color theme="1"/>
        <rFont val="Times New Roman"/>
        <family val="1"/>
        <charset val="186"/>
      </rPr>
      <t xml:space="preserve"> * 5%) = 11,47 </t>
    </r>
    <r>
      <rPr>
        <i/>
        <sz val="12"/>
        <color theme="1"/>
        <rFont val="Times New Roman"/>
        <family val="1"/>
        <charset val="186"/>
      </rPr>
      <t>euro</t>
    </r>
    <r>
      <rPr>
        <sz val="12"/>
        <color theme="1"/>
        <rFont val="Times New Roman"/>
        <family val="1"/>
        <charset val="186"/>
      </rPr>
      <t xml:space="preserve">, Apkopēja (206,52 </t>
    </r>
    <r>
      <rPr>
        <i/>
        <sz val="12"/>
        <color theme="1"/>
        <rFont val="Times New Roman"/>
        <family val="1"/>
        <charset val="186"/>
      </rPr>
      <t>euro</t>
    </r>
    <r>
      <rPr>
        <sz val="12"/>
        <color theme="1"/>
        <rFont val="Times New Roman"/>
        <family val="1"/>
        <charset val="186"/>
      </rPr>
      <t xml:space="preserve"> * 5%) = 10,33 </t>
    </r>
    <r>
      <rPr>
        <i/>
        <sz val="12"/>
        <color theme="1"/>
        <rFont val="Times New Roman"/>
        <family val="1"/>
        <charset val="186"/>
      </rPr>
      <t>euro</t>
    </r>
    <r>
      <rPr>
        <sz val="12"/>
        <color theme="1"/>
        <rFont val="Times New Roman"/>
        <family val="1"/>
        <charset val="186"/>
      </rPr>
      <t xml:space="preserve">, Sētnieks (110,56 </t>
    </r>
    <r>
      <rPr>
        <i/>
        <sz val="12"/>
        <color theme="1"/>
        <rFont val="Times New Roman"/>
        <family val="1"/>
        <charset val="186"/>
      </rPr>
      <t>euro</t>
    </r>
    <r>
      <rPr>
        <sz val="12"/>
        <color theme="1"/>
        <rFont val="Times New Roman"/>
        <family val="1"/>
        <charset val="186"/>
      </rPr>
      <t xml:space="preserve"> * 5%) = 5,53 </t>
    </r>
    <r>
      <rPr>
        <i/>
        <sz val="12"/>
        <color theme="1"/>
        <rFont val="Times New Roman"/>
        <family val="1"/>
        <charset val="186"/>
      </rPr>
      <t>euro</t>
    </r>
    <r>
      <rPr>
        <sz val="12"/>
        <color theme="1"/>
        <rFont val="Times New Roman"/>
        <family val="1"/>
        <charset val="186"/>
      </rPr>
      <t xml:space="preserve">. Kopā (9,70 </t>
    </r>
    <r>
      <rPr>
        <i/>
        <sz val="12"/>
        <color theme="1"/>
        <rFont val="Times New Roman"/>
        <family val="1"/>
        <charset val="186"/>
      </rPr>
      <t>euro</t>
    </r>
    <r>
      <rPr>
        <sz val="12"/>
        <color theme="1"/>
        <rFont val="Times New Roman"/>
        <family val="1"/>
        <charset val="186"/>
      </rPr>
      <t xml:space="preserve"> + 12,26 </t>
    </r>
    <r>
      <rPr>
        <i/>
        <sz val="12"/>
        <color theme="1"/>
        <rFont val="Times New Roman"/>
        <family val="1"/>
        <charset val="186"/>
      </rPr>
      <t>euro</t>
    </r>
    <r>
      <rPr>
        <sz val="12"/>
        <color theme="1"/>
        <rFont val="Times New Roman"/>
        <family val="1"/>
        <charset val="186"/>
      </rPr>
      <t xml:space="preserve"> + 11,47 </t>
    </r>
    <r>
      <rPr>
        <i/>
        <sz val="12"/>
        <color theme="1"/>
        <rFont val="Times New Roman"/>
        <family val="1"/>
        <charset val="186"/>
      </rPr>
      <t>euro</t>
    </r>
    <r>
      <rPr>
        <sz val="12"/>
        <color theme="1"/>
        <rFont val="Times New Roman"/>
        <family val="1"/>
        <charset val="186"/>
      </rPr>
      <t xml:space="preserve"> + 10,33 </t>
    </r>
    <r>
      <rPr>
        <i/>
        <sz val="12"/>
        <color theme="1"/>
        <rFont val="Times New Roman"/>
        <family val="1"/>
        <charset val="186"/>
      </rPr>
      <t>euro</t>
    </r>
    <r>
      <rPr>
        <sz val="12"/>
        <color theme="1"/>
        <rFont val="Times New Roman"/>
        <family val="1"/>
        <charset val="186"/>
      </rPr>
      <t xml:space="preserve"> + 5,53 </t>
    </r>
    <r>
      <rPr>
        <i/>
        <sz val="12"/>
        <color theme="1"/>
        <rFont val="Times New Roman"/>
        <family val="1"/>
        <charset val="186"/>
      </rPr>
      <t>euro</t>
    </r>
    <r>
      <rPr>
        <sz val="12"/>
        <color theme="1"/>
        <rFont val="Times New Roman"/>
        <family val="1"/>
        <charset val="186"/>
      </rPr>
      <t xml:space="preserve">) = 49,29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</si>
  <si>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255,78 </t>
    </r>
    <r>
      <rPr>
        <i/>
        <sz val="12"/>
        <color theme="1"/>
        <rFont val="Times New Roman"/>
        <family val="1"/>
        <charset val="186"/>
      </rPr>
      <t>euro</t>
    </r>
    <r>
      <rPr>
        <sz val="12"/>
        <color theme="1"/>
        <rFont val="Times New Roman"/>
        <family val="1"/>
        <charset val="186"/>
      </rPr>
      <t xml:space="preserve">. Veselības apdrošināšana 49,29 </t>
    </r>
    <r>
      <rPr>
        <i/>
        <sz val="12"/>
        <color theme="1"/>
        <rFont val="Times New Roman"/>
        <family val="1"/>
        <charset val="186"/>
      </rPr>
      <t>euro</t>
    </r>
    <r>
      <rPr>
        <sz val="12"/>
        <color theme="1"/>
        <rFont val="Times New Roman"/>
        <family val="1"/>
        <charset val="186"/>
      </rPr>
      <t xml:space="preserve">. Kopā 305,07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</si>
  <si>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(1 084,92 </t>
    </r>
    <r>
      <rPr>
        <i/>
        <sz val="12"/>
        <color theme="1"/>
        <rFont val="Times New Roman"/>
        <family val="1"/>
        <charset val="186"/>
      </rPr>
      <t>euro</t>
    </r>
    <r>
      <rPr>
        <sz val="12"/>
        <color theme="1"/>
        <rFont val="Times New Roman"/>
        <family val="1"/>
        <charset val="186"/>
      </rPr>
      <t xml:space="preserve"> * 23,59 %) = 255,78 </t>
    </r>
    <r>
      <rPr>
        <i/>
        <sz val="12"/>
        <color theme="1"/>
        <rFont val="Times New Roman"/>
        <family val="1"/>
        <charset val="186"/>
      </rPr>
      <t xml:space="preserve">euro.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</si>
  <si>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0.033 (iznomātās platības koeficients) = 193,96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</si>
  <si>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t>
    </r>
    <r>
      <rPr>
        <sz val="12"/>
        <color theme="1"/>
        <rFont val="Times New Roman"/>
        <family val="1"/>
        <charset val="186"/>
      </rPr>
      <t xml:space="preserve">/mēn. * 12 mēn. = 7 429,56 </t>
    </r>
    <r>
      <rPr>
        <i/>
        <sz val="12"/>
        <color theme="1"/>
        <rFont val="Times New Roman"/>
        <family val="1"/>
        <charset val="186"/>
      </rPr>
      <t>euro</t>
    </r>
    <r>
      <rPr>
        <sz val="12"/>
        <color theme="1"/>
        <rFont val="Times New Roman"/>
        <family val="1"/>
        <charset val="186"/>
      </rPr>
      <t xml:space="preserve"> * 0.033  (iznomātās platības koeficients) = 245,18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</si>
  <si>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t>
    </r>
    <r>
      <rPr>
        <sz val="12"/>
        <color theme="1"/>
        <rFont val="Times New Roman"/>
        <family val="1"/>
        <charset val="186"/>
      </rPr>
      <t xml:space="preserve">/mēn. * 12 mēn. = 6 954,36 </t>
    </r>
    <r>
      <rPr>
        <i/>
        <sz val="12"/>
        <color theme="1"/>
        <rFont val="Times New Roman"/>
        <family val="1"/>
        <charset val="186"/>
      </rPr>
      <t>euro</t>
    </r>
    <r>
      <rPr>
        <sz val="12"/>
        <color theme="1"/>
        <rFont val="Times New Roman"/>
        <family val="1"/>
        <charset val="186"/>
      </rPr>
      <t xml:space="preserve"> * 0.033 (iznomātās platības koeficients) = 229,49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</si>
  <si>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0.033 (iznomātās platības koeficients) = 206,52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</si>
  <si>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0.033 (iznomātās platības koeficients) = 110,56 </t>
    </r>
    <r>
      <rPr>
        <i/>
        <sz val="12"/>
        <color theme="1"/>
        <rFont val="Times New Roman"/>
        <family val="1"/>
        <charset val="186"/>
      </rPr>
      <t>euro</t>
    </r>
    <r>
      <rPr>
        <sz val="12"/>
        <color theme="1"/>
        <rFont val="Times New Roman"/>
        <family val="1"/>
        <charset val="186"/>
      </rPr>
      <t xml:space="preserve">. </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</si>
  <si>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0.033 (iznomātās platības koeficients) = 5,68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</si>
  <si>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0.033 (iznomātās platības koeficients) = 3,73 </t>
    </r>
    <r>
      <rPr>
        <i/>
        <sz val="12"/>
        <color theme="1"/>
        <rFont val="Times New Roman"/>
        <family val="1"/>
        <charset val="186"/>
      </rPr>
      <t>euro.</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</si>
  <si>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euro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0.033 (iznomātās platības koeficients) = 5,45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</si>
  <si>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euro). Stundas tarifa likme 15,15 euro = 2 508 euro / 165.58 (vid. d. stundu sk. mēnesī). Vid. mēn. noslogojums 1.24 stundas, (15,15 euro * 1.24 h) = 18,79 euro/mēn. * 12. mēn. = 225,48 euro * 0.033 (iznomātās platības koeficients) = 7,44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</si>
  <si>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euro). Stundas tarifa likme 12,17 euro = 2 015 euro / 165.58 (vid. d. stundu sk. mēnesī). Vid. mēn. noslogojums 1.09 stundas, (12,17 euro * 1.09 h) = 13,27 euro/mēn. * 12. mēn. = 159,24 euro  * 0.033 (iznomātās platības koeficients) = 5,25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</si>
  <si>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0.033 (iznomātās platības koeficients) = 30,27 </t>
    </r>
    <r>
      <rPr>
        <i/>
        <sz val="12"/>
        <color theme="1"/>
        <rFont val="Times New Roman"/>
        <family val="1"/>
        <charset val="186"/>
      </rPr>
      <t>euro.</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</si>
  <si>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0.033 (iznomātās platības koeficients) = 31,63 </t>
    </r>
    <r>
      <rPr>
        <i/>
        <sz val="12"/>
        <color theme="1"/>
        <rFont val="Times New Roman"/>
        <family val="1"/>
        <charset val="186"/>
      </rPr>
      <t>euro.</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</si>
  <si>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0.033 (iznomātās platības koeficients) = 39,52 </t>
    </r>
    <r>
      <rPr>
        <i/>
        <sz val="12"/>
        <color theme="1"/>
        <rFont val="Times New Roman"/>
        <family val="1"/>
        <charset val="186"/>
      </rPr>
      <t>euro.</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</si>
  <si>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0.033 (iznomātās platības koeficients) = 46,89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</si>
  <si>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0.033 (iznomātās platības koeficients) = 11,62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</si>
  <si>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187,48 </t>
    </r>
    <r>
      <rPr>
        <i/>
        <sz val="12"/>
        <color theme="1"/>
        <rFont val="Times New Roman"/>
        <family val="1"/>
        <charset val="186"/>
      </rPr>
      <t>euro</t>
    </r>
    <r>
      <rPr>
        <sz val="12"/>
        <color theme="1"/>
        <rFont val="Times New Roman"/>
        <family val="1"/>
        <charset val="186"/>
      </rPr>
      <t xml:space="preserve"> * 23,59 % = 44,23 </t>
    </r>
    <r>
      <rPr>
        <i/>
        <sz val="12"/>
        <color theme="1"/>
        <rFont val="Times New Roman"/>
        <family val="1"/>
        <charset val="186"/>
      </rPr>
      <t>euro.</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</si>
  <si>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0.0164 (iznomātās platības koeficients) = 96,39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</si>
  <si>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t>
    </r>
    <r>
      <rPr>
        <sz val="12"/>
        <color theme="1"/>
        <rFont val="Times New Roman"/>
        <family val="1"/>
        <charset val="186"/>
      </rPr>
      <t xml:space="preserve">/mēn. * 12 mēn. = 6 954,36 </t>
    </r>
    <r>
      <rPr>
        <i/>
        <sz val="12"/>
        <color theme="1"/>
        <rFont val="Times New Roman"/>
        <family val="1"/>
        <charset val="186"/>
      </rPr>
      <t>euro</t>
    </r>
    <r>
      <rPr>
        <sz val="12"/>
        <color theme="1"/>
        <rFont val="Times New Roman"/>
        <family val="1"/>
        <charset val="186"/>
      </rPr>
      <t xml:space="preserve"> * 0.0164 (iznomātās platības koeficients) = 114,05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</si>
  <si>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0.0164 (iznomātās platības koeficients) = 54,95 </t>
    </r>
    <r>
      <rPr>
        <i/>
        <sz val="12"/>
        <color theme="1"/>
        <rFont val="Times New Roman"/>
        <family val="1"/>
        <charset val="186"/>
      </rPr>
      <t>euro</t>
    </r>
    <r>
      <rPr>
        <sz val="12"/>
        <color theme="1"/>
        <rFont val="Times New Roman"/>
        <family val="1"/>
        <charset val="186"/>
      </rPr>
      <t xml:space="preserve">. </t>
    </r>
  </si>
  <si>
    <r>
      <t xml:space="preserve">Galv. nekust. īpaš. pārvaldnieks (96,39 </t>
    </r>
    <r>
      <rPr>
        <i/>
        <sz val="12"/>
        <color theme="1"/>
        <rFont val="Times New Roman"/>
        <family val="1"/>
        <charset val="186"/>
      </rPr>
      <t>euro</t>
    </r>
    <r>
      <rPr>
        <sz val="12"/>
        <color theme="1"/>
        <rFont val="Times New Roman"/>
        <family val="1"/>
        <charset val="186"/>
      </rPr>
      <t xml:space="preserve"> * 10%) = 9,64 </t>
    </r>
    <r>
      <rPr>
        <i/>
        <sz val="12"/>
        <color theme="1"/>
        <rFont val="Times New Roman"/>
        <family val="1"/>
        <charset val="186"/>
      </rPr>
      <t>euro</t>
    </r>
    <r>
      <rPr>
        <sz val="12"/>
        <color theme="1"/>
        <rFont val="Times New Roman"/>
        <family val="1"/>
        <charset val="186"/>
      </rPr>
      <t xml:space="preserve">, Saimniecības pārzinis (121,62 </t>
    </r>
    <r>
      <rPr>
        <i/>
        <sz val="12"/>
        <color theme="1"/>
        <rFont val="Times New Roman"/>
        <family val="1"/>
        <charset val="186"/>
      </rPr>
      <t>euro</t>
    </r>
    <r>
      <rPr>
        <sz val="12"/>
        <color theme="1"/>
        <rFont val="Times New Roman"/>
        <family val="1"/>
        <charset val="186"/>
      </rPr>
      <t xml:space="preserve"> * 10%) = 12,16 </t>
    </r>
    <r>
      <rPr>
        <i/>
        <sz val="12"/>
        <color theme="1"/>
        <rFont val="Times New Roman"/>
        <family val="1"/>
        <charset val="186"/>
      </rPr>
      <t>euro</t>
    </r>
    <r>
      <rPr>
        <sz val="12"/>
        <color theme="1"/>
        <rFont val="Times New Roman"/>
        <family val="1"/>
        <charset val="186"/>
      </rPr>
      <t xml:space="preserve">, Istabene (114,05 </t>
    </r>
    <r>
      <rPr>
        <i/>
        <sz val="12"/>
        <color theme="1"/>
        <rFont val="Times New Roman"/>
        <family val="1"/>
        <charset val="186"/>
      </rPr>
      <t>euro</t>
    </r>
    <r>
      <rPr>
        <sz val="12"/>
        <color theme="1"/>
        <rFont val="Times New Roman"/>
        <family val="1"/>
        <charset val="186"/>
      </rPr>
      <t xml:space="preserve"> * 10%) = 11,41 </t>
    </r>
    <r>
      <rPr>
        <i/>
        <sz val="12"/>
        <color theme="1"/>
        <rFont val="Times New Roman"/>
        <family val="1"/>
        <charset val="186"/>
      </rPr>
      <t>euro</t>
    </r>
    <r>
      <rPr>
        <sz val="12"/>
        <color theme="1"/>
        <rFont val="Times New Roman"/>
        <family val="1"/>
        <charset val="186"/>
      </rPr>
      <t xml:space="preserve">, Apkopēja (102,64 </t>
    </r>
    <r>
      <rPr>
        <i/>
        <sz val="12"/>
        <color theme="1"/>
        <rFont val="Times New Roman"/>
        <family val="1"/>
        <charset val="186"/>
      </rPr>
      <t>euro</t>
    </r>
    <r>
      <rPr>
        <sz val="12"/>
        <color theme="1"/>
        <rFont val="Times New Roman"/>
        <family val="1"/>
        <charset val="186"/>
      </rPr>
      <t xml:space="preserve"> * 10%) = 10,26 </t>
    </r>
    <r>
      <rPr>
        <i/>
        <sz val="12"/>
        <color theme="1"/>
        <rFont val="Times New Roman"/>
        <family val="1"/>
        <charset val="186"/>
      </rPr>
      <t>euro</t>
    </r>
    <r>
      <rPr>
        <sz val="12"/>
        <color theme="1"/>
        <rFont val="Times New Roman"/>
        <family val="1"/>
        <charset val="186"/>
      </rPr>
      <t xml:space="preserve">, Sētnieks (54,95 </t>
    </r>
    <r>
      <rPr>
        <i/>
        <sz val="12"/>
        <color theme="1"/>
        <rFont val="Times New Roman"/>
        <family val="1"/>
        <charset val="186"/>
      </rPr>
      <t>euro</t>
    </r>
    <r>
      <rPr>
        <sz val="12"/>
        <color theme="1"/>
        <rFont val="Times New Roman"/>
        <family val="1"/>
        <charset val="186"/>
      </rPr>
      <t xml:space="preserve"> * 10%) = 5,50 </t>
    </r>
    <r>
      <rPr>
        <i/>
        <sz val="12"/>
        <color theme="1"/>
        <rFont val="Times New Roman"/>
        <family val="1"/>
        <charset val="186"/>
      </rPr>
      <t>euro</t>
    </r>
    <r>
      <rPr>
        <sz val="12"/>
        <color theme="1"/>
        <rFont val="Times New Roman"/>
        <family val="1"/>
        <charset val="186"/>
      </rPr>
      <t xml:space="preserve">. Kopā (9,64 </t>
    </r>
    <r>
      <rPr>
        <i/>
        <sz val="12"/>
        <color theme="1"/>
        <rFont val="Times New Roman"/>
        <family val="1"/>
        <charset val="186"/>
      </rPr>
      <t>euro</t>
    </r>
    <r>
      <rPr>
        <sz val="12"/>
        <color theme="1"/>
        <rFont val="Times New Roman"/>
        <family val="1"/>
        <charset val="186"/>
      </rPr>
      <t xml:space="preserve"> + 12,16 </t>
    </r>
    <r>
      <rPr>
        <i/>
        <sz val="12"/>
        <color theme="1"/>
        <rFont val="Times New Roman"/>
        <family val="1"/>
        <charset val="186"/>
      </rPr>
      <t>euro</t>
    </r>
    <r>
      <rPr>
        <sz val="12"/>
        <color theme="1"/>
        <rFont val="Times New Roman"/>
        <family val="1"/>
        <charset val="186"/>
      </rPr>
      <t xml:space="preserve"> + 11,41 </t>
    </r>
    <r>
      <rPr>
        <i/>
        <sz val="12"/>
        <color theme="1"/>
        <rFont val="Times New Roman"/>
        <family val="1"/>
        <charset val="186"/>
      </rPr>
      <t>euro</t>
    </r>
    <r>
      <rPr>
        <sz val="12"/>
        <color theme="1"/>
        <rFont val="Times New Roman"/>
        <family val="1"/>
        <charset val="186"/>
      </rPr>
      <t xml:space="preserve"> + 10,26 </t>
    </r>
    <r>
      <rPr>
        <i/>
        <sz val="12"/>
        <color theme="1"/>
        <rFont val="Times New Roman"/>
        <family val="1"/>
        <charset val="186"/>
      </rPr>
      <t>euro</t>
    </r>
    <r>
      <rPr>
        <sz val="12"/>
        <color theme="1"/>
        <rFont val="Times New Roman"/>
        <family val="1"/>
        <charset val="186"/>
      </rPr>
      <t xml:space="preserve"> + 5,50 </t>
    </r>
    <r>
      <rPr>
        <i/>
        <sz val="12"/>
        <color theme="1"/>
        <rFont val="Times New Roman"/>
        <family val="1"/>
        <charset val="186"/>
      </rPr>
      <t>euro</t>
    </r>
    <r>
      <rPr>
        <sz val="12"/>
        <color theme="1"/>
        <rFont val="Times New Roman"/>
        <family val="1"/>
        <charset val="186"/>
      </rPr>
      <t xml:space="preserve">) = 48,97 </t>
    </r>
    <r>
      <rPr>
        <i/>
        <sz val="12"/>
        <color theme="1"/>
        <rFont val="Times New Roman"/>
        <family val="1"/>
        <charset val="186"/>
      </rPr>
      <t>euro</t>
    </r>
    <r>
      <rPr>
        <sz val="12"/>
        <color theme="1"/>
        <rFont val="Times New Roman"/>
        <family val="1"/>
        <charset val="186"/>
      </rPr>
      <t>.</t>
    </r>
  </si>
  <si>
    <r>
      <t xml:space="preserve">Galv. nekust. īpaš. pārvaldnieks (96,39  </t>
    </r>
    <r>
      <rPr>
        <i/>
        <sz val="12"/>
        <color theme="1"/>
        <rFont val="Times New Roman"/>
        <family val="1"/>
        <charset val="186"/>
      </rPr>
      <t>euro</t>
    </r>
    <r>
      <rPr>
        <sz val="12"/>
        <color theme="1"/>
        <rFont val="Times New Roman"/>
        <family val="1"/>
        <charset val="186"/>
      </rPr>
      <t xml:space="preserve"> * 5%) = 4,82 </t>
    </r>
    <r>
      <rPr>
        <i/>
        <sz val="12"/>
        <color theme="1"/>
        <rFont val="Times New Roman"/>
        <family val="1"/>
        <charset val="186"/>
      </rPr>
      <t>euro</t>
    </r>
    <r>
      <rPr>
        <sz val="12"/>
        <color theme="1"/>
        <rFont val="Times New Roman"/>
        <family val="1"/>
        <charset val="186"/>
      </rPr>
      <t xml:space="preserve">, Saimniecības pārzinis (121,62 </t>
    </r>
    <r>
      <rPr>
        <i/>
        <sz val="12"/>
        <color theme="1"/>
        <rFont val="Times New Roman"/>
        <family val="1"/>
        <charset val="186"/>
      </rPr>
      <t>euro</t>
    </r>
    <r>
      <rPr>
        <sz val="12"/>
        <color theme="1"/>
        <rFont val="Times New Roman"/>
        <family val="1"/>
        <charset val="186"/>
      </rPr>
      <t xml:space="preserve"> * 5%) = 6,08 </t>
    </r>
    <r>
      <rPr>
        <i/>
        <sz val="12"/>
        <color theme="1"/>
        <rFont val="Times New Roman"/>
        <family val="1"/>
        <charset val="186"/>
      </rPr>
      <t>euro</t>
    </r>
    <r>
      <rPr>
        <sz val="12"/>
        <color theme="1"/>
        <rFont val="Times New Roman"/>
        <family val="1"/>
        <charset val="186"/>
      </rPr>
      <t xml:space="preserve">, Istabene 114,05 </t>
    </r>
    <r>
      <rPr>
        <i/>
        <sz val="12"/>
        <color theme="1"/>
        <rFont val="Times New Roman"/>
        <family val="1"/>
        <charset val="186"/>
      </rPr>
      <t>euro</t>
    </r>
    <r>
      <rPr>
        <sz val="12"/>
        <color theme="1"/>
        <rFont val="Times New Roman"/>
        <family val="1"/>
        <charset val="186"/>
      </rPr>
      <t xml:space="preserve"> * 5%) = 5,70 </t>
    </r>
    <r>
      <rPr>
        <i/>
        <sz val="12"/>
        <color theme="1"/>
        <rFont val="Times New Roman"/>
        <family val="1"/>
        <charset val="186"/>
      </rPr>
      <t>euro</t>
    </r>
    <r>
      <rPr>
        <sz val="12"/>
        <color theme="1"/>
        <rFont val="Times New Roman"/>
        <family val="1"/>
        <charset val="186"/>
      </rPr>
      <t xml:space="preserve">, Apkopēja (102,64 </t>
    </r>
    <r>
      <rPr>
        <i/>
        <sz val="12"/>
        <color theme="1"/>
        <rFont val="Times New Roman"/>
        <family val="1"/>
        <charset val="186"/>
      </rPr>
      <t>euro</t>
    </r>
    <r>
      <rPr>
        <sz val="12"/>
        <color theme="1"/>
        <rFont val="Times New Roman"/>
        <family val="1"/>
        <charset val="186"/>
      </rPr>
      <t xml:space="preserve"> * 5%) = 5,13 </t>
    </r>
    <r>
      <rPr>
        <i/>
        <sz val="12"/>
        <color theme="1"/>
        <rFont val="Times New Roman"/>
        <family val="1"/>
        <charset val="186"/>
      </rPr>
      <t>euro</t>
    </r>
    <r>
      <rPr>
        <sz val="12"/>
        <color theme="1"/>
        <rFont val="Times New Roman"/>
        <family val="1"/>
        <charset val="186"/>
      </rPr>
      <t xml:space="preserve">, Sētnieks (54,95 </t>
    </r>
    <r>
      <rPr>
        <i/>
        <sz val="12"/>
        <color theme="1"/>
        <rFont val="Times New Roman"/>
        <family val="1"/>
        <charset val="186"/>
      </rPr>
      <t>euro</t>
    </r>
    <r>
      <rPr>
        <sz val="12"/>
        <color theme="1"/>
        <rFont val="Times New Roman"/>
        <family val="1"/>
        <charset val="186"/>
      </rPr>
      <t xml:space="preserve"> * 5%) = 2,75 </t>
    </r>
    <r>
      <rPr>
        <i/>
        <sz val="12"/>
        <color theme="1"/>
        <rFont val="Times New Roman"/>
        <family val="1"/>
        <charset val="186"/>
      </rPr>
      <t>euro</t>
    </r>
    <r>
      <rPr>
        <sz val="12"/>
        <color theme="1"/>
        <rFont val="Times New Roman"/>
        <family val="1"/>
        <charset val="186"/>
      </rPr>
      <t xml:space="preserve">. Kopā (4,82 </t>
    </r>
    <r>
      <rPr>
        <i/>
        <sz val="12"/>
        <color theme="1"/>
        <rFont val="Times New Roman"/>
        <family val="1"/>
        <charset val="186"/>
      </rPr>
      <t>euro</t>
    </r>
    <r>
      <rPr>
        <sz val="12"/>
        <color theme="1"/>
        <rFont val="Times New Roman"/>
        <family val="1"/>
        <charset val="186"/>
      </rPr>
      <t xml:space="preserve"> + 6,08 </t>
    </r>
    <r>
      <rPr>
        <i/>
        <sz val="12"/>
        <color theme="1"/>
        <rFont val="Times New Roman"/>
        <family val="1"/>
        <charset val="186"/>
      </rPr>
      <t>euro</t>
    </r>
    <r>
      <rPr>
        <sz val="12"/>
        <color theme="1"/>
        <rFont val="Times New Roman"/>
        <family val="1"/>
        <charset val="186"/>
      </rPr>
      <t xml:space="preserve"> + 5,70 </t>
    </r>
    <r>
      <rPr>
        <i/>
        <sz val="12"/>
        <color theme="1"/>
        <rFont val="Times New Roman"/>
        <family val="1"/>
        <charset val="186"/>
      </rPr>
      <t>euro</t>
    </r>
    <r>
      <rPr>
        <sz val="12"/>
        <color theme="1"/>
        <rFont val="Times New Roman"/>
        <family val="1"/>
        <charset val="186"/>
      </rPr>
      <t xml:space="preserve"> + 5,13 </t>
    </r>
    <r>
      <rPr>
        <i/>
        <sz val="12"/>
        <color theme="1"/>
        <rFont val="Times New Roman"/>
        <family val="1"/>
        <charset val="186"/>
      </rPr>
      <t>euro</t>
    </r>
    <r>
      <rPr>
        <sz val="12"/>
        <color theme="1"/>
        <rFont val="Times New Roman"/>
        <family val="1"/>
        <charset val="186"/>
      </rPr>
      <t xml:space="preserve"> + 2,75 </t>
    </r>
    <r>
      <rPr>
        <i/>
        <sz val="12"/>
        <color theme="1"/>
        <rFont val="Times New Roman"/>
        <family val="1"/>
        <charset val="186"/>
      </rPr>
      <t>euro</t>
    </r>
    <r>
      <rPr>
        <sz val="12"/>
        <color theme="1"/>
        <rFont val="Times New Roman"/>
        <family val="1"/>
        <charset val="186"/>
      </rPr>
      <t xml:space="preserve">) = 24,48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</si>
  <si>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0.0164 (iznomātās platības koeficients) = 2,82 </t>
    </r>
    <r>
      <rPr>
        <i/>
        <sz val="12"/>
        <color theme="1"/>
        <rFont val="Times New Roman"/>
        <family val="1"/>
        <charset val="186"/>
      </rPr>
      <t>euro.</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</si>
  <si>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0.0164 (iznomātās platības koeficients) = 1,85 </t>
    </r>
    <r>
      <rPr>
        <i/>
        <sz val="12"/>
        <color theme="1"/>
        <rFont val="Times New Roman"/>
        <family val="1"/>
        <charset val="186"/>
      </rPr>
      <t>euro.</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</si>
  <si>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0.0164 (iznomātās platības koeficients) = 2,71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</si>
  <si>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0.0164 (iznomātās platības koeficients) = 3,70 </t>
    </r>
    <r>
      <rPr>
        <i/>
        <sz val="12"/>
        <color theme="1"/>
        <rFont val="Times New Roman"/>
        <family val="1"/>
        <charset val="186"/>
      </rPr>
      <t>euro.</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</si>
  <si>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0.0164 (iznomātās platības koeficients) = 2,61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</si>
  <si>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0.0164 (iznomātās platības koeficients) = 15,04 </t>
    </r>
    <r>
      <rPr>
        <i/>
        <sz val="12"/>
        <color theme="1"/>
        <rFont val="Times New Roman"/>
        <family val="1"/>
        <charset val="186"/>
      </rPr>
      <t>euro.</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</si>
  <si>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euro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0.0164 (iznomātās platības koeficients) = 15,72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</si>
  <si>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0.0164 (iznomātās platības koeficients) = 19,64 </t>
    </r>
    <r>
      <rPr>
        <i/>
        <sz val="12"/>
        <color theme="1"/>
        <rFont val="Times New Roman"/>
        <family val="1"/>
        <charset val="186"/>
      </rPr>
      <t>euro.</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</si>
  <si>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0.0164 (iznomātās platības koeficients) = 5,78 </t>
    </r>
    <r>
      <rPr>
        <i/>
        <sz val="12"/>
        <color theme="1"/>
        <rFont val="Times New Roman"/>
        <family val="1"/>
        <charset val="186"/>
      </rPr>
      <t>euro.</t>
    </r>
  </si>
  <si>
    <r>
      <t xml:space="preserve">Darba devēja valsts sociālās apdrošināšanas obligātās iemaksas 93,18 </t>
    </r>
    <r>
      <rPr>
        <i/>
        <sz val="12"/>
        <color theme="1"/>
        <rFont val="Times New Roman"/>
        <family val="1"/>
        <charset val="186"/>
      </rPr>
      <t>euro</t>
    </r>
    <r>
      <rPr>
        <sz val="12"/>
        <color theme="1"/>
        <rFont val="Times New Roman"/>
        <family val="1"/>
        <charset val="186"/>
      </rPr>
      <t xml:space="preserve"> * 23,59 % = 21,98 </t>
    </r>
    <r>
      <rPr>
        <i/>
        <sz val="12"/>
        <color theme="1"/>
        <rFont val="Times New Roman"/>
        <family val="1"/>
        <charset val="186"/>
      </rPr>
      <t>euro.</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</si>
  <si>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0.0164 (iznomātās platības koeficients) = 23,31 </t>
    </r>
    <r>
      <rPr>
        <i/>
        <sz val="12"/>
        <color theme="1"/>
        <rFont val="Times New Roman"/>
        <family val="1"/>
        <charset val="186"/>
      </rPr>
      <t>euro</t>
    </r>
    <r>
      <rPr>
        <sz val="12"/>
        <color theme="1"/>
        <rFont val="Times New Roman"/>
        <family val="1"/>
        <charset val="186"/>
      </rPr>
      <t>.</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</si>
  <si>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0.0164 (iznomātās platības koeficients) = 102,64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</si>
  <si>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t>
    </r>
    <r>
      <rPr>
        <sz val="12"/>
        <color theme="1"/>
        <rFont val="Times New Roman"/>
        <family val="1"/>
        <charset val="186"/>
      </rPr>
      <t xml:space="preserve">/mēn. * 12 mēn. = 7 429,56 </t>
    </r>
    <r>
      <rPr>
        <i/>
        <sz val="12"/>
        <color theme="1"/>
        <rFont val="Times New Roman"/>
        <family val="1"/>
        <charset val="186"/>
      </rPr>
      <t>euro</t>
    </r>
    <r>
      <rPr>
        <sz val="12"/>
        <color theme="1"/>
        <rFont val="Times New Roman"/>
        <family val="1"/>
        <charset val="186"/>
      </rPr>
      <t xml:space="preserve"> * 0.0164 (iznomātās platības koeficients) = 121,84 </t>
    </r>
    <r>
      <rPr>
        <i/>
        <sz val="12"/>
        <color theme="1"/>
        <rFont val="Times New Roman"/>
        <family val="1"/>
        <charset val="186"/>
      </rPr>
      <t>euro</t>
    </r>
    <r>
      <rPr>
        <sz val="12"/>
        <color theme="1"/>
        <rFont val="Times New Roman"/>
        <family val="1"/>
        <charset val="186"/>
      </rPr>
      <t xml:space="preserve">.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</si>
  <si>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0.072 (iznomātās platības koeficients) = 423,18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</si>
  <si>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t>
    </r>
    <r>
      <rPr>
        <sz val="12"/>
        <color theme="1"/>
        <rFont val="Times New Roman"/>
        <family val="1"/>
        <charset val="186"/>
      </rPr>
      <t xml:space="preserve">/mēn. * 12 mēn. = 7 429,56 </t>
    </r>
    <r>
      <rPr>
        <i/>
        <sz val="12"/>
        <color theme="1"/>
        <rFont val="Times New Roman"/>
        <family val="1"/>
        <charset val="186"/>
      </rPr>
      <t>euro</t>
    </r>
    <r>
      <rPr>
        <sz val="12"/>
        <color theme="1"/>
        <rFont val="Times New Roman"/>
        <family val="1"/>
        <charset val="186"/>
      </rPr>
      <t xml:space="preserve"> * 0.072 (iznomātās platības koeficients) = 534,93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</si>
  <si>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euro). Stundas tarifa likme 4,59 euro = 760 euro / 165.58 (vid. d. stundu sk. mēnesī). Vid. mēn. noslogojums 126.26 stundas, (4,59 euro * 126.26 h) = 579,53 euro/mēn. * 12 mēn. = 6 954,36 euro * 0.072 (iznomātās platības koeficients) = 500,71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</si>
  <si>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euro). Stundas tarifa likme 4,47 euro = 740 euro / 165.58 (vid. d. stundu sk. mēnesī). Vid. mēn. noslogojums 116.67 stundas, (4,47 euro * 116.67 h) = 521,51 euro/mēn. * 12 mēn. = 6 258,12 euro * 0.072 (iznomātās platības koeficients) = 450,58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</si>
  <si>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euro). Stundas tarifa likme 4,47 euro = 740 euro / 165.58 (vid. d. stundu sk. mēnesī). Vid. mēn. noslogojums 62.46 stundas, (4,47 euro * 62.46 h) = 279,20 euro/mēn. * 12 mēn. = 3 350,40 euro * 0.072 (iznomātās platības koeficients) = 241,23 </t>
    </r>
    <r>
      <rPr>
        <i/>
        <sz val="12"/>
        <color theme="1"/>
        <rFont val="Times New Roman"/>
        <family val="1"/>
        <charset val="186"/>
      </rPr>
      <t>euro</t>
    </r>
    <r>
      <rPr>
        <sz val="12"/>
        <color theme="1"/>
        <rFont val="Times New Roman"/>
        <family val="1"/>
        <charset val="186"/>
      </rPr>
      <t xml:space="preserve">. </t>
    </r>
  </si>
  <si>
    <r>
      <t xml:space="preserve">Galv. nekust. īpaš. pārvaldnieks (423,18 </t>
    </r>
    <r>
      <rPr>
        <i/>
        <sz val="12"/>
        <color theme="1"/>
        <rFont val="Times New Roman"/>
        <family val="1"/>
        <charset val="186"/>
      </rPr>
      <t>euro</t>
    </r>
    <r>
      <rPr>
        <sz val="12"/>
        <color theme="1"/>
        <rFont val="Times New Roman"/>
        <family val="1"/>
        <charset val="186"/>
      </rPr>
      <t xml:space="preserve"> * 10%) = 42,32 </t>
    </r>
    <r>
      <rPr>
        <i/>
        <sz val="12"/>
        <color theme="1"/>
        <rFont val="Times New Roman"/>
        <family val="1"/>
        <charset val="186"/>
      </rPr>
      <t>euro</t>
    </r>
    <r>
      <rPr>
        <sz val="12"/>
        <color theme="1"/>
        <rFont val="Times New Roman"/>
        <family val="1"/>
        <charset val="186"/>
      </rPr>
      <t xml:space="preserve">, Saimniecības pārzinis (534,93 </t>
    </r>
    <r>
      <rPr>
        <i/>
        <sz val="12"/>
        <color theme="1"/>
        <rFont val="Times New Roman"/>
        <family val="1"/>
        <charset val="186"/>
      </rPr>
      <t>euro</t>
    </r>
    <r>
      <rPr>
        <sz val="12"/>
        <color theme="1"/>
        <rFont val="Times New Roman"/>
        <family val="1"/>
        <charset val="186"/>
      </rPr>
      <t xml:space="preserve"> * 10%) = 53,49 </t>
    </r>
    <r>
      <rPr>
        <i/>
        <sz val="12"/>
        <color theme="1"/>
        <rFont val="Times New Roman"/>
        <family val="1"/>
        <charset val="186"/>
      </rPr>
      <t>euro</t>
    </r>
    <r>
      <rPr>
        <sz val="12"/>
        <color theme="1"/>
        <rFont val="Times New Roman"/>
        <family val="1"/>
        <charset val="186"/>
      </rPr>
      <t xml:space="preserve">, Istabene (500,71 </t>
    </r>
    <r>
      <rPr>
        <i/>
        <sz val="12"/>
        <color theme="1"/>
        <rFont val="Times New Roman"/>
        <family val="1"/>
        <charset val="186"/>
      </rPr>
      <t>euro</t>
    </r>
    <r>
      <rPr>
        <sz val="12"/>
        <color theme="1"/>
        <rFont val="Times New Roman"/>
        <family val="1"/>
        <charset val="186"/>
      </rPr>
      <t xml:space="preserve"> * 10%) = 50,07 </t>
    </r>
    <r>
      <rPr>
        <i/>
        <sz val="12"/>
        <color theme="1"/>
        <rFont val="Times New Roman"/>
        <family val="1"/>
        <charset val="186"/>
      </rPr>
      <t>euro</t>
    </r>
    <r>
      <rPr>
        <sz val="12"/>
        <color theme="1"/>
        <rFont val="Times New Roman"/>
        <family val="1"/>
        <charset val="186"/>
      </rPr>
      <t xml:space="preserve">, Apkopēja (450,58 </t>
    </r>
    <r>
      <rPr>
        <i/>
        <sz val="12"/>
        <color theme="1"/>
        <rFont val="Times New Roman"/>
        <family val="1"/>
        <charset val="186"/>
      </rPr>
      <t>euro</t>
    </r>
    <r>
      <rPr>
        <sz val="12"/>
        <color theme="1"/>
        <rFont val="Times New Roman"/>
        <family val="1"/>
        <charset val="186"/>
      </rPr>
      <t xml:space="preserve"> * 10%) = 45,06 </t>
    </r>
    <r>
      <rPr>
        <i/>
        <sz val="12"/>
        <color theme="1"/>
        <rFont val="Times New Roman"/>
        <family val="1"/>
        <charset val="186"/>
      </rPr>
      <t>euro</t>
    </r>
    <r>
      <rPr>
        <sz val="12"/>
        <color theme="1"/>
        <rFont val="Times New Roman"/>
        <family val="1"/>
        <charset val="186"/>
      </rPr>
      <t xml:space="preserve">, Sētnieks (241,23 </t>
    </r>
    <r>
      <rPr>
        <i/>
        <sz val="12"/>
        <color theme="1"/>
        <rFont val="Times New Roman"/>
        <family val="1"/>
        <charset val="186"/>
      </rPr>
      <t>euro</t>
    </r>
    <r>
      <rPr>
        <sz val="12"/>
        <color theme="1"/>
        <rFont val="Times New Roman"/>
        <family val="1"/>
        <charset val="186"/>
      </rPr>
      <t xml:space="preserve"> * 10%) = 24,12 </t>
    </r>
    <r>
      <rPr>
        <i/>
        <sz val="12"/>
        <color theme="1"/>
        <rFont val="Times New Roman"/>
        <family val="1"/>
        <charset val="186"/>
      </rPr>
      <t>euro</t>
    </r>
    <r>
      <rPr>
        <sz val="12"/>
        <color theme="1"/>
        <rFont val="Times New Roman"/>
        <family val="1"/>
        <charset val="186"/>
      </rPr>
      <t xml:space="preserve">. Kopā (42,32 </t>
    </r>
    <r>
      <rPr>
        <i/>
        <sz val="12"/>
        <color theme="1"/>
        <rFont val="Times New Roman"/>
        <family val="1"/>
        <charset val="186"/>
      </rPr>
      <t>euro</t>
    </r>
    <r>
      <rPr>
        <sz val="12"/>
        <color theme="1"/>
        <rFont val="Times New Roman"/>
        <family val="1"/>
        <charset val="186"/>
      </rPr>
      <t xml:space="preserve"> + 53,49 </t>
    </r>
    <r>
      <rPr>
        <i/>
        <sz val="12"/>
        <color theme="1"/>
        <rFont val="Times New Roman"/>
        <family val="1"/>
        <charset val="186"/>
      </rPr>
      <t>euro</t>
    </r>
    <r>
      <rPr>
        <sz val="12"/>
        <color theme="1"/>
        <rFont val="Times New Roman"/>
        <family val="1"/>
        <charset val="186"/>
      </rPr>
      <t xml:space="preserve"> + 50,07 </t>
    </r>
    <r>
      <rPr>
        <i/>
        <sz val="12"/>
        <color theme="1"/>
        <rFont val="Times New Roman"/>
        <family val="1"/>
        <charset val="186"/>
      </rPr>
      <t>euro</t>
    </r>
    <r>
      <rPr>
        <sz val="12"/>
        <color theme="1"/>
        <rFont val="Times New Roman"/>
        <family val="1"/>
        <charset val="186"/>
      </rPr>
      <t xml:space="preserve"> + 45,06 </t>
    </r>
    <r>
      <rPr>
        <i/>
        <sz val="12"/>
        <color theme="1"/>
        <rFont val="Times New Roman"/>
        <family val="1"/>
        <charset val="186"/>
      </rPr>
      <t>euro</t>
    </r>
    <r>
      <rPr>
        <sz val="12"/>
        <color theme="1"/>
        <rFont val="Times New Roman"/>
        <family val="1"/>
        <charset val="186"/>
      </rPr>
      <t xml:space="preserve"> + 24,12 </t>
    </r>
    <r>
      <rPr>
        <i/>
        <sz val="12"/>
        <color theme="1"/>
        <rFont val="Times New Roman"/>
        <family val="1"/>
        <charset val="186"/>
      </rPr>
      <t>euro</t>
    </r>
    <r>
      <rPr>
        <sz val="12"/>
        <color theme="1"/>
        <rFont val="Times New Roman"/>
        <family val="1"/>
        <charset val="186"/>
      </rPr>
      <t xml:space="preserve">) = 215,06 </t>
    </r>
    <r>
      <rPr>
        <i/>
        <sz val="12"/>
        <color theme="1"/>
        <rFont val="Times New Roman"/>
        <family val="1"/>
        <charset val="186"/>
      </rPr>
      <t>euro</t>
    </r>
    <r>
      <rPr>
        <sz val="12"/>
        <color theme="1"/>
        <rFont val="Times New Roman"/>
        <family val="1"/>
        <charset val="186"/>
      </rPr>
      <t>.</t>
    </r>
  </si>
  <si>
    <r>
      <t xml:space="preserve">Galv. nekust. īpaš. pārvaldnieks (423,18 </t>
    </r>
    <r>
      <rPr>
        <i/>
        <sz val="12"/>
        <color theme="1"/>
        <rFont val="Times New Roman"/>
        <family val="1"/>
        <charset val="186"/>
      </rPr>
      <t>euro</t>
    </r>
    <r>
      <rPr>
        <sz val="12"/>
        <color theme="1"/>
        <rFont val="Times New Roman"/>
        <family val="1"/>
        <charset val="186"/>
      </rPr>
      <t xml:space="preserve"> * 5%) = 21,16 </t>
    </r>
    <r>
      <rPr>
        <i/>
        <sz val="12"/>
        <color theme="1"/>
        <rFont val="Times New Roman"/>
        <family val="1"/>
        <charset val="186"/>
      </rPr>
      <t>euro</t>
    </r>
    <r>
      <rPr>
        <sz val="12"/>
        <color theme="1"/>
        <rFont val="Times New Roman"/>
        <family val="1"/>
        <charset val="186"/>
      </rPr>
      <t xml:space="preserve">, Saimniecības pārzinis (534,93 </t>
    </r>
    <r>
      <rPr>
        <i/>
        <sz val="12"/>
        <color theme="1"/>
        <rFont val="Times New Roman"/>
        <family val="1"/>
        <charset val="186"/>
      </rPr>
      <t>euro</t>
    </r>
    <r>
      <rPr>
        <sz val="12"/>
        <color theme="1"/>
        <rFont val="Times New Roman"/>
        <family val="1"/>
        <charset val="186"/>
      </rPr>
      <t xml:space="preserve"> * 5%) = 26,75 </t>
    </r>
    <r>
      <rPr>
        <i/>
        <sz val="12"/>
        <color theme="1"/>
        <rFont val="Times New Roman"/>
        <family val="1"/>
        <charset val="186"/>
      </rPr>
      <t>euro</t>
    </r>
    <r>
      <rPr>
        <sz val="12"/>
        <color theme="1"/>
        <rFont val="Times New Roman"/>
        <family val="1"/>
        <charset val="186"/>
      </rPr>
      <t xml:space="preserve">,  Istabene (500,71 </t>
    </r>
    <r>
      <rPr>
        <i/>
        <sz val="12"/>
        <color theme="1"/>
        <rFont val="Times New Roman"/>
        <family val="1"/>
        <charset val="186"/>
      </rPr>
      <t>euro</t>
    </r>
    <r>
      <rPr>
        <sz val="12"/>
        <color theme="1"/>
        <rFont val="Times New Roman"/>
        <family val="1"/>
        <charset val="186"/>
      </rPr>
      <t xml:space="preserve"> * 5%) = 25,04 </t>
    </r>
    <r>
      <rPr>
        <i/>
        <sz val="12"/>
        <color theme="1"/>
        <rFont val="Times New Roman"/>
        <family val="1"/>
        <charset val="186"/>
      </rPr>
      <t>euro</t>
    </r>
    <r>
      <rPr>
        <sz val="12"/>
        <color theme="1"/>
        <rFont val="Times New Roman"/>
        <family val="1"/>
        <charset val="186"/>
      </rPr>
      <t xml:space="preserve">,  Apkopēja (450,58 </t>
    </r>
    <r>
      <rPr>
        <i/>
        <sz val="12"/>
        <color theme="1"/>
        <rFont val="Times New Roman"/>
        <family val="1"/>
        <charset val="186"/>
      </rPr>
      <t>euro</t>
    </r>
    <r>
      <rPr>
        <sz val="12"/>
        <color theme="1"/>
        <rFont val="Times New Roman"/>
        <family val="1"/>
        <charset val="186"/>
      </rPr>
      <t xml:space="preserve"> * 5%) = 22,53 </t>
    </r>
    <r>
      <rPr>
        <i/>
        <sz val="12"/>
        <color theme="1"/>
        <rFont val="Times New Roman"/>
        <family val="1"/>
        <charset val="186"/>
      </rPr>
      <t>euro</t>
    </r>
    <r>
      <rPr>
        <sz val="12"/>
        <color theme="1"/>
        <rFont val="Times New Roman"/>
        <family val="1"/>
        <charset val="186"/>
      </rPr>
      <t xml:space="preserve">, Sētnieks (241,23 </t>
    </r>
    <r>
      <rPr>
        <i/>
        <sz val="12"/>
        <color theme="1"/>
        <rFont val="Times New Roman"/>
        <family val="1"/>
        <charset val="186"/>
      </rPr>
      <t>euro</t>
    </r>
    <r>
      <rPr>
        <sz val="12"/>
        <color theme="1"/>
        <rFont val="Times New Roman"/>
        <family val="1"/>
        <charset val="186"/>
      </rPr>
      <t xml:space="preserve"> * 5%) = 12,06 </t>
    </r>
    <r>
      <rPr>
        <i/>
        <sz val="12"/>
        <color theme="1"/>
        <rFont val="Times New Roman"/>
        <family val="1"/>
        <charset val="186"/>
      </rPr>
      <t>euro</t>
    </r>
    <r>
      <rPr>
        <sz val="12"/>
        <color theme="1"/>
        <rFont val="Times New Roman"/>
        <family val="1"/>
        <charset val="186"/>
      </rPr>
      <t xml:space="preserve">. Kopā (21,16 </t>
    </r>
    <r>
      <rPr>
        <i/>
        <sz val="12"/>
        <color theme="1"/>
        <rFont val="Times New Roman"/>
        <family val="1"/>
        <charset val="186"/>
      </rPr>
      <t>euro</t>
    </r>
    <r>
      <rPr>
        <sz val="12"/>
        <color theme="1"/>
        <rFont val="Times New Roman"/>
        <family val="1"/>
        <charset val="186"/>
      </rPr>
      <t xml:space="preserve"> +26,75 </t>
    </r>
    <r>
      <rPr>
        <i/>
        <sz val="12"/>
        <color theme="1"/>
        <rFont val="Times New Roman"/>
        <family val="1"/>
        <charset val="186"/>
      </rPr>
      <t>euro</t>
    </r>
    <r>
      <rPr>
        <sz val="12"/>
        <color theme="1"/>
        <rFont val="Times New Roman"/>
        <family val="1"/>
        <charset val="186"/>
      </rPr>
      <t xml:space="preserve"> + 25,04 </t>
    </r>
    <r>
      <rPr>
        <i/>
        <sz val="12"/>
        <color theme="1"/>
        <rFont val="Times New Roman"/>
        <family val="1"/>
        <charset val="186"/>
      </rPr>
      <t>euro</t>
    </r>
    <r>
      <rPr>
        <sz val="12"/>
        <color theme="1"/>
        <rFont val="Times New Roman"/>
        <family val="1"/>
        <charset val="186"/>
      </rPr>
      <t xml:space="preserve"> + 22,53 </t>
    </r>
    <r>
      <rPr>
        <i/>
        <sz val="12"/>
        <color theme="1"/>
        <rFont val="Times New Roman"/>
        <family val="1"/>
        <charset val="186"/>
      </rPr>
      <t>euro</t>
    </r>
    <r>
      <rPr>
        <sz val="12"/>
        <color theme="1"/>
        <rFont val="Times New Roman"/>
        <family val="1"/>
        <charset val="186"/>
      </rPr>
      <t xml:space="preserve"> + 12,06 </t>
    </r>
    <r>
      <rPr>
        <i/>
        <sz val="12"/>
        <color theme="1"/>
        <rFont val="Times New Roman"/>
        <family val="1"/>
        <charset val="186"/>
      </rPr>
      <t>euro</t>
    </r>
    <r>
      <rPr>
        <sz val="12"/>
        <color theme="1"/>
        <rFont val="Times New Roman"/>
        <family val="1"/>
        <charset val="186"/>
      </rPr>
      <t xml:space="preserve">) = 107,54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</si>
  <si>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(2 363,85 </t>
    </r>
    <r>
      <rPr>
        <i/>
        <sz val="12"/>
        <color theme="1"/>
        <rFont val="Times New Roman"/>
        <family val="1"/>
        <charset val="186"/>
      </rPr>
      <t>euro</t>
    </r>
    <r>
      <rPr>
        <sz val="12"/>
        <color theme="1"/>
        <rFont val="Times New Roman"/>
        <family val="1"/>
        <charset val="186"/>
      </rPr>
      <t xml:space="preserve"> * 23,59 %) = 557,63 </t>
    </r>
    <r>
      <rPr>
        <i/>
        <sz val="12"/>
        <color theme="1"/>
        <rFont val="Times New Roman"/>
        <family val="1"/>
        <charset val="186"/>
      </rPr>
      <t xml:space="preserve">euro. </t>
    </r>
  </si>
  <si>
    <r>
      <t xml:space="preserve">Darba devēja valsts sociālās apdrošināšanas obligātās iemaksas 557,63 </t>
    </r>
    <r>
      <rPr>
        <i/>
        <sz val="12"/>
        <color theme="1"/>
        <rFont val="Times New Roman"/>
        <family val="1"/>
        <charset val="186"/>
      </rPr>
      <t>euro</t>
    </r>
    <r>
      <rPr>
        <sz val="12"/>
        <color theme="1"/>
        <rFont val="Times New Roman"/>
        <family val="1"/>
        <charset val="186"/>
      </rPr>
      <t xml:space="preserve">. Veselības apdrošināšana 107,54 </t>
    </r>
    <r>
      <rPr>
        <i/>
        <sz val="12"/>
        <color theme="1"/>
        <rFont val="Times New Roman"/>
        <family val="1"/>
        <charset val="186"/>
      </rPr>
      <t>euro</t>
    </r>
    <r>
      <rPr>
        <sz val="12"/>
        <color theme="1"/>
        <rFont val="Times New Roman"/>
        <family val="1"/>
        <charset val="186"/>
      </rPr>
      <t xml:space="preserve">. Kopā 665,17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</si>
  <si>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euro). Stundas tarifa likme 11,47 euro = 1 900 euro / 165.58 (vid. d. stundu sk. mēnesī). Vid. mēn. noslogojums 1.25 stundas, (11,47 euro * 1.25 h) = 14,34 euro/mēn. * 12. mēn. = 172,08 euro * 0.072 (iznomātās platības koeficients) = 12,39 </t>
    </r>
    <r>
      <rPr>
        <i/>
        <sz val="12"/>
        <color theme="1"/>
        <rFont val="Times New Roman"/>
        <family val="1"/>
        <charset val="186"/>
      </rPr>
      <t>euro.</t>
    </r>
  </si>
  <si>
    <r>
      <t xml:space="preserve">Vecākais lietvedis (20.3. saime, II līmenis, 7. algu grupa, mēnešalga 1 266 euro). Stundas tarifa likme 7,65 euro = 1 266 euro / 165.58 (vid. d. stundu sk. mēnesī). Vid. mēn. noslogojums 1.23 stundas, (7,65 euro * 1.23 h) = 9,41 euro/mēn. * 12. mēn. = 112,92 euro * 0.072 (iznomātās platības koeficients) = 8,13 </t>
    </r>
    <r>
      <rPr>
        <i/>
        <sz val="12"/>
        <color theme="1"/>
        <rFont val="Times New Roman"/>
        <family val="1"/>
        <charset val="186"/>
      </rPr>
      <t>euro.</t>
    </r>
  </si>
  <si>
    <r>
      <t xml:space="preserve">Jurists (24. saime, III līmenis, 11. algu grupa, mēnešalga 1 900 euro). Stundas tarifa likme 11,47 euro = 1 900 euro / 165.58 (vid. d. stundu sk. mēnesī). Vid. mēn. noslogojums 1.2 stundas, (11,47 euro * 1.2 h) = 13,76 euro/mēn. * 12. mēn. = 165,12 euro * 0.072 (iznomātās platības koeficients) = 11,89 </t>
    </r>
    <r>
      <rPr>
        <i/>
        <sz val="12"/>
        <color theme="1"/>
        <rFont val="Times New Roman"/>
        <family val="1"/>
        <charset val="186"/>
      </rPr>
      <t>euro.</t>
    </r>
  </si>
  <si>
    <r>
      <t xml:space="preserve">Pārvaldes vadītājs (15.1. saime, VA līmenis, 12. algu grupa,  mēnešalga 2 508 euro). Stundas tarifa likme 15,15 euro = 2 508 euro / 165.58 (vid. d. stundu sk. mēnesī). Vid. mēn. noslogojums 1.24 stundas, (15,15 euro * 1.24 h) = 18,79 euro/mēn. * 12. mēn. = 225,48 euro * 0.072 (iznomātās platības koeficients) = 16,23 </t>
    </r>
    <r>
      <rPr>
        <i/>
        <sz val="12"/>
        <color theme="1"/>
        <rFont val="Times New Roman"/>
        <family val="1"/>
        <charset val="186"/>
      </rPr>
      <t>euro.</t>
    </r>
  </si>
  <si>
    <r>
      <t xml:space="preserve">Finanšu nodaļas vadītājs (15.1. saime, IVB līmenis, 11. algu grupa, mēnešalga 2 015 euro). Stundas tarifa likme 12,17 euro = 2 015 euro / 165.58 (vid. d. stundu sk. mēnesī). Vid. mēn. noslogojums 1.09 stundas, (12,17 euro * 1.09 h) = 13,27 euro/mēn. * 12. mēn. = 159,24 euro * 0.072 (iznomātās platības koeficients) = 11,47 </t>
    </r>
    <r>
      <rPr>
        <i/>
        <sz val="12"/>
        <color theme="1"/>
        <rFont val="Times New Roman"/>
        <family val="1"/>
        <charset val="186"/>
      </rPr>
      <t>euro.</t>
    </r>
  </si>
  <si>
    <r>
      <t xml:space="preserve">Finansists (15.1. saime, IA līmenis, 8. algu grupa, mēnešalga 1 372 euro). Stundas tarifa likme 8,29 euro = 1 372 euro/ 165.58 (vid. d. stundu sk. mēnesī). Vid. mēn. noslogojums  9.22 stundas, (8,29 euro * 9.22 h) = 76,43 euro/mēn. * 12. mēn. = 917,16 euro * 0.072  (iznomātās platības koeficients) = 66,04 </t>
    </r>
    <r>
      <rPr>
        <i/>
        <sz val="12"/>
        <color theme="1"/>
        <rFont val="Times New Roman"/>
        <family val="1"/>
        <charset val="186"/>
      </rPr>
      <t>euro.</t>
    </r>
  </si>
  <si>
    <r>
      <t xml:space="preserve">Grāmatvedis (17. saime, IV līmenis, 9. algu grupa, mēnešalga 1 559 euro). Stundas tarifa likme 9,42 euro = 1 559 euro / 165.58 (vid. d. stundu sk. mēnesī). Vid. mēn. noslogojums 8.48 stundas, (9,42 euro * 8.48 h) = 79,88 euro/mēn. * 12. mēn. = 958,56 euro * 0.072 (iznomātās platības koeficients) = 69,02 </t>
    </r>
    <r>
      <rPr>
        <i/>
        <sz val="12"/>
        <color theme="1"/>
        <rFont val="Times New Roman"/>
        <family val="1"/>
        <charset val="186"/>
      </rPr>
      <t>euro.</t>
    </r>
  </si>
  <si>
    <r>
      <t xml:space="preserve">Grāmatvedis (17. saime, III līmenis, 8. algu grupa, mēnešalga 1 372 euro). Stundas tarifa likme 8,29 euro = 1 372 euro / 165.58 (vid. d. stundu sk. mēnesī). Vid. mēn. noslogojums 12.04 stundas, (8,29 euro * 12.04 h) = 99,81 euro/mēn. * 12. mēn. = 1 197,72 euro * 0.072 (iznomātās platības koeficients) = 86,24 </t>
    </r>
    <r>
      <rPr>
        <i/>
        <sz val="12"/>
        <color theme="1"/>
        <rFont val="Times New Roman"/>
        <family val="1"/>
        <charset val="186"/>
      </rPr>
      <t>euro.</t>
    </r>
  </si>
  <si>
    <r>
      <t xml:space="preserve">Direktora vietnieks, Nekustamo īpašumu pārvaldīšanas departamenta vadītājs (1.1. saime, IV līmenis, 16. algu grupa, mēnešalga 4 155 euro). Stundas tarifa likme 25,09 euro = 4 155 euro / 165.58 (vid. d. stundu sk. mēnesī). Vid. mēn. noslogojums 4.72 stundas, (25,09 euro * 4.72 h) = 118,42 euro/mēn. * 12. mēn. = 1 421,04 euro * 0.072 (iznomātās platības koeficients) = 102,31 </t>
    </r>
    <r>
      <rPr>
        <i/>
        <sz val="12"/>
        <color theme="1"/>
        <rFont val="Times New Roman"/>
        <family val="1"/>
        <charset val="186"/>
      </rPr>
      <t>euro.</t>
    </r>
  </si>
  <si>
    <r>
      <t xml:space="preserve">Direktors (1.1. saime, V līmenis, 17. algu grupa, mēnešalga 4 500 euro). Stundas tarifa likme 27,18 euro = 4 500 euro / 165.58 (vid. d. stundu sk. mēnesī). Vid. mēn. noslogojums 65 min., (27,18 euro * 1.08 h) = 29,35 euro/mēn. * 12. mēn. = 352,20 euro * 0.072 (iznomātās platības koeficients) = 25,36 </t>
    </r>
    <r>
      <rPr>
        <i/>
        <sz val="12"/>
        <color theme="1"/>
        <rFont val="Times New Roman"/>
        <family val="1"/>
        <charset val="186"/>
      </rPr>
      <t>euro.</t>
    </r>
  </si>
  <si>
    <r>
      <t xml:space="preserve">Darba devēja valsts sociālās apdrošināšanas obligātās iemaksas 408,35 </t>
    </r>
    <r>
      <rPr>
        <i/>
        <sz val="12"/>
        <color theme="1"/>
        <rFont val="Times New Roman"/>
        <family val="1"/>
        <charset val="186"/>
      </rPr>
      <t>euro</t>
    </r>
    <r>
      <rPr>
        <sz val="12"/>
        <color theme="1"/>
        <rFont val="Times New Roman"/>
        <family val="1"/>
        <charset val="186"/>
      </rPr>
      <t xml:space="preserve"> * 23,59 % = 96,33 </t>
    </r>
    <r>
      <rPr>
        <i/>
        <sz val="12"/>
        <color theme="1"/>
        <rFont val="Times New Roman"/>
        <family val="1"/>
        <charset val="186"/>
      </rPr>
      <t>euro</t>
    </r>
    <r>
      <rPr>
        <sz val="12"/>
        <color theme="1"/>
        <rFont val="Times New Roman"/>
        <family val="1"/>
        <charset val="186"/>
      </rPr>
      <t>.</t>
    </r>
  </si>
  <si>
    <r>
      <t xml:space="preserve">Galv. nekust. īpaš. pārvaldnieks (67,59 </t>
    </r>
    <r>
      <rPr>
        <i/>
        <sz val="12"/>
        <color theme="1"/>
        <rFont val="Times New Roman"/>
        <family val="1"/>
        <charset val="186"/>
      </rPr>
      <t>euro</t>
    </r>
    <r>
      <rPr>
        <sz val="12"/>
        <color theme="1"/>
        <rFont val="Times New Roman"/>
        <family val="1"/>
        <charset val="186"/>
      </rPr>
      <t xml:space="preserve"> * 10%) = 6,76 </t>
    </r>
    <r>
      <rPr>
        <i/>
        <sz val="12"/>
        <color theme="1"/>
        <rFont val="Times New Roman"/>
        <family val="1"/>
        <charset val="186"/>
      </rPr>
      <t>euro</t>
    </r>
    <r>
      <rPr>
        <sz val="12"/>
        <color theme="1"/>
        <rFont val="Times New Roman"/>
        <family val="1"/>
        <charset val="186"/>
      </rPr>
      <t xml:space="preserve">, Saimniecības pārzinis (85,44 </t>
    </r>
    <r>
      <rPr>
        <i/>
        <sz val="12"/>
        <color theme="1"/>
        <rFont val="Times New Roman"/>
        <family val="1"/>
        <charset val="186"/>
      </rPr>
      <t>euro</t>
    </r>
    <r>
      <rPr>
        <sz val="12"/>
        <color theme="1"/>
        <rFont val="Times New Roman"/>
        <family val="1"/>
        <charset val="186"/>
      </rPr>
      <t xml:space="preserve"> * 10%) = 8,54 </t>
    </r>
    <r>
      <rPr>
        <i/>
        <sz val="12"/>
        <color theme="1"/>
        <rFont val="Times New Roman"/>
        <family val="1"/>
        <charset val="186"/>
      </rPr>
      <t>euro</t>
    </r>
    <r>
      <rPr>
        <sz val="12"/>
        <color theme="1"/>
        <rFont val="Times New Roman"/>
        <family val="1"/>
        <charset val="186"/>
      </rPr>
      <t xml:space="preserve">, Istabene (79,98 </t>
    </r>
    <r>
      <rPr>
        <i/>
        <sz val="12"/>
        <color theme="1"/>
        <rFont val="Times New Roman"/>
        <family val="1"/>
        <charset val="186"/>
      </rPr>
      <t>euro</t>
    </r>
    <r>
      <rPr>
        <sz val="12"/>
        <color theme="1"/>
        <rFont val="Times New Roman"/>
        <family val="1"/>
        <charset val="186"/>
      </rPr>
      <t xml:space="preserve"> * 10%) = 8,00 </t>
    </r>
    <r>
      <rPr>
        <i/>
        <sz val="12"/>
        <color theme="1"/>
        <rFont val="Times New Roman"/>
        <family val="1"/>
        <charset val="186"/>
      </rPr>
      <t>euro</t>
    </r>
    <r>
      <rPr>
        <sz val="12"/>
        <color theme="1"/>
        <rFont val="Times New Roman"/>
        <family val="1"/>
        <charset val="186"/>
      </rPr>
      <t xml:space="preserve">, Apkopēja (71,97 </t>
    </r>
    <r>
      <rPr>
        <i/>
        <sz val="12"/>
        <color theme="1"/>
        <rFont val="Times New Roman"/>
        <family val="1"/>
        <charset val="186"/>
      </rPr>
      <t>euro</t>
    </r>
    <r>
      <rPr>
        <sz val="12"/>
        <color theme="1"/>
        <rFont val="Times New Roman"/>
        <family val="1"/>
        <charset val="186"/>
      </rPr>
      <t xml:space="preserve"> * 10%) = 7,20 </t>
    </r>
    <r>
      <rPr>
        <i/>
        <sz val="12"/>
        <color theme="1"/>
        <rFont val="Times New Roman"/>
        <family val="1"/>
        <charset val="186"/>
      </rPr>
      <t>euro</t>
    </r>
    <r>
      <rPr>
        <sz val="12"/>
        <color theme="1"/>
        <rFont val="Times New Roman"/>
        <family val="1"/>
        <charset val="186"/>
      </rPr>
      <t xml:space="preserve">, Sētnieks (38,53 </t>
    </r>
    <r>
      <rPr>
        <i/>
        <sz val="12"/>
        <color theme="1"/>
        <rFont val="Times New Roman"/>
        <family val="1"/>
        <charset val="186"/>
      </rPr>
      <t>euro</t>
    </r>
    <r>
      <rPr>
        <sz val="12"/>
        <color theme="1"/>
        <rFont val="Times New Roman"/>
        <family val="1"/>
        <charset val="186"/>
      </rPr>
      <t xml:space="preserve"> * 10%) = 3,85 </t>
    </r>
    <r>
      <rPr>
        <i/>
        <sz val="12"/>
        <color theme="1"/>
        <rFont val="Times New Roman"/>
        <family val="1"/>
        <charset val="186"/>
      </rPr>
      <t>euro</t>
    </r>
    <r>
      <rPr>
        <sz val="12"/>
        <color theme="1"/>
        <rFont val="Times New Roman"/>
        <family val="1"/>
        <charset val="186"/>
      </rPr>
      <t xml:space="preserve">. Kopā (6,76 </t>
    </r>
    <r>
      <rPr>
        <i/>
        <sz val="12"/>
        <color theme="1"/>
        <rFont val="Times New Roman"/>
        <family val="1"/>
        <charset val="186"/>
      </rPr>
      <t>euro</t>
    </r>
    <r>
      <rPr>
        <sz val="12"/>
        <color theme="1"/>
        <rFont val="Times New Roman"/>
        <family val="1"/>
        <charset val="186"/>
      </rPr>
      <t xml:space="preserve"> + 8,54 </t>
    </r>
    <r>
      <rPr>
        <i/>
        <sz val="12"/>
        <color theme="1"/>
        <rFont val="Times New Roman"/>
        <family val="1"/>
        <charset val="186"/>
      </rPr>
      <t>euro</t>
    </r>
    <r>
      <rPr>
        <sz val="12"/>
        <color theme="1"/>
        <rFont val="Times New Roman"/>
        <family val="1"/>
        <charset val="186"/>
      </rPr>
      <t xml:space="preserve"> + 8,00 </t>
    </r>
    <r>
      <rPr>
        <i/>
        <sz val="12"/>
        <color theme="1"/>
        <rFont val="Times New Roman"/>
        <family val="1"/>
        <charset val="186"/>
      </rPr>
      <t>euro</t>
    </r>
    <r>
      <rPr>
        <sz val="12"/>
        <color theme="1"/>
        <rFont val="Times New Roman"/>
        <family val="1"/>
        <charset val="186"/>
      </rPr>
      <t xml:space="preserve"> + 7,20 </t>
    </r>
    <r>
      <rPr>
        <i/>
        <sz val="12"/>
        <color theme="1"/>
        <rFont val="Times New Roman"/>
        <family val="1"/>
        <charset val="186"/>
      </rPr>
      <t>euro</t>
    </r>
    <r>
      <rPr>
        <sz val="12"/>
        <color theme="1"/>
        <rFont val="Times New Roman"/>
        <family val="1"/>
        <charset val="186"/>
      </rPr>
      <t xml:space="preserve"> + 3,85 </t>
    </r>
    <r>
      <rPr>
        <i/>
        <sz val="12"/>
        <color theme="1"/>
        <rFont val="Times New Roman"/>
        <family val="1"/>
        <charset val="186"/>
      </rPr>
      <t>euro</t>
    </r>
    <r>
      <rPr>
        <sz val="12"/>
        <color theme="1"/>
        <rFont val="Times New Roman"/>
        <family val="1"/>
        <charset val="186"/>
      </rPr>
      <t xml:space="preserve">) = 34,35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</si>
  <si>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(377,86 </t>
    </r>
    <r>
      <rPr>
        <i/>
        <sz val="12"/>
        <color theme="1"/>
        <rFont val="Times New Roman"/>
        <family val="1"/>
        <charset val="186"/>
      </rPr>
      <t>euro</t>
    </r>
    <r>
      <rPr>
        <sz val="12"/>
        <color theme="1"/>
        <rFont val="Times New Roman"/>
        <family val="1"/>
        <charset val="186"/>
      </rPr>
      <t xml:space="preserve"> * 23,59 %) = 89,14 </t>
    </r>
    <r>
      <rPr>
        <i/>
        <sz val="12"/>
        <color theme="1"/>
        <rFont val="Times New Roman"/>
        <family val="1"/>
        <charset val="186"/>
      </rPr>
      <t xml:space="preserve">euro. </t>
    </r>
  </si>
  <si>
    <r>
      <t xml:space="preserve">Galv. nekust. īpaš. pārvaldnieks (67,59 </t>
    </r>
    <r>
      <rPr>
        <i/>
        <sz val="12"/>
        <color theme="1"/>
        <rFont val="Times New Roman"/>
        <family val="1"/>
        <charset val="186"/>
      </rPr>
      <t>euro</t>
    </r>
    <r>
      <rPr>
        <sz val="12"/>
        <color theme="1"/>
        <rFont val="Times New Roman"/>
        <family val="1"/>
        <charset val="186"/>
      </rPr>
      <t xml:space="preserve"> * 5%) = 3,38 </t>
    </r>
    <r>
      <rPr>
        <i/>
        <sz val="12"/>
        <color theme="1"/>
        <rFont val="Times New Roman"/>
        <family val="1"/>
        <charset val="186"/>
      </rPr>
      <t>euro</t>
    </r>
    <r>
      <rPr>
        <sz val="12"/>
        <color theme="1"/>
        <rFont val="Times New Roman"/>
        <family val="1"/>
        <charset val="186"/>
      </rPr>
      <t xml:space="preserve">, Saimniecības pārzinis (85,44 </t>
    </r>
    <r>
      <rPr>
        <i/>
        <sz val="12"/>
        <color theme="1"/>
        <rFont val="Times New Roman"/>
        <family val="1"/>
        <charset val="186"/>
      </rPr>
      <t>euro</t>
    </r>
    <r>
      <rPr>
        <sz val="12"/>
        <color theme="1"/>
        <rFont val="Times New Roman"/>
        <family val="1"/>
        <charset val="186"/>
      </rPr>
      <t xml:space="preserve"> * 5%) = 4,27 </t>
    </r>
    <r>
      <rPr>
        <i/>
        <sz val="12"/>
        <color theme="1"/>
        <rFont val="Times New Roman"/>
        <family val="1"/>
        <charset val="186"/>
      </rPr>
      <t>euro</t>
    </r>
    <r>
      <rPr>
        <sz val="12"/>
        <color theme="1"/>
        <rFont val="Times New Roman"/>
        <family val="1"/>
        <charset val="186"/>
      </rPr>
      <t xml:space="preserve">, Istabene (79,98 </t>
    </r>
    <r>
      <rPr>
        <i/>
        <sz val="12"/>
        <color theme="1"/>
        <rFont val="Times New Roman"/>
        <family val="1"/>
        <charset val="186"/>
      </rPr>
      <t>euro</t>
    </r>
    <r>
      <rPr>
        <sz val="12"/>
        <color theme="1"/>
        <rFont val="Times New Roman"/>
        <family val="1"/>
        <charset val="186"/>
      </rPr>
      <t xml:space="preserve"> * 5%) = 4,00 </t>
    </r>
    <r>
      <rPr>
        <i/>
        <sz val="12"/>
        <color theme="1"/>
        <rFont val="Times New Roman"/>
        <family val="1"/>
        <charset val="186"/>
      </rPr>
      <t>euro</t>
    </r>
    <r>
      <rPr>
        <sz val="12"/>
        <color theme="1"/>
        <rFont val="Times New Roman"/>
        <family val="1"/>
        <charset val="186"/>
      </rPr>
      <t xml:space="preserve">, Apkopēja (71,97 </t>
    </r>
    <r>
      <rPr>
        <i/>
        <sz val="12"/>
        <color theme="1"/>
        <rFont val="Times New Roman"/>
        <family val="1"/>
        <charset val="186"/>
      </rPr>
      <t>euro</t>
    </r>
    <r>
      <rPr>
        <sz val="12"/>
        <color theme="1"/>
        <rFont val="Times New Roman"/>
        <family val="1"/>
        <charset val="186"/>
      </rPr>
      <t xml:space="preserve"> * 5%) = 3,60 </t>
    </r>
    <r>
      <rPr>
        <i/>
        <sz val="12"/>
        <color theme="1"/>
        <rFont val="Times New Roman"/>
        <family val="1"/>
        <charset val="186"/>
      </rPr>
      <t>euro</t>
    </r>
    <r>
      <rPr>
        <sz val="12"/>
        <color theme="1"/>
        <rFont val="Times New Roman"/>
        <family val="1"/>
        <charset val="186"/>
      </rPr>
      <t xml:space="preserve">, Sētniek (38,53 </t>
    </r>
    <r>
      <rPr>
        <i/>
        <sz val="12"/>
        <color theme="1"/>
        <rFont val="Times New Roman"/>
        <family val="1"/>
        <charset val="186"/>
      </rPr>
      <t>euro</t>
    </r>
    <r>
      <rPr>
        <sz val="12"/>
        <color theme="1"/>
        <rFont val="Times New Roman"/>
        <family val="1"/>
        <charset val="186"/>
      </rPr>
      <t xml:space="preserve"> * 5%) = 1,93 </t>
    </r>
    <r>
      <rPr>
        <i/>
        <sz val="12"/>
        <color theme="1"/>
        <rFont val="Times New Roman"/>
        <family val="1"/>
        <charset val="186"/>
      </rPr>
      <t>euro</t>
    </r>
    <r>
      <rPr>
        <sz val="12"/>
        <color theme="1"/>
        <rFont val="Times New Roman"/>
        <family val="1"/>
        <charset val="186"/>
      </rPr>
      <t xml:space="preserve">. Kopā (3,38 </t>
    </r>
    <r>
      <rPr>
        <i/>
        <sz val="12"/>
        <color theme="1"/>
        <rFont val="Times New Roman"/>
        <family val="1"/>
        <charset val="186"/>
      </rPr>
      <t>euro</t>
    </r>
    <r>
      <rPr>
        <sz val="12"/>
        <color theme="1"/>
        <rFont val="Times New Roman"/>
        <family val="1"/>
        <charset val="186"/>
      </rPr>
      <t xml:space="preserve"> + 4,27 </t>
    </r>
    <r>
      <rPr>
        <i/>
        <sz val="12"/>
        <color theme="1"/>
        <rFont val="Times New Roman"/>
        <family val="1"/>
        <charset val="186"/>
      </rPr>
      <t>euro</t>
    </r>
    <r>
      <rPr>
        <sz val="12"/>
        <color theme="1"/>
        <rFont val="Times New Roman"/>
        <family val="1"/>
        <charset val="186"/>
      </rPr>
      <t xml:space="preserve"> + 4,00 </t>
    </r>
    <r>
      <rPr>
        <i/>
        <sz val="12"/>
        <color theme="1"/>
        <rFont val="Times New Roman"/>
        <family val="1"/>
        <charset val="186"/>
      </rPr>
      <t>euro</t>
    </r>
    <r>
      <rPr>
        <sz val="12"/>
        <color theme="1"/>
        <rFont val="Times New Roman"/>
        <family val="1"/>
        <charset val="186"/>
      </rPr>
      <t xml:space="preserve"> + 3,60 </t>
    </r>
    <r>
      <rPr>
        <i/>
        <sz val="12"/>
        <color theme="1"/>
        <rFont val="Times New Roman"/>
        <family val="1"/>
        <charset val="186"/>
      </rPr>
      <t>euro</t>
    </r>
    <r>
      <rPr>
        <sz val="12"/>
        <color theme="1"/>
        <rFont val="Times New Roman"/>
        <family val="1"/>
        <charset val="186"/>
      </rPr>
      <t xml:space="preserve"> + 1,93 </t>
    </r>
    <r>
      <rPr>
        <i/>
        <sz val="12"/>
        <color theme="1"/>
        <rFont val="Times New Roman"/>
        <family val="1"/>
        <charset val="186"/>
      </rPr>
      <t>euro</t>
    </r>
    <r>
      <rPr>
        <sz val="12"/>
        <color theme="1"/>
        <rFont val="Times New Roman"/>
        <family val="1"/>
        <charset val="186"/>
      </rPr>
      <t xml:space="preserve">) = 17,18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</si>
  <si>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89,14 </t>
    </r>
    <r>
      <rPr>
        <i/>
        <sz val="12"/>
        <color theme="1"/>
        <rFont val="Times New Roman"/>
        <family val="1"/>
        <charset val="186"/>
      </rPr>
      <t>euro</t>
    </r>
    <r>
      <rPr>
        <sz val="12"/>
        <color theme="1"/>
        <rFont val="Times New Roman"/>
        <family val="1"/>
        <charset val="186"/>
      </rPr>
      <t xml:space="preserve">. Veselības apdrošināšana 17,18 </t>
    </r>
    <r>
      <rPr>
        <i/>
        <sz val="12"/>
        <color theme="1"/>
        <rFont val="Times New Roman"/>
        <family val="1"/>
        <charset val="186"/>
      </rPr>
      <t>euro</t>
    </r>
    <r>
      <rPr>
        <sz val="12"/>
        <color theme="1"/>
        <rFont val="Times New Roman"/>
        <family val="1"/>
        <charset val="186"/>
      </rPr>
      <t xml:space="preserve">. Kopā 106,32 </t>
    </r>
    <r>
      <rPr>
        <i/>
        <sz val="12"/>
        <color theme="1"/>
        <rFont val="Times New Roman"/>
        <family val="1"/>
        <charset val="186"/>
      </rPr>
      <t>euro</t>
    </r>
    <r>
      <rPr>
        <sz val="12"/>
        <color theme="1"/>
        <rFont val="Times New Roman"/>
        <family val="1"/>
        <charset val="186"/>
      </rPr>
      <t>.</t>
    </r>
  </si>
  <si>
    <r>
      <t xml:space="preserve">Galv. nekust. īpaš. pārvaldnieks (127,54 </t>
    </r>
    <r>
      <rPr>
        <i/>
        <sz val="12"/>
        <color theme="1"/>
        <rFont val="Times New Roman"/>
        <family val="1"/>
        <charset val="186"/>
      </rPr>
      <t>euro</t>
    </r>
    <r>
      <rPr>
        <sz val="12"/>
        <color theme="1"/>
        <rFont val="Times New Roman"/>
        <family val="1"/>
        <charset val="186"/>
      </rPr>
      <t xml:space="preserve"> * 10%) = 12,75 </t>
    </r>
    <r>
      <rPr>
        <i/>
        <sz val="12"/>
        <color theme="1"/>
        <rFont val="Times New Roman"/>
        <family val="1"/>
        <charset val="186"/>
      </rPr>
      <t>euro</t>
    </r>
    <r>
      <rPr>
        <sz val="12"/>
        <color theme="1"/>
        <rFont val="Times New Roman"/>
        <family val="1"/>
        <charset val="186"/>
      </rPr>
      <t xml:space="preserve">, Saimniecības pārzinis (161,22 </t>
    </r>
    <r>
      <rPr>
        <i/>
        <sz val="12"/>
        <color theme="1"/>
        <rFont val="Times New Roman"/>
        <family val="1"/>
        <charset val="186"/>
      </rPr>
      <t>euro</t>
    </r>
    <r>
      <rPr>
        <sz val="12"/>
        <color theme="1"/>
        <rFont val="Times New Roman"/>
        <family val="1"/>
        <charset val="186"/>
      </rPr>
      <t xml:space="preserve"> * 10%) = 16,12 </t>
    </r>
    <r>
      <rPr>
        <i/>
        <sz val="12"/>
        <color theme="1"/>
        <rFont val="Times New Roman"/>
        <family val="1"/>
        <charset val="186"/>
      </rPr>
      <t>euro</t>
    </r>
    <r>
      <rPr>
        <sz val="12"/>
        <color theme="1"/>
        <rFont val="Times New Roman"/>
        <family val="1"/>
        <charset val="186"/>
      </rPr>
      <t xml:space="preserve">, Istabene (150,91 </t>
    </r>
    <r>
      <rPr>
        <i/>
        <sz val="12"/>
        <color theme="1"/>
        <rFont val="Times New Roman"/>
        <family val="1"/>
        <charset val="186"/>
      </rPr>
      <t>euro</t>
    </r>
    <r>
      <rPr>
        <sz val="12"/>
        <color theme="1"/>
        <rFont val="Times New Roman"/>
        <family val="1"/>
        <charset val="186"/>
      </rPr>
      <t xml:space="preserve"> * 10%) = 15,09 </t>
    </r>
    <r>
      <rPr>
        <i/>
        <sz val="12"/>
        <color theme="1"/>
        <rFont val="Times New Roman"/>
        <family val="1"/>
        <charset val="186"/>
      </rPr>
      <t>euro</t>
    </r>
    <r>
      <rPr>
        <sz val="12"/>
        <color theme="1"/>
        <rFont val="Times New Roman"/>
        <family val="1"/>
        <charset val="186"/>
      </rPr>
      <t xml:space="preserve">, Apkopēja (135,80 </t>
    </r>
    <r>
      <rPr>
        <i/>
        <sz val="12"/>
        <color theme="1"/>
        <rFont val="Times New Roman"/>
        <family val="1"/>
        <charset val="186"/>
      </rPr>
      <t>euro</t>
    </r>
    <r>
      <rPr>
        <sz val="12"/>
        <color theme="1"/>
        <rFont val="Times New Roman"/>
        <family val="1"/>
        <charset val="186"/>
      </rPr>
      <t xml:space="preserve"> * 10%) = 13,58 </t>
    </r>
    <r>
      <rPr>
        <i/>
        <sz val="12"/>
        <color theme="1"/>
        <rFont val="Times New Roman"/>
        <family val="1"/>
        <charset val="186"/>
      </rPr>
      <t>euro</t>
    </r>
    <r>
      <rPr>
        <sz val="12"/>
        <color theme="1"/>
        <rFont val="Times New Roman"/>
        <family val="1"/>
        <charset val="186"/>
      </rPr>
      <t xml:space="preserve">, Sētnieks (72,70 </t>
    </r>
    <r>
      <rPr>
        <i/>
        <sz val="12"/>
        <color theme="1"/>
        <rFont val="Times New Roman"/>
        <family val="1"/>
        <charset val="186"/>
      </rPr>
      <t>euro</t>
    </r>
    <r>
      <rPr>
        <sz val="12"/>
        <color theme="1"/>
        <rFont val="Times New Roman"/>
        <family val="1"/>
        <charset val="186"/>
      </rPr>
      <t xml:space="preserve"> * 10%) = 7,27 </t>
    </r>
    <r>
      <rPr>
        <i/>
        <sz val="12"/>
        <color theme="1"/>
        <rFont val="Times New Roman"/>
        <family val="1"/>
        <charset val="186"/>
      </rPr>
      <t>euro</t>
    </r>
    <r>
      <rPr>
        <sz val="12"/>
        <color theme="1"/>
        <rFont val="Times New Roman"/>
        <family val="1"/>
        <charset val="186"/>
      </rPr>
      <t xml:space="preserve">. Kopā (12,75 </t>
    </r>
    <r>
      <rPr>
        <i/>
        <sz val="12"/>
        <color theme="1"/>
        <rFont val="Times New Roman"/>
        <family val="1"/>
        <charset val="186"/>
      </rPr>
      <t>euro</t>
    </r>
    <r>
      <rPr>
        <sz val="12"/>
        <color theme="1"/>
        <rFont val="Times New Roman"/>
        <family val="1"/>
        <charset val="186"/>
      </rPr>
      <t xml:space="preserve"> + 16,12 </t>
    </r>
    <r>
      <rPr>
        <i/>
        <sz val="12"/>
        <color theme="1"/>
        <rFont val="Times New Roman"/>
        <family val="1"/>
        <charset val="186"/>
      </rPr>
      <t>euro</t>
    </r>
    <r>
      <rPr>
        <sz val="12"/>
        <color theme="1"/>
        <rFont val="Times New Roman"/>
        <family val="1"/>
        <charset val="186"/>
      </rPr>
      <t xml:space="preserve"> + 15,09 </t>
    </r>
    <r>
      <rPr>
        <i/>
        <sz val="12"/>
        <color theme="1"/>
        <rFont val="Times New Roman"/>
        <family val="1"/>
        <charset val="186"/>
      </rPr>
      <t>euro</t>
    </r>
    <r>
      <rPr>
        <sz val="12"/>
        <color theme="1"/>
        <rFont val="Times New Roman"/>
        <family val="1"/>
        <charset val="186"/>
      </rPr>
      <t xml:space="preserve"> + 13,58 </t>
    </r>
    <r>
      <rPr>
        <i/>
        <sz val="12"/>
        <color theme="1"/>
        <rFont val="Times New Roman"/>
        <family val="1"/>
        <charset val="186"/>
      </rPr>
      <t>euro</t>
    </r>
    <r>
      <rPr>
        <sz val="12"/>
        <color theme="1"/>
        <rFont val="Times New Roman"/>
        <family val="1"/>
        <charset val="186"/>
      </rPr>
      <t xml:space="preserve"> + 7,27 </t>
    </r>
    <r>
      <rPr>
        <i/>
        <sz val="12"/>
        <color theme="1"/>
        <rFont val="Times New Roman"/>
        <family val="1"/>
        <charset val="186"/>
      </rPr>
      <t>euro</t>
    </r>
    <r>
      <rPr>
        <sz val="12"/>
        <color theme="1"/>
        <rFont val="Times New Roman"/>
        <family val="1"/>
        <charset val="186"/>
      </rPr>
      <t xml:space="preserve">) = 64,81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</si>
  <si>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(712,98 </t>
    </r>
    <r>
      <rPr>
        <i/>
        <sz val="12"/>
        <color theme="1"/>
        <rFont val="Times New Roman"/>
        <family val="1"/>
        <charset val="186"/>
      </rPr>
      <t>euro</t>
    </r>
    <r>
      <rPr>
        <sz val="12"/>
        <color theme="1"/>
        <rFont val="Times New Roman"/>
        <family val="1"/>
        <charset val="186"/>
      </rPr>
      <t xml:space="preserve"> * 23,59 %) = 168,19 </t>
    </r>
    <r>
      <rPr>
        <i/>
        <sz val="12"/>
        <color theme="1"/>
        <rFont val="Times New Roman"/>
        <family val="1"/>
        <charset val="186"/>
      </rPr>
      <t xml:space="preserve">euro. </t>
    </r>
  </si>
  <si>
    <r>
      <t xml:space="preserve">Galv. nekust. īpaš. pārvaldnieks (127,54 </t>
    </r>
    <r>
      <rPr>
        <i/>
        <sz val="12"/>
        <color theme="1"/>
        <rFont val="Times New Roman"/>
        <family val="1"/>
        <charset val="186"/>
      </rPr>
      <t>euro</t>
    </r>
    <r>
      <rPr>
        <sz val="12"/>
        <color theme="1"/>
        <rFont val="Times New Roman"/>
        <family val="1"/>
        <charset val="186"/>
      </rPr>
      <t xml:space="preserve"> * 5%) = 6,38 </t>
    </r>
    <r>
      <rPr>
        <i/>
        <sz val="12"/>
        <color theme="1"/>
        <rFont val="Times New Roman"/>
        <family val="1"/>
        <charset val="186"/>
      </rPr>
      <t>euro</t>
    </r>
    <r>
      <rPr>
        <sz val="12"/>
        <color theme="1"/>
        <rFont val="Times New Roman"/>
        <family val="1"/>
        <charset val="186"/>
      </rPr>
      <t xml:space="preserve">, Saimniecības pārzinis (161,22 </t>
    </r>
    <r>
      <rPr>
        <i/>
        <sz val="12"/>
        <color theme="1"/>
        <rFont val="Times New Roman"/>
        <family val="1"/>
        <charset val="186"/>
      </rPr>
      <t>euro</t>
    </r>
    <r>
      <rPr>
        <sz val="12"/>
        <color theme="1"/>
        <rFont val="Times New Roman"/>
        <family val="1"/>
        <charset val="186"/>
      </rPr>
      <t xml:space="preserve"> * 5%) = 8,06 </t>
    </r>
    <r>
      <rPr>
        <i/>
        <sz val="12"/>
        <color theme="1"/>
        <rFont val="Times New Roman"/>
        <family val="1"/>
        <charset val="186"/>
      </rPr>
      <t>euro</t>
    </r>
    <r>
      <rPr>
        <sz val="12"/>
        <color theme="1"/>
        <rFont val="Times New Roman"/>
        <family val="1"/>
        <charset val="186"/>
      </rPr>
      <t xml:space="preserve">, Istabene (150,91 </t>
    </r>
    <r>
      <rPr>
        <i/>
        <sz val="12"/>
        <color theme="1"/>
        <rFont val="Times New Roman"/>
        <family val="1"/>
        <charset val="186"/>
      </rPr>
      <t>euro</t>
    </r>
    <r>
      <rPr>
        <sz val="12"/>
        <color theme="1"/>
        <rFont val="Times New Roman"/>
        <family val="1"/>
        <charset val="186"/>
      </rPr>
      <t xml:space="preserve"> * 5%) = 7,55 </t>
    </r>
    <r>
      <rPr>
        <i/>
        <sz val="12"/>
        <color theme="1"/>
        <rFont val="Times New Roman"/>
        <family val="1"/>
        <charset val="186"/>
      </rPr>
      <t>euro</t>
    </r>
    <r>
      <rPr>
        <sz val="12"/>
        <color theme="1"/>
        <rFont val="Times New Roman"/>
        <family val="1"/>
        <charset val="186"/>
      </rPr>
      <t xml:space="preserve">,  Apkopēja (135,80 </t>
    </r>
    <r>
      <rPr>
        <i/>
        <sz val="12"/>
        <color theme="1"/>
        <rFont val="Times New Roman"/>
        <family val="1"/>
        <charset val="186"/>
      </rPr>
      <t>euro</t>
    </r>
    <r>
      <rPr>
        <sz val="12"/>
        <color theme="1"/>
        <rFont val="Times New Roman"/>
        <family val="1"/>
        <charset val="186"/>
      </rPr>
      <t xml:space="preserve"> * 5%) = 6,93 </t>
    </r>
    <r>
      <rPr>
        <i/>
        <sz val="12"/>
        <color theme="1"/>
        <rFont val="Times New Roman"/>
        <family val="1"/>
        <charset val="186"/>
      </rPr>
      <t>euro</t>
    </r>
    <r>
      <rPr>
        <sz val="12"/>
        <color theme="1"/>
        <rFont val="Times New Roman"/>
        <family val="1"/>
        <charset val="186"/>
      </rPr>
      <t xml:space="preserve">, Sētnieks (72,70 </t>
    </r>
    <r>
      <rPr>
        <i/>
        <sz val="12"/>
        <color theme="1"/>
        <rFont val="Times New Roman"/>
        <family val="1"/>
        <charset val="186"/>
      </rPr>
      <t>euro</t>
    </r>
    <r>
      <rPr>
        <sz val="12"/>
        <color theme="1"/>
        <rFont val="Times New Roman"/>
        <family val="1"/>
        <charset val="186"/>
      </rPr>
      <t xml:space="preserve"> * 5%) = 3,64 </t>
    </r>
    <r>
      <rPr>
        <i/>
        <sz val="12"/>
        <color theme="1"/>
        <rFont val="Times New Roman"/>
        <family val="1"/>
        <charset val="186"/>
      </rPr>
      <t>euro</t>
    </r>
    <r>
      <rPr>
        <sz val="12"/>
        <color theme="1"/>
        <rFont val="Times New Roman"/>
        <family val="1"/>
        <charset val="186"/>
      </rPr>
      <t xml:space="preserve">. Kopā (6,38 </t>
    </r>
    <r>
      <rPr>
        <i/>
        <sz val="12"/>
        <color theme="1"/>
        <rFont val="Times New Roman"/>
        <family val="1"/>
        <charset val="186"/>
      </rPr>
      <t>euro</t>
    </r>
    <r>
      <rPr>
        <sz val="12"/>
        <color theme="1"/>
        <rFont val="Times New Roman"/>
        <family val="1"/>
        <charset val="186"/>
      </rPr>
      <t xml:space="preserve"> + 8,06 </t>
    </r>
    <r>
      <rPr>
        <i/>
        <sz val="12"/>
        <color theme="1"/>
        <rFont val="Times New Roman"/>
        <family val="1"/>
        <charset val="186"/>
      </rPr>
      <t>euro</t>
    </r>
    <r>
      <rPr>
        <sz val="12"/>
        <color theme="1"/>
        <rFont val="Times New Roman"/>
        <family val="1"/>
        <charset val="186"/>
      </rPr>
      <t xml:space="preserve"> + 7,55 </t>
    </r>
    <r>
      <rPr>
        <i/>
        <sz val="12"/>
        <color theme="1"/>
        <rFont val="Times New Roman"/>
        <family val="1"/>
        <charset val="186"/>
      </rPr>
      <t>euro</t>
    </r>
    <r>
      <rPr>
        <sz val="12"/>
        <color theme="1"/>
        <rFont val="Times New Roman"/>
        <family val="1"/>
        <charset val="186"/>
      </rPr>
      <t xml:space="preserve"> + 6,79 </t>
    </r>
    <r>
      <rPr>
        <i/>
        <sz val="12"/>
        <color theme="1"/>
        <rFont val="Times New Roman"/>
        <family val="1"/>
        <charset val="186"/>
      </rPr>
      <t>euro</t>
    </r>
    <r>
      <rPr>
        <sz val="12"/>
        <color theme="1"/>
        <rFont val="Times New Roman"/>
        <family val="1"/>
        <charset val="186"/>
      </rPr>
      <t xml:space="preserve"> + 3,64 </t>
    </r>
    <r>
      <rPr>
        <i/>
        <sz val="12"/>
        <color theme="1"/>
        <rFont val="Times New Roman"/>
        <family val="1"/>
        <charset val="186"/>
      </rPr>
      <t>euro</t>
    </r>
    <r>
      <rPr>
        <sz val="12"/>
        <color theme="1"/>
        <rFont val="Times New Roman"/>
        <family val="1"/>
        <charset val="186"/>
      </rPr>
      <t xml:space="preserve">) = 32,42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</si>
  <si>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168,19 </t>
    </r>
    <r>
      <rPr>
        <i/>
        <sz val="12"/>
        <color theme="1"/>
        <rFont val="Times New Roman"/>
        <family val="1"/>
        <charset val="186"/>
      </rPr>
      <t>euro</t>
    </r>
    <r>
      <rPr>
        <sz val="12"/>
        <color theme="1"/>
        <rFont val="Times New Roman"/>
        <family val="1"/>
        <charset val="186"/>
      </rPr>
      <t xml:space="preserve">. Veselības apdrošināšana 32,42 </t>
    </r>
    <r>
      <rPr>
        <i/>
        <sz val="12"/>
        <color theme="1"/>
        <rFont val="Times New Roman"/>
        <family val="1"/>
        <charset val="186"/>
      </rPr>
      <t>euro</t>
    </r>
    <r>
      <rPr>
        <sz val="12"/>
        <color theme="1"/>
        <rFont val="Times New Roman"/>
        <family val="1"/>
        <charset val="186"/>
      </rPr>
      <t xml:space="preserve">. Kopā 200,61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</si>
  <si>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0.0217 (iznomātās platības koeficients) = 127,54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</si>
  <si>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euro/mēn.</t>
    </r>
    <r>
      <rPr>
        <sz val="12"/>
        <color theme="1"/>
        <rFont val="Times New Roman"/>
        <family val="1"/>
        <charset val="186"/>
      </rPr>
      <t xml:space="preserve"> * 12 mēn. = 7 429,56 </t>
    </r>
    <r>
      <rPr>
        <i/>
        <sz val="12"/>
        <color theme="1"/>
        <rFont val="Times New Roman"/>
        <family val="1"/>
        <charset val="186"/>
      </rPr>
      <t>euro</t>
    </r>
    <r>
      <rPr>
        <sz val="12"/>
        <color theme="1"/>
        <rFont val="Times New Roman"/>
        <family val="1"/>
        <charset val="186"/>
      </rPr>
      <t xml:space="preserve"> * 0.0217 (iznomātās platības koeficients) = 161,22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</si>
  <si>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euro/mēn.</t>
    </r>
    <r>
      <rPr>
        <sz val="12"/>
        <color theme="1"/>
        <rFont val="Times New Roman"/>
        <family val="1"/>
        <charset val="186"/>
      </rPr>
      <t xml:space="preserve"> * 12 mēn. = 6 954,36 </t>
    </r>
    <r>
      <rPr>
        <i/>
        <sz val="12"/>
        <color theme="1"/>
        <rFont val="Times New Roman"/>
        <family val="1"/>
        <charset val="186"/>
      </rPr>
      <t>euro</t>
    </r>
    <r>
      <rPr>
        <sz val="12"/>
        <color theme="1"/>
        <rFont val="Times New Roman"/>
        <family val="1"/>
        <charset val="186"/>
      </rPr>
      <t xml:space="preserve"> * 0.0217 (iznomātās platības koeficients) = 150,91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</si>
  <si>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0.0217 (iznomātās platības koeficients) = 135,80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</si>
  <si>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0.0217 (iznomātās platības koeficients) = 72,70 </t>
    </r>
    <r>
      <rPr>
        <i/>
        <sz val="12"/>
        <color theme="1"/>
        <rFont val="Times New Roman"/>
        <family val="1"/>
        <charset val="186"/>
      </rPr>
      <t>euro</t>
    </r>
    <r>
      <rPr>
        <sz val="12"/>
        <color theme="1"/>
        <rFont val="Times New Roman"/>
        <family val="1"/>
        <charset val="186"/>
      </rPr>
      <t xml:space="preserve">. </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</si>
  <si>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0.0217 (iznomātās platības koeficients) = 3,73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</si>
  <si>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0.0217 (iznomātās platības koeficients) = 2,45 </t>
    </r>
    <r>
      <rPr>
        <i/>
        <sz val="12"/>
        <color theme="1"/>
        <rFont val="Times New Roman"/>
        <family val="1"/>
        <charset val="186"/>
      </rPr>
      <t>euro.</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</si>
  <si>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0.0217 (iznomātās platības koeficients) = 3,58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</si>
  <si>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0.0217 (iznomātās platības koeficients) = 4,89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</si>
  <si>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0.0217 (iznomātās platības koeficients) = 3,46 </t>
    </r>
    <r>
      <rPr>
        <i/>
        <sz val="12"/>
        <color theme="1"/>
        <rFont val="Times New Roman"/>
        <family val="1"/>
        <charset val="186"/>
      </rPr>
      <t>euro.</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</si>
  <si>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0.0217 (iznomātās platības koeficients) = 20,80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</si>
  <si>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0.0217 (iznomātās platības koeficients) = 30,84 </t>
    </r>
    <r>
      <rPr>
        <i/>
        <sz val="12"/>
        <color theme="1"/>
        <rFont val="Times New Roman"/>
        <family val="1"/>
        <charset val="186"/>
      </rPr>
      <t>euro.</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</si>
  <si>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0.0217 (iznomātās platības koeficients) = 7,64 </t>
    </r>
    <r>
      <rPr>
        <i/>
        <sz val="12"/>
        <color theme="1"/>
        <rFont val="Times New Roman"/>
        <family val="1"/>
        <charset val="186"/>
      </rPr>
      <t>euro.</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</si>
  <si>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0.0562 (iznomātās platības koeficients) = 330,31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</si>
  <si>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693,13 </t>
    </r>
    <r>
      <rPr>
        <i/>
        <sz val="12"/>
        <color theme="1"/>
        <rFont val="Times New Roman"/>
        <family val="1"/>
        <charset val="186"/>
      </rPr>
      <t>euro</t>
    </r>
    <r>
      <rPr>
        <sz val="12"/>
        <color theme="1"/>
        <rFont val="Times New Roman"/>
        <family val="1"/>
        <charset val="186"/>
      </rPr>
      <t xml:space="preserve">/mēn. * 12 mēn. = 7 429,56 </t>
    </r>
    <r>
      <rPr>
        <i/>
        <sz val="12"/>
        <color theme="1"/>
        <rFont val="Times New Roman"/>
        <family val="1"/>
        <charset val="186"/>
      </rPr>
      <t>euro</t>
    </r>
    <r>
      <rPr>
        <sz val="12"/>
        <color theme="1"/>
        <rFont val="Times New Roman"/>
        <family val="1"/>
        <charset val="186"/>
      </rPr>
      <t xml:space="preserve"> * 0.0562 (iznomātās platības koeficients) = 417,54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</si>
  <si>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t>
    </r>
    <r>
      <rPr>
        <sz val="12"/>
        <color theme="1"/>
        <rFont val="Times New Roman"/>
        <family val="1"/>
        <charset val="186"/>
      </rPr>
      <t xml:space="preserve">/mēn. * 12 mēn. = 6 954,36 </t>
    </r>
    <r>
      <rPr>
        <i/>
        <sz val="12"/>
        <color theme="1"/>
        <rFont val="Times New Roman"/>
        <family val="1"/>
        <charset val="186"/>
      </rPr>
      <t>euro</t>
    </r>
    <r>
      <rPr>
        <sz val="12"/>
        <color theme="1"/>
        <rFont val="Times New Roman"/>
        <family val="1"/>
        <charset val="186"/>
      </rPr>
      <t xml:space="preserve"> * 0.0562 (iznomātās platības koeficients) = 390,84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</si>
  <si>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0.0562 (iznomātās platības koeficients) = 351,71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</si>
  <si>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0.0562 (iznomātās platības koeficients) = 188,29 </t>
    </r>
    <r>
      <rPr>
        <i/>
        <sz val="12"/>
        <color theme="1"/>
        <rFont val="Times New Roman"/>
        <family val="1"/>
        <charset val="186"/>
      </rPr>
      <t>euro</t>
    </r>
    <r>
      <rPr>
        <sz val="12"/>
        <color theme="1"/>
        <rFont val="Times New Roman"/>
        <family val="1"/>
        <charset val="186"/>
      </rPr>
      <t xml:space="preserve">. </t>
    </r>
  </si>
  <si>
    <r>
      <t xml:space="preserve">Galv. nekust. īpaš. pārvaldnieks (330,31 </t>
    </r>
    <r>
      <rPr>
        <i/>
        <sz val="12"/>
        <color theme="1"/>
        <rFont val="Times New Roman"/>
        <family val="1"/>
        <charset val="186"/>
      </rPr>
      <t>euro</t>
    </r>
    <r>
      <rPr>
        <sz val="12"/>
        <color theme="1"/>
        <rFont val="Times New Roman"/>
        <family val="1"/>
        <charset val="186"/>
      </rPr>
      <t xml:space="preserve"> * 10%) = 33,03 </t>
    </r>
    <r>
      <rPr>
        <i/>
        <sz val="12"/>
        <color theme="1"/>
        <rFont val="Times New Roman"/>
        <family val="1"/>
        <charset val="186"/>
      </rPr>
      <t>euro</t>
    </r>
    <r>
      <rPr>
        <sz val="12"/>
        <color theme="1"/>
        <rFont val="Times New Roman"/>
        <family val="1"/>
        <charset val="186"/>
      </rPr>
      <t xml:space="preserve">, Saimniecības pārzinis (417,54 </t>
    </r>
    <r>
      <rPr>
        <i/>
        <sz val="12"/>
        <color theme="1"/>
        <rFont val="Times New Roman"/>
        <family val="1"/>
        <charset val="186"/>
      </rPr>
      <t>euro</t>
    </r>
    <r>
      <rPr>
        <sz val="12"/>
        <color theme="1"/>
        <rFont val="Times New Roman"/>
        <family val="1"/>
        <charset val="186"/>
      </rPr>
      <t xml:space="preserve"> * 10%) = 41,75 </t>
    </r>
    <r>
      <rPr>
        <i/>
        <sz val="12"/>
        <color theme="1"/>
        <rFont val="Times New Roman"/>
        <family val="1"/>
        <charset val="186"/>
      </rPr>
      <t>euro</t>
    </r>
    <r>
      <rPr>
        <sz val="12"/>
        <color theme="1"/>
        <rFont val="Times New Roman"/>
        <family val="1"/>
        <charset val="186"/>
      </rPr>
      <t xml:space="preserve">, Istabene (390,84 </t>
    </r>
    <r>
      <rPr>
        <i/>
        <sz val="12"/>
        <color theme="1"/>
        <rFont val="Times New Roman"/>
        <family val="1"/>
        <charset val="186"/>
      </rPr>
      <t>euro</t>
    </r>
    <r>
      <rPr>
        <sz val="12"/>
        <color theme="1"/>
        <rFont val="Times New Roman"/>
        <family val="1"/>
        <charset val="186"/>
      </rPr>
      <t xml:space="preserve"> * 10%) = 39,08 </t>
    </r>
    <r>
      <rPr>
        <i/>
        <sz val="12"/>
        <color theme="1"/>
        <rFont val="Times New Roman"/>
        <family val="1"/>
        <charset val="186"/>
      </rPr>
      <t>euro</t>
    </r>
    <r>
      <rPr>
        <sz val="12"/>
        <color theme="1"/>
        <rFont val="Times New Roman"/>
        <family val="1"/>
        <charset val="186"/>
      </rPr>
      <t xml:space="preserve">, Apkopēja (351,71 </t>
    </r>
    <r>
      <rPr>
        <i/>
        <sz val="12"/>
        <color theme="1"/>
        <rFont val="Times New Roman"/>
        <family val="1"/>
        <charset val="186"/>
      </rPr>
      <t>euro</t>
    </r>
    <r>
      <rPr>
        <sz val="12"/>
        <color theme="1"/>
        <rFont val="Times New Roman"/>
        <family val="1"/>
        <charset val="186"/>
      </rPr>
      <t xml:space="preserve"> * 10%) = 35,17 </t>
    </r>
    <r>
      <rPr>
        <i/>
        <sz val="12"/>
        <color theme="1"/>
        <rFont val="Times New Roman"/>
        <family val="1"/>
        <charset val="186"/>
      </rPr>
      <t>euro</t>
    </r>
    <r>
      <rPr>
        <sz val="12"/>
        <color theme="1"/>
        <rFont val="Times New Roman"/>
        <family val="1"/>
        <charset val="186"/>
      </rPr>
      <t xml:space="preserve">, Sētnieks (188,29 </t>
    </r>
    <r>
      <rPr>
        <i/>
        <sz val="12"/>
        <color theme="1"/>
        <rFont val="Times New Roman"/>
        <family val="1"/>
        <charset val="186"/>
      </rPr>
      <t>euro</t>
    </r>
    <r>
      <rPr>
        <sz val="12"/>
        <color theme="1"/>
        <rFont val="Times New Roman"/>
        <family val="1"/>
        <charset val="186"/>
      </rPr>
      <t xml:space="preserve"> * 10%) = 18,83 </t>
    </r>
    <r>
      <rPr>
        <i/>
        <sz val="12"/>
        <color theme="1"/>
        <rFont val="Times New Roman"/>
        <family val="1"/>
        <charset val="186"/>
      </rPr>
      <t>euro</t>
    </r>
    <r>
      <rPr>
        <sz val="12"/>
        <color theme="1"/>
        <rFont val="Times New Roman"/>
        <family val="1"/>
        <charset val="186"/>
      </rPr>
      <t xml:space="preserve">. Kopā (33,03 </t>
    </r>
    <r>
      <rPr>
        <i/>
        <sz val="12"/>
        <color theme="1"/>
        <rFont val="Times New Roman"/>
        <family val="1"/>
        <charset val="186"/>
      </rPr>
      <t>euro</t>
    </r>
    <r>
      <rPr>
        <sz val="12"/>
        <color theme="1"/>
        <rFont val="Times New Roman"/>
        <family val="1"/>
        <charset val="186"/>
      </rPr>
      <t xml:space="preserve"> + 41,75 </t>
    </r>
    <r>
      <rPr>
        <i/>
        <sz val="12"/>
        <color theme="1"/>
        <rFont val="Times New Roman"/>
        <family val="1"/>
        <charset val="186"/>
      </rPr>
      <t>euro</t>
    </r>
    <r>
      <rPr>
        <sz val="12"/>
        <color theme="1"/>
        <rFont val="Times New Roman"/>
        <family val="1"/>
        <charset val="186"/>
      </rPr>
      <t xml:space="preserve"> + 39,08 </t>
    </r>
    <r>
      <rPr>
        <i/>
        <sz val="12"/>
        <color theme="1"/>
        <rFont val="Times New Roman"/>
        <family val="1"/>
        <charset val="186"/>
      </rPr>
      <t>euro</t>
    </r>
    <r>
      <rPr>
        <sz val="12"/>
        <color theme="1"/>
        <rFont val="Times New Roman"/>
        <family val="1"/>
        <charset val="186"/>
      </rPr>
      <t xml:space="preserve"> + 35,17 </t>
    </r>
    <r>
      <rPr>
        <i/>
        <sz val="12"/>
        <color theme="1"/>
        <rFont val="Times New Roman"/>
        <family val="1"/>
        <charset val="186"/>
      </rPr>
      <t>euro</t>
    </r>
    <r>
      <rPr>
        <sz val="12"/>
        <color theme="1"/>
        <rFont val="Times New Roman"/>
        <family val="1"/>
        <charset val="186"/>
      </rPr>
      <t xml:space="preserve"> + 18,83 </t>
    </r>
    <r>
      <rPr>
        <i/>
        <sz val="12"/>
        <color theme="1"/>
        <rFont val="Times New Roman"/>
        <family val="1"/>
        <charset val="186"/>
      </rPr>
      <t>euro</t>
    </r>
    <r>
      <rPr>
        <sz val="12"/>
        <color theme="1"/>
        <rFont val="Times New Roman"/>
        <family val="1"/>
        <charset val="186"/>
      </rPr>
      <t xml:space="preserve">) = 167,86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</si>
  <si>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(1 846,55 </t>
    </r>
    <r>
      <rPr>
        <i/>
        <sz val="12"/>
        <color theme="1"/>
        <rFont val="Times New Roman"/>
        <family val="1"/>
        <charset val="186"/>
      </rPr>
      <t>euro</t>
    </r>
    <r>
      <rPr>
        <sz val="12"/>
        <color theme="1"/>
        <rFont val="Times New Roman"/>
        <family val="1"/>
        <charset val="186"/>
      </rPr>
      <t xml:space="preserve"> * 23,59 %) = 435,60 </t>
    </r>
    <r>
      <rPr>
        <i/>
        <sz val="12"/>
        <color theme="1"/>
        <rFont val="Times New Roman"/>
        <family val="1"/>
        <charset val="186"/>
      </rPr>
      <t xml:space="preserve">euro. </t>
    </r>
  </si>
  <si>
    <r>
      <t xml:space="preserve">Galv. nekust. īpaš. pārvaldnieks (330,31 </t>
    </r>
    <r>
      <rPr>
        <i/>
        <sz val="12"/>
        <color theme="1"/>
        <rFont val="Times New Roman"/>
        <family val="1"/>
        <charset val="186"/>
      </rPr>
      <t>euro</t>
    </r>
    <r>
      <rPr>
        <sz val="12"/>
        <color theme="1"/>
        <rFont val="Times New Roman"/>
        <family val="1"/>
        <charset val="186"/>
      </rPr>
      <t xml:space="preserve"> * 5%) = 16,52 </t>
    </r>
    <r>
      <rPr>
        <i/>
        <sz val="12"/>
        <color theme="1"/>
        <rFont val="Times New Roman"/>
        <family val="1"/>
        <charset val="186"/>
      </rPr>
      <t>euro</t>
    </r>
    <r>
      <rPr>
        <sz val="12"/>
        <color theme="1"/>
        <rFont val="Times New Roman"/>
        <family val="1"/>
        <charset val="186"/>
      </rPr>
      <t xml:space="preserve">, Saimniecības pārzinis (417,54 </t>
    </r>
    <r>
      <rPr>
        <i/>
        <sz val="12"/>
        <color theme="1"/>
        <rFont val="Times New Roman"/>
        <family val="1"/>
        <charset val="186"/>
      </rPr>
      <t>euro</t>
    </r>
    <r>
      <rPr>
        <sz val="12"/>
        <color theme="1"/>
        <rFont val="Times New Roman"/>
        <family val="1"/>
        <charset val="186"/>
      </rPr>
      <t xml:space="preserve"> * 5%) = 20,88 </t>
    </r>
    <r>
      <rPr>
        <i/>
        <sz val="12"/>
        <color theme="1"/>
        <rFont val="Times New Roman"/>
        <family val="1"/>
        <charset val="186"/>
      </rPr>
      <t>euro</t>
    </r>
    <r>
      <rPr>
        <sz val="12"/>
        <color theme="1"/>
        <rFont val="Times New Roman"/>
        <family val="1"/>
        <charset val="186"/>
      </rPr>
      <t xml:space="preserve">, Istabene (390,84 </t>
    </r>
    <r>
      <rPr>
        <i/>
        <sz val="12"/>
        <color theme="1"/>
        <rFont val="Times New Roman"/>
        <family val="1"/>
        <charset val="186"/>
      </rPr>
      <t>euro</t>
    </r>
    <r>
      <rPr>
        <sz val="12"/>
        <color theme="1"/>
        <rFont val="Times New Roman"/>
        <family val="1"/>
        <charset val="186"/>
      </rPr>
      <t xml:space="preserve"> * 5%) = 19,54 </t>
    </r>
    <r>
      <rPr>
        <i/>
        <sz val="12"/>
        <color theme="1"/>
        <rFont val="Times New Roman"/>
        <family val="1"/>
        <charset val="186"/>
      </rPr>
      <t>euro</t>
    </r>
    <r>
      <rPr>
        <sz val="12"/>
        <color theme="1"/>
        <rFont val="Times New Roman"/>
        <family val="1"/>
        <charset val="186"/>
      </rPr>
      <t xml:space="preserve">, Apkopēja (351,71 </t>
    </r>
    <r>
      <rPr>
        <i/>
        <sz val="12"/>
        <color theme="1"/>
        <rFont val="Times New Roman"/>
        <family val="1"/>
        <charset val="186"/>
      </rPr>
      <t>euro</t>
    </r>
    <r>
      <rPr>
        <sz val="12"/>
        <color theme="1"/>
        <rFont val="Times New Roman"/>
        <family val="1"/>
        <charset val="186"/>
      </rPr>
      <t xml:space="preserve"> * 5%) = 17,59 </t>
    </r>
    <r>
      <rPr>
        <i/>
        <sz val="12"/>
        <color theme="1"/>
        <rFont val="Times New Roman"/>
        <family val="1"/>
        <charset val="186"/>
      </rPr>
      <t>euro</t>
    </r>
    <r>
      <rPr>
        <sz val="12"/>
        <color theme="1"/>
        <rFont val="Times New Roman"/>
        <family val="1"/>
        <charset val="186"/>
      </rPr>
      <t xml:space="preserve">, Sētnieks (188,29 </t>
    </r>
    <r>
      <rPr>
        <i/>
        <sz val="12"/>
        <color theme="1"/>
        <rFont val="Times New Roman"/>
        <family val="1"/>
        <charset val="186"/>
      </rPr>
      <t>euro</t>
    </r>
    <r>
      <rPr>
        <sz val="12"/>
        <color theme="1"/>
        <rFont val="Times New Roman"/>
        <family val="1"/>
        <charset val="186"/>
      </rPr>
      <t xml:space="preserve"> * 5%) = 9,41 </t>
    </r>
    <r>
      <rPr>
        <i/>
        <sz val="12"/>
        <color theme="1"/>
        <rFont val="Times New Roman"/>
        <family val="1"/>
        <charset val="186"/>
      </rPr>
      <t>euro</t>
    </r>
    <r>
      <rPr>
        <sz val="12"/>
        <color theme="1"/>
        <rFont val="Times New Roman"/>
        <family val="1"/>
        <charset val="186"/>
      </rPr>
      <t xml:space="preserve">. Kopā (16,52 </t>
    </r>
    <r>
      <rPr>
        <i/>
        <sz val="12"/>
        <color theme="1"/>
        <rFont val="Times New Roman"/>
        <family val="1"/>
        <charset val="186"/>
      </rPr>
      <t>euro</t>
    </r>
    <r>
      <rPr>
        <sz val="12"/>
        <color theme="1"/>
        <rFont val="Times New Roman"/>
        <family val="1"/>
        <charset val="186"/>
      </rPr>
      <t xml:space="preserve"> + 20,88 </t>
    </r>
    <r>
      <rPr>
        <i/>
        <sz val="12"/>
        <color theme="1"/>
        <rFont val="Times New Roman"/>
        <family val="1"/>
        <charset val="186"/>
      </rPr>
      <t>euro</t>
    </r>
    <r>
      <rPr>
        <sz val="12"/>
        <color theme="1"/>
        <rFont val="Times New Roman"/>
        <family val="1"/>
        <charset val="186"/>
      </rPr>
      <t xml:space="preserve"> + 19,54 </t>
    </r>
    <r>
      <rPr>
        <i/>
        <sz val="12"/>
        <color theme="1"/>
        <rFont val="Times New Roman"/>
        <family val="1"/>
        <charset val="186"/>
      </rPr>
      <t>euro</t>
    </r>
    <r>
      <rPr>
        <sz val="12"/>
        <color theme="1"/>
        <rFont val="Times New Roman"/>
        <family val="1"/>
        <charset val="186"/>
      </rPr>
      <t xml:space="preserve"> + 17,59 </t>
    </r>
    <r>
      <rPr>
        <i/>
        <sz val="12"/>
        <color theme="1"/>
        <rFont val="Times New Roman"/>
        <family val="1"/>
        <charset val="186"/>
      </rPr>
      <t>euro</t>
    </r>
    <r>
      <rPr>
        <sz val="12"/>
        <color theme="1"/>
        <rFont val="Times New Roman"/>
        <family val="1"/>
        <charset val="186"/>
      </rPr>
      <t xml:space="preserve"> + 9,41 </t>
    </r>
    <r>
      <rPr>
        <i/>
        <sz val="12"/>
        <color theme="1"/>
        <rFont val="Times New Roman"/>
        <family val="1"/>
        <charset val="186"/>
      </rPr>
      <t>euro</t>
    </r>
    <r>
      <rPr>
        <sz val="12"/>
        <color theme="1"/>
        <rFont val="Times New Roman"/>
        <family val="1"/>
        <charset val="186"/>
      </rPr>
      <t xml:space="preserve">) = 83,94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</si>
  <si>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435,60 </t>
    </r>
    <r>
      <rPr>
        <i/>
        <sz val="12"/>
        <color theme="1"/>
        <rFont val="Times New Roman"/>
        <family val="1"/>
        <charset val="186"/>
      </rPr>
      <t>euro</t>
    </r>
    <r>
      <rPr>
        <sz val="12"/>
        <color theme="1"/>
        <rFont val="Times New Roman"/>
        <family val="1"/>
        <charset val="186"/>
      </rPr>
      <t xml:space="preserve">. Veselības apdrošināšana 83,94 </t>
    </r>
    <r>
      <rPr>
        <i/>
        <sz val="12"/>
        <color theme="1"/>
        <rFont val="Times New Roman"/>
        <family val="1"/>
        <charset val="186"/>
      </rPr>
      <t>euro</t>
    </r>
    <r>
      <rPr>
        <sz val="12"/>
        <color theme="1"/>
        <rFont val="Times New Roman"/>
        <family val="1"/>
        <charset val="186"/>
      </rPr>
      <t xml:space="preserve">. Kopā 519,54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</si>
  <si>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0.0562 (iznomātās platības koeficients) = 9,67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</si>
  <si>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0.0562 (iznomātās platības koeficients) = 6,35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</si>
  <si>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0.0562 (iznomātās platības koeficients) = 9,28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</si>
  <si>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0.0562 (iznomātās platības koeficients) = 12,67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</si>
  <si>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0.0562 (iznomātās platības koeficients) = 8,95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</si>
  <si>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0.0562 (iznomātās platības koeficients) = 51,54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</si>
  <si>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0.0562 (iznomātās platības koeficients) = 53,87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</si>
  <si>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0.0562 (iznomātās platības koeficients) = 67,31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</si>
  <si>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euro).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0.0562 (iznomātās platības koeficients) = 79,86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</si>
  <si>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0.0562 (iznomātās platības koeficients) = 19,79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</si>
  <si>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319,29 </t>
    </r>
    <r>
      <rPr>
        <i/>
        <sz val="12"/>
        <color theme="1"/>
        <rFont val="Times New Roman"/>
        <family val="1"/>
        <charset val="186"/>
      </rPr>
      <t>euro</t>
    </r>
    <r>
      <rPr>
        <sz val="12"/>
        <color theme="1"/>
        <rFont val="Times New Roman"/>
        <family val="1"/>
        <charset val="186"/>
      </rPr>
      <t xml:space="preserve"> * 23,59 % = 75,32 </t>
    </r>
    <r>
      <rPr>
        <i/>
        <sz val="12"/>
        <color theme="1"/>
        <rFont val="Times New Roman"/>
        <family val="1"/>
        <charset val="186"/>
      </rPr>
      <t>euro</t>
    </r>
    <r>
      <rPr>
        <sz val="12"/>
        <color theme="1"/>
        <rFont val="Times New Roman"/>
        <family val="1"/>
        <charset val="186"/>
      </rPr>
      <t>.</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</si>
  <si>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euro/mēn.</t>
    </r>
    <r>
      <rPr>
        <sz val="12"/>
        <color theme="1"/>
        <rFont val="Times New Roman"/>
        <family val="1"/>
        <charset val="186"/>
      </rPr>
      <t xml:space="preserve"> * 12 mēn. = 6 954,36 </t>
    </r>
    <r>
      <rPr>
        <i/>
        <sz val="12"/>
        <color theme="1"/>
        <rFont val="Times New Roman"/>
        <family val="1"/>
        <charset val="186"/>
      </rPr>
      <t>euro</t>
    </r>
    <r>
      <rPr>
        <sz val="12"/>
        <color theme="1"/>
        <rFont val="Times New Roman"/>
        <family val="1"/>
        <charset val="186"/>
      </rPr>
      <t xml:space="preserve"> * 0.159 (iznomātās platības koeficients) = 1 105,74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</si>
  <si>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euro/mēn.</t>
    </r>
    <r>
      <rPr>
        <sz val="12"/>
        <color theme="1"/>
        <rFont val="Times New Roman"/>
        <family val="1"/>
        <charset val="186"/>
      </rPr>
      <t xml:space="preserve"> * 12 mēn. = 7 429,56 </t>
    </r>
    <r>
      <rPr>
        <i/>
        <sz val="12"/>
        <color theme="1"/>
        <rFont val="Times New Roman"/>
        <family val="1"/>
        <charset val="186"/>
      </rPr>
      <t>euro</t>
    </r>
    <r>
      <rPr>
        <sz val="12"/>
        <color theme="1"/>
        <rFont val="Times New Roman"/>
        <family val="1"/>
        <charset val="186"/>
      </rPr>
      <t xml:space="preserve"> * 0.159 (iznomātās platības koeficients) = 1 181,30 </t>
    </r>
    <r>
      <rPr>
        <i/>
        <sz val="12"/>
        <color theme="1"/>
        <rFont val="Times New Roman"/>
        <family val="1"/>
        <charset val="186"/>
      </rPr>
      <t>euro</t>
    </r>
    <r>
      <rPr>
        <sz val="12"/>
        <color theme="1"/>
        <rFont val="Times New Roman"/>
        <family val="1"/>
        <charset val="186"/>
      </rPr>
      <t xml:space="preserve">.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</si>
  <si>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0.159 (iznomātās platības koeficients) = 934,52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</si>
  <si>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0.159 (iznomātās platības koeficients) = 995,04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</si>
  <si>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0.159 (iznomātās platības koeficients) = 532,71 </t>
    </r>
    <r>
      <rPr>
        <i/>
        <sz val="12"/>
        <color theme="1"/>
        <rFont val="Times New Roman"/>
        <family val="1"/>
        <charset val="186"/>
      </rPr>
      <t>euro</t>
    </r>
    <r>
      <rPr>
        <sz val="12"/>
        <color theme="1"/>
        <rFont val="Times New Roman"/>
        <family val="1"/>
        <charset val="186"/>
      </rPr>
      <t xml:space="preserve">. </t>
    </r>
  </si>
  <si>
    <r>
      <t xml:space="preserve">Galv. nekust. īpaš. pārvaldnieks (934,52 </t>
    </r>
    <r>
      <rPr>
        <i/>
        <sz val="12"/>
        <color theme="1"/>
        <rFont val="Times New Roman"/>
        <family val="1"/>
        <charset val="186"/>
      </rPr>
      <t>euro</t>
    </r>
    <r>
      <rPr>
        <sz val="12"/>
        <color theme="1"/>
        <rFont val="Times New Roman"/>
        <family val="1"/>
        <charset val="186"/>
      </rPr>
      <t xml:space="preserve"> * 10%) = 93,45 </t>
    </r>
    <r>
      <rPr>
        <i/>
        <sz val="12"/>
        <color theme="1"/>
        <rFont val="Times New Roman"/>
        <family val="1"/>
        <charset val="186"/>
      </rPr>
      <t>euro</t>
    </r>
    <r>
      <rPr>
        <sz val="12"/>
        <color theme="1"/>
        <rFont val="Times New Roman"/>
        <family val="1"/>
        <charset val="186"/>
      </rPr>
      <t xml:space="preserve">, Saimniecības pārzinis (1 181,30 </t>
    </r>
    <r>
      <rPr>
        <i/>
        <sz val="12"/>
        <color theme="1"/>
        <rFont val="Times New Roman"/>
        <family val="1"/>
        <charset val="186"/>
      </rPr>
      <t>euro</t>
    </r>
    <r>
      <rPr>
        <sz val="12"/>
        <color theme="1"/>
        <rFont val="Times New Roman"/>
        <family val="1"/>
        <charset val="186"/>
      </rPr>
      <t xml:space="preserve"> * 10%) = 118,13 </t>
    </r>
    <r>
      <rPr>
        <i/>
        <sz val="12"/>
        <color theme="1"/>
        <rFont val="Times New Roman"/>
        <family val="1"/>
        <charset val="186"/>
      </rPr>
      <t>euro</t>
    </r>
    <r>
      <rPr>
        <sz val="12"/>
        <color theme="1"/>
        <rFont val="Times New Roman"/>
        <family val="1"/>
        <charset val="186"/>
      </rPr>
      <t xml:space="preserve">, Istabene (1 105,74 </t>
    </r>
    <r>
      <rPr>
        <i/>
        <sz val="12"/>
        <color theme="1"/>
        <rFont val="Times New Roman"/>
        <family val="1"/>
        <charset val="186"/>
      </rPr>
      <t>euro</t>
    </r>
    <r>
      <rPr>
        <sz val="12"/>
        <color theme="1"/>
        <rFont val="Times New Roman"/>
        <family val="1"/>
        <charset val="186"/>
      </rPr>
      <t xml:space="preserve"> * 10%) = 110,57 </t>
    </r>
    <r>
      <rPr>
        <i/>
        <sz val="12"/>
        <color theme="1"/>
        <rFont val="Times New Roman"/>
        <family val="1"/>
        <charset val="186"/>
      </rPr>
      <t>euro</t>
    </r>
    <r>
      <rPr>
        <sz val="12"/>
        <color theme="1"/>
        <rFont val="Times New Roman"/>
        <family val="1"/>
        <charset val="186"/>
      </rPr>
      <t xml:space="preserve">, Apkopēja (995,04 </t>
    </r>
    <r>
      <rPr>
        <i/>
        <sz val="12"/>
        <color theme="1"/>
        <rFont val="Times New Roman"/>
        <family val="1"/>
        <charset val="186"/>
      </rPr>
      <t>euro</t>
    </r>
    <r>
      <rPr>
        <sz val="12"/>
        <color theme="1"/>
        <rFont val="Times New Roman"/>
        <family val="1"/>
        <charset val="186"/>
      </rPr>
      <t xml:space="preserve"> * 10%) = 99,50 </t>
    </r>
    <r>
      <rPr>
        <i/>
        <sz val="12"/>
        <color theme="1"/>
        <rFont val="Times New Roman"/>
        <family val="1"/>
        <charset val="186"/>
      </rPr>
      <t>euro</t>
    </r>
    <r>
      <rPr>
        <sz val="12"/>
        <color theme="1"/>
        <rFont val="Times New Roman"/>
        <family val="1"/>
        <charset val="186"/>
      </rPr>
      <t xml:space="preserve">, Sētnieks (532,71 </t>
    </r>
    <r>
      <rPr>
        <i/>
        <sz val="12"/>
        <color theme="1"/>
        <rFont val="Times New Roman"/>
        <family val="1"/>
        <charset val="186"/>
      </rPr>
      <t>euro</t>
    </r>
    <r>
      <rPr>
        <sz val="12"/>
        <color theme="1"/>
        <rFont val="Times New Roman"/>
        <family val="1"/>
        <charset val="186"/>
      </rPr>
      <t xml:space="preserve"> * 10%) = 53,27 </t>
    </r>
    <r>
      <rPr>
        <i/>
        <sz val="12"/>
        <color theme="1"/>
        <rFont val="Times New Roman"/>
        <family val="1"/>
        <charset val="186"/>
      </rPr>
      <t>euro</t>
    </r>
    <r>
      <rPr>
        <sz val="12"/>
        <color theme="1"/>
        <rFont val="Times New Roman"/>
        <family val="1"/>
        <charset val="186"/>
      </rPr>
      <t xml:space="preserve">. Kopā (93,45 euro +  118,13 </t>
    </r>
    <r>
      <rPr>
        <i/>
        <sz val="12"/>
        <color theme="1"/>
        <rFont val="Times New Roman"/>
        <family val="1"/>
        <charset val="186"/>
      </rPr>
      <t>euro</t>
    </r>
    <r>
      <rPr>
        <sz val="12"/>
        <color theme="1"/>
        <rFont val="Times New Roman"/>
        <family val="1"/>
        <charset val="186"/>
      </rPr>
      <t xml:space="preserve"> + 110,57 </t>
    </r>
    <r>
      <rPr>
        <i/>
        <sz val="12"/>
        <color theme="1"/>
        <rFont val="Times New Roman"/>
        <family val="1"/>
        <charset val="186"/>
      </rPr>
      <t>euro</t>
    </r>
    <r>
      <rPr>
        <sz val="12"/>
        <color theme="1"/>
        <rFont val="Times New Roman"/>
        <family val="1"/>
        <charset val="186"/>
      </rPr>
      <t xml:space="preserve"> + 99,50 </t>
    </r>
    <r>
      <rPr>
        <i/>
        <sz val="12"/>
        <color theme="1"/>
        <rFont val="Times New Roman"/>
        <family val="1"/>
        <charset val="186"/>
      </rPr>
      <t>euro</t>
    </r>
    <r>
      <rPr>
        <sz val="12"/>
        <color theme="1"/>
        <rFont val="Times New Roman"/>
        <family val="1"/>
        <charset val="186"/>
      </rPr>
      <t xml:space="preserve"> + 53,27 </t>
    </r>
    <r>
      <rPr>
        <i/>
        <sz val="12"/>
        <color theme="1"/>
        <rFont val="Times New Roman"/>
        <family val="1"/>
        <charset val="186"/>
      </rPr>
      <t>euro</t>
    </r>
    <r>
      <rPr>
        <sz val="12"/>
        <color theme="1"/>
        <rFont val="Times New Roman"/>
        <family val="1"/>
        <charset val="186"/>
      </rPr>
      <t xml:space="preserve">) = 474,92 </t>
    </r>
    <r>
      <rPr>
        <i/>
        <sz val="12"/>
        <color theme="1"/>
        <rFont val="Times New Roman"/>
        <family val="1"/>
        <charset val="186"/>
      </rPr>
      <t>euro</t>
    </r>
    <r>
      <rPr>
        <sz val="12"/>
        <color theme="1"/>
        <rFont val="Times New Roman"/>
        <family val="1"/>
        <charset val="186"/>
      </rPr>
      <t>.</t>
    </r>
  </si>
  <si>
    <r>
      <t xml:space="preserve">Galv. nekust. īpaš. pārvaldnieks (934,52 </t>
    </r>
    <r>
      <rPr>
        <i/>
        <sz val="12"/>
        <color theme="1"/>
        <rFont val="Times New Roman"/>
        <family val="1"/>
        <charset val="186"/>
      </rPr>
      <t>euro</t>
    </r>
    <r>
      <rPr>
        <sz val="12"/>
        <color theme="1"/>
        <rFont val="Times New Roman"/>
        <family val="1"/>
        <charset val="186"/>
      </rPr>
      <t xml:space="preserve"> * 5%) = 46,73 </t>
    </r>
    <r>
      <rPr>
        <i/>
        <sz val="12"/>
        <color theme="1"/>
        <rFont val="Times New Roman"/>
        <family val="1"/>
        <charset val="186"/>
      </rPr>
      <t>euro</t>
    </r>
    <r>
      <rPr>
        <sz val="12"/>
        <color theme="1"/>
        <rFont val="Times New Roman"/>
        <family val="1"/>
        <charset val="186"/>
      </rPr>
      <t xml:space="preserve">, Saimniecības pārzinis (1 181,30 </t>
    </r>
    <r>
      <rPr>
        <i/>
        <sz val="12"/>
        <color theme="1"/>
        <rFont val="Times New Roman"/>
        <family val="1"/>
        <charset val="186"/>
      </rPr>
      <t>euro</t>
    </r>
    <r>
      <rPr>
        <sz val="12"/>
        <color theme="1"/>
        <rFont val="Times New Roman"/>
        <family val="1"/>
        <charset val="186"/>
      </rPr>
      <t xml:space="preserve"> * 5%) = 59,07 </t>
    </r>
    <r>
      <rPr>
        <i/>
        <sz val="12"/>
        <color theme="1"/>
        <rFont val="Times New Roman"/>
        <family val="1"/>
        <charset val="186"/>
      </rPr>
      <t>euro</t>
    </r>
    <r>
      <rPr>
        <sz val="12"/>
        <color theme="1"/>
        <rFont val="Times New Roman"/>
        <family val="1"/>
        <charset val="186"/>
      </rPr>
      <t xml:space="preserve">,  Istabene (1 105,74 </t>
    </r>
    <r>
      <rPr>
        <i/>
        <sz val="12"/>
        <color theme="1"/>
        <rFont val="Times New Roman"/>
        <family val="1"/>
        <charset val="186"/>
      </rPr>
      <t>euro</t>
    </r>
    <r>
      <rPr>
        <sz val="12"/>
        <color theme="1"/>
        <rFont val="Times New Roman"/>
        <family val="1"/>
        <charset val="186"/>
      </rPr>
      <t xml:space="preserve"> * 5%) = 55,29 </t>
    </r>
    <r>
      <rPr>
        <i/>
        <sz val="12"/>
        <color theme="1"/>
        <rFont val="Times New Roman"/>
        <family val="1"/>
        <charset val="186"/>
      </rPr>
      <t>euro</t>
    </r>
    <r>
      <rPr>
        <sz val="12"/>
        <color theme="1"/>
        <rFont val="Times New Roman"/>
        <family val="1"/>
        <charset val="186"/>
      </rPr>
      <t xml:space="preserve">, Apkopēja (995,04 </t>
    </r>
    <r>
      <rPr>
        <i/>
        <sz val="12"/>
        <color theme="1"/>
        <rFont val="Times New Roman"/>
        <family val="1"/>
        <charset val="186"/>
      </rPr>
      <t>euro</t>
    </r>
    <r>
      <rPr>
        <sz val="12"/>
        <color theme="1"/>
        <rFont val="Times New Roman"/>
        <family val="1"/>
        <charset val="186"/>
      </rPr>
      <t xml:space="preserve"> * 5%) = 49,75 </t>
    </r>
    <r>
      <rPr>
        <i/>
        <sz val="12"/>
        <color theme="1"/>
        <rFont val="Times New Roman"/>
        <family val="1"/>
        <charset val="186"/>
      </rPr>
      <t>euro</t>
    </r>
    <r>
      <rPr>
        <sz val="12"/>
        <color theme="1"/>
        <rFont val="Times New Roman"/>
        <family val="1"/>
        <charset val="186"/>
      </rPr>
      <t xml:space="preserve">, Sētnieks (532,71 </t>
    </r>
    <r>
      <rPr>
        <i/>
        <sz val="12"/>
        <color theme="1"/>
        <rFont val="Times New Roman"/>
        <family val="1"/>
        <charset val="186"/>
      </rPr>
      <t>euro</t>
    </r>
    <r>
      <rPr>
        <sz val="12"/>
        <color theme="1"/>
        <rFont val="Times New Roman"/>
        <family val="1"/>
        <charset val="186"/>
      </rPr>
      <t xml:space="preserve"> * 5%) = 26,64 </t>
    </r>
    <r>
      <rPr>
        <i/>
        <sz val="12"/>
        <color theme="1"/>
        <rFont val="Times New Roman"/>
        <family val="1"/>
        <charset val="186"/>
      </rPr>
      <t>euro</t>
    </r>
    <r>
      <rPr>
        <sz val="12"/>
        <color theme="1"/>
        <rFont val="Times New Roman"/>
        <family val="1"/>
        <charset val="186"/>
      </rPr>
      <t xml:space="preserve">. Kopā (46,73 euro +  59,07 </t>
    </r>
    <r>
      <rPr>
        <i/>
        <sz val="12"/>
        <color theme="1"/>
        <rFont val="Times New Roman"/>
        <family val="1"/>
        <charset val="186"/>
      </rPr>
      <t>euro</t>
    </r>
    <r>
      <rPr>
        <sz val="12"/>
        <color theme="1"/>
        <rFont val="Times New Roman"/>
        <family val="1"/>
        <charset val="186"/>
      </rPr>
      <t xml:space="preserve"> + 55,29 </t>
    </r>
    <r>
      <rPr>
        <i/>
        <sz val="12"/>
        <color theme="1"/>
        <rFont val="Times New Roman"/>
        <family val="1"/>
        <charset val="186"/>
      </rPr>
      <t>euro</t>
    </r>
    <r>
      <rPr>
        <sz val="12"/>
        <color theme="1"/>
        <rFont val="Times New Roman"/>
        <family val="1"/>
        <charset val="186"/>
      </rPr>
      <t xml:space="preserve"> + 49,75 </t>
    </r>
    <r>
      <rPr>
        <i/>
        <sz val="12"/>
        <color theme="1"/>
        <rFont val="Times New Roman"/>
        <family val="1"/>
        <charset val="186"/>
      </rPr>
      <t>euro</t>
    </r>
    <r>
      <rPr>
        <sz val="12"/>
        <color theme="1"/>
        <rFont val="Times New Roman"/>
        <family val="1"/>
        <charset val="186"/>
      </rPr>
      <t xml:space="preserve"> + 26,64 </t>
    </r>
    <r>
      <rPr>
        <i/>
        <sz val="12"/>
        <color theme="1"/>
        <rFont val="Times New Roman"/>
        <family val="1"/>
        <charset val="186"/>
      </rPr>
      <t>euro</t>
    </r>
    <r>
      <rPr>
        <sz val="12"/>
        <color theme="1"/>
        <rFont val="Times New Roman"/>
        <family val="1"/>
        <charset val="186"/>
      </rPr>
      <t xml:space="preserve">) = 237,48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</si>
  <si>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0.159 (iznomātās platības koeficients) = 27,36 </t>
    </r>
    <r>
      <rPr>
        <i/>
        <sz val="12"/>
        <color theme="1"/>
        <rFont val="Times New Roman"/>
        <family val="1"/>
        <charset val="186"/>
      </rPr>
      <t>euro.</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</si>
  <si>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0.159 (iznomātās platības koeficients) = 17,95 </t>
    </r>
    <r>
      <rPr>
        <i/>
        <sz val="12"/>
        <color theme="1"/>
        <rFont val="Times New Roman"/>
        <family val="1"/>
        <charset val="186"/>
      </rPr>
      <t>euro.</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</si>
  <si>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0.159 (iznomātās platības koeficients) = 26,25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</si>
  <si>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0.159 (iznomātās platības koeficients) = 35,85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</si>
  <si>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0.159 (iznomātās platības koeficients) = 25,32 </t>
    </r>
    <r>
      <rPr>
        <i/>
        <sz val="12"/>
        <color theme="1"/>
        <rFont val="Times New Roman"/>
        <family val="1"/>
        <charset val="186"/>
      </rPr>
      <t>euro.</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</si>
  <si>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0.159 (iznomātās platības koeficients) = 145,83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</si>
  <si>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(9,24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0.159 (iznomātās platības koeficients) = 152,41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</si>
  <si>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0.159 (iznomātās platības koeficients) = 190,44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</si>
  <si>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0.159 (iznomātās platības koeficients) = 225,95 </t>
    </r>
    <r>
      <rPr>
        <i/>
        <sz val="12"/>
        <color theme="1"/>
        <rFont val="Times New Roman"/>
        <family val="1"/>
        <charset val="186"/>
      </rPr>
      <t>euro.</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</si>
  <si>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0.159 (iznomātās platības koeficients) = 56,00 </t>
    </r>
    <r>
      <rPr>
        <i/>
        <sz val="12"/>
        <color theme="1"/>
        <rFont val="Times New Roman"/>
        <family val="1"/>
        <charset val="186"/>
      </rPr>
      <t>euro.</t>
    </r>
  </si>
  <si>
    <r>
      <t xml:space="preserve">Darba devēja valsts sociālās apdrošināšanas obligātās iemaksas 903,36 </t>
    </r>
    <r>
      <rPr>
        <i/>
        <sz val="12"/>
        <color theme="1"/>
        <rFont val="Times New Roman"/>
        <family val="1"/>
        <charset val="186"/>
      </rPr>
      <t>euro</t>
    </r>
    <r>
      <rPr>
        <sz val="12"/>
        <color theme="1"/>
        <rFont val="Times New Roman"/>
        <family val="1"/>
        <charset val="186"/>
      </rPr>
      <t xml:space="preserve"> * 23,59 % = 213,10 </t>
    </r>
    <r>
      <rPr>
        <i/>
        <sz val="12"/>
        <color theme="1"/>
        <rFont val="Times New Roman"/>
        <family val="1"/>
        <charset val="186"/>
      </rPr>
      <t>euro.</t>
    </r>
  </si>
  <si>
    <r>
      <t xml:space="preserve">Darba devēja valsts sociālās apdrošināšanas obligātās iemaksas (5 224,23 </t>
    </r>
    <r>
      <rPr>
        <i/>
        <sz val="12"/>
        <color theme="1"/>
        <rFont val="Times New Roman"/>
        <family val="1"/>
        <charset val="186"/>
      </rPr>
      <t>euro</t>
    </r>
    <r>
      <rPr>
        <sz val="12"/>
        <color theme="1"/>
        <rFont val="Times New Roman"/>
        <family val="1"/>
        <charset val="186"/>
      </rPr>
      <t xml:space="preserve"> * 23,59 %) = 1 232,40 </t>
    </r>
    <r>
      <rPr>
        <i/>
        <sz val="12"/>
        <color theme="1"/>
        <rFont val="Times New Roman"/>
        <family val="1"/>
        <charset val="186"/>
      </rPr>
      <t xml:space="preserve">euro. </t>
    </r>
  </si>
  <si>
    <r>
      <t xml:space="preserve">Darba devēja valsts sociālās apdrošināšanas obligātās iemaksas 1 232,40 </t>
    </r>
    <r>
      <rPr>
        <i/>
        <sz val="12"/>
        <color theme="1"/>
        <rFont val="Times New Roman"/>
        <family val="1"/>
        <charset val="186"/>
      </rPr>
      <t>euro</t>
    </r>
    <r>
      <rPr>
        <sz val="12"/>
        <color theme="1"/>
        <rFont val="Times New Roman"/>
        <family val="1"/>
        <charset val="186"/>
      </rPr>
      <t xml:space="preserve">. Veselības apdrošināšana 237,48 </t>
    </r>
    <r>
      <rPr>
        <i/>
        <sz val="12"/>
        <color theme="1"/>
        <rFont val="Times New Roman"/>
        <family val="1"/>
        <charset val="186"/>
      </rPr>
      <t>euro</t>
    </r>
    <r>
      <rPr>
        <sz val="12"/>
        <color theme="1"/>
        <rFont val="Times New Roman"/>
        <family val="1"/>
        <charset val="186"/>
      </rPr>
      <t xml:space="preserve">. Kopā 1 469,88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</si>
  <si>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0.0342 (iznomātās platības koeficients) = 201,01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</si>
  <si>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t>
    </r>
    <r>
      <rPr>
        <sz val="12"/>
        <color theme="1"/>
        <rFont val="Times New Roman"/>
        <family val="1"/>
        <charset val="186"/>
      </rPr>
      <t xml:space="preserve">/mēn. * 12 mēn. = 7 429,56 </t>
    </r>
    <r>
      <rPr>
        <i/>
        <sz val="12"/>
        <color theme="1"/>
        <rFont val="Times New Roman"/>
        <family val="1"/>
        <charset val="186"/>
      </rPr>
      <t>euro</t>
    </r>
    <r>
      <rPr>
        <sz val="12"/>
        <color theme="1"/>
        <rFont val="Times New Roman"/>
        <family val="1"/>
        <charset val="186"/>
      </rPr>
      <t xml:space="preserve"> * 0.0342 (iznomātās platības koeficients) = 254,09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</si>
  <si>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t>
    </r>
    <r>
      <rPr>
        <sz val="12"/>
        <color theme="1"/>
        <rFont val="Times New Roman"/>
        <family val="1"/>
        <charset val="186"/>
      </rPr>
      <t xml:space="preserve">/mēn. * 12 mēn. = 6 954,36 </t>
    </r>
    <r>
      <rPr>
        <i/>
        <sz val="12"/>
        <color theme="1"/>
        <rFont val="Times New Roman"/>
        <family val="1"/>
        <charset val="186"/>
      </rPr>
      <t>euro</t>
    </r>
    <r>
      <rPr>
        <sz val="12"/>
        <color theme="1"/>
        <rFont val="Times New Roman"/>
        <family val="1"/>
        <charset val="186"/>
      </rPr>
      <t xml:space="preserve"> * 0.0342 (iznomātās platības koeficients) = 237,84 </t>
    </r>
    <r>
      <rPr>
        <i/>
        <sz val="12"/>
        <color theme="1"/>
        <rFont val="Times New Roman"/>
        <family val="1"/>
        <charset val="186"/>
      </rPr>
      <t>euro</t>
    </r>
    <r>
      <rPr>
        <sz val="12"/>
        <color theme="1"/>
        <rFont val="Times New Roman"/>
        <family val="1"/>
        <charset val="186"/>
      </rPr>
      <t>.</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</si>
  <si>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euro = 740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0.0342 (iznomātās platības koeficients) = 214,03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</si>
  <si>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0.0342 (iznomātās platības koeficients) = 114,58 </t>
    </r>
    <r>
      <rPr>
        <i/>
        <sz val="12"/>
        <color theme="1"/>
        <rFont val="Times New Roman"/>
        <family val="1"/>
        <charset val="186"/>
      </rPr>
      <t>euro</t>
    </r>
    <r>
      <rPr>
        <sz val="12"/>
        <color theme="1"/>
        <rFont val="Times New Roman"/>
        <family val="1"/>
        <charset val="186"/>
      </rPr>
      <t xml:space="preserve">. </t>
    </r>
  </si>
  <si>
    <r>
      <t xml:space="preserve">Galv. nekust. īpaš. pārvaldnieks (201,01 </t>
    </r>
    <r>
      <rPr>
        <i/>
        <sz val="12"/>
        <color theme="1"/>
        <rFont val="Times New Roman"/>
        <family val="1"/>
        <charset val="186"/>
      </rPr>
      <t>euro</t>
    </r>
    <r>
      <rPr>
        <sz val="12"/>
        <color theme="1"/>
        <rFont val="Times New Roman"/>
        <family val="1"/>
        <charset val="186"/>
      </rPr>
      <t xml:space="preserve"> * 10%) = 20,10 </t>
    </r>
    <r>
      <rPr>
        <i/>
        <sz val="12"/>
        <color theme="1"/>
        <rFont val="Times New Roman"/>
        <family val="1"/>
        <charset val="186"/>
      </rPr>
      <t>euro</t>
    </r>
    <r>
      <rPr>
        <sz val="12"/>
        <color theme="1"/>
        <rFont val="Times New Roman"/>
        <family val="1"/>
        <charset val="186"/>
      </rPr>
      <t xml:space="preserve">, Saimniecības pārzinis (254,09 </t>
    </r>
    <r>
      <rPr>
        <i/>
        <sz val="12"/>
        <color theme="1"/>
        <rFont val="Times New Roman"/>
        <family val="1"/>
        <charset val="186"/>
      </rPr>
      <t>euro</t>
    </r>
    <r>
      <rPr>
        <sz val="12"/>
        <color theme="1"/>
        <rFont val="Times New Roman"/>
        <family val="1"/>
        <charset val="186"/>
      </rPr>
      <t xml:space="preserve"> * 10%) = 25,41 </t>
    </r>
    <r>
      <rPr>
        <i/>
        <sz val="12"/>
        <color theme="1"/>
        <rFont val="Times New Roman"/>
        <family val="1"/>
        <charset val="186"/>
      </rPr>
      <t>euro</t>
    </r>
    <r>
      <rPr>
        <sz val="12"/>
        <color theme="1"/>
        <rFont val="Times New Roman"/>
        <family val="1"/>
        <charset val="186"/>
      </rPr>
      <t xml:space="preserve">, Istabene (237,84 </t>
    </r>
    <r>
      <rPr>
        <i/>
        <sz val="12"/>
        <color theme="1"/>
        <rFont val="Times New Roman"/>
        <family val="1"/>
        <charset val="186"/>
      </rPr>
      <t>euro</t>
    </r>
    <r>
      <rPr>
        <sz val="12"/>
        <color theme="1"/>
        <rFont val="Times New Roman"/>
        <family val="1"/>
        <charset val="186"/>
      </rPr>
      <t xml:space="preserve"> * 10%) = 23,78 </t>
    </r>
    <r>
      <rPr>
        <i/>
        <sz val="12"/>
        <color theme="1"/>
        <rFont val="Times New Roman"/>
        <family val="1"/>
        <charset val="186"/>
      </rPr>
      <t>euro</t>
    </r>
    <r>
      <rPr>
        <sz val="12"/>
        <color theme="1"/>
        <rFont val="Times New Roman"/>
        <family val="1"/>
        <charset val="186"/>
      </rPr>
      <t xml:space="preserve">, Apkopēja (214,03 </t>
    </r>
    <r>
      <rPr>
        <i/>
        <sz val="12"/>
        <color theme="1"/>
        <rFont val="Times New Roman"/>
        <family val="1"/>
        <charset val="186"/>
      </rPr>
      <t>euro</t>
    </r>
    <r>
      <rPr>
        <sz val="12"/>
        <color theme="1"/>
        <rFont val="Times New Roman"/>
        <family val="1"/>
        <charset val="186"/>
      </rPr>
      <t xml:space="preserve"> * 10%) = 21,40 </t>
    </r>
    <r>
      <rPr>
        <i/>
        <sz val="12"/>
        <color theme="1"/>
        <rFont val="Times New Roman"/>
        <family val="1"/>
        <charset val="186"/>
      </rPr>
      <t>euro</t>
    </r>
    <r>
      <rPr>
        <sz val="12"/>
        <color theme="1"/>
        <rFont val="Times New Roman"/>
        <family val="1"/>
        <charset val="186"/>
      </rPr>
      <t xml:space="preserve">, Sētnieks (114,58 </t>
    </r>
    <r>
      <rPr>
        <i/>
        <sz val="12"/>
        <color theme="1"/>
        <rFont val="Times New Roman"/>
        <family val="1"/>
        <charset val="186"/>
      </rPr>
      <t>euro</t>
    </r>
    <r>
      <rPr>
        <sz val="12"/>
        <color theme="1"/>
        <rFont val="Times New Roman"/>
        <family val="1"/>
        <charset val="186"/>
      </rPr>
      <t xml:space="preserve"> * 10%) = 11,46 </t>
    </r>
    <r>
      <rPr>
        <i/>
        <sz val="12"/>
        <color theme="1"/>
        <rFont val="Times New Roman"/>
        <family val="1"/>
        <charset val="186"/>
      </rPr>
      <t>euro</t>
    </r>
    <r>
      <rPr>
        <sz val="12"/>
        <color theme="1"/>
        <rFont val="Times New Roman"/>
        <family val="1"/>
        <charset val="186"/>
      </rPr>
      <t xml:space="preserve">. Kopā (20,10 euro + 25,41 </t>
    </r>
    <r>
      <rPr>
        <i/>
        <sz val="12"/>
        <color theme="1"/>
        <rFont val="Times New Roman"/>
        <family val="1"/>
        <charset val="186"/>
      </rPr>
      <t>euro</t>
    </r>
    <r>
      <rPr>
        <sz val="12"/>
        <color theme="1"/>
        <rFont val="Times New Roman"/>
        <family val="1"/>
        <charset val="186"/>
      </rPr>
      <t xml:space="preserve"> + 23,78 </t>
    </r>
    <r>
      <rPr>
        <i/>
        <sz val="12"/>
        <color theme="1"/>
        <rFont val="Times New Roman"/>
        <family val="1"/>
        <charset val="186"/>
      </rPr>
      <t>euro</t>
    </r>
    <r>
      <rPr>
        <sz val="12"/>
        <color theme="1"/>
        <rFont val="Times New Roman"/>
        <family val="1"/>
        <charset val="186"/>
      </rPr>
      <t xml:space="preserve"> + 21,40 </t>
    </r>
    <r>
      <rPr>
        <i/>
        <sz val="12"/>
        <color theme="1"/>
        <rFont val="Times New Roman"/>
        <family val="1"/>
        <charset val="186"/>
      </rPr>
      <t>euro</t>
    </r>
    <r>
      <rPr>
        <sz val="12"/>
        <color theme="1"/>
        <rFont val="Times New Roman"/>
        <family val="1"/>
        <charset val="186"/>
      </rPr>
      <t xml:space="preserve"> + 11,46 </t>
    </r>
    <r>
      <rPr>
        <i/>
        <sz val="12"/>
        <color theme="1"/>
        <rFont val="Times New Roman"/>
        <family val="1"/>
        <charset val="186"/>
      </rPr>
      <t>euro</t>
    </r>
    <r>
      <rPr>
        <sz val="12"/>
        <color theme="1"/>
        <rFont val="Times New Roman"/>
        <family val="1"/>
        <charset val="186"/>
      </rPr>
      <t xml:space="preserve">) = 102,15 </t>
    </r>
    <r>
      <rPr>
        <i/>
        <sz val="12"/>
        <color theme="1"/>
        <rFont val="Times New Roman"/>
        <family val="1"/>
        <charset val="186"/>
      </rPr>
      <t>euro</t>
    </r>
    <r>
      <rPr>
        <sz val="12"/>
        <color theme="1"/>
        <rFont val="Times New Roman"/>
        <family val="1"/>
        <charset val="186"/>
      </rPr>
      <t>.</t>
    </r>
  </si>
  <si>
    <r>
      <t xml:space="preserve">Galv. nekust. īpaš. pārvaldnieks (201,01 </t>
    </r>
    <r>
      <rPr>
        <i/>
        <sz val="12"/>
        <color theme="1"/>
        <rFont val="Times New Roman"/>
        <family val="1"/>
        <charset val="186"/>
      </rPr>
      <t>euro</t>
    </r>
    <r>
      <rPr>
        <sz val="12"/>
        <color theme="1"/>
        <rFont val="Times New Roman"/>
        <family val="1"/>
        <charset val="186"/>
      </rPr>
      <t xml:space="preserve"> * 5%) = 10,05 </t>
    </r>
    <r>
      <rPr>
        <i/>
        <sz val="12"/>
        <color theme="1"/>
        <rFont val="Times New Roman"/>
        <family val="1"/>
        <charset val="186"/>
      </rPr>
      <t>euro</t>
    </r>
    <r>
      <rPr>
        <sz val="12"/>
        <color theme="1"/>
        <rFont val="Times New Roman"/>
        <family val="1"/>
        <charset val="186"/>
      </rPr>
      <t xml:space="preserve">, Saimniecības pārzinis (254,09 </t>
    </r>
    <r>
      <rPr>
        <i/>
        <sz val="12"/>
        <color theme="1"/>
        <rFont val="Times New Roman"/>
        <family val="1"/>
        <charset val="186"/>
      </rPr>
      <t>euro</t>
    </r>
    <r>
      <rPr>
        <sz val="12"/>
        <color theme="1"/>
        <rFont val="Times New Roman"/>
        <family val="1"/>
        <charset val="186"/>
      </rPr>
      <t xml:space="preserve"> * 5%) = 12,70 </t>
    </r>
    <r>
      <rPr>
        <i/>
        <sz val="12"/>
        <color theme="1"/>
        <rFont val="Times New Roman"/>
        <family val="1"/>
        <charset val="186"/>
      </rPr>
      <t>euro</t>
    </r>
    <r>
      <rPr>
        <sz val="12"/>
        <color theme="1"/>
        <rFont val="Times New Roman"/>
        <family val="1"/>
        <charset val="186"/>
      </rPr>
      <t xml:space="preserve">, Istabene (237,84 </t>
    </r>
    <r>
      <rPr>
        <i/>
        <sz val="12"/>
        <color theme="1"/>
        <rFont val="Times New Roman"/>
        <family val="1"/>
        <charset val="186"/>
      </rPr>
      <t>euro</t>
    </r>
    <r>
      <rPr>
        <sz val="12"/>
        <color theme="1"/>
        <rFont val="Times New Roman"/>
        <family val="1"/>
        <charset val="186"/>
      </rPr>
      <t xml:space="preserve"> * 5%) = 11,89 </t>
    </r>
    <r>
      <rPr>
        <i/>
        <sz val="12"/>
        <color theme="1"/>
        <rFont val="Times New Roman"/>
        <family val="1"/>
        <charset val="186"/>
      </rPr>
      <t>euro</t>
    </r>
    <r>
      <rPr>
        <sz val="12"/>
        <color theme="1"/>
        <rFont val="Times New Roman"/>
        <family val="1"/>
        <charset val="186"/>
      </rPr>
      <t xml:space="preserve">, Apkopēja (214,03 </t>
    </r>
    <r>
      <rPr>
        <i/>
        <sz val="12"/>
        <color theme="1"/>
        <rFont val="Times New Roman"/>
        <family val="1"/>
        <charset val="186"/>
      </rPr>
      <t>euro</t>
    </r>
    <r>
      <rPr>
        <sz val="12"/>
        <color theme="1"/>
        <rFont val="Times New Roman"/>
        <family val="1"/>
        <charset val="186"/>
      </rPr>
      <t xml:space="preserve"> * 5%) = 10,70 </t>
    </r>
    <r>
      <rPr>
        <i/>
        <sz val="12"/>
        <color theme="1"/>
        <rFont val="Times New Roman"/>
        <family val="1"/>
        <charset val="186"/>
      </rPr>
      <t>euro</t>
    </r>
    <r>
      <rPr>
        <sz val="12"/>
        <color theme="1"/>
        <rFont val="Times New Roman"/>
        <family val="1"/>
        <charset val="186"/>
      </rPr>
      <t xml:space="preserve">, Sētnieks (114,58 </t>
    </r>
    <r>
      <rPr>
        <i/>
        <sz val="12"/>
        <color theme="1"/>
        <rFont val="Times New Roman"/>
        <family val="1"/>
        <charset val="186"/>
      </rPr>
      <t>euro</t>
    </r>
    <r>
      <rPr>
        <sz val="12"/>
        <color theme="1"/>
        <rFont val="Times New Roman"/>
        <family val="1"/>
        <charset val="186"/>
      </rPr>
      <t xml:space="preserve"> * 5%) = 5,73 </t>
    </r>
    <r>
      <rPr>
        <i/>
        <sz val="12"/>
        <color theme="1"/>
        <rFont val="Times New Roman"/>
        <family val="1"/>
        <charset val="186"/>
      </rPr>
      <t>euro</t>
    </r>
    <r>
      <rPr>
        <sz val="12"/>
        <color theme="1"/>
        <rFont val="Times New Roman"/>
        <family val="1"/>
        <charset val="186"/>
      </rPr>
      <t xml:space="preserve">. Kopā (10,05 euro +  12,70 </t>
    </r>
    <r>
      <rPr>
        <i/>
        <sz val="12"/>
        <color theme="1"/>
        <rFont val="Times New Roman"/>
        <family val="1"/>
        <charset val="186"/>
      </rPr>
      <t>euro</t>
    </r>
    <r>
      <rPr>
        <sz val="12"/>
        <color theme="1"/>
        <rFont val="Times New Roman"/>
        <family val="1"/>
        <charset val="186"/>
      </rPr>
      <t xml:space="preserve"> + 11,89 </t>
    </r>
    <r>
      <rPr>
        <i/>
        <sz val="12"/>
        <color theme="1"/>
        <rFont val="Times New Roman"/>
        <family val="1"/>
        <charset val="186"/>
      </rPr>
      <t>euro</t>
    </r>
    <r>
      <rPr>
        <sz val="12"/>
        <color theme="1"/>
        <rFont val="Times New Roman"/>
        <family val="1"/>
        <charset val="186"/>
      </rPr>
      <t xml:space="preserve"> + 10,70 </t>
    </r>
    <r>
      <rPr>
        <i/>
        <sz val="12"/>
        <color theme="1"/>
        <rFont val="Times New Roman"/>
        <family val="1"/>
        <charset val="186"/>
      </rPr>
      <t>euro</t>
    </r>
    <r>
      <rPr>
        <sz val="12"/>
        <color theme="1"/>
        <rFont val="Times New Roman"/>
        <family val="1"/>
        <charset val="186"/>
      </rPr>
      <t xml:space="preserve"> + 5,73 </t>
    </r>
    <r>
      <rPr>
        <i/>
        <sz val="12"/>
        <color theme="1"/>
        <rFont val="Times New Roman"/>
        <family val="1"/>
        <charset val="186"/>
      </rPr>
      <t>euro</t>
    </r>
    <r>
      <rPr>
        <sz val="12"/>
        <color theme="1"/>
        <rFont val="Times New Roman"/>
        <family val="1"/>
        <charset val="186"/>
      </rPr>
      <t xml:space="preserve">) = 51,07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</si>
  <si>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0.0342 (iznomātās platības koeficients) = 5,89 </t>
    </r>
    <r>
      <rPr>
        <i/>
        <sz val="12"/>
        <color theme="1"/>
        <rFont val="Times New Roman"/>
        <family val="1"/>
        <charset val="186"/>
      </rPr>
      <t>euro.</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</si>
  <si>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0.0342 (iznomātās platības koeficients) = 3,86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</si>
  <si>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0.0342 (iznomātās platības koeficients) = 5,65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</si>
  <si>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0.0342 (iznomātās platības koeficients) = 7,71 </t>
    </r>
    <r>
      <rPr>
        <i/>
        <sz val="12"/>
        <color theme="1"/>
        <rFont val="Times New Roman"/>
        <family val="1"/>
        <charset val="186"/>
      </rPr>
      <t>euro.</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</si>
  <si>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0.0342 (iznomātās platības koeficients) = 5,45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</si>
  <si>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0.0342 (iznomātās platības koeficients) = 31,37 </t>
    </r>
    <r>
      <rPr>
        <i/>
        <sz val="12"/>
        <color theme="1"/>
        <rFont val="Times New Roman"/>
        <family val="1"/>
        <charset val="186"/>
      </rPr>
      <t>euro.</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</si>
  <si>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0.0342 (iznomātās platības koeficients) = 40,96 </t>
    </r>
    <r>
      <rPr>
        <i/>
        <sz val="12"/>
        <color theme="1"/>
        <rFont val="Times New Roman"/>
        <family val="1"/>
        <charset val="186"/>
      </rPr>
      <t>euro.</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</si>
  <si>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0.0342 (iznomātās platības koeficients) = 48,60 </t>
    </r>
    <r>
      <rPr>
        <i/>
        <sz val="12"/>
        <color theme="1"/>
        <rFont val="Times New Roman"/>
        <family val="1"/>
        <charset val="186"/>
      </rPr>
      <t>euro</t>
    </r>
    <r>
      <rPr>
        <sz val="12"/>
        <color theme="1"/>
        <rFont val="Times New Roman"/>
        <family val="1"/>
        <charset val="186"/>
      </rPr>
      <t xml:space="preserve">. </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</si>
  <si>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0.0342 (iznomātās platības koeficients) = 32,78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</si>
  <si>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0.0342 (iznomātās platības koeficients) = 12,05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</si>
  <si>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0.0012 (iznomātās platības koeficients) = 7,05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</si>
  <si>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t>
    </r>
    <r>
      <rPr>
        <sz val="12"/>
        <color theme="1"/>
        <rFont val="Times New Roman"/>
        <family val="1"/>
        <charset val="186"/>
      </rPr>
      <t xml:space="preserve">/mēn. * 12 mēn. = 7 429,56 </t>
    </r>
    <r>
      <rPr>
        <i/>
        <sz val="12"/>
        <color theme="1"/>
        <rFont val="Times New Roman"/>
        <family val="1"/>
        <charset val="186"/>
      </rPr>
      <t>euro</t>
    </r>
    <r>
      <rPr>
        <sz val="12"/>
        <color theme="1"/>
        <rFont val="Times New Roman"/>
        <family val="1"/>
        <charset val="186"/>
      </rPr>
      <t xml:space="preserve"> * 0.0012 (iznomātās platības koeficients) = 8,92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</si>
  <si>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t>
    </r>
    <r>
      <rPr>
        <sz val="12"/>
        <color theme="1"/>
        <rFont val="Times New Roman"/>
        <family val="1"/>
        <charset val="186"/>
      </rPr>
      <t xml:space="preserve">/mēn. * 12 mēn. = 6 954,36 </t>
    </r>
    <r>
      <rPr>
        <i/>
        <sz val="12"/>
        <color theme="1"/>
        <rFont val="Times New Roman"/>
        <family val="1"/>
        <charset val="186"/>
      </rPr>
      <t>euro</t>
    </r>
    <r>
      <rPr>
        <sz val="12"/>
        <color theme="1"/>
        <rFont val="Times New Roman"/>
        <family val="1"/>
        <charset val="186"/>
      </rPr>
      <t xml:space="preserve">  * 0.0012 (iznomātās platības koeficients) = 8,35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</si>
  <si>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6 258,12 </t>
    </r>
    <r>
      <rPr>
        <i/>
        <sz val="12"/>
        <color theme="1"/>
        <rFont val="Times New Roman"/>
        <family val="1"/>
        <charset val="186"/>
      </rPr>
      <t>euro</t>
    </r>
    <r>
      <rPr>
        <sz val="12"/>
        <color theme="1"/>
        <rFont val="Times New Roman"/>
        <family val="1"/>
        <charset val="186"/>
      </rPr>
      <t xml:space="preserve"> * 0.0012 (iznomātās platības koeficients) = 7,51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</si>
  <si>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0.0012 (iznomātās platības koeficients) = 4,02 </t>
    </r>
    <r>
      <rPr>
        <i/>
        <sz val="12"/>
        <color theme="1"/>
        <rFont val="Times New Roman"/>
        <family val="1"/>
        <charset val="186"/>
      </rPr>
      <t>euro</t>
    </r>
    <r>
      <rPr>
        <sz val="12"/>
        <color theme="1"/>
        <rFont val="Times New Roman"/>
        <family val="1"/>
        <charset val="186"/>
      </rPr>
      <t xml:space="preserve">. </t>
    </r>
  </si>
  <si>
    <r>
      <t xml:space="preserve">Galv. nekust. īpaš. pārvaldnieks (7,05 </t>
    </r>
    <r>
      <rPr>
        <i/>
        <sz val="12"/>
        <color theme="1"/>
        <rFont val="Times New Roman"/>
        <family val="1"/>
        <charset val="186"/>
      </rPr>
      <t>euro</t>
    </r>
    <r>
      <rPr>
        <sz val="12"/>
        <color theme="1"/>
        <rFont val="Times New Roman"/>
        <family val="1"/>
        <charset val="186"/>
      </rPr>
      <t xml:space="preserve"> * 10%) = 0,71 </t>
    </r>
    <r>
      <rPr>
        <i/>
        <sz val="12"/>
        <color theme="1"/>
        <rFont val="Times New Roman"/>
        <family val="1"/>
        <charset val="186"/>
      </rPr>
      <t>euro</t>
    </r>
    <r>
      <rPr>
        <sz val="12"/>
        <color theme="1"/>
        <rFont val="Times New Roman"/>
        <family val="1"/>
        <charset val="186"/>
      </rPr>
      <t xml:space="preserve">, Saimniecības pārzinis (8,92 </t>
    </r>
    <r>
      <rPr>
        <i/>
        <sz val="12"/>
        <color theme="1"/>
        <rFont val="Times New Roman"/>
        <family val="1"/>
        <charset val="186"/>
      </rPr>
      <t>euro</t>
    </r>
    <r>
      <rPr>
        <sz val="12"/>
        <color theme="1"/>
        <rFont val="Times New Roman"/>
        <family val="1"/>
        <charset val="186"/>
      </rPr>
      <t xml:space="preserve"> * 10%) = 0,89 </t>
    </r>
    <r>
      <rPr>
        <i/>
        <sz val="12"/>
        <color theme="1"/>
        <rFont val="Times New Roman"/>
        <family val="1"/>
        <charset val="186"/>
      </rPr>
      <t>euro</t>
    </r>
    <r>
      <rPr>
        <sz val="12"/>
        <color theme="1"/>
        <rFont val="Times New Roman"/>
        <family val="1"/>
        <charset val="186"/>
      </rPr>
      <t xml:space="preserve">, Istabene (8,35 </t>
    </r>
    <r>
      <rPr>
        <i/>
        <sz val="12"/>
        <color theme="1"/>
        <rFont val="Times New Roman"/>
        <family val="1"/>
        <charset val="186"/>
      </rPr>
      <t>euro</t>
    </r>
    <r>
      <rPr>
        <sz val="12"/>
        <color theme="1"/>
        <rFont val="Times New Roman"/>
        <family val="1"/>
        <charset val="186"/>
      </rPr>
      <t xml:space="preserve"> * 10%) = 0,84 </t>
    </r>
    <r>
      <rPr>
        <i/>
        <sz val="12"/>
        <color theme="1"/>
        <rFont val="Times New Roman"/>
        <family val="1"/>
        <charset val="186"/>
      </rPr>
      <t>euro</t>
    </r>
    <r>
      <rPr>
        <sz val="12"/>
        <color theme="1"/>
        <rFont val="Times New Roman"/>
        <family val="1"/>
        <charset val="186"/>
      </rPr>
      <t xml:space="preserve">,  Apkopēja (7,51 </t>
    </r>
    <r>
      <rPr>
        <i/>
        <sz val="12"/>
        <color theme="1"/>
        <rFont val="Times New Roman"/>
        <family val="1"/>
        <charset val="186"/>
      </rPr>
      <t>euro</t>
    </r>
    <r>
      <rPr>
        <sz val="12"/>
        <color theme="1"/>
        <rFont val="Times New Roman"/>
        <family val="1"/>
        <charset val="186"/>
      </rPr>
      <t xml:space="preserve"> * 10%) = 0,75 </t>
    </r>
    <r>
      <rPr>
        <i/>
        <sz val="12"/>
        <color theme="1"/>
        <rFont val="Times New Roman"/>
        <family val="1"/>
        <charset val="186"/>
      </rPr>
      <t>euro</t>
    </r>
    <r>
      <rPr>
        <sz val="12"/>
        <color theme="1"/>
        <rFont val="Times New Roman"/>
        <family val="1"/>
        <charset val="186"/>
      </rPr>
      <t xml:space="preserve">, Sētnieks (4,02 </t>
    </r>
    <r>
      <rPr>
        <i/>
        <sz val="12"/>
        <color theme="1"/>
        <rFont val="Times New Roman"/>
        <family val="1"/>
        <charset val="186"/>
      </rPr>
      <t>euro</t>
    </r>
    <r>
      <rPr>
        <sz val="12"/>
        <color theme="1"/>
        <rFont val="Times New Roman"/>
        <family val="1"/>
        <charset val="186"/>
      </rPr>
      <t xml:space="preserve"> * 10%) = 0,40 </t>
    </r>
    <r>
      <rPr>
        <i/>
        <sz val="12"/>
        <color theme="1"/>
        <rFont val="Times New Roman"/>
        <family val="1"/>
        <charset val="186"/>
      </rPr>
      <t>euro</t>
    </r>
    <r>
      <rPr>
        <sz val="12"/>
        <color theme="1"/>
        <rFont val="Times New Roman"/>
        <family val="1"/>
        <charset val="186"/>
      </rPr>
      <t xml:space="preserve">. Kopā (0,71 euro +  0,89 </t>
    </r>
    <r>
      <rPr>
        <i/>
        <sz val="12"/>
        <color theme="1"/>
        <rFont val="Times New Roman"/>
        <family val="1"/>
        <charset val="186"/>
      </rPr>
      <t>euro</t>
    </r>
    <r>
      <rPr>
        <sz val="12"/>
        <color theme="1"/>
        <rFont val="Times New Roman"/>
        <family val="1"/>
        <charset val="186"/>
      </rPr>
      <t xml:space="preserve"> + 0,84 </t>
    </r>
    <r>
      <rPr>
        <i/>
        <sz val="12"/>
        <color theme="1"/>
        <rFont val="Times New Roman"/>
        <family val="1"/>
        <charset val="186"/>
      </rPr>
      <t>euro</t>
    </r>
    <r>
      <rPr>
        <sz val="12"/>
        <color theme="1"/>
        <rFont val="Times New Roman"/>
        <family val="1"/>
        <charset val="186"/>
      </rPr>
      <t xml:space="preserve"> + 0,75 </t>
    </r>
    <r>
      <rPr>
        <i/>
        <sz val="12"/>
        <color theme="1"/>
        <rFont val="Times New Roman"/>
        <family val="1"/>
        <charset val="186"/>
      </rPr>
      <t>euro</t>
    </r>
    <r>
      <rPr>
        <sz val="12"/>
        <color theme="1"/>
        <rFont val="Times New Roman"/>
        <family val="1"/>
        <charset val="186"/>
      </rPr>
      <t xml:space="preserve"> + 0,40 </t>
    </r>
    <r>
      <rPr>
        <i/>
        <sz val="12"/>
        <color theme="1"/>
        <rFont val="Times New Roman"/>
        <family val="1"/>
        <charset val="186"/>
      </rPr>
      <t>euro</t>
    </r>
    <r>
      <rPr>
        <sz val="12"/>
        <color theme="1"/>
        <rFont val="Times New Roman"/>
        <family val="1"/>
        <charset val="186"/>
      </rPr>
      <t xml:space="preserve">) = 3,59 </t>
    </r>
    <r>
      <rPr>
        <i/>
        <sz val="12"/>
        <color theme="1"/>
        <rFont val="Times New Roman"/>
        <family val="1"/>
        <charset val="186"/>
      </rPr>
      <t>euro</t>
    </r>
    <r>
      <rPr>
        <sz val="12"/>
        <color theme="1"/>
        <rFont val="Times New Roman"/>
        <family val="1"/>
        <charset val="186"/>
      </rPr>
      <t>.</t>
    </r>
  </si>
  <si>
    <r>
      <t xml:space="preserve">Galv. nekust. īpaš. pārvaldnieks (7,05 </t>
    </r>
    <r>
      <rPr>
        <i/>
        <sz val="12"/>
        <color theme="1"/>
        <rFont val="Times New Roman"/>
        <family val="1"/>
        <charset val="186"/>
      </rPr>
      <t>euro</t>
    </r>
    <r>
      <rPr>
        <sz val="12"/>
        <color theme="1"/>
        <rFont val="Times New Roman"/>
        <family val="1"/>
        <charset val="186"/>
      </rPr>
      <t xml:space="preserve"> * 5%) = 0,35 </t>
    </r>
    <r>
      <rPr>
        <i/>
        <sz val="12"/>
        <color theme="1"/>
        <rFont val="Times New Roman"/>
        <family val="1"/>
        <charset val="186"/>
      </rPr>
      <t>euro</t>
    </r>
    <r>
      <rPr>
        <sz val="12"/>
        <color theme="1"/>
        <rFont val="Times New Roman"/>
        <family val="1"/>
        <charset val="186"/>
      </rPr>
      <t xml:space="preserve">, Saimniecības pārzinis (8,92 </t>
    </r>
    <r>
      <rPr>
        <i/>
        <sz val="12"/>
        <color theme="1"/>
        <rFont val="Times New Roman"/>
        <family val="1"/>
        <charset val="186"/>
      </rPr>
      <t>euro</t>
    </r>
    <r>
      <rPr>
        <sz val="12"/>
        <color theme="1"/>
        <rFont val="Times New Roman"/>
        <family val="1"/>
        <charset val="186"/>
      </rPr>
      <t xml:space="preserve"> * 5%) = 0,45 </t>
    </r>
    <r>
      <rPr>
        <i/>
        <sz val="12"/>
        <color theme="1"/>
        <rFont val="Times New Roman"/>
        <family val="1"/>
        <charset val="186"/>
      </rPr>
      <t>euro</t>
    </r>
    <r>
      <rPr>
        <sz val="12"/>
        <color theme="1"/>
        <rFont val="Times New Roman"/>
        <family val="1"/>
        <charset val="186"/>
      </rPr>
      <t xml:space="preserve">,  Istabene (8,35 </t>
    </r>
    <r>
      <rPr>
        <i/>
        <sz val="12"/>
        <color theme="1"/>
        <rFont val="Times New Roman"/>
        <family val="1"/>
        <charset val="186"/>
      </rPr>
      <t>euro</t>
    </r>
    <r>
      <rPr>
        <sz val="12"/>
        <color theme="1"/>
        <rFont val="Times New Roman"/>
        <family val="1"/>
        <charset val="186"/>
      </rPr>
      <t xml:space="preserve"> * 5%) = 0,42 </t>
    </r>
    <r>
      <rPr>
        <i/>
        <sz val="12"/>
        <color theme="1"/>
        <rFont val="Times New Roman"/>
        <family val="1"/>
        <charset val="186"/>
      </rPr>
      <t>euro</t>
    </r>
    <r>
      <rPr>
        <sz val="12"/>
        <color theme="1"/>
        <rFont val="Times New Roman"/>
        <family val="1"/>
        <charset val="186"/>
      </rPr>
      <t xml:space="preserve">,  Apkopēja (7,51 </t>
    </r>
    <r>
      <rPr>
        <i/>
        <sz val="12"/>
        <color theme="1"/>
        <rFont val="Times New Roman"/>
        <family val="1"/>
        <charset val="186"/>
      </rPr>
      <t>euro</t>
    </r>
    <r>
      <rPr>
        <sz val="12"/>
        <color theme="1"/>
        <rFont val="Times New Roman"/>
        <family val="1"/>
        <charset val="186"/>
      </rPr>
      <t xml:space="preserve"> * 5%) = 0,38 </t>
    </r>
    <r>
      <rPr>
        <i/>
        <sz val="12"/>
        <color theme="1"/>
        <rFont val="Times New Roman"/>
        <family val="1"/>
        <charset val="186"/>
      </rPr>
      <t>euro</t>
    </r>
    <r>
      <rPr>
        <sz val="12"/>
        <color theme="1"/>
        <rFont val="Times New Roman"/>
        <family val="1"/>
        <charset val="186"/>
      </rPr>
      <t xml:space="preserve">, Sētnieks (4,02 </t>
    </r>
    <r>
      <rPr>
        <i/>
        <sz val="12"/>
        <color theme="1"/>
        <rFont val="Times New Roman"/>
        <family val="1"/>
        <charset val="186"/>
      </rPr>
      <t>euro</t>
    </r>
    <r>
      <rPr>
        <sz val="12"/>
        <color theme="1"/>
        <rFont val="Times New Roman"/>
        <family val="1"/>
        <charset val="186"/>
      </rPr>
      <t xml:space="preserve"> * 5%) = 0,20 </t>
    </r>
    <r>
      <rPr>
        <i/>
        <sz val="12"/>
        <color theme="1"/>
        <rFont val="Times New Roman"/>
        <family val="1"/>
        <charset val="186"/>
      </rPr>
      <t>euro</t>
    </r>
    <r>
      <rPr>
        <sz val="12"/>
        <color theme="1"/>
        <rFont val="Times New Roman"/>
        <family val="1"/>
        <charset val="186"/>
      </rPr>
      <t xml:space="preserve">. Kopā (0,35 euro +  0,44 </t>
    </r>
    <r>
      <rPr>
        <i/>
        <sz val="12"/>
        <color theme="1"/>
        <rFont val="Times New Roman"/>
        <family val="1"/>
        <charset val="186"/>
      </rPr>
      <t>euro</t>
    </r>
    <r>
      <rPr>
        <sz val="12"/>
        <color theme="1"/>
        <rFont val="Times New Roman"/>
        <family val="1"/>
        <charset val="186"/>
      </rPr>
      <t xml:space="preserve"> + 0,45 </t>
    </r>
    <r>
      <rPr>
        <i/>
        <sz val="12"/>
        <color theme="1"/>
        <rFont val="Times New Roman"/>
        <family val="1"/>
        <charset val="186"/>
      </rPr>
      <t>euro</t>
    </r>
    <r>
      <rPr>
        <sz val="12"/>
        <color theme="1"/>
        <rFont val="Times New Roman"/>
        <family val="1"/>
        <charset val="186"/>
      </rPr>
      <t xml:space="preserve"> + 0,38 </t>
    </r>
    <r>
      <rPr>
        <i/>
        <sz val="12"/>
        <color theme="1"/>
        <rFont val="Times New Roman"/>
        <family val="1"/>
        <charset val="186"/>
      </rPr>
      <t>euro</t>
    </r>
    <r>
      <rPr>
        <sz val="12"/>
        <color theme="1"/>
        <rFont val="Times New Roman"/>
        <family val="1"/>
        <charset val="186"/>
      </rPr>
      <t xml:space="preserve"> + 0,20 </t>
    </r>
    <r>
      <rPr>
        <i/>
        <sz val="12"/>
        <color theme="1"/>
        <rFont val="Times New Roman"/>
        <family val="1"/>
        <charset val="186"/>
      </rPr>
      <t>euro</t>
    </r>
    <r>
      <rPr>
        <sz val="12"/>
        <color theme="1"/>
        <rFont val="Times New Roman"/>
        <family val="1"/>
        <charset val="186"/>
      </rPr>
      <t xml:space="preserve">) = 1,80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</si>
  <si>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0.0012 (iznomātās platības koeficients) = 0,21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</si>
  <si>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0.0012 (iznomātās platības koeficients) = 0,14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</si>
  <si>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0.0012 (iznomātās platības koeficients) = 0,20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</si>
  <si>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0.0012 (iznomātās platības koeficients) = 0,27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</si>
  <si>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(12,17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0.0012 (iznomātās platības koeficients) = 0,19 </t>
    </r>
    <r>
      <rPr>
        <i/>
        <sz val="12"/>
        <color theme="1"/>
        <rFont val="Times New Roman"/>
        <family val="1"/>
        <charset val="186"/>
      </rPr>
      <t>euro.</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</si>
  <si>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0.0012 (iznomātās platības koeficients) = 1,10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</si>
  <si>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0.0012 (iznomātās platības koeficients) = 1,15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</si>
  <si>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12.04 stundas, (8,29 </t>
    </r>
    <r>
      <rPr>
        <i/>
        <sz val="12"/>
        <color theme="1"/>
        <rFont val="Times New Roman"/>
        <family val="1"/>
        <charset val="186"/>
      </rPr>
      <t>euro</t>
    </r>
    <r>
      <rPr>
        <sz val="12"/>
        <color theme="1"/>
        <rFont val="Times New Roman"/>
        <family val="1"/>
        <charset val="186"/>
      </rPr>
      <t xml:space="preserve"> * 12.04 h) = 99,81 </t>
    </r>
    <r>
      <rPr>
        <i/>
        <sz val="12"/>
        <color theme="1"/>
        <rFont val="Times New Roman"/>
        <family val="1"/>
        <charset val="186"/>
      </rPr>
      <t>euro</t>
    </r>
    <r>
      <rPr>
        <sz val="12"/>
        <color theme="1"/>
        <rFont val="Times New Roman"/>
        <family val="1"/>
        <charset val="186"/>
      </rPr>
      <t xml:space="preserve">/mēn. * 12. mēn. = 1 197,72 </t>
    </r>
    <r>
      <rPr>
        <i/>
        <sz val="12"/>
        <color theme="1"/>
        <rFont val="Times New Roman"/>
        <family val="1"/>
        <charset val="186"/>
      </rPr>
      <t>euro</t>
    </r>
    <r>
      <rPr>
        <sz val="12"/>
        <color theme="1"/>
        <rFont val="Times New Roman"/>
        <family val="1"/>
        <charset val="186"/>
      </rPr>
      <t xml:space="preserve"> * 0.0012 (iznomātās platības koeficients) = 1,44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</si>
  <si>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0.0012 (iznomātās platības koeficients) = 1,71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</si>
  <si>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0.0012 (iznomātās platības koeficients) = 0,42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</si>
  <si>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6,83 </t>
    </r>
    <r>
      <rPr>
        <i/>
        <sz val="12"/>
        <color theme="1"/>
        <rFont val="Times New Roman"/>
        <family val="1"/>
        <charset val="186"/>
      </rPr>
      <t>euro</t>
    </r>
    <r>
      <rPr>
        <sz val="12"/>
        <color theme="1"/>
        <rFont val="Times New Roman"/>
        <family val="1"/>
        <charset val="186"/>
      </rPr>
      <t xml:space="preserve"> * 23,59 % = 1,61 </t>
    </r>
    <r>
      <rPr>
        <i/>
        <sz val="12"/>
        <color theme="1"/>
        <rFont val="Times New Roman"/>
        <family val="1"/>
        <charset val="186"/>
      </rPr>
      <t>euro.</t>
    </r>
  </si>
  <si>
    <r>
      <t xml:space="preserve">Darba devēja valsts sociālās apdrošināšanas obligātās iemaksas (39,44 </t>
    </r>
    <r>
      <rPr>
        <i/>
        <sz val="12"/>
        <color theme="1"/>
        <rFont val="Times New Roman"/>
        <family val="1"/>
        <charset val="186"/>
      </rPr>
      <t>euro</t>
    </r>
    <r>
      <rPr>
        <sz val="12"/>
        <color theme="1"/>
        <rFont val="Times New Roman"/>
        <family val="1"/>
        <charset val="186"/>
      </rPr>
      <t xml:space="preserve"> * 23,59 %) = 9,30 </t>
    </r>
    <r>
      <rPr>
        <i/>
        <sz val="12"/>
        <color theme="1"/>
        <rFont val="Times New Roman"/>
        <family val="1"/>
        <charset val="186"/>
      </rPr>
      <t xml:space="preserve">euro. </t>
    </r>
  </si>
  <si>
    <r>
      <t xml:space="preserve">Darba devēja valsts sociālās apdrošināšanas obligātās iemaksas 9,30 </t>
    </r>
    <r>
      <rPr>
        <i/>
        <sz val="12"/>
        <color theme="1"/>
        <rFont val="Times New Roman"/>
        <family val="1"/>
        <charset val="186"/>
      </rPr>
      <t>euro</t>
    </r>
    <r>
      <rPr>
        <sz val="12"/>
        <color theme="1"/>
        <rFont val="Times New Roman"/>
        <family val="1"/>
        <charset val="186"/>
      </rPr>
      <t xml:space="preserve">. Veselības apdrošināšana 1,80 </t>
    </r>
    <r>
      <rPr>
        <i/>
        <sz val="12"/>
        <color theme="1"/>
        <rFont val="Times New Roman"/>
        <family val="1"/>
        <charset val="186"/>
      </rPr>
      <t>euro</t>
    </r>
    <r>
      <rPr>
        <sz val="12"/>
        <color theme="1"/>
        <rFont val="Times New Roman"/>
        <family val="1"/>
        <charset val="186"/>
      </rPr>
      <t xml:space="preserve">. Kopā 11,10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</si>
  <si>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 xml:space="preserve">euro </t>
    </r>
    <r>
      <rPr>
        <sz val="12"/>
        <color theme="1"/>
        <rFont val="Times New Roman"/>
        <family val="1"/>
        <charset val="186"/>
      </rPr>
      <t xml:space="preserve">/ 165.58 (vid. d. stundu sk. mēnesī). Vid. mēn. noslogojums 6.26 stundas, (8,20 </t>
    </r>
    <r>
      <rPr>
        <i/>
        <sz val="12"/>
        <color theme="1"/>
        <rFont val="Times New Roman"/>
        <family val="1"/>
        <charset val="186"/>
      </rPr>
      <t>euro</t>
    </r>
    <r>
      <rPr>
        <sz val="12"/>
        <color theme="1"/>
        <rFont val="Times New Roman"/>
        <family val="1"/>
        <charset val="186"/>
      </rPr>
      <t xml:space="preserve"> * 6.26 h) = 51,33 </t>
    </r>
    <r>
      <rPr>
        <i/>
        <sz val="12"/>
        <color theme="1"/>
        <rFont val="Times New Roman"/>
        <family val="1"/>
        <charset val="186"/>
      </rPr>
      <t>euro</t>
    </r>
    <r>
      <rPr>
        <sz val="12"/>
        <color theme="1"/>
        <rFont val="Times New Roman"/>
        <family val="1"/>
        <charset val="186"/>
      </rPr>
      <t xml:space="preserve">/mēn. * 12 mēn. = 615,96 </t>
    </r>
    <r>
      <rPr>
        <i/>
        <sz val="12"/>
        <color theme="1"/>
        <rFont val="Times New Roman"/>
        <family val="1"/>
        <charset val="186"/>
      </rPr>
      <t>euro</t>
    </r>
    <r>
      <rPr>
        <sz val="12"/>
        <color theme="1"/>
        <rFont val="Times New Roman"/>
        <family val="1"/>
        <charset val="186"/>
      </rPr>
      <t xml:space="preserve"> * 0.0087 (iznomātās platības koeficients)  = 5,36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</si>
  <si>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142.54 stundas, (8,20 </t>
    </r>
    <r>
      <rPr>
        <i/>
        <sz val="12"/>
        <color theme="1"/>
        <rFont val="Times New Roman"/>
        <family val="1"/>
        <charset val="186"/>
      </rPr>
      <t>euro</t>
    </r>
    <r>
      <rPr>
        <sz val="12"/>
        <color theme="1"/>
        <rFont val="Times New Roman"/>
        <family val="1"/>
        <charset val="186"/>
      </rPr>
      <t xml:space="preserve"> * 142.54 h) = 1 168,83  </t>
    </r>
    <r>
      <rPr>
        <i/>
        <sz val="12"/>
        <color theme="1"/>
        <rFont val="Times New Roman"/>
        <family val="1"/>
        <charset val="186"/>
      </rPr>
      <t>euro</t>
    </r>
    <r>
      <rPr>
        <sz val="12"/>
        <color theme="1"/>
        <rFont val="Times New Roman"/>
        <family val="1"/>
        <charset val="186"/>
      </rPr>
      <t xml:space="preserve">/mēn.  * 12 mēn. = 14 025,96 </t>
    </r>
    <r>
      <rPr>
        <i/>
        <sz val="12"/>
        <color theme="1"/>
        <rFont val="Times New Roman"/>
        <family val="1"/>
        <charset val="186"/>
      </rPr>
      <t>euro</t>
    </r>
    <r>
      <rPr>
        <sz val="12"/>
        <color theme="1"/>
        <rFont val="Times New Roman"/>
        <family val="1"/>
        <charset val="186"/>
      </rPr>
      <t xml:space="preserve"> * 0.0087 (iznomātās platības koeficients)  = 122,03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</si>
  <si>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10.44 stundas, (5,42 </t>
    </r>
    <r>
      <rPr>
        <i/>
        <sz val="12"/>
        <color theme="1"/>
        <rFont val="Times New Roman"/>
        <family val="1"/>
        <charset val="186"/>
      </rPr>
      <t>euro</t>
    </r>
    <r>
      <rPr>
        <sz val="12"/>
        <color theme="1"/>
        <rFont val="Times New Roman"/>
        <family val="1"/>
        <charset val="186"/>
      </rPr>
      <t xml:space="preserve"> * 10.44 h) = 56,58  </t>
    </r>
    <r>
      <rPr>
        <i/>
        <sz val="12"/>
        <color theme="1"/>
        <rFont val="Times New Roman"/>
        <family val="1"/>
        <charset val="186"/>
      </rPr>
      <t>euro</t>
    </r>
    <r>
      <rPr>
        <sz val="12"/>
        <color theme="1"/>
        <rFont val="Times New Roman"/>
        <family val="1"/>
        <charset val="186"/>
      </rPr>
      <t xml:space="preserve">/mēn.  * 12 mēn. = 678,96 </t>
    </r>
    <r>
      <rPr>
        <i/>
        <sz val="12"/>
        <color theme="1"/>
        <rFont val="Times New Roman"/>
        <family val="1"/>
        <charset val="186"/>
      </rPr>
      <t>euro</t>
    </r>
    <r>
      <rPr>
        <sz val="12"/>
        <color theme="1"/>
        <rFont val="Times New Roman"/>
        <family val="1"/>
        <charset val="186"/>
      </rPr>
      <t xml:space="preserve"> * 0.0087 (iznomātās platības koeficients) = 5,91 </t>
    </r>
    <r>
      <rPr>
        <i/>
        <sz val="12"/>
        <color theme="1"/>
        <rFont val="Times New Roman"/>
        <family val="1"/>
        <charset val="186"/>
      </rPr>
      <t>euro</t>
    </r>
    <r>
      <rPr>
        <sz val="12"/>
        <color theme="1"/>
        <rFont val="Times New Roman"/>
        <family val="1"/>
        <charset val="186"/>
      </rPr>
      <t xml:space="preserve">. </t>
    </r>
  </si>
  <si>
    <r>
      <t xml:space="preserve">Galv. nekust. īpaš. pārvaldnieks (5,36 </t>
    </r>
    <r>
      <rPr>
        <i/>
        <sz val="12"/>
        <color theme="1"/>
        <rFont val="Times New Roman"/>
        <family val="1"/>
        <charset val="186"/>
      </rPr>
      <t>euro</t>
    </r>
    <r>
      <rPr>
        <sz val="12"/>
        <color theme="1"/>
        <rFont val="Times New Roman"/>
        <family val="1"/>
        <charset val="186"/>
      </rPr>
      <t xml:space="preserve"> * 10%) = 0,54 </t>
    </r>
    <r>
      <rPr>
        <i/>
        <sz val="12"/>
        <color theme="1"/>
        <rFont val="Times New Roman"/>
        <family val="1"/>
        <charset val="186"/>
      </rPr>
      <t>euro</t>
    </r>
    <r>
      <rPr>
        <sz val="12"/>
        <color theme="1"/>
        <rFont val="Times New Roman"/>
        <family val="1"/>
        <charset val="186"/>
      </rPr>
      <t xml:space="preserve">, Dienesta viesnīcas vadīotājs (122,03 euro * 10%) = 12,20 euro.  Saimniecības pārzinis (5,91 </t>
    </r>
    <r>
      <rPr>
        <i/>
        <sz val="12"/>
        <color theme="1"/>
        <rFont val="Times New Roman"/>
        <family val="1"/>
        <charset val="186"/>
      </rPr>
      <t>euro</t>
    </r>
    <r>
      <rPr>
        <sz val="12"/>
        <color theme="1"/>
        <rFont val="Times New Roman"/>
        <family val="1"/>
        <charset val="186"/>
      </rPr>
      <t xml:space="preserve"> * 10%) = 0,59 </t>
    </r>
    <r>
      <rPr>
        <i/>
        <sz val="12"/>
        <color theme="1"/>
        <rFont val="Times New Roman"/>
        <family val="1"/>
        <charset val="186"/>
      </rPr>
      <t>euro.</t>
    </r>
    <r>
      <rPr>
        <sz val="12"/>
        <color theme="1"/>
        <rFont val="Times New Roman"/>
        <family val="1"/>
        <charset val="186"/>
      </rPr>
      <t xml:space="preserve"> Kopā (0,54 </t>
    </r>
    <r>
      <rPr>
        <i/>
        <sz val="12"/>
        <color theme="1"/>
        <rFont val="Times New Roman"/>
        <family val="1"/>
        <charset val="186"/>
      </rPr>
      <t>euro</t>
    </r>
    <r>
      <rPr>
        <sz val="12"/>
        <color theme="1"/>
        <rFont val="Times New Roman"/>
        <family val="1"/>
        <charset val="186"/>
      </rPr>
      <t xml:space="preserve"> + 12,20 </t>
    </r>
    <r>
      <rPr>
        <i/>
        <sz val="12"/>
        <color theme="1"/>
        <rFont val="Times New Roman"/>
        <family val="1"/>
        <charset val="186"/>
      </rPr>
      <t>euro</t>
    </r>
    <r>
      <rPr>
        <sz val="12"/>
        <color theme="1"/>
        <rFont val="Times New Roman"/>
        <family val="1"/>
        <charset val="186"/>
      </rPr>
      <t xml:space="preserve"> + 0,59 </t>
    </r>
    <r>
      <rPr>
        <i/>
        <sz val="12"/>
        <color theme="1"/>
        <rFont val="Times New Roman"/>
        <family val="1"/>
        <charset val="186"/>
      </rPr>
      <t>euro</t>
    </r>
    <r>
      <rPr>
        <sz val="12"/>
        <color theme="1"/>
        <rFont val="Times New Roman"/>
        <family val="1"/>
        <charset val="186"/>
      </rPr>
      <t xml:space="preserve">) = 13,33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</si>
  <si>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(146,63 </t>
    </r>
    <r>
      <rPr>
        <i/>
        <sz val="12"/>
        <color theme="1"/>
        <rFont val="Times New Roman"/>
        <family val="1"/>
        <charset val="186"/>
      </rPr>
      <t>euro</t>
    </r>
    <r>
      <rPr>
        <sz val="12"/>
        <color theme="1"/>
        <rFont val="Times New Roman"/>
        <family val="1"/>
        <charset val="186"/>
      </rPr>
      <t xml:space="preserve"> * 23,59 %) = 34,59 </t>
    </r>
    <r>
      <rPr>
        <i/>
        <sz val="12"/>
        <color theme="1"/>
        <rFont val="Times New Roman"/>
        <family val="1"/>
        <charset val="186"/>
      </rPr>
      <t xml:space="preserve">euro. </t>
    </r>
  </si>
  <si>
    <r>
      <t xml:space="preserve">Galv. nekust. īpaš. pārvaldnieks (5,36 </t>
    </r>
    <r>
      <rPr>
        <i/>
        <sz val="12"/>
        <color theme="1"/>
        <rFont val="Times New Roman"/>
        <family val="1"/>
        <charset val="186"/>
      </rPr>
      <t>euro</t>
    </r>
    <r>
      <rPr>
        <sz val="12"/>
        <color theme="1"/>
        <rFont val="Times New Roman"/>
        <family val="1"/>
        <charset val="186"/>
      </rPr>
      <t xml:space="preserve"> * 5%) = 0,27 </t>
    </r>
    <r>
      <rPr>
        <i/>
        <sz val="12"/>
        <color theme="1"/>
        <rFont val="Times New Roman"/>
        <family val="1"/>
        <charset val="186"/>
      </rPr>
      <t>euro</t>
    </r>
    <r>
      <rPr>
        <sz val="12"/>
        <color theme="1"/>
        <rFont val="Times New Roman"/>
        <family val="1"/>
        <charset val="186"/>
      </rPr>
      <t xml:space="preserve">, Dienesta viesnīcas vadīotājs (122,03 </t>
    </r>
    <r>
      <rPr>
        <i/>
        <sz val="12"/>
        <color theme="1"/>
        <rFont val="Times New Roman"/>
        <family val="1"/>
        <charset val="186"/>
      </rPr>
      <t>euro</t>
    </r>
    <r>
      <rPr>
        <sz val="12"/>
        <color theme="1"/>
        <rFont val="Times New Roman"/>
        <family val="1"/>
        <charset val="186"/>
      </rPr>
      <t xml:space="preserve"> * 5%) = 6,10 </t>
    </r>
    <r>
      <rPr>
        <i/>
        <sz val="12"/>
        <color theme="1"/>
        <rFont val="Times New Roman"/>
        <family val="1"/>
        <charset val="186"/>
      </rPr>
      <t>euro</t>
    </r>
    <r>
      <rPr>
        <sz val="12"/>
        <color theme="1"/>
        <rFont val="Times New Roman"/>
        <family val="1"/>
        <charset val="186"/>
      </rPr>
      <t xml:space="preserve">.  Saimniecības pārzinis (5,91 </t>
    </r>
    <r>
      <rPr>
        <i/>
        <sz val="12"/>
        <color theme="1"/>
        <rFont val="Times New Roman"/>
        <family val="1"/>
        <charset val="186"/>
      </rPr>
      <t>euro</t>
    </r>
    <r>
      <rPr>
        <sz val="12"/>
        <color theme="1"/>
        <rFont val="Times New Roman"/>
        <family val="1"/>
        <charset val="186"/>
      </rPr>
      <t xml:space="preserve"> * 5%) = 0,30 </t>
    </r>
    <r>
      <rPr>
        <i/>
        <sz val="12"/>
        <color theme="1"/>
        <rFont val="Times New Roman"/>
        <family val="1"/>
        <charset val="186"/>
      </rPr>
      <t>euro.</t>
    </r>
    <r>
      <rPr>
        <sz val="12"/>
        <color theme="1"/>
        <rFont val="Times New Roman"/>
        <family val="1"/>
        <charset val="186"/>
      </rPr>
      <t xml:space="preserve"> Kopā (0,27 </t>
    </r>
    <r>
      <rPr>
        <i/>
        <sz val="12"/>
        <color theme="1"/>
        <rFont val="Times New Roman"/>
        <family val="1"/>
        <charset val="186"/>
      </rPr>
      <t>euro</t>
    </r>
    <r>
      <rPr>
        <sz val="12"/>
        <color theme="1"/>
        <rFont val="Times New Roman"/>
        <family val="1"/>
        <charset val="186"/>
      </rPr>
      <t xml:space="preserve"> + 6,10 </t>
    </r>
    <r>
      <rPr>
        <i/>
        <sz val="12"/>
        <color theme="1"/>
        <rFont val="Times New Roman"/>
        <family val="1"/>
        <charset val="186"/>
      </rPr>
      <t>euro</t>
    </r>
    <r>
      <rPr>
        <sz val="12"/>
        <color theme="1"/>
        <rFont val="Times New Roman"/>
        <family val="1"/>
        <charset val="186"/>
      </rPr>
      <t xml:space="preserve"> + 0,30 </t>
    </r>
    <r>
      <rPr>
        <i/>
        <sz val="12"/>
        <color theme="1"/>
        <rFont val="Times New Roman"/>
        <family val="1"/>
        <charset val="186"/>
      </rPr>
      <t>euro</t>
    </r>
    <r>
      <rPr>
        <sz val="12"/>
        <color theme="1"/>
        <rFont val="Times New Roman"/>
        <family val="1"/>
        <charset val="186"/>
      </rPr>
      <t xml:space="preserve">) = 6,67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</si>
  <si>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34,59 </t>
    </r>
    <r>
      <rPr>
        <i/>
        <sz val="12"/>
        <color theme="1"/>
        <rFont val="Times New Roman"/>
        <family val="1"/>
        <charset val="186"/>
      </rPr>
      <t>euro</t>
    </r>
    <r>
      <rPr>
        <sz val="12"/>
        <color theme="1"/>
        <rFont val="Times New Roman"/>
        <family val="1"/>
        <charset val="186"/>
      </rPr>
      <t xml:space="preserve">. Veselības apdrošināšana 6,67 </t>
    </r>
    <r>
      <rPr>
        <i/>
        <sz val="12"/>
        <color theme="1"/>
        <rFont val="Times New Roman"/>
        <family val="1"/>
        <charset val="186"/>
      </rPr>
      <t>euro</t>
    </r>
    <r>
      <rPr>
        <sz val="12"/>
        <color theme="1"/>
        <rFont val="Times New Roman"/>
        <family val="1"/>
        <charset val="186"/>
      </rPr>
      <t xml:space="preserve">. Kopā 41,26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</si>
  <si>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1.91 stundas, (11,47 </t>
    </r>
    <r>
      <rPr>
        <i/>
        <sz val="12"/>
        <color theme="1"/>
        <rFont val="Times New Roman"/>
        <family val="1"/>
        <charset val="186"/>
      </rPr>
      <t>euro</t>
    </r>
    <r>
      <rPr>
        <sz val="12"/>
        <color theme="1"/>
        <rFont val="Times New Roman"/>
        <family val="1"/>
        <charset val="186"/>
      </rPr>
      <t xml:space="preserve"> * 1.91 h) = 21,91 </t>
    </r>
    <r>
      <rPr>
        <i/>
        <sz val="12"/>
        <color theme="1"/>
        <rFont val="Times New Roman"/>
        <family val="1"/>
        <charset val="186"/>
      </rPr>
      <t>euro</t>
    </r>
    <r>
      <rPr>
        <sz val="12"/>
        <color theme="1"/>
        <rFont val="Times New Roman"/>
        <family val="1"/>
        <charset val="186"/>
      </rPr>
      <t xml:space="preserve">/mēn. * 12. mēn. = 262,92 </t>
    </r>
    <r>
      <rPr>
        <i/>
        <sz val="12"/>
        <color theme="1"/>
        <rFont val="Times New Roman"/>
        <family val="1"/>
        <charset val="186"/>
      </rPr>
      <t>euro</t>
    </r>
    <r>
      <rPr>
        <sz val="12"/>
        <color theme="1"/>
        <rFont val="Times New Roman"/>
        <family val="1"/>
        <charset val="186"/>
      </rPr>
      <t xml:space="preserve"> * 0.0087 (iznomātās platības koeficients) = 2,29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</si>
  <si>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1.87 stundas,  (7,65 </t>
    </r>
    <r>
      <rPr>
        <i/>
        <sz val="12"/>
        <color theme="1"/>
        <rFont val="Times New Roman"/>
        <family val="1"/>
        <charset val="186"/>
      </rPr>
      <t>euro</t>
    </r>
    <r>
      <rPr>
        <sz val="12"/>
        <color theme="1"/>
        <rFont val="Times New Roman"/>
        <family val="1"/>
        <charset val="186"/>
      </rPr>
      <t xml:space="preserve"> * 1.87 h) = 14,31 </t>
    </r>
    <r>
      <rPr>
        <i/>
        <sz val="12"/>
        <color theme="1"/>
        <rFont val="Times New Roman"/>
        <family val="1"/>
        <charset val="186"/>
      </rPr>
      <t>euro</t>
    </r>
    <r>
      <rPr>
        <sz val="12"/>
        <color theme="1"/>
        <rFont val="Times New Roman"/>
        <family val="1"/>
        <charset val="186"/>
      </rPr>
      <t xml:space="preserve">/mēn. * 12. mēn. = 171,72 </t>
    </r>
    <r>
      <rPr>
        <i/>
        <sz val="12"/>
        <color theme="1"/>
        <rFont val="Times New Roman"/>
        <family val="1"/>
        <charset val="186"/>
      </rPr>
      <t>euro</t>
    </r>
    <r>
      <rPr>
        <sz val="12"/>
        <color theme="1"/>
        <rFont val="Times New Roman"/>
        <family val="1"/>
        <charset val="186"/>
      </rPr>
      <t xml:space="preserve"> * 0.0087 (iznomātās platības koeficients) = 1,49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</si>
  <si>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1.83 stundas, (11,47 </t>
    </r>
    <r>
      <rPr>
        <i/>
        <sz val="12"/>
        <color theme="1"/>
        <rFont val="Times New Roman"/>
        <family val="1"/>
        <charset val="186"/>
      </rPr>
      <t>euro</t>
    </r>
    <r>
      <rPr>
        <sz val="12"/>
        <color theme="1"/>
        <rFont val="Times New Roman"/>
        <family val="1"/>
        <charset val="186"/>
      </rPr>
      <t xml:space="preserve"> * 1.83 h) = 20,99 </t>
    </r>
    <r>
      <rPr>
        <i/>
        <sz val="12"/>
        <color theme="1"/>
        <rFont val="Times New Roman"/>
        <family val="1"/>
        <charset val="186"/>
      </rPr>
      <t>euro</t>
    </r>
    <r>
      <rPr>
        <sz val="12"/>
        <color theme="1"/>
        <rFont val="Times New Roman"/>
        <family val="1"/>
        <charset val="186"/>
      </rPr>
      <t xml:space="preserve">/mēn. * 12. mēn. = 251,88 </t>
    </r>
    <r>
      <rPr>
        <i/>
        <sz val="12"/>
        <color theme="1"/>
        <rFont val="Times New Roman"/>
        <family val="1"/>
        <charset val="186"/>
      </rPr>
      <t>euro</t>
    </r>
    <r>
      <rPr>
        <sz val="12"/>
        <color theme="1"/>
        <rFont val="Times New Roman"/>
        <family val="1"/>
        <charset val="186"/>
      </rPr>
      <t xml:space="preserve"> * 0.0087 (iznomātās platības koeficients) = 2,19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</si>
  <si>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2.06 stundas, (15,15 </t>
    </r>
    <r>
      <rPr>
        <i/>
        <sz val="12"/>
        <color theme="1"/>
        <rFont val="Times New Roman"/>
        <family val="1"/>
        <charset val="186"/>
      </rPr>
      <t>euro</t>
    </r>
    <r>
      <rPr>
        <sz val="12"/>
        <color theme="1"/>
        <rFont val="Times New Roman"/>
        <family val="1"/>
        <charset val="186"/>
      </rPr>
      <t xml:space="preserve"> * 2.06 h) = 31,21 </t>
    </r>
    <r>
      <rPr>
        <i/>
        <sz val="12"/>
        <color theme="1"/>
        <rFont val="Times New Roman"/>
        <family val="1"/>
        <charset val="186"/>
      </rPr>
      <t>euro</t>
    </r>
    <r>
      <rPr>
        <sz val="12"/>
        <color theme="1"/>
        <rFont val="Times New Roman"/>
        <family val="1"/>
        <charset val="186"/>
      </rPr>
      <t xml:space="preserve">/mēn. * 12. mēn. = 374,52 </t>
    </r>
    <r>
      <rPr>
        <i/>
        <sz val="12"/>
        <color theme="1"/>
        <rFont val="Times New Roman"/>
        <family val="1"/>
        <charset val="186"/>
      </rPr>
      <t>euro</t>
    </r>
    <r>
      <rPr>
        <sz val="12"/>
        <color theme="1"/>
        <rFont val="Times New Roman"/>
        <family val="1"/>
        <charset val="186"/>
      </rPr>
      <t xml:space="preserve"> * 0.0087 (iznomātās platības koeficients) = 3,26 </t>
    </r>
    <r>
      <rPr>
        <i/>
        <sz val="12"/>
        <color theme="1"/>
        <rFont val="Times New Roman"/>
        <family val="1"/>
        <charset val="186"/>
      </rPr>
      <t>euro.</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</si>
  <si>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1.66 stundas, (12,17 </t>
    </r>
    <r>
      <rPr>
        <i/>
        <sz val="12"/>
        <color theme="1"/>
        <rFont val="Times New Roman"/>
        <family val="1"/>
        <charset val="186"/>
      </rPr>
      <t>euro</t>
    </r>
    <r>
      <rPr>
        <sz val="12"/>
        <color theme="1"/>
        <rFont val="Times New Roman"/>
        <family val="1"/>
        <charset val="186"/>
      </rPr>
      <t xml:space="preserve"> * 1.66 h) = 20,20 </t>
    </r>
    <r>
      <rPr>
        <i/>
        <sz val="12"/>
        <color theme="1"/>
        <rFont val="Times New Roman"/>
        <family val="1"/>
        <charset val="186"/>
      </rPr>
      <t>euro</t>
    </r>
    <r>
      <rPr>
        <sz val="12"/>
        <color theme="1"/>
        <rFont val="Times New Roman"/>
        <family val="1"/>
        <charset val="186"/>
      </rPr>
      <t xml:space="preserve">/mēn. * 12. mēn. = 242,40 </t>
    </r>
    <r>
      <rPr>
        <i/>
        <sz val="12"/>
        <color theme="1"/>
        <rFont val="Times New Roman"/>
        <family val="1"/>
        <charset val="186"/>
      </rPr>
      <t>euro</t>
    </r>
    <r>
      <rPr>
        <sz val="12"/>
        <color theme="1"/>
        <rFont val="Times New Roman"/>
        <family val="1"/>
        <charset val="186"/>
      </rPr>
      <t xml:space="preserve"> * 0.0087 (iznomātās platības koeficients) = 2,11 </t>
    </r>
    <r>
      <rPr>
        <i/>
        <sz val="12"/>
        <color theme="1"/>
        <rFont val="Times New Roman"/>
        <family val="1"/>
        <charset val="186"/>
      </rPr>
      <t>euro.</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</si>
  <si>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/165.58 (vid. d. stundu sk. mēnesī). Vid. mēn. noslogojums 9.23 stunda,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0.0087  (iznomātās platības koeficients) = 7,99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</si>
  <si>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/165.58 (vid. d. stundu sk. mēnesī). Vid. mēn. noslogojums 33.59 stundas, (9,42 </t>
    </r>
    <r>
      <rPr>
        <i/>
        <sz val="12"/>
        <color theme="1"/>
        <rFont val="Times New Roman"/>
        <family val="1"/>
        <charset val="186"/>
      </rPr>
      <t>euro</t>
    </r>
    <r>
      <rPr>
        <sz val="12"/>
        <color theme="1"/>
        <rFont val="Times New Roman"/>
        <family val="1"/>
        <charset val="186"/>
      </rPr>
      <t xml:space="preserve"> * 33.59 h) = 316,42 </t>
    </r>
    <r>
      <rPr>
        <i/>
        <sz val="12"/>
        <color theme="1"/>
        <rFont val="Times New Roman"/>
        <family val="1"/>
        <charset val="186"/>
      </rPr>
      <t>euro</t>
    </r>
    <r>
      <rPr>
        <sz val="12"/>
        <color theme="1"/>
        <rFont val="Times New Roman"/>
        <family val="1"/>
        <charset val="186"/>
      </rPr>
      <t xml:space="preserve">/mēn. * 12. mēn. = 3 797,04 </t>
    </r>
    <r>
      <rPr>
        <i/>
        <sz val="12"/>
        <color theme="1"/>
        <rFont val="Times New Roman"/>
        <family val="1"/>
        <charset val="186"/>
      </rPr>
      <t>euro</t>
    </r>
    <r>
      <rPr>
        <sz val="12"/>
        <color theme="1"/>
        <rFont val="Times New Roman"/>
        <family val="1"/>
        <charset val="186"/>
      </rPr>
      <t xml:space="preserve"> * 0.0087 (iznomātās platības koeficients) = 33,03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</si>
  <si>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58.67 stundas, (8,29</t>
    </r>
    <r>
      <rPr>
        <i/>
        <sz val="12"/>
        <color theme="1"/>
        <rFont val="Times New Roman"/>
        <family val="1"/>
        <charset val="186"/>
      </rPr>
      <t>euro</t>
    </r>
    <r>
      <rPr>
        <sz val="12"/>
        <color theme="1"/>
        <rFont val="Times New Roman"/>
        <family val="1"/>
        <charset val="186"/>
      </rPr>
      <t xml:space="preserve"> * 58.67 h) = 486,37 </t>
    </r>
    <r>
      <rPr>
        <i/>
        <sz val="12"/>
        <color theme="1"/>
        <rFont val="Times New Roman"/>
        <family val="1"/>
        <charset val="186"/>
      </rPr>
      <t>euro</t>
    </r>
    <r>
      <rPr>
        <sz val="12"/>
        <color theme="1"/>
        <rFont val="Times New Roman"/>
        <family val="1"/>
        <charset val="186"/>
      </rPr>
      <t xml:space="preserve">/mēn. * 12. mēn. = 5 836,44 </t>
    </r>
    <r>
      <rPr>
        <i/>
        <sz val="12"/>
        <color theme="1"/>
        <rFont val="Times New Roman"/>
        <family val="1"/>
        <charset val="186"/>
      </rPr>
      <t>euro</t>
    </r>
    <r>
      <rPr>
        <sz val="12"/>
        <color theme="1"/>
        <rFont val="Times New Roman"/>
        <family val="1"/>
        <charset val="186"/>
      </rPr>
      <t xml:space="preserve"> * 0.0087 (iznomātās platības koeficients) = 50,78 </t>
    </r>
    <r>
      <rPr>
        <i/>
        <sz val="12"/>
        <color theme="1"/>
        <rFont val="Times New Roman"/>
        <family val="1"/>
        <charset val="186"/>
      </rPr>
      <t>euro.</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</si>
  <si>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7.2 stundas, (25,09 </t>
    </r>
    <r>
      <rPr>
        <i/>
        <sz val="12"/>
        <color theme="1"/>
        <rFont val="Times New Roman"/>
        <family val="1"/>
        <charset val="186"/>
      </rPr>
      <t>euro</t>
    </r>
    <r>
      <rPr>
        <sz val="12"/>
        <color theme="1"/>
        <rFont val="Times New Roman"/>
        <family val="1"/>
        <charset val="186"/>
      </rPr>
      <t xml:space="preserve"> * 7.2 h) = 180,65 </t>
    </r>
    <r>
      <rPr>
        <i/>
        <sz val="12"/>
        <color theme="1"/>
        <rFont val="Times New Roman"/>
        <family val="1"/>
        <charset val="186"/>
      </rPr>
      <t>euro</t>
    </r>
    <r>
      <rPr>
        <sz val="12"/>
        <color theme="1"/>
        <rFont val="Times New Roman"/>
        <family val="1"/>
        <charset val="186"/>
      </rPr>
      <t xml:space="preserve">/mēn. * 12. mēn. = 2 167,80 </t>
    </r>
    <r>
      <rPr>
        <i/>
        <sz val="12"/>
        <color theme="1"/>
        <rFont val="Times New Roman"/>
        <family val="1"/>
        <charset val="186"/>
      </rPr>
      <t>euro</t>
    </r>
    <r>
      <rPr>
        <sz val="12"/>
        <color theme="1"/>
        <rFont val="Times New Roman"/>
        <family val="1"/>
        <charset val="186"/>
      </rPr>
      <t xml:space="preserve"> * 0.0087 (iznomātās platības koeficients) = 18,86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</si>
  <si>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126,68 </t>
    </r>
    <r>
      <rPr>
        <i/>
        <sz val="12"/>
        <color theme="1"/>
        <rFont val="Times New Roman"/>
        <family val="1"/>
        <charset val="186"/>
      </rPr>
      <t>euro</t>
    </r>
    <r>
      <rPr>
        <sz val="12"/>
        <color theme="1"/>
        <rFont val="Times New Roman"/>
        <family val="1"/>
        <charset val="186"/>
      </rPr>
      <t xml:space="preserve"> * 23,59 % = 29,88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</si>
  <si>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 xml:space="preserve">euro </t>
    </r>
    <r>
      <rPr>
        <sz val="12"/>
        <color theme="1"/>
        <rFont val="Times New Roman"/>
        <family val="1"/>
        <charset val="186"/>
      </rPr>
      <t xml:space="preserve">/ 165.58 (vid. d. stundu sk. mēnesī). Vid. mēn. noslogojums 6.26 stundas, (8,20 </t>
    </r>
    <r>
      <rPr>
        <i/>
        <sz val="12"/>
        <color theme="1"/>
        <rFont val="Times New Roman"/>
        <family val="1"/>
        <charset val="186"/>
      </rPr>
      <t>euro</t>
    </r>
    <r>
      <rPr>
        <sz val="12"/>
        <color theme="1"/>
        <rFont val="Times New Roman"/>
        <family val="1"/>
        <charset val="186"/>
      </rPr>
      <t xml:space="preserve"> * 6.26 h) = 51,33 </t>
    </r>
    <r>
      <rPr>
        <i/>
        <sz val="12"/>
        <color theme="1"/>
        <rFont val="Times New Roman"/>
        <family val="1"/>
        <charset val="186"/>
      </rPr>
      <t>euro</t>
    </r>
    <r>
      <rPr>
        <sz val="12"/>
        <color theme="1"/>
        <rFont val="Times New Roman"/>
        <family val="1"/>
        <charset val="186"/>
      </rPr>
      <t xml:space="preserve">/mēn. * 12 mēn. = 615,96 </t>
    </r>
    <r>
      <rPr>
        <i/>
        <sz val="12"/>
        <color theme="1"/>
        <rFont val="Times New Roman"/>
        <family val="1"/>
        <charset val="186"/>
      </rPr>
      <t>euro</t>
    </r>
    <r>
      <rPr>
        <sz val="12"/>
        <color theme="1"/>
        <rFont val="Times New Roman"/>
        <family val="1"/>
        <charset val="186"/>
      </rPr>
      <t xml:space="preserve"> * 0.0155 (iznomātās platības koeficients) = 9,55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</si>
  <si>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142.54 stundas, (8,20 </t>
    </r>
    <r>
      <rPr>
        <i/>
        <sz val="12"/>
        <color theme="1"/>
        <rFont val="Times New Roman"/>
        <family val="1"/>
        <charset val="186"/>
      </rPr>
      <t>euro</t>
    </r>
    <r>
      <rPr>
        <sz val="12"/>
        <color theme="1"/>
        <rFont val="Times New Roman"/>
        <family val="1"/>
        <charset val="186"/>
      </rPr>
      <t xml:space="preserve"> * 142.54 h) = 1 168,83 </t>
    </r>
    <r>
      <rPr>
        <i/>
        <sz val="12"/>
        <color theme="1"/>
        <rFont val="Times New Roman"/>
        <family val="1"/>
        <charset val="186"/>
      </rPr>
      <t>euro</t>
    </r>
    <r>
      <rPr>
        <sz val="12"/>
        <color theme="1"/>
        <rFont val="Times New Roman"/>
        <family val="1"/>
        <charset val="186"/>
      </rPr>
      <t xml:space="preserve">/mēn.  * 12 mēn. = 14 025,96 </t>
    </r>
    <r>
      <rPr>
        <i/>
        <sz val="12"/>
        <color theme="1"/>
        <rFont val="Times New Roman"/>
        <family val="1"/>
        <charset val="186"/>
      </rPr>
      <t>euro</t>
    </r>
    <r>
      <rPr>
        <sz val="12"/>
        <color theme="1"/>
        <rFont val="Times New Roman"/>
        <family val="1"/>
        <charset val="186"/>
      </rPr>
      <t xml:space="preserve"> * 0.0155 (iznomātās platības koeficients) = 217,40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</si>
  <si>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10.44 stundas, (5,42 </t>
    </r>
    <r>
      <rPr>
        <i/>
        <sz val="12"/>
        <color theme="1"/>
        <rFont val="Times New Roman"/>
        <family val="1"/>
        <charset val="186"/>
      </rPr>
      <t>euro</t>
    </r>
    <r>
      <rPr>
        <sz val="12"/>
        <color theme="1"/>
        <rFont val="Times New Roman"/>
        <family val="1"/>
        <charset val="186"/>
      </rPr>
      <t xml:space="preserve"> * 10.44 h) = 56,58  </t>
    </r>
    <r>
      <rPr>
        <i/>
        <sz val="12"/>
        <color theme="1"/>
        <rFont val="Times New Roman"/>
        <family val="1"/>
        <charset val="186"/>
      </rPr>
      <t>euro</t>
    </r>
    <r>
      <rPr>
        <sz val="12"/>
        <color theme="1"/>
        <rFont val="Times New Roman"/>
        <family val="1"/>
        <charset val="186"/>
      </rPr>
      <t xml:space="preserve">/mēn.  * 12 mēn. = 678,96 </t>
    </r>
    <r>
      <rPr>
        <i/>
        <sz val="12"/>
        <color theme="1"/>
        <rFont val="Times New Roman"/>
        <family val="1"/>
        <charset val="186"/>
      </rPr>
      <t>euro</t>
    </r>
    <r>
      <rPr>
        <sz val="12"/>
        <color theme="1"/>
        <rFont val="Times New Roman"/>
        <family val="1"/>
        <charset val="186"/>
      </rPr>
      <t xml:space="preserve"> * 0.0155 (iznomātās platības koeficients) = 10,52 </t>
    </r>
    <r>
      <rPr>
        <i/>
        <sz val="12"/>
        <color theme="1"/>
        <rFont val="Times New Roman"/>
        <family val="1"/>
        <charset val="186"/>
      </rPr>
      <t>euro</t>
    </r>
    <r>
      <rPr>
        <sz val="12"/>
        <color theme="1"/>
        <rFont val="Times New Roman"/>
        <family val="1"/>
        <charset val="186"/>
      </rPr>
      <t xml:space="preserve">. </t>
    </r>
  </si>
  <si>
    <r>
      <t xml:space="preserve">Galv. nekust. īpaš. pārvaldnieks (9,55 </t>
    </r>
    <r>
      <rPr>
        <i/>
        <sz val="12"/>
        <color theme="1"/>
        <rFont val="Times New Roman"/>
        <family val="1"/>
        <charset val="186"/>
      </rPr>
      <t>euro</t>
    </r>
    <r>
      <rPr>
        <sz val="12"/>
        <color theme="1"/>
        <rFont val="Times New Roman"/>
        <family val="1"/>
        <charset val="186"/>
      </rPr>
      <t xml:space="preserve"> * 10%) = 0,96 </t>
    </r>
    <r>
      <rPr>
        <i/>
        <sz val="12"/>
        <color theme="1"/>
        <rFont val="Times New Roman"/>
        <family val="1"/>
        <charset val="186"/>
      </rPr>
      <t>euro</t>
    </r>
    <r>
      <rPr>
        <sz val="12"/>
        <color theme="1"/>
        <rFont val="Times New Roman"/>
        <family val="1"/>
        <charset val="186"/>
      </rPr>
      <t xml:space="preserve">, Dienesta viesnīcas vadīotājs (217,40 euro * 10%) = 21,74 euro.  Saimniecības pārzinis (10,52 </t>
    </r>
    <r>
      <rPr>
        <i/>
        <sz val="12"/>
        <color theme="1"/>
        <rFont val="Times New Roman"/>
        <family val="1"/>
        <charset val="186"/>
      </rPr>
      <t>euro</t>
    </r>
    <r>
      <rPr>
        <sz val="12"/>
        <color theme="1"/>
        <rFont val="Times New Roman"/>
        <family val="1"/>
        <charset val="186"/>
      </rPr>
      <t xml:space="preserve"> * 10%) = 1,05 </t>
    </r>
    <r>
      <rPr>
        <i/>
        <sz val="12"/>
        <color theme="1"/>
        <rFont val="Times New Roman"/>
        <family val="1"/>
        <charset val="186"/>
      </rPr>
      <t>euro.</t>
    </r>
    <r>
      <rPr>
        <sz val="12"/>
        <color theme="1"/>
        <rFont val="Times New Roman"/>
        <family val="1"/>
        <charset val="186"/>
      </rPr>
      <t xml:space="preserve"> Kopā (0,96 </t>
    </r>
    <r>
      <rPr>
        <i/>
        <sz val="12"/>
        <color theme="1"/>
        <rFont val="Times New Roman"/>
        <family val="1"/>
        <charset val="186"/>
      </rPr>
      <t>euro</t>
    </r>
    <r>
      <rPr>
        <sz val="12"/>
        <color theme="1"/>
        <rFont val="Times New Roman"/>
        <family val="1"/>
        <charset val="186"/>
      </rPr>
      <t xml:space="preserve"> + 21,74 </t>
    </r>
    <r>
      <rPr>
        <i/>
        <sz val="12"/>
        <color theme="1"/>
        <rFont val="Times New Roman"/>
        <family val="1"/>
        <charset val="186"/>
      </rPr>
      <t>euro</t>
    </r>
    <r>
      <rPr>
        <sz val="12"/>
        <color theme="1"/>
        <rFont val="Times New Roman"/>
        <family val="1"/>
        <charset val="186"/>
      </rPr>
      <t xml:space="preserve"> + 1,05 </t>
    </r>
    <r>
      <rPr>
        <i/>
        <sz val="12"/>
        <color theme="1"/>
        <rFont val="Times New Roman"/>
        <family val="1"/>
        <charset val="186"/>
      </rPr>
      <t>euro</t>
    </r>
    <r>
      <rPr>
        <sz val="12"/>
        <color theme="1"/>
        <rFont val="Times New Roman"/>
        <family val="1"/>
        <charset val="186"/>
      </rPr>
      <t xml:space="preserve">) = 23,75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</si>
  <si>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(261,22 </t>
    </r>
    <r>
      <rPr>
        <i/>
        <sz val="12"/>
        <color theme="1"/>
        <rFont val="Times New Roman"/>
        <family val="1"/>
        <charset val="186"/>
      </rPr>
      <t>euro</t>
    </r>
    <r>
      <rPr>
        <sz val="12"/>
        <color theme="1"/>
        <rFont val="Times New Roman"/>
        <family val="1"/>
        <charset val="186"/>
      </rPr>
      <t xml:space="preserve"> * 23,59 %) = 61,62 </t>
    </r>
    <r>
      <rPr>
        <i/>
        <sz val="12"/>
        <color theme="1"/>
        <rFont val="Times New Roman"/>
        <family val="1"/>
        <charset val="186"/>
      </rPr>
      <t xml:space="preserve">euro. </t>
    </r>
  </si>
  <si>
    <r>
      <t xml:space="preserve">Darba devēja valsts sociālās apdrošināšanas obligātās iemaksas 61,62 </t>
    </r>
    <r>
      <rPr>
        <i/>
        <sz val="12"/>
        <color theme="1"/>
        <rFont val="Times New Roman"/>
        <family val="1"/>
        <charset val="186"/>
      </rPr>
      <t>euro</t>
    </r>
    <r>
      <rPr>
        <sz val="12"/>
        <color theme="1"/>
        <rFont val="Times New Roman"/>
        <family val="1"/>
        <charset val="186"/>
      </rPr>
      <t xml:space="preserve">. Veselības apdrošināšana 11,88 </t>
    </r>
    <r>
      <rPr>
        <i/>
        <sz val="12"/>
        <color theme="1"/>
        <rFont val="Times New Roman"/>
        <family val="1"/>
        <charset val="186"/>
      </rPr>
      <t>euro</t>
    </r>
    <r>
      <rPr>
        <sz val="12"/>
        <color theme="1"/>
        <rFont val="Times New Roman"/>
        <family val="1"/>
        <charset val="186"/>
      </rPr>
      <t xml:space="preserve">. Kopā 73,50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</si>
  <si>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1.91 stundas, (11,47 </t>
    </r>
    <r>
      <rPr>
        <i/>
        <sz val="12"/>
        <color theme="1"/>
        <rFont val="Times New Roman"/>
        <family val="1"/>
        <charset val="186"/>
      </rPr>
      <t>euro</t>
    </r>
    <r>
      <rPr>
        <sz val="12"/>
        <color theme="1"/>
        <rFont val="Times New Roman"/>
        <family val="1"/>
        <charset val="186"/>
      </rPr>
      <t xml:space="preserve"> * 1.91 h) = 21,91 </t>
    </r>
    <r>
      <rPr>
        <i/>
        <sz val="12"/>
        <color theme="1"/>
        <rFont val="Times New Roman"/>
        <family val="1"/>
        <charset val="186"/>
      </rPr>
      <t>euro</t>
    </r>
    <r>
      <rPr>
        <sz val="12"/>
        <color theme="1"/>
        <rFont val="Times New Roman"/>
        <family val="1"/>
        <charset val="186"/>
      </rPr>
      <t xml:space="preserve">/mēn. * 12. mēn. = 262,92 </t>
    </r>
    <r>
      <rPr>
        <i/>
        <sz val="12"/>
        <color theme="1"/>
        <rFont val="Times New Roman"/>
        <family val="1"/>
        <charset val="186"/>
      </rPr>
      <t>euro</t>
    </r>
    <r>
      <rPr>
        <sz val="12"/>
        <color theme="1"/>
        <rFont val="Times New Roman"/>
        <family val="1"/>
        <charset val="186"/>
      </rPr>
      <t xml:space="preserve"> * 0.0155 (iznomātās platības koeficients) = 4,08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</si>
  <si>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1.87 stundas,  (7,65 </t>
    </r>
    <r>
      <rPr>
        <i/>
        <sz val="12"/>
        <color theme="1"/>
        <rFont val="Times New Roman"/>
        <family val="1"/>
        <charset val="186"/>
      </rPr>
      <t>euro</t>
    </r>
    <r>
      <rPr>
        <sz val="12"/>
        <color theme="1"/>
        <rFont val="Times New Roman"/>
        <family val="1"/>
        <charset val="186"/>
      </rPr>
      <t xml:space="preserve"> * 1.87 h) = 14,31 </t>
    </r>
    <r>
      <rPr>
        <i/>
        <sz val="12"/>
        <color theme="1"/>
        <rFont val="Times New Roman"/>
        <family val="1"/>
        <charset val="186"/>
      </rPr>
      <t>euro</t>
    </r>
    <r>
      <rPr>
        <sz val="12"/>
        <color theme="1"/>
        <rFont val="Times New Roman"/>
        <family val="1"/>
        <charset val="186"/>
      </rPr>
      <t xml:space="preserve">/mēn. * 12. mēn. = 171,72 </t>
    </r>
    <r>
      <rPr>
        <i/>
        <sz val="12"/>
        <color theme="1"/>
        <rFont val="Times New Roman"/>
        <family val="1"/>
        <charset val="186"/>
      </rPr>
      <t>euro</t>
    </r>
    <r>
      <rPr>
        <sz val="12"/>
        <color theme="1"/>
        <rFont val="Times New Roman"/>
        <family val="1"/>
        <charset val="186"/>
      </rPr>
      <t xml:space="preserve"> * 0.0155  (iznomātās platības koeficients) = 2,66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</si>
  <si>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1.83 stundas, (11,47 </t>
    </r>
    <r>
      <rPr>
        <i/>
        <sz val="12"/>
        <color theme="1"/>
        <rFont val="Times New Roman"/>
        <family val="1"/>
        <charset val="186"/>
      </rPr>
      <t>euro</t>
    </r>
    <r>
      <rPr>
        <sz val="12"/>
        <color theme="1"/>
        <rFont val="Times New Roman"/>
        <family val="1"/>
        <charset val="186"/>
      </rPr>
      <t xml:space="preserve"> * 1.83 h) = 20,99 </t>
    </r>
    <r>
      <rPr>
        <i/>
        <sz val="12"/>
        <color theme="1"/>
        <rFont val="Times New Roman"/>
        <family val="1"/>
        <charset val="186"/>
      </rPr>
      <t>euro</t>
    </r>
    <r>
      <rPr>
        <sz val="12"/>
        <color theme="1"/>
        <rFont val="Times New Roman"/>
        <family val="1"/>
        <charset val="186"/>
      </rPr>
      <t xml:space="preserve">/mēn. * 12. mēn. = 251,88 </t>
    </r>
    <r>
      <rPr>
        <i/>
        <sz val="12"/>
        <color theme="1"/>
        <rFont val="Times New Roman"/>
        <family val="1"/>
        <charset val="186"/>
      </rPr>
      <t>euro</t>
    </r>
    <r>
      <rPr>
        <sz val="12"/>
        <color theme="1"/>
        <rFont val="Times New Roman"/>
        <family val="1"/>
        <charset val="186"/>
      </rPr>
      <t xml:space="preserve"> * 0.0155  (iznomātās platības koeficients) = 3,90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</si>
  <si>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2.06 stundas, (15,15 </t>
    </r>
    <r>
      <rPr>
        <i/>
        <sz val="12"/>
        <color theme="1"/>
        <rFont val="Times New Roman"/>
        <family val="1"/>
        <charset val="186"/>
      </rPr>
      <t>euro</t>
    </r>
    <r>
      <rPr>
        <sz val="12"/>
        <color theme="1"/>
        <rFont val="Times New Roman"/>
        <family val="1"/>
        <charset val="186"/>
      </rPr>
      <t xml:space="preserve"> * 2.06 h) = 31,21 </t>
    </r>
    <r>
      <rPr>
        <i/>
        <sz val="12"/>
        <color theme="1"/>
        <rFont val="Times New Roman"/>
        <family val="1"/>
        <charset val="186"/>
      </rPr>
      <t>euro</t>
    </r>
    <r>
      <rPr>
        <sz val="12"/>
        <color theme="1"/>
        <rFont val="Times New Roman"/>
        <family val="1"/>
        <charset val="186"/>
      </rPr>
      <t xml:space="preserve">/mēn. * 12. mēn. = 374,52 </t>
    </r>
    <r>
      <rPr>
        <i/>
        <sz val="12"/>
        <color theme="1"/>
        <rFont val="Times New Roman"/>
        <family val="1"/>
        <charset val="186"/>
      </rPr>
      <t>euro</t>
    </r>
    <r>
      <rPr>
        <sz val="12"/>
        <color theme="1"/>
        <rFont val="Times New Roman"/>
        <family val="1"/>
        <charset val="186"/>
      </rPr>
      <t xml:space="preserve"> * 0.0155 (iznomātās platības koeficients) = 5,81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</si>
  <si>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1.66 stundas, (12,17 </t>
    </r>
    <r>
      <rPr>
        <i/>
        <sz val="12"/>
        <color theme="1"/>
        <rFont val="Times New Roman"/>
        <family val="1"/>
        <charset val="186"/>
      </rPr>
      <t>euro</t>
    </r>
    <r>
      <rPr>
        <sz val="12"/>
        <color theme="1"/>
        <rFont val="Times New Roman"/>
        <family val="1"/>
        <charset val="186"/>
      </rPr>
      <t xml:space="preserve"> * 1.66 h) = 20,20 </t>
    </r>
    <r>
      <rPr>
        <i/>
        <sz val="12"/>
        <color theme="1"/>
        <rFont val="Times New Roman"/>
        <family val="1"/>
        <charset val="186"/>
      </rPr>
      <t>euro</t>
    </r>
    <r>
      <rPr>
        <sz val="12"/>
        <color theme="1"/>
        <rFont val="Times New Roman"/>
        <family val="1"/>
        <charset val="186"/>
      </rPr>
      <t xml:space="preserve">/mēn. * 12. mēn. = 242,40 </t>
    </r>
    <r>
      <rPr>
        <i/>
        <sz val="12"/>
        <color theme="1"/>
        <rFont val="Times New Roman"/>
        <family val="1"/>
        <charset val="186"/>
      </rPr>
      <t>euro</t>
    </r>
    <r>
      <rPr>
        <sz val="12"/>
        <color theme="1"/>
        <rFont val="Times New Roman"/>
        <family val="1"/>
        <charset val="186"/>
      </rPr>
      <t xml:space="preserve"> * 0.0155 (iznomātās platības koeficients) = 3,76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</si>
  <si>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/165.58 (vid. d. stundu sk. mēnesī). Vid. mēn. noslogojums 9.23 stunda,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0.0155   (iznomātās platības koeficients) = 14,23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</si>
  <si>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58.67 stundas, (8,22 </t>
    </r>
    <r>
      <rPr>
        <i/>
        <sz val="12"/>
        <color theme="1"/>
        <rFont val="Times New Roman"/>
        <family val="1"/>
        <charset val="186"/>
      </rPr>
      <t>euro</t>
    </r>
    <r>
      <rPr>
        <sz val="12"/>
        <color theme="1"/>
        <rFont val="Times New Roman"/>
        <family val="1"/>
        <charset val="186"/>
      </rPr>
      <t xml:space="preserve"> * 58.67 h) = 482,27 </t>
    </r>
    <r>
      <rPr>
        <i/>
        <sz val="12"/>
        <color theme="1"/>
        <rFont val="Times New Roman"/>
        <family val="1"/>
        <charset val="186"/>
      </rPr>
      <t>euro</t>
    </r>
    <r>
      <rPr>
        <sz val="12"/>
        <color theme="1"/>
        <rFont val="Times New Roman"/>
        <family val="1"/>
        <charset val="186"/>
      </rPr>
      <t xml:space="preserve">/mēn. * 12. mēn. = 5 836,44 </t>
    </r>
    <r>
      <rPr>
        <i/>
        <sz val="12"/>
        <color theme="1"/>
        <rFont val="Times New Roman"/>
        <family val="1"/>
        <charset val="186"/>
      </rPr>
      <t>euro</t>
    </r>
    <r>
      <rPr>
        <sz val="12"/>
        <color theme="1"/>
        <rFont val="Times New Roman"/>
        <family val="1"/>
        <charset val="186"/>
      </rPr>
      <t xml:space="preserve"> * 0.0155 (iznomātās platības koeficients) = 90,46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</si>
  <si>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7.2 stundas, (25,09 </t>
    </r>
    <r>
      <rPr>
        <i/>
        <sz val="12"/>
        <color theme="1"/>
        <rFont val="Times New Roman"/>
        <family val="1"/>
        <charset val="186"/>
      </rPr>
      <t>euro</t>
    </r>
    <r>
      <rPr>
        <sz val="12"/>
        <color theme="1"/>
        <rFont val="Times New Roman"/>
        <family val="1"/>
        <charset val="186"/>
      </rPr>
      <t xml:space="preserve"> * 7.2 h) = 180,65 </t>
    </r>
    <r>
      <rPr>
        <i/>
        <sz val="12"/>
        <color theme="1"/>
        <rFont val="Times New Roman"/>
        <family val="1"/>
        <charset val="186"/>
      </rPr>
      <t>euro</t>
    </r>
    <r>
      <rPr>
        <sz val="12"/>
        <color theme="1"/>
        <rFont val="Times New Roman"/>
        <family val="1"/>
        <charset val="186"/>
      </rPr>
      <t xml:space="preserve">/mēn. * 12. mēn. = 2 167,80 </t>
    </r>
    <r>
      <rPr>
        <i/>
        <sz val="12"/>
        <color theme="1"/>
        <rFont val="Times New Roman"/>
        <family val="1"/>
        <charset val="186"/>
      </rPr>
      <t>euro</t>
    </r>
    <r>
      <rPr>
        <sz val="12"/>
        <color theme="1"/>
        <rFont val="Times New Roman"/>
        <family val="1"/>
        <charset val="186"/>
      </rPr>
      <t xml:space="preserve"> * 0.0155  (iznomātās platības koeficients) = 33,60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</si>
  <si>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225,07 </t>
    </r>
    <r>
      <rPr>
        <i/>
        <sz val="12"/>
        <color theme="1"/>
        <rFont val="Times New Roman"/>
        <family val="1"/>
        <charset val="186"/>
      </rPr>
      <t>euro</t>
    </r>
    <r>
      <rPr>
        <sz val="12"/>
        <color theme="1"/>
        <rFont val="Times New Roman"/>
        <family val="1"/>
        <charset val="186"/>
      </rPr>
      <t xml:space="preserve"> * 23,59 % = 53,09 </t>
    </r>
    <r>
      <rPr>
        <i/>
        <sz val="12"/>
        <color theme="1"/>
        <rFont val="Times New Roman"/>
        <family val="1"/>
        <charset val="186"/>
      </rPr>
      <t>euro.</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</si>
  <si>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 xml:space="preserve">euro </t>
    </r>
    <r>
      <rPr>
        <sz val="12"/>
        <color theme="1"/>
        <rFont val="Times New Roman"/>
        <family val="1"/>
        <charset val="186"/>
      </rPr>
      <t xml:space="preserve">/ 165.58 (vid. d. stundu sk. mēnesī). Vid. mēn. noslogojums 6.26 stundas, (8,20 </t>
    </r>
    <r>
      <rPr>
        <i/>
        <sz val="12"/>
        <color theme="1"/>
        <rFont val="Times New Roman"/>
        <family val="1"/>
        <charset val="186"/>
      </rPr>
      <t>euro</t>
    </r>
    <r>
      <rPr>
        <sz val="12"/>
        <color theme="1"/>
        <rFont val="Times New Roman"/>
        <family val="1"/>
        <charset val="186"/>
      </rPr>
      <t xml:space="preserve"> * 6.26 h) = 51,33 </t>
    </r>
    <r>
      <rPr>
        <i/>
        <sz val="12"/>
        <color theme="1"/>
        <rFont val="Times New Roman"/>
        <family val="1"/>
        <charset val="186"/>
      </rPr>
      <t>euro</t>
    </r>
    <r>
      <rPr>
        <sz val="12"/>
        <color theme="1"/>
        <rFont val="Times New Roman"/>
        <family val="1"/>
        <charset val="186"/>
      </rPr>
      <t xml:space="preserve">/mēn. * 12 mēn. = 615,96 </t>
    </r>
    <r>
      <rPr>
        <i/>
        <sz val="12"/>
        <color theme="1"/>
        <rFont val="Times New Roman"/>
        <family val="1"/>
        <charset val="186"/>
      </rPr>
      <t>euro</t>
    </r>
    <r>
      <rPr>
        <sz val="12"/>
        <color theme="1"/>
        <rFont val="Times New Roman"/>
        <family val="1"/>
        <charset val="186"/>
      </rPr>
      <t xml:space="preserve"> * 0.0107 (iznomātās platības koeficients) = 6,59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</si>
  <si>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142.54 stundas, (8,20 </t>
    </r>
    <r>
      <rPr>
        <i/>
        <sz val="12"/>
        <color theme="1"/>
        <rFont val="Times New Roman"/>
        <family val="1"/>
        <charset val="186"/>
      </rPr>
      <t>euro</t>
    </r>
    <r>
      <rPr>
        <sz val="12"/>
        <color theme="1"/>
        <rFont val="Times New Roman"/>
        <family val="1"/>
        <charset val="186"/>
      </rPr>
      <t xml:space="preserve"> * 142.54 h) = 1 168,83 </t>
    </r>
    <r>
      <rPr>
        <i/>
        <sz val="12"/>
        <color theme="1"/>
        <rFont val="Times New Roman"/>
        <family val="1"/>
        <charset val="186"/>
      </rPr>
      <t>euro</t>
    </r>
    <r>
      <rPr>
        <sz val="12"/>
        <color theme="1"/>
        <rFont val="Times New Roman"/>
        <family val="1"/>
        <charset val="186"/>
      </rPr>
      <t xml:space="preserve">/mēn.  * 12 mēn. = 14 025,96 </t>
    </r>
    <r>
      <rPr>
        <i/>
        <sz val="12"/>
        <color theme="1"/>
        <rFont val="Times New Roman"/>
        <family val="1"/>
        <charset val="186"/>
      </rPr>
      <t>euro</t>
    </r>
    <r>
      <rPr>
        <sz val="12"/>
        <color theme="1"/>
        <rFont val="Times New Roman"/>
        <family val="1"/>
        <charset val="186"/>
      </rPr>
      <t xml:space="preserve"> * 0.0107 (iznomātās platības koeficients) = 150,08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</si>
  <si>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10.44 stundas, (5,42 </t>
    </r>
    <r>
      <rPr>
        <i/>
        <sz val="12"/>
        <color theme="1"/>
        <rFont val="Times New Roman"/>
        <family val="1"/>
        <charset val="186"/>
      </rPr>
      <t>euro</t>
    </r>
    <r>
      <rPr>
        <sz val="12"/>
        <color theme="1"/>
        <rFont val="Times New Roman"/>
        <family val="1"/>
        <charset val="186"/>
      </rPr>
      <t xml:space="preserve"> * 10.44 h) = 56,58  </t>
    </r>
    <r>
      <rPr>
        <i/>
        <sz val="12"/>
        <color theme="1"/>
        <rFont val="Times New Roman"/>
        <family val="1"/>
        <charset val="186"/>
      </rPr>
      <t>euro</t>
    </r>
    <r>
      <rPr>
        <sz val="12"/>
        <color theme="1"/>
        <rFont val="Times New Roman"/>
        <family val="1"/>
        <charset val="186"/>
      </rPr>
      <t xml:space="preserve">/mēn.  * 12 mēn. = 678,96 </t>
    </r>
    <r>
      <rPr>
        <i/>
        <sz val="12"/>
        <color theme="1"/>
        <rFont val="Times New Roman"/>
        <family val="1"/>
        <charset val="186"/>
      </rPr>
      <t>euro</t>
    </r>
    <r>
      <rPr>
        <sz val="12"/>
        <color theme="1"/>
        <rFont val="Times New Roman"/>
        <family val="1"/>
        <charset val="186"/>
      </rPr>
      <t xml:space="preserve"> * 0.0107 (iznomātās platības koeficients) = 7,26 </t>
    </r>
    <r>
      <rPr>
        <i/>
        <sz val="12"/>
        <color theme="1"/>
        <rFont val="Times New Roman"/>
        <family val="1"/>
        <charset val="186"/>
      </rPr>
      <t>euro</t>
    </r>
    <r>
      <rPr>
        <sz val="12"/>
        <color theme="1"/>
        <rFont val="Times New Roman"/>
        <family val="1"/>
        <charset val="186"/>
      </rPr>
      <t xml:space="preserve">. </t>
    </r>
  </si>
  <si>
    <r>
      <t xml:space="preserve">Galv. nekust. īpaš. pārvaldnieks (6,59 </t>
    </r>
    <r>
      <rPr>
        <i/>
        <sz val="12"/>
        <color theme="1"/>
        <rFont val="Times New Roman"/>
        <family val="1"/>
        <charset val="186"/>
      </rPr>
      <t>euro</t>
    </r>
    <r>
      <rPr>
        <sz val="12"/>
        <color theme="1"/>
        <rFont val="Times New Roman"/>
        <family val="1"/>
        <charset val="186"/>
      </rPr>
      <t xml:space="preserve"> * 10%) = 0,66 </t>
    </r>
    <r>
      <rPr>
        <i/>
        <sz val="12"/>
        <color theme="1"/>
        <rFont val="Times New Roman"/>
        <family val="1"/>
        <charset val="186"/>
      </rPr>
      <t>euro</t>
    </r>
    <r>
      <rPr>
        <sz val="12"/>
        <color theme="1"/>
        <rFont val="Times New Roman"/>
        <family val="1"/>
        <charset val="186"/>
      </rPr>
      <t xml:space="preserve">, Dienesta viesnīcas vadīotājs (150,08 </t>
    </r>
    <r>
      <rPr>
        <i/>
        <sz val="12"/>
        <color theme="1"/>
        <rFont val="Times New Roman"/>
        <family val="1"/>
        <charset val="186"/>
      </rPr>
      <t>euro</t>
    </r>
    <r>
      <rPr>
        <sz val="12"/>
        <color theme="1"/>
        <rFont val="Times New Roman"/>
        <family val="1"/>
        <charset val="186"/>
      </rPr>
      <t xml:space="preserve"> * 10%) = 15,01 </t>
    </r>
    <r>
      <rPr>
        <i/>
        <sz val="12"/>
        <color theme="1"/>
        <rFont val="Times New Roman"/>
        <family val="1"/>
        <charset val="186"/>
      </rPr>
      <t>euro</t>
    </r>
    <r>
      <rPr>
        <sz val="12"/>
        <color theme="1"/>
        <rFont val="Times New Roman"/>
        <family val="1"/>
        <charset val="186"/>
      </rPr>
      <t xml:space="preserve">.  Saimniecības pārzinis (7,26 </t>
    </r>
    <r>
      <rPr>
        <i/>
        <sz val="12"/>
        <color theme="1"/>
        <rFont val="Times New Roman"/>
        <family val="1"/>
        <charset val="186"/>
      </rPr>
      <t>euro</t>
    </r>
    <r>
      <rPr>
        <sz val="12"/>
        <color theme="1"/>
        <rFont val="Times New Roman"/>
        <family val="1"/>
        <charset val="186"/>
      </rPr>
      <t xml:space="preserve"> * 10%) = 0,73 </t>
    </r>
    <r>
      <rPr>
        <i/>
        <sz val="12"/>
        <color theme="1"/>
        <rFont val="Times New Roman"/>
        <family val="1"/>
        <charset val="186"/>
      </rPr>
      <t>euro.</t>
    </r>
    <r>
      <rPr>
        <sz val="12"/>
        <color theme="1"/>
        <rFont val="Times New Roman"/>
        <family val="1"/>
        <charset val="186"/>
      </rPr>
      <t xml:space="preserve"> Kopā (0,66 </t>
    </r>
    <r>
      <rPr>
        <i/>
        <sz val="12"/>
        <color theme="1"/>
        <rFont val="Times New Roman"/>
        <family val="1"/>
        <charset val="186"/>
      </rPr>
      <t>euro</t>
    </r>
    <r>
      <rPr>
        <sz val="12"/>
        <color theme="1"/>
        <rFont val="Times New Roman"/>
        <family val="1"/>
        <charset val="186"/>
      </rPr>
      <t xml:space="preserve"> + 15,01 </t>
    </r>
    <r>
      <rPr>
        <i/>
        <sz val="12"/>
        <color theme="1"/>
        <rFont val="Times New Roman"/>
        <family val="1"/>
        <charset val="186"/>
      </rPr>
      <t>euro</t>
    </r>
    <r>
      <rPr>
        <sz val="12"/>
        <color theme="1"/>
        <rFont val="Times New Roman"/>
        <family val="1"/>
        <charset val="186"/>
      </rPr>
      <t xml:space="preserve"> + 0,73 </t>
    </r>
    <r>
      <rPr>
        <i/>
        <sz val="12"/>
        <color theme="1"/>
        <rFont val="Times New Roman"/>
        <family val="1"/>
        <charset val="186"/>
      </rPr>
      <t>euro</t>
    </r>
    <r>
      <rPr>
        <sz val="12"/>
        <color theme="1"/>
        <rFont val="Times New Roman"/>
        <family val="1"/>
        <charset val="186"/>
      </rPr>
      <t xml:space="preserve">) = 16,40 </t>
    </r>
    <r>
      <rPr>
        <i/>
        <sz val="12"/>
        <color theme="1"/>
        <rFont val="Times New Roman"/>
        <family val="1"/>
        <charset val="186"/>
      </rPr>
      <t>euro</t>
    </r>
    <r>
      <rPr>
        <sz val="12"/>
        <color theme="1"/>
        <rFont val="Times New Roman"/>
        <family val="1"/>
        <charset val="186"/>
      </rPr>
      <t>.</t>
    </r>
  </si>
  <si>
    <r>
      <t xml:space="preserve">Galv. nekust. īpaš. pārvaldnieks (6,59 </t>
    </r>
    <r>
      <rPr>
        <i/>
        <sz val="12"/>
        <color theme="1"/>
        <rFont val="Times New Roman"/>
        <family val="1"/>
        <charset val="186"/>
      </rPr>
      <t>euro</t>
    </r>
    <r>
      <rPr>
        <sz val="12"/>
        <color theme="1"/>
        <rFont val="Times New Roman"/>
        <family val="1"/>
        <charset val="186"/>
      </rPr>
      <t xml:space="preserve"> * 5%) = 0,33 </t>
    </r>
    <r>
      <rPr>
        <i/>
        <sz val="12"/>
        <color theme="1"/>
        <rFont val="Times New Roman"/>
        <family val="1"/>
        <charset val="186"/>
      </rPr>
      <t>euro</t>
    </r>
    <r>
      <rPr>
        <sz val="12"/>
        <color theme="1"/>
        <rFont val="Times New Roman"/>
        <family val="1"/>
        <charset val="186"/>
      </rPr>
      <t xml:space="preserve">, Dienesta viesnīcas vadīotājs (150,08 euro * 5%) = 7,50 euro.  Saimniecības pārzinis (7,26 </t>
    </r>
    <r>
      <rPr>
        <i/>
        <sz val="12"/>
        <color theme="1"/>
        <rFont val="Times New Roman"/>
        <family val="1"/>
        <charset val="186"/>
      </rPr>
      <t>euro</t>
    </r>
    <r>
      <rPr>
        <sz val="12"/>
        <color theme="1"/>
        <rFont val="Times New Roman"/>
        <family val="1"/>
        <charset val="186"/>
      </rPr>
      <t xml:space="preserve"> * 5%) = 0,36 </t>
    </r>
    <r>
      <rPr>
        <i/>
        <sz val="12"/>
        <color theme="1"/>
        <rFont val="Times New Roman"/>
        <family val="1"/>
        <charset val="186"/>
      </rPr>
      <t>euro.</t>
    </r>
    <r>
      <rPr>
        <sz val="12"/>
        <color theme="1"/>
        <rFont val="Times New Roman"/>
        <family val="1"/>
        <charset val="186"/>
      </rPr>
      <t xml:space="preserve"> Kopā (0,33 </t>
    </r>
    <r>
      <rPr>
        <i/>
        <sz val="12"/>
        <color theme="1"/>
        <rFont val="Times New Roman"/>
        <family val="1"/>
        <charset val="186"/>
      </rPr>
      <t>euro</t>
    </r>
    <r>
      <rPr>
        <sz val="12"/>
        <color theme="1"/>
        <rFont val="Times New Roman"/>
        <family val="1"/>
        <charset val="186"/>
      </rPr>
      <t xml:space="preserve"> + 7,50 </t>
    </r>
    <r>
      <rPr>
        <i/>
        <sz val="12"/>
        <color theme="1"/>
        <rFont val="Times New Roman"/>
        <family val="1"/>
        <charset val="186"/>
      </rPr>
      <t>euro</t>
    </r>
    <r>
      <rPr>
        <sz val="12"/>
        <color theme="1"/>
        <rFont val="Times New Roman"/>
        <family val="1"/>
        <charset val="186"/>
      </rPr>
      <t xml:space="preserve"> + 0,36 </t>
    </r>
    <r>
      <rPr>
        <i/>
        <sz val="12"/>
        <color theme="1"/>
        <rFont val="Times New Roman"/>
        <family val="1"/>
        <charset val="186"/>
      </rPr>
      <t>euro</t>
    </r>
    <r>
      <rPr>
        <sz val="12"/>
        <color theme="1"/>
        <rFont val="Times New Roman"/>
        <family val="1"/>
        <charset val="186"/>
      </rPr>
      <t xml:space="preserve">) = 8,20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</si>
  <si>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180,33 </t>
    </r>
    <r>
      <rPr>
        <i/>
        <sz val="12"/>
        <color theme="1"/>
        <rFont val="Times New Roman"/>
        <family val="1"/>
        <charset val="186"/>
      </rPr>
      <t>euro</t>
    </r>
    <r>
      <rPr>
        <sz val="12"/>
        <color theme="1"/>
        <rFont val="Times New Roman"/>
        <family val="1"/>
        <charset val="186"/>
      </rPr>
      <t xml:space="preserve"> * 23,59 % = 42,54 </t>
    </r>
    <r>
      <rPr>
        <i/>
        <sz val="12"/>
        <color theme="1"/>
        <rFont val="Times New Roman"/>
        <family val="1"/>
        <charset val="186"/>
      </rPr>
      <t xml:space="preserve">euro. </t>
    </r>
  </si>
  <si>
    <r>
      <t xml:space="preserve">Darba devēja valsts sociālās apdrošināšanas obligātās iemaksas 42,54 </t>
    </r>
    <r>
      <rPr>
        <i/>
        <sz val="12"/>
        <color theme="1"/>
        <rFont val="Times New Roman"/>
        <family val="1"/>
        <charset val="186"/>
      </rPr>
      <t>euro</t>
    </r>
    <r>
      <rPr>
        <sz val="12"/>
        <color theme="1"/>
        <rFont val="Times New Roman"/>
        <family val="1"/>
        <charset val="186"/>
      </rPr>
      <t xml:space="preserve">. Veselības apdrošināšana 8,20 </t>
    </r>
    <r>
      <rPr>
        <i/>
        <sz val="12"/>
        <color theme="1"/>
        <rFont val="Times New Roman"/>
        <family val="1"/>
        <charset val="186"/>
      </rPr>
      <t>euro</t>
    </r>
    <r>
      <rPr>
        <sz val="12"/>
        <color theme="1"/>
        <rFont val="Times New Roman"/>
        <family val="1"/>
        <charset val="186"/>
      </rPr>
      <t xml:space="preserve">. Kopā 50,74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</si>
  <si>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1.91 stundas, (11,47 </t>
    </r>
    <r>
      <rPr>
        <i/>
        <sz val="12"/>
        <color theme="1"/>
        <rFont val="Times New Roman"/>
        <family val="1"/>
        <charset val="186"/>
      </rPr>
      <t>euro</t>
    </r>
    <r>
      <rPr>
        <sz val="12"/>
        <color theme="1"/>
        <rFont val="Times New Roman"/>
        <family val="1"/>
        <charset val="186"/>
      </rPr>
      <t xml:space="preserve"> * 1.91 h) = 21,91 </t>
    </r>
    <r>
      <rPr>
        <i/>
        <sz val="12"/>
        <color theme="1"/>
        <rFont val="Times New Roman"/>
        <family val="1"/>
        <charset val="186"/>
      </rPr>
      <t>euro</t>
    </r>
    <r>
      <rPr>
        <sz val="12"/>
        <color theme="1"/>
        <rFont val="Times New Roman"/>
        <family val="1"/>
        <charset val="186"/>
      </rPr>
      <t xml:space="preserve">/mēn. * 12. mēn. = 262,92 </t>
    </r>
    <r>
      <rPr>
        <i/>
        <sz val="12"/>
        <color theme="1"/>
        <rFont val="Times New Roman"/>
        <family val="1"/>
        <charset val="186"/>
      </rPr>
      <t>euro</t>
    </r>
    <r>
      <rPr>
        <sz val="12"/>
        <color theme="1"/>
        <rFont val="Times New Roman"/>
        <family val="1"/>
        <charset val="186"/>
      </rPr>
      <t xml:space="preserve"> * 0.0107 (iznomātās platības koeficients) = 2,81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</si>
  <si>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1.87 stundas,  (7,65 </t>
    </r>
    <r>
      <rPr>
        <i/>
        <sz val="12"/>
        <color theme="1"/>
        <rFont val="Times New Roman"/>
        <family val="1"/>
        <charset val="186"/>
      </rPr>
      <t>euro</t>
    </r>
    <r>
      <rPr>
        <sz val="12"/>
        <color theme="1"/>
        <rFont val="Times New Roman"/>
        <family val="1"/>
        <charset val="186"/>
      </rPr>
      <t xml:space="preserve"> * 1.87 h) = 14,31 </t>
    </r>
    <r>
      <rPr>
        <i/>
        <sz val="12"/>
        <color theme="1"/>
        <rFont val="Times New Roman"/>
        <family val="1"/>
        <charset val="186"/>
      </rPr>
      <t>euro</t>
    </r>
    <r>
      <rPr>
        <sz val="12"/>
        <color theme="1"/>
        <rFont val="Times New Roman"/>
        <family val="1"/>
        <charset val="186"/>
      </rPr>
      <t xml:space="preserve">/mēn. * 12. mēn. = 171,72 </t>
    </r>
    <r>
      <rPr>
        <i/>
        <sz val="12"/>
        <color theme="1"/>
        <rFont val="Times New Roman"/>
        <family val="1"/>
        <charset val="186"/>
      </rPr>
      <t>euro</t>
    </r>
    <r>
      <rPr>
        <sz val="12"/>
        <color theme="1"/>
        <rFont val="Times New Roman"/>
        <family val="1"/>
        <charset val="186"/>
      </rPr>
      <t xml:space="preserve"> * 0.0107 (iznomātās platības koeficients) = 1,84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</si>
  <si>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1.83 stundas, (11,47 </t>
    </r>
    <r>
      <rPr>
        <i/>
        <sz val="12"/>
        <color theme="1"/>
        <rFont val="Times New Roman"/>
        <family val="1"/>
        <charset val="186"/>
      </rPr>
      <t>euro</t>
    </r>
    <r>
      <rPr>
        <sz val="12"/>
        <color theme="1"/>
        <rFont val="Times New Roman"/>
        <family val="1"/>
        <charset val="186"/>
      </rPr>
      <t xml:space="preserve"> * 1.83 h) = 20,99 </t>
    </r>
    <r>
      <rPr>
        <i/>
        <sz val="12"/>
        <color theme="1"/>
        <rFont val="Times New Roman"/>
        <family val="1"/>
        <charset val="186"/>
      </rPr>
      <t>euro</t>
    </r>
    <r>
      <rPr>
        <sz val="12"/>
        <color theme="1"/>
        <rFont val="Times New Roman"/>
        <family val="1"/>
        <charset val="186"/>
      </rPr>
      <t xml:space="preserve">/mēn. * 12. mēn. = 251,88 </t>
    </r>
    <r>
      <rPr>
        <i/>
        <sz val="12"/>
        <color theme="1"/>
        <rFont val="Times New Roman"/>
        <family val="1"/>
        <charset val="186"/>
      </rPr>
      <t>euro</t>
    </r>
    <r>
      <rPr>
        <sz val="12"/>
        <color theme="1"/>
        <rFont val="Times New Roman"/>
        <family val="1"/>
        <charset val="186"/>
      </rPr>
      <t xml:space="preserve"> * 0.0107 (iznomātās platības koeficients) = 2,70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</si>
  <si>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2.06 stundas, (15,15 </t>
    </r>
    <r>
      <rPr>
        <i/>
        <sz val="12"/>
        <color theme="1"/>
        <rFont val="Times New Roman"/>
        <family val="1"/>
        <charset val="186"/>
      </rPr>
      <t>euro</t>
    </r>
    <r>
      <rPr>
        <sz val="12"/>
        <color theme="1"/>
        <rFont val="Times New Roman"/>
        <family val="1"/>
        <charset val="186"/>
      </rPr>
      <t xml:space="preserve"> * 2.06 h) = 31,21 </t>
    </r>
    <r>
      <rPr>
        <i/>
        <sz val="12"/>
        <color theme="1"/>
        <rFont val="Times New Roman"/>
        <family val="1"/>
        <charset val="186"/>
      </rPr>
      <t>euro</t>
    </r>
    <r>
      <rPr>
        <sz val="12"/>
        <color theme="1"/>
        <rFont val="Times New Roman"/>
        <family val="1"/>
        <charset val="186"/>
      </rPr>
      <t xml:space="preserve">/mēn. * 12. mēn. = 374,52 </t>
    </r>
    <r>
      <rPr>
        <i/>
        <sz val="12"/>
        <color theme="1"/>
        <rFont val="Times New Roman"/>
        <family val="1"/>
        <charset val="186"/>
      </rPr>
      <t>euro</t>
    </r>
    <r>
      <rPr>
        <sz val="12"/>
        <color theme="1"/>
        <rFont val="Times New Roman"/>
        <family val="1"/>
        <charset val="186"/>
      </rPr>
      <t xml:space="preserve"> * 0.0107 (iznomātās platības koeficients) = 4,01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</si>
  <si>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1.66 stundas, (12,17 </t>
    </r>
    <r>
      <rPr>
        <i/>
        <sz val="12"/>
        <color theme="1"/>
        <rFont val="Times New Roman"/>
        <family val="1"/>
        <charset val="186"/>
      </rPr>
      <t>euro</t>
    </r>
    <r>
      <rPr>
        <sz val="12"/>
        <color theme="1"/>
        <rFont val="Times New Roman"/>
        <family val="1"/>
        <charset val="186"/>
      </rPr>
      <t xml:space="preserve"> * 1.66 h) = 20,20 </t>
    </r>
    <r>
      <rPr>
        <i/>
        <sz val="12"/>
        <color theme="1"/>
        <rFont val="Times New Roman"/>
        <family val="1"/>
        <charset val="186"/>
      </rPr>
      <t>euro</t>
    </r>
    <r>
      <rPr>
        <sz val="12"/>
        <color theme="1"/>
        <rFont val="Times New Roman"/>
        <family val="1"/>
        <charset val="186"/>
      </rPr>
      <t xml:space="preserve">/mēn. * 12. mēn. = 242,40 </t>
    </r>
    <r>
      <rPr>
        <i/>
        <sz val="12"/>
        <color theme="1"/>
        <rFont val="Times New Roman"/>
        <family val="1"/>
        <charset val="186"/>
      </rPr>
      <t>euro</t>
    </r>
    <r>
      <rPr>
        <sz val="12"/>
        <color theme="1"/>
        <rFont val="Times New Roman"/>
        <family val="1"/>
        <charset val="186"/>
      </rPr>
      <t xml:space="preserve"> * 0.0107 (iznomātās platības koeficients) = 2,59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</si>
  <si>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 xml:space="preserve">euro </t>
    </r>
    <r>
      <rPr>
        <sz val="12"/>
        <color theme="1"/>
        <rFont val="Times New Roman"/>
        <family val="1"/>
        <charset val="186"/>
      </rPr>
      <t xml:space="preserve">/ 165.58 (vid. d. stundu sk. mēnesī). Vid. mēn. noslogojums 9.23 stunda,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0.0107 (iznomātās platības koeficients) = 9,83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</si>
  <si>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 xml:space="preserve">euro </t>
    </r>
    <r>
      <rPr>
        <sz val="12"/>
        <color theme="1"/>
        <rFont val="Times New Roman"/>
        <family val="1"/>
        <charset val="186"/>
      </rPr>
      <t xml:space="preserve">/ 165.58 (vid. d. stundu sk. mēnesī). Vid. mēn. noslogojums 33.59 stundas, (9,42 </t>
    </r>
    <r>
      <rPr>
        <i/>
        <sz val="12"/>
        <color theme="1"/>
        <rFont val="Times New Roman"/>
        <family val="1"/>
        <charset val="186"/>
      </rPr>
      <t>euro</t>
    </r>
    <r>
      <rPr>
        <sz val="12"/>
        <color theme="1"/>
        <rFont val="Times New Roman"/>
        <family val="1"/>
        <charset val="186"/>
      </rPr>
      <t xml:space="preserve"> * 33.59 h) = 316,42 </t>
    </r>
    <r>
      <rPr>
        <i/>
        <sz val="12"/>
        <color theme="1"/>
        <rFont val="Times New Roman"/>
        <family val="1"/>
        <charset val="186"/>
      </rPr>
      <t>euro</t>
    </r>
    <r>
      <rPr>
        <sz val="12"/>
        <color theme="1"/>
        <rFont val="Times New Roman"/>
        <family val="1"/>
        <charset val="186"/>
      </rPr>
      <t xml:space="preserve">/mēn. * 12. mēn. = 3 797,04 </t>
    </r>
    <r>
      <rPr>
        <i/>
        <sz val="12"/>
        <color theme="1"/>
        <rFont val="Times New Roman"/>
        <family val="1"/>
        <charset val="186"/>
      </rPr>
      <t>euro</t>
    </r>
    <r>
      <rPr>
        <sz val="12"/>
        <color theme="1"/>
        <rFont val="Times New Roman"/>
        <family val="1"/>
        <charset val="186"/>
      </rPr>
      <t xml:space="preserve"> * 0.0107 (iznomātās platības koeficients) = 40,63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</si>
  <si>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58.67 stundas, (8,29 </t>
    </r>
    <r>
      <rPr>
        <i/>
        <sz val="12"/>
        <color theme="1"/>
        <rFont val="Times New Roman"/>
        <family val="1"/>
        <charset val="186"/>
      </rPr>
      <t>euro</t>
    </r>
    <r>
      <rPr>
        <sz val="12"/>
        <color theme="1"/>
        <rFont val="Times New Roman"/>
        <family val="1"/>
        <charset val="186"/>
      </rPr>
      <t xml:space="preserve"> * 58.67 h) = 486,37 </t>
    </r>
    <r>
      <rPr>
        <i/>
        <sz val="12"/>
        <color theme="1"/>
        <rFont val="Times New Roman"/>
        <family val="1"/>
        <charset val="186"/>
      </rPr>
      <t>euro</t>
    </r>
    <r>
      <rPr>
        <sz val="12"/>
        <color theme="1"/>
        <rFont val="Times New Roman"/>
        <family val="1"/>
        <charset val="186"/>
      </rPr>
      <t xml:space="preserve">/mēn. * 12. mēn. = 5 836,44 </t>
    </r>
    <r>
      <rPr>
        <i/>
        <sz val="12"/>
        <color theme="1"/>
        <rFont val="Times New Roman"/>
        <family val="1"/>
        <charset val="186"/>
      </rPr>
      <t>euro</t>
    </r>
    <r>
      <rPr>
        <sz val="12"/>
        <color theme="1"/>
        <rFont val="Times New Roman"/>
        <family val="1"/>
        <charset val="186"/>
      </rPr>
      <t xml:space="preserve"> * 0.0107 (iznomātās platības koeficients) = 62,45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</si>
  <si>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7.2 stundas, (25,09 </t>
    </r>
    <r>
      <rPr>
        <i/>
        <sz val="12"/>
        <color theme="1"/>
        <rFont val="Times New Roman"/>
        <family val="1"/>
        <charset val="186"/>
      </rPr>
      <t>euro</t>
    </r>
    <r>
      <rPr>
        <sz val="12"/>
        <color theme="1"/>
        <rFont val="Times New Roman"/>
        <family val="1"/>
        <charset val="186"/>
      </rPr>
      <t xml:space="preserve"> * 7.2 h) = 180,65 </t>
    </r>
    <r>
      <rPr>
        <i/>
        <sz val="12"/>
        <color theme="1"/>
        <rFont val="Times New Roman"/>
        <family val="1"/>
        <charset val="186"/>
      </rPr>
      <t>euro</t>
    </r>
    <r>
      <rPr>
        <sz val="12"/>
        <color theme="1"/>
        <rFont val="Times New Roman"/>
        <family val="1"/>
        <charset val="186"/>
      </rPr>
      <t xml:space="preserve">/mēn. * 12. mēn. = 2 167,80 </t>
    </r>
    <r>
      <rPr>
        <i/>
        <sz val="12"/>
        <color theme="1"/>
        <rFont val="Times New Roman"/>
        <family val="1"/>
        <charset val="186"/>
      </rPr>
      <t>euro</t>
    </r>
    <r>
      <rPr>
        <sz val="12"/>
        <color theme="1"/>
        <rFont val="Times New Roman"/>
        <family val="1"/>
        <charset val="186"/>
      </rPr>
      <t xml:space="preserve"> * 0.0107 (iznomātās platības koeficients) = 23,20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</si>
  <si>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155,82 </t>
    </r>
    <r>
      <rPr>
        <i/>
        <sz val="12"/>
        <color theme="1"/>
        <rFont val="Times New Roman"/>
        <family val="1"/>
        <charset val="186"/>
      </rPr>
      <t>euro</t>
    </r>
    <r>
      <rPr>
        <sz val="12"/>
        <color theme="1"/>
        <rFont val="Times New Roman"/>
        <family val="1"/>
        <charset val="186"/>
      </rPr>
      <t xml:space="preserve"> * 23,59 % = 36,76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</si>
  <si>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 xml:space="preserve">euro </t>
    </r>
    <r>
      <rPr>
        <sz val="12"/>
        <color theme="1"/>
        <rFont val="Times New Roman"/>
        <family val="1"/>
        <charset val="186"/>
      </rPr>
      <t xml:space="preserve">/ 165.58 (vid. d. stundu sk. mēnesī). Vid. mēn. noslogojums 6.26 stundas, (8,20 </t>
    </r>
    <r>
      <rPr>
        <i/>
        <sz val="12"/>
        <color theme="1"/>
        <rFont val="Times New Roman"/>
        <family val="1"/>
        <charset val="186"/>
      </rPr>
      <t>euro</t>
    </r>
    <r>
      <rPr>
        <sz val="12"/>
        <color theme="1"/>
        <rFont val="Times New Roman"/>
        <family val="1"/>
        <charset val="186"/>
      </rPr>
      <t xml:space="preserve"> * 6.26 h) = 51,33 </t>
    </r>
    <r>
      <rPr>
        <i/>
        <sz val="12"/>
        <color theme="1"/>
        <rFont val="Times New Roman"/>
        <family val="1"/>
        <charset val="186"/>
      </rPr>
      <t>euro</t>
    </r>
    <r>
      <rPr>
        <sz val="12"/>
        <color theme="1"/>
        <rFont val="Times New Roman"/>
        <family val="1"/>
        <charset val="186"/>
      </rPr>
      <t xml:space="preserve">/mēn. * 12 mēn. = 615,96 </t>
    </r>
    <r>
      <rPr>
        <i/>
        <sz val="12"/>
        <color theme="1"/>
        <rFont val="Times New Roman"/>
        <family val="1"/>
        <charset val="186"/>
      </rPr>
      <t>euro</t>
    </r>
    <r>
      <rPr>
        <sz val="12"/>
        <color theme="1"/>
        <rFont val="Times New Roman"/>
        <family val="1"/>
        <charset val="186"/>
      </rPr>
      <t xml:space="preserve"> * 0.4169 (iznomātās platības koeficients) = 256,79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</si>
  <si>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142.54 stundas, (8,20 </t>
    </r>
    <r>
      <rPr>
        <i/>
        <sz val="12"/>
        <color theme="1"/>
        <rFont val="Times New Roman"/>
        <family val="1"/>
        <charset val="186"/>
      </rPr>
      <t>euro</t>
    </r>
    <r>
      <rPr>
        <sz val="12"/>
        <color theme="1"/>
        <rFont val="Times New Roman"/>
        <family val="1"/>
        <charset val="186"/>
      </rPr>
      <t xml:space="preserve"> * 142.54 h) = 1 168,83 </t>
    </r>
    <r>
      <rPr>
        <i/>
        <sz val="12"/>
        <color theme="1"/>
        <rFont val="Times New Roman"/>
        <family val="1"/>
        <charset val="186"/>
      </rPr>
      <t>euro</t>
    </r>
    <r>
      <rPr>
        <sz val="12"/>
        <color theme="1"/>
        <rFont val="Times New Roman"/>
        <family val="1"/>
        <charset val="186"/>
      </rPr>
      <t xml:space="preserve">/mēn.  * 12 mēn. = 14 025,96 </t>
    </r>
    <r>
      <rPr>
        <i/>
        <sz val="12"/>
        <color theme="1"/>
        <rFont val="Times New Roman"/>
        <family val="1"/>
        <charset val="186"/>
      </rPr>
      <t>euro</t>
    </r>
    <r>
      <rPr>
        <sz val="12"/>
        <color theme="1"/>
        <rFont val="Times New Roman"/>
        <family val="1"/>
        <charset val="186"/>
      </rPr>
      <t xml:space="preserve"> * 0.4169  (iznomātās platības koeficients) = 5 847,42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</si>
  <si>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10.44 stundas, (5,42 </t>
    </r>
    <r>
      <rPr>
        <i/>
        <sz val="12"/>
        <color theme="1"/>
        <rFont val="Times New Roman"/>
        <family val="1"/>
        <charset val="186"/>
      </rPr>
      <t>euro</t>
    </r>
    <r>
      <rPr>
        <sz val="12"/>
        <color theme="1"/>
        <rFont val="Times New Roman"/>
        <family val="1"/>
        <charset val="186"/>
      </rPr>
      <t xml:space="preserve"> * 10.44 h) = 56,58  </t>
    </r>
    <r>
      <rPr>
        <i/>
        <sz val="12"/>
        <color theme="1"/>
        <rFont val="Times New Roman"/>
        <family val="1"/>
        <charset val="186"/>
      </rPr>
      <t>euro</t>
    </r>
    <r>
      <rPr>
        <sz val="12"/>
        <color theme="1"/>
        <rFont val="Times New Roman"/>
        <family val="1"/>
        <charset val="186"/>
      </rPr>
      <t xml:space="preserve">/mēn.  * 12 mēn. = 678,96 </t>
    </r>
    <r>
      <rPr>
        <i/>
        <sz val="12"/>
        <color theme="1"/>
        <rFont val="Times New Roman"/>
        <family val="1"/>
        <charset val="186"/>
      </rPr>
      <t>euro</t>
    </r>
    <r>
      <rPr>
        <sz val="12"/>
        <color theme="1"/>
        <rFont val="Times New Roman"/>
        <family val="1"/>
        <charset val="186"/>
      </rPr>
      <t xml:space="preserve"> * 0.4169 (iznomātās platības koeficients) = 283,06 </t>
    </r>
    <r>
      <rPr>
        <i/>
        <sz val="12"/>
        <color theme="1"/>
        <rFont val="Times New Roman"/>
        <family val="1"/>
        <charset val="186"/>
      </rPr>
      <t>euro</t>
    </r>
    <r>
      <rPr>
        <sz val="12"/>
        <color theme="1"/>
        <rFont val="Times New Roman"/>
        <family val="1"/>
        <charset val="186"/>
      </rPr>
      <t xml:space="preserve">. </t>
    </r>
  </si>
  <si>
    <r>
      <t xml:space="preserve">Galv. nekust. īpaš. pārvaldnieks (256,79 </t>
    </r>
    <r>
      <rPr>
        <i/>
        <sz val="12"/>
        <color theme="1"/>
        <rFont val="Times New Roman"/>
        <family val="1"/>
        <charset val="186"/>
      </rPr>
      <t>euro</t>
    </r>
    <r>
      <rPr>
        <sz val="12"/>
        <color theme="1"/>
        <rFont val="Times New Roman"/>
        <family val="1"/>
        <charset val="186"/>
      </rPr>
      <t xml:space="preserve"> * 10%) = 25,68 </t>
    </r>
    <r>
      <rPr>
        <i/>
        <sz val="12"/>
        <color theme="1"/>
        <rFont val="Times New Roman"/>
        <family val="1"/>
        <charset val="186"/>
      </rPr>
      <t>euro</t>
    </r>
    <r>
      <rPr>
        <sz val="12"/>
        <color theme="1"/>
        <rFont val="Times New Roman"/>
        <family val="1"/>
        <charset val="186"/>
      </rPr>
      <t xml:space="preserve">, Dienesta viesnīcas vadīotājs (5 847,42 </t>
    </r>
    <r>
      <rPr>
        <i/>
        <sz val="12"/>
        <color theme="1"/>
        <rFont val="Times New Roman"/>
        <family val="1"/>
        <charset val="186"/>
      </rPr>
      <t>euro</t>
    </r>
    <r>
      <rPr>
        <sz val="12"/>
        <color theme="1"/>
        <rFont val="Times New Roman"/>
        <family val="1"/>
        <charset val="186"/>
      </rPr>
      <t xml:space="preserve"> * 10%) = 584,74 </t>
    </r>
    <r>
      <rPr>
        <i/>
        <sz val="12"/>
        <color theme="1"/>
        <rFont val="Times New Roman"/>
        <family val="1"/>
        <charset val="186"/>
      </rPr>
      <t>euro</t>
    </r>
    <r>
      <rPr>
        <sz val="12"/>
        <color theme="1"/>
        <rFont val="Times New Roman"/>
        <family val="1"/>
        <charset val="186"/>
      </rPr>
      <t xml:space="preserve">.  Saimniecības pārzinis (283,06 </t>
    </r>
    <r>
      <rPr>
        <i/>
        <sz val="12"/>
        <color theme="1"/>
        <rFont val="Times New Roman"/>
        <family val="1"/>
        <charset val="186"/>
      </rPr>
      <t>euro</t>
    </r>
    <r>
      <rPr>
        <sz val="12"/>
        <color theme="1"/>
        <rFont val="Times New Roman"/>
        <family val="1"/>
        <charset val="186"/>
      </rPr>
      <t xml:space="preserve"> * 10%) = 28,31 </t>
    </r>
    <r>
      <rPr>
        <i/>
        <sz val="12"/>
        <color theme="1"/>
        <rFont val="Times New Roman"/>
        <family val="1"/>
        <charset val="186"/>
      </rPr>
      <t>euro.</t>
    </r>
    <r>
      <rPr>
        <sz val="12"/>
        <color theme="1"/>
        <rFont val="Times New Roman"/>
        <family val="1"/>
        <charset val="186"/>
      </rPr>
      <t xml:space="preserve"> Kopā (25,68 </t>
    </r>
    <r>
      <rPr>
        <i/>
        <sz val="12"/>
        <color theme="1"/>
        <rFont val="Times New Roman"/>
        <family val="1"/>
        <charset val="186"/>
      </rPr>
      <t>euro</t>
    </r>
    <r>
      <rPr>
        <sz val="12"/>
        <color theme="1"/>
        <rFont val="Times New Roman"/>
        <family val="1"/>
        <charset val="186"/>
      </rPr>
      <t xml:space="preserve"> + 584,74 </t>
    </r>
    <r>
      <rPr>
        <i/>
        <sz val="12"/>
        <color theme="1"/>
        <rFont val="Times New Roman"/>
        <family val="1"/>
        <charset val="186"/>
      </rPr>
      <t>euro</t>
    </r>
    <r>
      <rPr>
        <sz val="12"/>
        <color theme="1"/>
        <rFont val="Times New Roman"/>
        <family val="1"/>
        <charset val="186"/>
      </rPr>
      <t xml:space="preserve"> +28,31 </t>
    </r>
    <r>
      <rPr>
        <i/>
        <sz val="12"/>
        <color theme="1"/>
        <rFont val="Times New Roman"/>
        <family val="1"/>
        <charset val="186"/>
      </rPr>
      <t>euro</t>
    </r>
    <r>
      <rPr>
        <sz val="12"/>
        <color theme="1"/>
        <rFont val="Times New Roman"/>
        <family val="1"/>
        <charset val="186"/>
      </rPr>
      <t xml:space="preserve">) = 638,73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</si>
  <si>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7 026,00 </t>
    </r>
    <r>
      <rPr>
        <i/>
        <sz val="12"/>
        <color theme="1"/>
        <rFont val="Times New Roman"/>
        <family val="1"/>
        <charset val="186"/>
      </rPr>
      <t>euro</t>
    </r>
    <r>
      <rPr>
        <sz val="12"/>
        <color theme="1"/>
        <rFont val="Times New Roman"/>
        <family val="1"/>
        <charset val="186"/>
      </rPr>
      <t xml:space="preserve"> * 23,59 % = 1 657,43 </t>
    </r>
    <r>
      <rPr>
        <i/>
        <sz val="12"/>
        <color theme="1"/>
        <rFont val="Times New Roman"/>
        <family val="1"/>
        <charset val="186"/>
      </rPr>
      <t xml:space="preserve">euro. </t>
    </r>
  </si>
  <si>
    <r>
      <t xml:space="preserve">Galv. nekust. īpaš. pārvaldnieks (256,79 </t>
    </r>
    <r>
      <rPr>
        <i/>
        <sz val="12"/>
        <color theme="1"/>
        <rFont val="Times New Roman"/>
        <family val="1"/>
        <charset val="186"/>
      </rPr>
      <t>euro</t>
    </r>
    <r>
      <rPr>
        <sz val="12"/>
        <color theme="1"/>
        <rFont val="Times New Roman"/>
        <family val="1"/>
        <charset val="186"/>
      </rPr>
      <t xml:space="preserve"> * 5%) = 12,84 </t>
    </r>
    <r>
      <rPr>
        <i/>
        <sz val="12"/>
        <color theme="1"/>
        <rFont val="Times New Roman"/>
        <family val="1"/>
        <charset val="186"/>
      </rPr>
      <t>euro</t>
    </r>
    <r>
      <rPr>
        <sz val="12"/>
        <color theme="1"/>
        <rFont val="Times New Roman"/>
        <family val="1"/>
        <charset val="186"/>
      </rPr>
      <t xml:space="preserve">, Dienesta viesnīcas vadīotājs (5 847,42 </t>
    </r>
    <r>
      <rPr>
        <i/>
        <sz val="12"/>
        <color theme="1"/>
        <rFont val="Times New Roman"/>
        <family val="1"/>
        <charset val="186"/>
      </rPr>
      <t>euro</t>
    </r>
    <r>
      <rPr>
        <sz val="12"/>
        <color theme="1"/>
        <rFont val="Times New Roman"/>
        <family val="1"/>
        <charset val="186"/>
      </rPr>
      <t xml:space="preserve"> * 5%) = 292,37 </t>
    </r>
    <r>
      <rPr>
        <i/>
        <sz val="12"/>
        <color theme="1"/>
        <rFont val="Times New Roman"/>
        <family val="1"/>
        <charset val="186"/>
      </rPr>
      <t>euro</t>
    </r>
    <r>
      <rPr>
        <sz val="12"/>
        <color theme="1"/>
        <rFont val="Times New Roman"/>
        <family val="1"/>
        <charset val="186"/>
      </rPr>
      <t xml:space="preserve">.  Saimniecības pārzinis (283,06 </t>
    </r>
    <r>
      <rPr>
        <i/>
        <sz val="12"/>
        <color theme="1"/>
        <rFont val="Times New Roman"/>
        <family val="1"/>
        <charset val="186"/>
      </rPr>
      <t>euro</t>
    </r>
    <r>
      <rPr>
        <sz val="12"/>
        <color theme="1"/>
        <rFont val="Times New Roman"/>
        <family val="1"/>
        <charset val="186"/>
      </rPr>
      <t xml:space="preserve"> * 5%) = 14,15 </t>
    </r>
    <r>
      <rPr>
        <i/>
        <sz val="12"/>
        <color theme="1"/>
        <rFont val="Times New Roman"/>
        <family val="1"/>
        <charset val="186"/>
      </rPr>
      <t>euro.</t>
    </r>
    <r>
      <rPr>
        <sz val="12"/>
        <color theme="1"/>
        <rFont val="Times New Roman"/>
        <family val="1"/>
        <charset val="186"/>
      </rPr>
      <t xml:space="preserve"> Kopā 12,84 </t>
    </r>
    <r>
      <rPr>
        <i/>
        <sz val="12"/>
        <color theme="1"/>
        <rFont val="Times New Roman"/>
        <family val="1"/>
        <charset val="186"/>
      </rPr>
      <t>euro</t>
    </r>
    <r>
      <rPr>
        <sz val="12"/>
        <color theme="1"/>
        <rFont val="Times New Roman"/>
        <family val="1"/>
        <charset val="186"/>
      </rPr>
      <t xml:space="preserve"> + 292,37  </t>
    </r>
    <r>
      <rPr>
        <i/>
        <sz val="12"/>
        <color theme="1"/>
        <rFont val="Times New Roman"/>
        <family val="1"/>
        <charset val="186"/>
      </rPr>
      <t>euro</t>
    </r>
    <r>
      <rPr>
        <sz val="12"/>
        <color theme="1"/>
        <rFont val="Times New Roman"/>
        <family val="1"/>
        <charset val="186"/>
      </rPr>
      <t xml:space="preserve"> +14,15  </t>
    </r>
    <r>
      <rPr>
        <i/>
        <sz val="12"/>
        <color theme="1"/>
        <rFont val="Times New Roman"/>
        <family val="1"/>
        <charset val="186"/>
      </rPr>
      <t>euro</t>
    </r>
    <r>
      <rPr>
        <sz val="12"/>
        <color theme="1"/>
        <rFont val="Times New Roman"/>
        <family val="1"/>
        <charset val="186"/>
      </rPr>
      <t xml:space="preserve">) = 319,36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</si>
  <si>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1 657,43 </t>
    </r>
    <r>
      <rPr>
        <i/>
        <sz val="12"/>
        <color theme="1"/>
        <rFont val="Times New Roman"/>
        <family val="1"/>
        <charset val="186"/>
      </rPr>
      <t>euro</t>
    </r>
    <r>
      <rPr>
        <sz val="12"/>
        <color theme="1"/>
        <rFont val="Times New Roman"/>
        <family val="1"/>
        <charset val="186"/>
      </rPr>
      <t xml:space="preserve">. Veselības apdrošināšana 319,36 </t>
    </r>
    <r>
      <rPr>
        <i/>
        <sz val="12"/>
        <color theme="1"/>
        <rFont val="Times New Roman"/>
        <family val="1"/>
        <charset val="186"/>
      </rPr>
      <t>euro</t>
    </r>
    <r>
      <rPr>
        <sz val="12"/>
        <color theme="1"/>
        <rFont val="Times New Roman"/>
        <family val="1"/>
        <charset val="186"/>
      </rPr>
      <t xml:space="preserve">. Kopā 1 976,79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</si>
  <si>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1.91 stundas, (11,47 </t>
    </r>
    <r>
      <rPr>
        <i/>
        <sz val="12"/>
        <color theme="1"/>
        <rFont val="Times New Roman"/>
        <family val="1"/>
        <charset val="186"/>
      </rPr>
      <t>euro</t>
    </r>
    <r>
      <rPr>
        <sz val="12"/>
        <color theme="1"/>
        <rFont val="Times New Roman"/>
        <family val="1"/>
        <charset val="186"/>
      </rPr>
      <t xml:space="preserve"> * 1.91 h) = 21,91 </t>
    </r>
    <r>
      <rPr>
        <i/>
        <sz val="12"/>
        <color theme="1"/>
        <rFont val="Times New Roman"/>
        <family val="1"/>
        <charset val="186"/>
      </rPr>
      <t>euro</t>
    </r>
    <r>
      <rPr>
        <sz val="12"/>
        <color theme="1"/>
        <rFont val="Times New Roman"/>
        <family val="1"/>
        <charset val="186"/>
      </rPr>
      <t xml:space="preserve">/mēn. * 12. mēn. = 262,92 </t>
    </r>
    <r>
      <rPr>
        <i/>
        <sz val="12"/>
        <color theme="1"/>
        <rFont val="Times New Roman"/>
        <family val="1"/>
        <charset val="186"/>
      </rPr>
      <t>euro</t>
    </r>
    <r>
      <rPr>
        <sz val="12"/>
        <color theme="1"/>
        <rFont val="Times New Roman"/>
        <family val="1"/>
        <charset val="186"/>
      </rPr>
      <t xml:space="preserve"> * 0.4169 (iznomātās platības koeficients) = 109,61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</si>
  <si>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1.87 stundas,  (7,65 </t>
    </r>
    <r>
      <rPr>
        <i/>
        <sz val="12"/>
        <color theme="1"/>
        <rFont val="Times New Roman"/>
        <family val="1"/>
        <charset val="186"/>
      </rPr>
      <t>euro</t>
    </r>
    <r>
      <rPr>
        <sz val="12"/>
        <color theme="1"/>
        <rFont val="Times New Roman"/>
        <family val="1"/>
        <charset val="186"/>
      </rPr>
      <t xml:space="preserve"> * 1.87 h) = 14,31 </t>
    </r>
    <r>
      <rPr>
        <i/>
        <sz val="12"/>
        <color theme="1"/>
        <rFont val="Times New Roman"/>
        <family val="1"/>
        <charset val="186"/>
      </rPr>
      <t>euro</t>
    </r>
    <r>
      <rPr>
        <sz val="12"/>
        <color theme="1"/>
        <rFont val="Times New Roman"/>
        <family val="1"/>
        <charset val="186"/>
      </rPr>
      <t xml:space="preserve">/mēn. * 12. mēn. = 171,72 </t>
    </r>
    <r>
      <rPr>
        <i/>
        <sz val="12"/>
        <color theme="1"/>
        <rFont val="Times New Roman"/>
        <family val="1"/>
        <charset val="186"/>
      </rPr>
      <t>euro</t>
    </r>
    <r>
      <rPr>
        <sz val="12"/>
        <color theme="1"/>
        <rFont val="Times New Roman"/>
        <family val="1"/>
        <charset val="186"/>
      </rPr>
      <t xml:space="preserve"> * 0.4169 (iznomātās platības koeficients) = 71,59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</si>
  <si>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1.83 stundas, (11,47 </t>
    </r>
    <r>
      <rPr>
        <i/>
        <sz val="12"/>
        <color theme="1"/>
        <rFont val="Times New Roman"/>
        <family val="1"/>
        <charset val="186"/>
      </rPr>
      <t>euro</t>
    </r>
    <r>
      <rPr>
        <sz val="12"/>
        <color theme="1"/>
        <rFont val="Times New Roman"/>
        <family val="1"/>
        <charset val="186"/>
      </rPr>
      <t xml:space="preserve"> * 1.83 h) = 20,99 </t>
    </r>
    <r>
      <rPr>
        <i/>
        <sz val="12"/>
        <color theme="1"/>
        <rFont val="Times New Roman"/>
        <family val="1"/>
        <charset val="186"/>
      </rPr>
      <t>euro</t>
    </r>
    <r>
      <rPr>
        <sz val="12"/>
        <color theme="1"/>
        <rFont val="Times New Roman"/>
        <family val="1"/>
        <charset val="186"/>
      </rPr>
      <t xml:space="preserve">/mēn. * 12. mēn. = 251,88 </t>
    </r>
    <r>
      <rPr>
        <i/>
        <sz val="12"/>
        <color theme="1"/>
        <rFont val="Times New Roman"/>
        <family val="1"/>
        <charset val="186"/>
      </rPr>
      <t>euro</t>
    </r>
    <r>
      <rPr>
        <sz val="12"/>
        <color theme="1"/>
        <rFont val="Times New Roman"/>
        <family val="1"/>
        <charset val="186"/>
      </rPr>
      <t xml:space="preserve"> * 0.4169 (iznomātās platības koeficients) = 105,01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</si>
  <si>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2.06 stundas, (15,15 </t>
    </r>
    <r>
      <rPr>
        <i/>
        <sz val="12"/>
        <color theme="1"/>
        <rFont val="Times New Roman"/>
        <family val="1"/>
        <charset val="186"/>
      </rPr>
      <t>euro</t>
    </r>
    <r>
      <rPr>
        <sz val="12"/>
        <color theme="1"/>
        <rFont val="Times New Roman"/>
        <family val="1"/>
        <charset val="186"/>
      </rPr>
      <t xml:space="preserve"> * 2.06 h) = 31,21 </t>
    </r>
    <r>
      <rPr>
        <i/>
        <sz val="12"/>
        <color theme="1"/>
        <rFont val="Times New Roman"/>
        <family val="1"/>
        <charset val="186"/>
      </rPr>
      <t>euro</t>
    </r>
    <r>
      <rPr>
        <sz val="12"/>
        <color theme="1"/>
        <rFont val="Times New Roman"/>
        <family val="1"/>
        <charset val="186"/>
      </rPr>
      <t xml:space="preserve">/mēn. * 12. mēn. = 374,52 </t>
    </r>
    <r>
      <rPr>
        <i/>
        <sz val="12"/>
        <color theme="1"/>
        <rFont val="Times New Roman"/>
        <family val="1"/>
        <charset val="186"/>
      </rPr>
      <t>euro</t>
    </r>
    <r>
      <rPr>
        <sz val="12"/>
        <color theme="1"/>
        <rFont val="Times New Roman"/>
        <family val="1"/>
        <charset val="186"/>
      </rPr>
      <t xml:space="preserve"> * 0.4169 (iznomātās platības koeficients) = 156,14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</si>
  <si>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1.66 stundas, (12,17 </t>
    </r>
    <r>
      <rPr>
        <i/>
        <sz val="12"/>
        <color theme="1"/>
        <rFont val="Times New Roman"/>
        <family val="1"/>
        <charset val="186"/>
      </rPr>
      <t>euro</t>
    </r>
    <r>
      <rPr>
        <sz val="12"/>
        <color theme="1"/>
        <rFont val="Times New Roman"/>
        <family val="1"/>
        <charset val="186"/>
      </rPr>
      <t xml:space="preserve"> * 1.66 h) = 20,20 </t>
    </r>
    <r>
      <rPr>
        <i/>
        <sz val="12"/>
        <color theme="1"/>
        <rFont val="Times New Roman"/>
        <family val="1"/>
        <charset val="186"/>
      </rPr>
      <t>euro</t>
    </r>
    <r>
      <rPr>
        <sz val="12"/>
        <color theme="1"/>
        <rFont val="Times New Roman"/>
        <family val="1"/>
        <charset val="186"/>
      </rPr>
      <t xml:space="preserve">/mēn. * 12. mēn. = 242,40 </t>
    </r>
    <r>
      <rPr>
        <i/>
        <sz val="12"/>
        <color theme="1"/>
        <rFont val="Times New Roman"/>
        <family val="1"/>
        <charset val="186"/>
      </rPr>
      <t>euro</t>
    </r>
    <r>
      <rPr>
        <sz val="12"/>
        <color theme="1"/>
        <rFont val="Times New Roman"/>
        <family val="1"/>
        <charset val="186"/>
      </rPr>
      <t xml:space="preserve"> * 0.4169 (iznomātās platības koeficients) = 101,06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</si>
  <si>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9.23 stunda,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0.4169 (iznomātās platības koeficients) = 382,81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</si>
  <si>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 xml:space="preserve">euro </t>
    </r>
    <r>
      <rPr>
        <sz val="12"/>
        <color theme="1"/>
        <rFont val="Times New Roman"/>
        <family val="1"/>
        <charset val="186"/>
      </rPr>
      <t xml:space="preserve">/ 165.58 (vid. d. stundu sk. mēnesī). Vid. mēn. noslogojums 33.59 stundas, (9,42 </t>
    </r>
    <r>
      <rPr>
        <i/>
        <sz val="12"/>
        <color theme="1"/>
        <rFont val="Times New Roman"/>
        <family val="1"/>
        <charset val="186"/>
      </rPr>
      <t>euro</t>
    </r>
    <r>
      <rPr>
        <sz val="12"/>
        <color theme="1"/>
        <rFont val="Times New Roman"/>
        <family val="1"/>
        <charset val="186"/>
      </rPr>
      <t xml:space="preserve"> * 33.59 h) = 316,42 </t>
    </r>
    <r>
      <rPr>
        <i/>
        <sz val="12"/>
        <color theme="1"/>
        <rFont val="Times New Roman"/>
        <family val="1"/>
        <charset val="186"/>
      </rPr>
      <t>euro</t>
    </r>
    <r>
      <rPr>
        <sz val="12"/>
        <color theme="1"/>
        <rFont val="Times New Roman"/>
        <family val="1"/>
        <charset val="186"/>
      </rPr>
      <t xml:space="preserve">/mēn. * 12. mēn. = 3 797,04 </t>
    </r>
    <r>
      <rPr>
        <i/>
        <sz val="12"/>
        <color theme="1"/>
        <rFont val="Times New Roman"/>
        <family val="1"/>
        <charset val="186"/>
      </rPr>
      <t>euro</t>
    </r>
    <r>
      <rPr>
        <sz val="12"/>
        <color theme="1"/>
        <rFont val="Times New Roman"/>
        <family val="1"/>
        <charset val="186"/>
      </rPr>
      <t xml:space="preserve"> * 0.4169 (iznomātās platības koeficients) = 1 582,99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</si>
  <si>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7.2 stundas, (25,09 </t>
    </r>
    <r>
      <rPr>
        <i/>
        <sz val="12"/>
        <color theme="1"/>
        <rFont val="Times New Roman"/>
        <family val="1"/>
        <charset val="186"/>
      </rPr>
      <t>euro</t>
    </r>
    <r>
      <rPr>
        <sz val="12"/>
        <color theme="1"/>
        <rFont val="Times New Roman"/>
        <family val="1"/>
        <charset val="186"/>
      </rPr>
      <t xml:space="preserve"> * 7.2 h) = 180,65 </t>
    </r>
    <r>
      <rPr>
        <i/>
        <sz val="12"/>
        <color theme="1"/>
        <rFont val="Times New Roman"/>
        <family val="1"/>
        <charset val="186"/>
      </rPr>
      <t>euro</t>
    </r>
    <r>
      <rPr>
        <sz val="12"/>
        <color theme="1"/>
        <rFont val="Times New Roman"/>
        <family val="1"/>
        <charset val="186"/>
      </rPr>
      <t xml:space="preserve">/mēn. * 12. mēn. = 2 167,80 </t>
    </r>
    <r>
      <rPr>
        <i/>
        <sz val="12"/>
        <color theme="1"/>
        <rFont val="Times New Roman"/>
        <family val="1"/>
        <charset val="186"/>
      </rPr>
      <t>euro</t>
    </r>
    <r>
      <rPr>
        <sz val="12"/>
        <color theme="1"/>
        <rFont val="Times New Roman"/>
        <family val="1"/>
        <charset val="186"/>
      </rPr>
      <t xml:space="preserve"> * 0.4169 (iznomātās platības koeficients) = 903,76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</si>
  <si>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1.65 stundas, (27,18 </t>
    </r>
    <r>
      <rPr>
        <i/>
        <sz val="12"/>
        <color theme="1"/>
        <rFont val="Times New Roman"/>
        <family val="1"/>
        <charset val="186"/>
      </rPr>
      <t>euro</t>
    </r>
    <r>
      <rPr>
        <sz val="12"/>
        <color theme="1"/>
        <rFont val="Times New Roman"/>
        <family val="1"/>
        <charset val="186"/>
      </rPr>
      <t xml:space="preserve"> * 1.65 h) = 44,85 </t>
    </r>
    <r>
      <rPr>
        <i/>
        <sz val="12"/>
        <color theme="1"/>
        <rFont val="Times New Roman"/>
        <family val="1"/>
        <charset val="186"/>
      </rPr>
      <t>euro</t>
    </r>
    <r>
      <rPr>
        <sz val="12"/>
        <color theme="1"/>
        <rFont val="Times New Roman"/>
        <family val="1"/>
        <charset val="186"/>
      </rPr>
      <t xml:space="preserve">/mēn. * 12. mēn. = 538,20 </t>
    </r>
    <r>
      <rPr>
        <i/>
        <sz val="12"/>
        <color theme="1"/>
        <rFont val="Times New Roman"/>
        <family val="1"/>
        <charset val="186"/>
      </rPr>
      <t>euro</t>
    </r>
    <r>
      <rPr>
        <sz val="12"/>
        <color theme="1"/>
        <rFont val="Times New Roman"/>
        <family val="1"/>
        <charset val="186"/>
      </rPr>
      <t xml:space="preserve"> * 0.4169 (iznomātās platības koeficients) = 224,38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</si>
  <si>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 xml:space="preserve">euro </t>
    </r>
    <r>
      <rPr>
        <sz val="12"/>
        <color theme="1"/>
        <rFont val="Times New Roman"/>
        <family val="1"/>
        <charset val="186"/>
      </rPr>
      <t xml:space="preserve">/ 165.58 (vid. d. stundu sk. mēnesī). Vid. mēn. noslogojums 6.26 stundas, (8,20 </t>
    </r>
    <r>
      <rPr>
        <i/>
        <sz val="12"/>
        <color theme="1"/>
        <rFont val="Times New Roman"/>
        <family val="1"/>
        <charset val="186"/>
      </rPr>
      <t>euro</t>
    </r>
    <r>
      <rPr>
        <sz val="12"/>
        <color theme="1"/>
        <rFont val="Times New Roman"/>
        <family val="1"/>
        <charset val="186"/>
      </rPr>
      <t xml:space="preserve"> * 6.26 h) = 51,33 </t>
    </r>
    <r>
      <rPr>
        <i/>
        <sz val="12"/>
        <color theme="1"/>
        <rFont val="Times New Roman"/>
        <family val="1"/>
        <charset val="186"/>
      </rPr>
      <t>euro</t>
    </r>
    <r>
      <rPr>
        <sz val="12"/>
        <color theme="1"/>
        <rFont val="Times New Roman"/>
        <family val="1"/>
        <charset val="186"/>
      </rPr>
      <t xml:space="preserve">/mēn. * 12 mēn. = 615,96 </t>
    </r>
    <r>
      <rPr>
        <i/>
        <sz val="12"/>
        <color theme="1"/>
        <rFont val="Times New Roman"/>
        <family val="1"/>
        <charset val="186"/>
      </rPr>
      <t>euro</t>
    </r>
    <r>
      <rPr>
        <sz val="12"/>
        <color theme="1"/>
        <rFont val="Times New Roman"/>
        <family val="1"/>
        <charset val="186"/>
      </rPr>
      <t xml:space="preserve"> * 0.05073 (Iznomātās platības koeficients) = 31,25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</si>
  <si>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142.54 stundas, (8,20 </t>
    </r>
    <r>
      <rPr>
        <i/>
        <sz val="12"/>
        <color theme="1"/>
        <rFont val="Times New Roman"/>
        <family val="1"/>
        <charset val="186"/>
      </rPr>
      <t>euro</t>
    </r>
    <r>
      <rPr>
        <sz val="12"/>
        <color theme="1"/>
        <rFont val="Times New Roman"/>
        <family val="1"/>
        <charset val="186"/>
      </rPr>
      <t xml:space="preserve"> * 142.54 h) = 1 168,83 </t>
    </r>
    <r>
      <rPr>
        <i/>
        <sz val="12"/>
        <color theme="1"/>
        <rFont val="Times New Roman"/>
        <family val="1"/>
        <charset val="186"/>
      </rPr>
      <t>euro</t>
    </r>
    <r>
      <rPr>
        <sz val="12"/>
        <color theme="1"/>
        <rFont val="Times New Roman"/>
        <family val="1"/>
        <charset val="186"/>
      </rPr>
      <t xml:space="preserve">/mēn.  * 12 mēn. = 14 025,96 </t>
    </r>
    <r>
      <rPr>
        <i/>
        <sz val="12"/>
        <color theme="1"/>
        <rFont val="Times New Roman"/>
        <family val="1"/>
        <charset val="186"/>
      </rPr>
      <t>euro</t>
    </r>
    <r>
      <rPr>
        <sz val="12"/>
        <color theme="1"/>
        <rFont val="Times New Roman"/>
        <family val="1"/>
        <charset val="186"/>
      </rPr>
      <t xml:space="preserve"> * 0.05073 (Iznomātās platības koeficients) = 711,54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</si>
  <si>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10.44 stundas, (5,42 </t>
    </r>
    <r>
      <rPr>
        <i/>
        <sz val="12"/>
        <color theme="1"/>
        <rFont val="Times New Roman"/>
        <family val="1"/>
        <charset val="186"/>
      </rPr>
      <t>euro</t>
    </r>
    <r>
      <rPr>
        <sz val="12"/>
        <color theme="1"/>
        <rFont val="Times New Roman"/>
        <family val="1"/>
        <charset val="186"/>
      </rPr>
      <t xml:space="preserve"> * 10.44 h) = 56,58 </t>
    </r>
    <r>
      <rPr>
        <i/>
        <sz val="12"/>
        <color theme="1"/>
        <rFont val="Times New Roman"/>
        <family val="1"/>
        <charset val="186"/>
      </rPr>
      <t>euro</t>
    </r>
    <r>
      <rPr>
        <sz val="12"/>
        <color theme="1"/>
        <rFont val="Times New Roman"/>
        <family val="1"/>
        <charset val="186"/>
      </rPr>
      <t xml:space="preserve">/mēn. * 12 mēn. = 678,96 </t>
    </r>
    <r>
      <rPr>
        <i/>
        <sz val="12"/>
        <color theme="1"/>
        <rFont val="Times New Roman"/>
        <family val="1"/>
        <charset val="186"/>
      </rPr>
      <t>euro</t>
    </r>
    <r>
      <rPr>
        <sz val="12"/>
        <color theme="1"/>
        <rFont val="Times New Roman"/>
        <family val="1"/>
        <charset val="186"/>
      </rPr>
      <t xml:space="preserve"> * 0.05073 (Iznomātās platības koeficients) = 34,44 </t>
    </r>
    <r>
      <rPr>
        <i/>
        <sz val="12"/>
        <color theme="1"/>
        <rFont val="Times New Roman"/>
        <family val="1"/>
        <charset val="186"/>
      </rPr>
      <t>euro</t>
    </r>
    <r>
      <rPr>
        <sz val="12"/>
        <color theme="1"/>
        <rFont val="Times New Roman"/>
        <family val="1"/>
        <charset val="186"/>
      </rPr>
      <t xml:space="preserve">. </t>
    </r>
  </si>
  <si>
    <r>
      <t xml:space="preserve">Galv. nekust. īpaš. pārvaldnieks (31,25 </t>
    </r>
    <r>
      <rPr>
        <i/>
        <sz val="12"/>
        <color theme="1"/>
        <rFont val="Times New Roman"/>
        <family val="1"/>
        <charset val="186"/>
      </rPr>
      <t>euro</t>
    </r>
    <r>
      <rPr>
        <sz val="12"/>
        <color theme="1"/>
        <rFont val="Times New Roman"/>
        <family val="1"/>
        <charset val="186"/>
      </rPr>
      <t xml:space="preserve"> * 10%) = 3,13 </t>
    </r>
    <r>
      <rPr>
        <i/>
        <sz val="12"/>
        <color theme="1"/>
        <rFont val="Times New Roman"/>
        <family val="1"/>
        <charset val="186"/>
      </rPr>
      <t>euro</t>
    </r>
    <r>
      <rPr>
        <sz val="12"/>
        <color theme="1"/>
        <rFont val="Times New Roman"/>
        <family val="1"/>
        <charset val="186"/>
      </rPr>
      <t xml:space="preserve">, Dienesta viesnīcas vadīotājs (711,54 </t>
    </r>
    <r>
      <rPr>
        <i/>
        <sz val="12"/>
        <color theme="1"/>
        <rFont val="Times New Roman"/>
        <family val="1"/>
        <charset val="186"/>
      </rPr>
      <t>euro</t>
    </r>
    <r>
      <rPr>
        <sz val="12"/>
        <color theme="1"/>
        <rFont val="Times New Roman"/>
        <family val="1"/>
        <charset val="186"/>
      </rPr>
      <t xml:space="preserve"> * 10%) = 71,15 </t>
    </r>
    <r>
      <rPr>
        <i/>
        <sz val="12"/>
        <color theme="1"/>
        <rFont val="Times New Roman"/>
        <family val="1"/>
        <charset val="186"/>
      </rPr>
      <t>euro</t>
    </r>
    <r>
      <rPr>
        <sz val="12"/>
        <color theme="1"/>
        <rFont val="Times New Roman"/>
        <family val="1"/>
        <charset val="186"/>
      </rPr>
      <t xml:space="preserve">.  Saimniecības pārzinis (34,44 </t>
    </r>
    <r>
      <rPr>
        <i/>
        <sz val="12"/>
        <color theme="1"/>
        <rFont val="Times New Roman"/>
        <family val="1"/>
        <charset val="186"/>
      </rPr>
      <t>euro</t>
    </r>
    <r>
      <rPr>
        <sz val="12"/>
        <color theme="1"/>
        <rFont val="Times New Roman"/>
        <family val="1"/>
        <charset val="186"/>
      </rPr>
      <t xml:space="preserve"> * 10%) = 3,44 </t>
    </r>
    <r>
      <rPr>
        <i/>
        <sz val="12"/>
        <color theme="1"/>
        <rFont val="Times New Roman"/>
        <family val="1"/>
        <charset val="186"/>
      </rPr>
      <t>euro.</t>
    </r>
    <r>
      <rPr>
        <sz val="12"/>
        <color theme="1"/>
        <rFont val="Times New Roman"/>
        <family val="1"/>
        <charset val="186"/>
      </rPr>
      <t xml:space="preserve"> Kopā (3,13 </t>
    </r>
    <r>
      <rPr>
        <i/>
        <sz val="12"/>
        <color theme="1"/>
        <rFont val="Times New Roman"/>
        <family val="1"/>
        <charset val="186"/>
      </rPr>
      <t>euro</t>
    </r>
    <r>
      <rPr>
        <sz val="12"/>
        <color theme="1"/>
        <rFont val="Times New Roman"/>
        <family val="1"/>
        <charset val="186"/>
      </rPr>
      <t xml:space="preserve"> + 71,15 </t>
    </r>
    <r>
      <rPr>
        <i/>
        <sz val="12"/>
        <color theme="1"/>
        <rFont val="Times New Roman"/>
        <family val="1"/>
        <charset val="186"/>
      </rPr>
      <t>euro</t>
    </r>
    <r>
      <rPr>
        <sz val="12"/>
        <color theme="1"/>
        <rFont val="Times New Roman"/>
        <family val="1"/>
        <charset val="186"/>
      </rPr>
      <t xml:space="preserve"> +3,44 </t>
    </r>
    <r>
      <rPr>
        <i/>
        <sz val="12"/>
        <color theme="1"/>
        <rFont val="Times New Roman"/>
        <family val="1"/>
        <charset val="186"/>
      </rPr>
      <t>euro</t>
    </r>
    <r>
      <rPr>
        <sz val="12"/>
        <color theme="1"/>
        <rFont val="Times New Roman"/>
        <family val="1"/>
        <charset val="186"/>
      </rPr>
      <t xml:space="preserve">) = 77,72 </t>
    </r>
    <r>
      <rPr>
        <i/>
        <sz val="12"/>
        <color theme="1"/>
        <rFont val="Times New Roman"/>
        <family val="1"/>
        <charset val="186"/>
      </rPr>
      <t>euro</t>
    </r>
    <r>
      <rPr>
        <sz val="12"/>
        <color theme="1"/>
        <rFont val="Times New Roman"/>
        <family val="1"/>
        <charset val="186"/>
      </rPr>
      <t>.</t>
    </r>
  </si>
  <si>
    <r>
      <t xml:space="preserve">Galv. nekust. īpaš. pārvaldnieks (31,25 </t>
    </r>
    <r>
      <rPr>
        <i/>
        <sz val="12"/>
        <color theme="1"/>
        <rFont val="Times New Roman"/>
        <family val="1"/>
        <charset val="186"/>
      </rPr>
      <t>euro</t>
    </r>
    <r>
      <rPr>
        <sz val="12"/>
        <color theme="1"/>
        <rFont val="Times New Roman"/>
        <family val="1"/>
        <charset val="186"/>
      </rPr>
      <t xml:space="preserve"> * 5%) = 1,56 </t>
    </r>
    <r>
      <rPr>
        <i/>
        <sz val="12"/>
        <color theme="1"/>
        <rFont val="Times New Roman"/>
        <family val="1"/>
        <charset val="186"/>
      </rPr>
      <t>euro</t>
    </r>
    <r>
      <rPr>
        <sz val="12"/>
        <color theme="1"/>
        <rFont val="Times New Roman"/>
        <family val="1"/>
        <charset val="186"/>
      </rPr>
      <t xml:space="preserve">, Dienesta viesnīcas vadīotājs (711,54 </t>
    </r>
    <r>
      <rPr>
        <i/>
        <sz val="12"/>
        <color theme="1"/>
        <rFont val="Times New Roman"/>
        <family val="1"/>
        <charset val="186"/>
      </rPr>
      <t>euro</t>
    </r>
    <r>
      <rPr>
        <sz val="12"/>
        <color theme="1"/>
        <rFont val="Times New Roman"/>
        <family val="1"/>
        <charset val="186"/>
      </rPr>
      <t xml:space="preserve"> * 5%) = 35,58 </t>
    </r>
    <r>
      <rPr>
        <i/>
        <sz val="12"/>
        <color theme="1"/>
        <rFont val="Times New Roman"/>
        <family val="1"/>
        <charset val="186"/>
      </rPr>
      <t>euro</t>
    </r>
    <r>
      <rPr>
        <sz val="12"/>
        <color theme="1"/>
        <rFont val="Times New Roman"/>
        <family val="1"/>
        <charset val="186"/>
      </rPr>
      <t xml:space="preserve">. Saimniecības pārzinis (34,44 </t>
    </r>
    <r>
      <rPr>
        <i/>
        <sz val="12"/>
        <color theme="1"/>
        <rFont val="Times New Roman"/>
        <family val="1"/>
        <charset val="186"/>
      </rPr>
      <t>euro</t>
    </r>
    <r>
      <rPr>
        <sz val="12"/>
        <color theme="1"/>
        <rFont val="Times New Roman"/>
        <family val="1"/>
        <charset val="186"/>
      </rPr>
      <t xml:space="preserve"> * 5%) = 1,72 </t>
    </r>
    <r>
      <rPr>
        <i/>
        <sz val="12"/>
        <color theme="1"/>
        <rFont val="Times New Roman"/>
        <family val="1"/>
        <charset val="186"/>
      </rPr>
      <t>euro.</t>
    </r>
    <r>
      <rPr>
        <sz val="12"/>
        <color theme="1"/>
        <rFont val="Times New Roman"/>
        <family val="1"/>
        <charset val="186"/>
      </rPr>
      <t xml:space="preserve"> Kopā (1,56 </t>
    </r>
    <r>
      <rPr>
        <i/>
        <sz val="12"/>
        <color theme="1"/>
        <rFont val="Times New Roman"/>
        <family val="1"/>
        <charset val="186"/>
      </rPr>
      <t>euro</t>
    </r>
    <r>
      <rPr>
        <sz val="12"/>
        <color theme="1"/>
        <rFont val="Times New Roman"/>
        <family val="1"/>
        <charset val="186"/>
      </rPr>
      <t xml:space="preserve"> + 35,58 </t>
    </r>
    <r>
      <rPr>
        <i/>
        <sz val="12"/>
        <color theme="1"/>
        <rFont val="Times New Roman"/>
        <family val="1"/>
        <charset val="186"/>
      </rPr>
      <t>euro</t>
    </r>
    <r>
      <rPr>
        <sz val="12"/>
        <color theme="1"/>
        <rFont val="Times New Roman"/>
        <family val="1"/>
        <charset val="186"/>
      </rPr>
      <t xml:space="preserve"> +1,72 </t>
    </r>
    <r>
      <rPr>
        <i/>
        <sz val="12"/>
        <color theme="1"/>
        <rFont val="Times New Roman"/>
        <family val="1"/>
        <charset val="186"/>
      </rPr>
      <t>euro</t>
    </r>
    <r>
      <rPr>
        <sz val="12"/>
        <color theme="1"/>
        <rFont val="Times New Roman"/>
        <family val="1"/>
        <charset val="186"/>
      </rPr>
      <t xml:space="preserve">) = 38,86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</si>
  <si>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854,95 </t>
    </r>
    <r>
      <rPr>
        <i/>
        <sz val="12"/>
        <color theme="1"/>
        <rFont val="Times New Roman"/>
        <family val="1"/>
        <charset val="186"/>
      </rPr>
      <t>euro</t>
    </r>
    <r>
      <rPr>
        <sz val="12"/>
        <color theme="1"/>
        <rFont val="Times New Roman"/>
        <family val="1"/>
        <charset val="186"/>
      </rPr>
      <t xml:space="preserve"> * 23,59 % = 201,68 </t>
    </r>
    <r>
      <rPr>
        <i/>
        <sz val="12"/>
        <color theme="1"/>
        <rFont val="Times New Roman"/>
        <family val="1"/>
        <charset val="186"/>
      </rPr>
      <t xml:space="preserve">euro. </t>
    </r>
  </si>
  <si>
    <r>
      <t xml:space="preserve">Darba devēja valsts sociālās apdrošināšanas obligātās iemaksas 201,68 </t>
    </r>
    <r>
      <rPr>
        <i/>
        <sz val="12"/>
        <color theme="1"/>
        <rFont val="Times New Roman"/>
        <family val="1"/>
        <charset val="186"/>
      </rPr>
      <t>euro</t>
    </r>
    <r>
      <rPr>
        <sz val="12"/>
        <color theme="1"/>
        <rFont val="Times New Roman"/>
        <family val="1"/>
        <charset val="186"/>
      </rPr>
      <t xml:space="preserve">. Veselības apdrošināšana 38,86 </t>
    </r>
    <r>
      <rPr>
        <i/>
        <sz val="12"/>
        <color theme="1"/>
        <rFont val="Times New Roman"/>
        <family val="1"/>
        <charset val="186"/>
      </rPr>
      <t>euro</t>
    </r>
    <r>
      <rPr>
        <sz val="12"/>
        <color theme="1"/>
        <rFont val="Times New Roman"/>
        <family val="1"/>
        <charset val="186"/>
      </rPr>
      <t xml:space="preserve">. Kopā 240,54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</si>
  <si>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1.91 stundas, (11,47 </t>
    </r>
    <r>
      <rPr>
        <i/>
        <sz val="12"/>
        <color theme="1"/>
        <rFont val="Times New Roman"/>
        <family val="1"/>
        <charset val="186"/>
      </rPr>
      <t>euro</t>
    </r>
    <r>
      <rPr>
        <sz val="12"/>
        <color theme="1"/>
        <rFont val="Times New Roman"/>
        <family val="1"/>
        <charset val="186"/>
      </rPr>
      <t xml:space="preserve"> * 1.91 h) = 21,91 </t>
    </r>
    <r>
      <rPr>
        <i/>
        <sz val="12"/>
        <color theme="1"/>
        <rFont val="Times New Roman"/>
        <family val="1"/>
        <charset val="186"/>
      </rPr>
      <t>euro</t>
    </r>
    <r>
      <rPr>
        <sz val="12"/>
        <color theme="1"/>
        <rFont val="Times New Roman"/>
        <family val="1"/>
        <charset val="186"/>
      </rPr>
      <t xml:space="preserve">/mēn. * 12. mēn. = 262,92 </t>
    </r>
    <r>
      <rPr>
        <i/>
        <sz val="12"/>
        <color theme="1"/>
        <rFont val="Times New Roman"/>
        <family val="1"/>
        <charset val="186"/>
      </rPr>
      <t>euro</t>
    </r>
    <r>
      <rPr>
        <sz val="12"/>
        <color theme="1"/>
        <rFont val="Times New Roman"/>
        <family val="1"/>
        <charset val="186"/>
      </rPr>
      <t xml:space="preserve"> * 0.05073 (iznomātās platības koeficients) = 13,34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</si>
  <si>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1.87 stundas, (7,65 </t>
    </r>
    <r>
      <rPr>
        <i/>
        <sz val="12"/>
        <color theme="1"/>
        <rFont val="Times New Roman"/>
        <family val="1"/>
        <charset val="186"/>
      </rPr>
      <t>euro</t>
    </r>
    <r>
      <rPr>
        <sz val="12"/>
        <color theme="1"/>
        <rFont val="Times New Roman"/>
        <family val="1"/>
        <charset val="186"/>
      </rPr>
      <t xml:space="preserve"> * 1.87 h) = 14,31 </t>
    </r>
    <r>
      <rPr>
        <i/>
        <sz val="12"/>
        <color theme="1"/>
        <rFont val="Times New Roman"/>
        <family val="1"/>
        <charset val="186"/>
      </rPr>
      <t>euro</t>
    </r>
    <r>
      <rPr>
        <sz val="12"/>
        <color theme="1"/>
        <rFont val="Times New Roman"/>
        <family val="1"/>
        <charset val="186"/>
      </rPr>
      <t xml:space="preserve">/mēn. * 12. mēn. = 171,72 </t>
    </r>
    <r>
      <rPr>
        <i/>
        <sz val="12"/>
        <color theme="1"/>
        <rFont val="Times New Roman"/>
        <family val="1"/>
        <charset val="186"/>
      </rPr>
      <t>euro</t>
    </r>
    <r>
      <rPr>
        <sz val="12"/>
        <color theme="1"/>
        <rFont val="Times New Roman"/>
        <family val="1"/>
        <charset val="186"/>
      </rPr>
      <t xml:space="preserve"> * 0.05073 (iznomātās platības koeficients) = 8,71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</si>
  <si>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2.06 stundas, (15,15 </t>
    </r>
    <r>
      <rPr>
        <i/>
        <sz val="12"/>
        <color theme="1"/>
        <rFont val="Times New Roman"/>
        <family val="1"/>
        <charset val="186"/>
      </rPr>
      <t>euro</t>
    </r>
    <r>
      <rPr>
        <sz val="12"/>
        <color theme="1"/>
        <rFont val="Times New Roman"/>
        <family val="1"/>
        <charset val="186"/>
      </rPr>
      <t xml:space="preserve"> * 2.06 h) = 31,21 </t>
    </r>
    <r>
      <rPr>
        <i/>
        <sz val="12"/>
        <color theme="1"/>
        <rFont val="Times New Roman"/>
        <family val="1"/>
        <charset val="186"/>
      </rPr>
      <t>euro</t>
    </r>
    <r>
      <rPr>
        <sz val="12"/>
        <color theme="1"/>
        <rFont val="Times New Roman"/>
        <family val="1"/>
        <charset val="186"/>
      </rPr>
      <t xml:space="preserve">/mēn. * 12. mēn. = 374,52 </t>
    </r>
    <r>
      <rPr>
        <i/>
        <sz val="12"/>
        <color theme="1"/>
        <rFont val="Times New Roman"/>
        <family val="1"/>
        <charset val="186"/>
      </rPr>
      <t>euro</t>
    </r>
    <r>
      <rPr>
        <sz val="12"/>
        <color theme="1"/>
        <rFont val="Times New Roman"/>
        <family val="1"/>
        <charset val="186"/>
      </rPr>
      <t xml:space="preserve"> * 0.05073 (iznomātās platības koeficients) = 19,00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</si>
  <si>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1.66 stundas, (12,017 </t>
    </r>
    <r>
      <rPr>
        <i/>
        <sz val="12"/>
        <color theme="1"/>
        <rFont val="Times New Roman"/>
        <family val="1"/>
        <charset val="186"/>
      </rPr>
      <t>euro</t>
    </r>
    <r>
      <rPr>
        <sz val="12"/>
        <color theme="1"/>
        <rFont val="Times New Roman"/>
        <family val="1"/>
        <charset val="186"/>
      </rPr>
      <t xml:space="preserve"> * 1.66 h) = 20,20 </t>
    </r>
    <r>
      <rPr>
        <i/>
        <sz val="12"/>
        <color theme="1"/>
        <rFont val="Times New Roman"/>
        <family val="1"/>
        <charset val="186"/>
      </rPr>
      <t>euro</t>
    </r>
    <r>
      <rPr>
        <sz val="12"/>
        <color theme="1"/>
        <rFont val="Times New Roman"/>
        <family val="1"/>
        <charset val="186"/>
      </rPr>
      <t xml:space="preserve">/mēn. * 12. mēn. = 242,40 </t>
    </r>
    <r>
      <rPr>
        <i/>
        <sz val="12"/>
        <color theme="1"/>
        <rFont val="Times New Roman"/>
        <family val="1"/>
        <charset val="186"/>
      </rPr>
      <t>euro</t>
    </r>
    <r>
      <rPr>
        <sz val="12"/>
        <color theme="1"/>
        <rFont val="Times New Roman"/>
        <family val="1"/>
        <charset val="186"/>
      </rPr>
      <t xml:space="preserve"> * 0.05073 (iznomātās platības koeficients) = 12,30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</si>
  <si>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 xml:space="preserve">euro </t>
    </r>
    <r>
      <rPr>
        <sz val="12"/>
        <color theme="1"/>
        <rFont val="Times New Roman"/>
        <family val="1"/>
        <charset val="186"/>
      </rPr>
      <t xml:space="preserve">/ 165.58 (vid. d. stundu sk. mēnesī). Vid. mēn. noslogojums 9.23 stunda, (8,29 euro * 9.23 h) = 76,52 euro/mēn. * 12. mēn. = 918,24 euro * 0.05073 (iznomātās platības koeficients) = 46,58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</si>
  <si>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euro).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33.59 stundas, (9,42 </t>
    </r>
    <r>
      <rPr>
        <i/>
        <sz val="12"/>
        <color theme="1"/>
        <rFont val="Times New Roman"/>
        <family val="1"/>
        <charset val="186"/>
      </rPr>
      <t>euro</t>
    </r>
    <r>
      <rPr>
        <sz val="12"/>
        <color theme="1"/>
        <rFont val="Times New Roman"/>
        <family val="1"/>
        <charset val="186"/>
      </rPr>
      <t xml:space="preserve"> * 33.59 h) = 316,42 </t>
    </r>
    <r>
      <rPr>
        <i/>
        <sz val="12"/>
        <color theme="1"/>
        <rFont val="Times New Roman"/>
        <family val="1"/>
        <charset val="186"/>
      </rPr>
      <t>euro</t>
    </r>
    <r>
      <rPr>
        <sz val="12"/>
        <color theme="1"/>
        <rFont val="Times New Roman"/>
        <family val="1"/>
        <charset val="186"/>
      </rPr>
      <t xml:space="preserve">/mēn. * 12. mēn. = 3 797,04 </t>
    </r>
    <r>
      <rPr>
        <i/>
        <sz val="12"/>
        <color theme="1"/>
        <rFont val="Times New Roman"/>
        <family val="1"/>
        <charset val="186"/>
      </rPr>
      <t>euro</t>
    </r>
    <r>
      <rPr>
        <sz val="12"/>
        <color theme="1"/>
        <rFont val="Times New Roman"/>
        <family val="1"/>
        <charset val="186"/>
      </rPr>
      <t xml:space="preserve"> * 0.05073 (iznomātās platības koeficients) = 192,62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</si>
  <si>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58.67 stundas, (8,29 </t>
    </r>
    <r>
      <rPr>
        <i/>
        <sz val="12"/>
        <color theme="1"/>
        <rFont val="Times New Roman"/>
        <family val="1"/>
        <charset val="186"/>
      </rPr>
      <t>euro</t>
    </r>
    <r>
      <rPr>
        <sz val="12"/>
        <color theme="1"/>
        <rFont val="Times New Roman"/>
        <family val="1"/>
        <charset val="186"/>
      </rPr>
      <t xml:space="preserve"> * 58.67 h) = 486,37 </t>
    </r>
    <r>
      <rPr>
        <i/>
        <sz val="12"/>
        <color theme="1"/>
        <rFont val="Times New Roman"/>
        <family val="1"/>
        <charset val="186"/>
      </rPr>
      <t>euro</t>
    </r>
    <r>
      <rPr>
        <sz val="12"/>
        <color theme="1"/>
        <rFont val="Times New Roman"/>
        <family val="1"/>
        <charset val="186"/>
      </rPr>
      <t xml:space="preserve">/mēn. * 12. mēn. = 5 836,44 </t>
    </r>
    <r>
      <rPr>
        <i/>
        <sz val="12"/>
        <color theme="1"/>
        <rFont val="Times New Roman"/>
        <family val="1"/>
        <charset val="186"/>
      </rPr>
      <t>euro</t>
    </r>
    <r>
      <rPr>
        <sz val="12"/>
        <color theme="1"/>
        <rFont val="Times New Roman"/>
        <family val="1"/>
        <charset val="186"/>
      </rPr>
      <t xml:space="preserve"> * 0.05073 (iznomātās platības koeficients) = 296,08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</si>
  <si>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7.2 stundas, (25,09 </t>
    </r>
    <r>
      <rPr>
        <i/>
        <sz val="12"/>
        <color theme="1"/>
        <rFont val="Times New Roman"/>
        <family val="1"/>
        <charset val="186"/>
      </rPr>
      <t>euro</t>
    </r>
    <r>
      <rPr>
        <sz val="12"/>
        <color theme="1"/>
        <rFont val="Times New Roman"/>
        <family val="1"/>
        <charset val="186"/>
      </rPr>
      <t xml:space="preserve"> * 7.2 h) = 180,65 </t>
    </r>
    <r>
      <rPr>
        <i/>
        <sz val="12"/>
        <color theme="1"/>
        <rFont val="Times New Roman"/>
        <family val="1"/>
        <charset val="186"/>
      </rPr>
      <t>euro</t>
    </r>
    <r>
      <rPr>
        <sz val="12"/>
        <color theme="1"/>
        <rFont val="Times New Roman"/>
        <family val="1"/>
        <charset val="186"/>
      </rPr>
      <t xml:space="preserve">/mēn. * 12. mēn. = 2 167,80 </t>
    </r>
    <r>
      <rPr>
        <i/>
        <sz val="12"/>
        <color theme="1"/>
        <rFont val="Times New Roman"/>
        <family val="1"/>
        <charset val="186"/>
      </rPr>
      <t>euro</t>
    </r>
    <r>
      <rPr>
        <sz val="12"/>
        <color theme="1"/>
        <rFont val="Times New Roman"/>
        <family val="1"/>
        <charset val="186"/>
      </rPr>
      <t xml:space="preserve"> * 0.05073 (iznomātās platības koeficients) = 109,97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</si>
  <si>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1.65 stundas, (27,18 </t>
    </r>
    <r>
      <rPr>
        <i/>
        <sz val="12"/>
        <color theme="1"/>
        <rFont val="Times New Roman"/>
        <family val="1"/>
        <charset val="186"/>
      </rPr>
      <t>euro</t>
    </r>
    <r>
      <rPr>
        <sz val="12"/>
        <color theme="1"/>
        <rFont val="Times New Roman"/>
        <family val="1"/>
        <charset val="186"/>
      </rPr>
      <t xml:space="preserve"> * 1.65 h) = 44,85 </t>
    </r>
    <r>
      <rPr>
        <i/>
        <sz val="12"/>
        <color theme="1"/>
        <rFont val="Times New Roman"/>
        <family val="1"/>
        <charset val="186"/>
      </rPr>
      <t>euro</t>
    </r>
    <r>
      <rPr>
        <sz val="12"/>
        <color theme="1"/>
        <rFont val="Times New Roman"/>
        <family val="1"/>
        <charset val="186"/>
      </rPr>
      <t xml:space="preserve">/mēn. * 12. mēn. = 538,20 </t>
    </r>
    <r>
      <rPr>
        <i/>
        <sz val="12"/>
        <color theme="1"/>
        <rFont val="Times New Roman"/>
        <family val="1"/>
        <charset val="186"/>
      </rPr>
      <t>euro</t>
    </r>
    <r>
      <rPr>
        <sz val="12"/>
        <color theme="1"/>
        <rFont val="Times New Roman"/>
        <family val="1"/>
        <charset val="186"/>
      </rPr>
      <t xml:space="preserve"> * 0.05073 (iznomātās platības koeficients) = 27,30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</si>
  <si>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1.83 stundas, (11,47 </t>
    </r>
    <r>
      <rPr>
        <i/>
        <sz val="12"/>
        <color theme="1"/>
        <rFont val="Times New Roman"/>
        <family val="1"/>
        <charset val="186"/>
      </rPr>
      <t>euro</t>
    </r>
    <r>
      <rPr>
        <sz val="12"/>
        <color theme="1"/>
        <rFont val="Times New Roman"/>
        <family val="1"/>
        <charset val="186"/>
      </rPr>
      <t xml:space="preserve"> * 1.83 h) = 20,99 </t>
    </r>
    <r>
      <rPr>
        <i/>
        <sz val="12"/>
        <color theme="1"/>
        <rFont val="Times New Roman"/>
        <family val="1"/>
        <charset val="186"/>
      </rPr>
      <t>euro</t>
    </r>
    <r>
      <rPr>
        <sz val="12"/>
        <color theme="1"/>
        <rFont val="Times New Roman"/>
        <family val="1"/>
        <charset val="186"/>
      </rPr>
      <t xml:space="preserve">/mēn. * 12. mēn. = 251,88 </t>
    </r>
    <r>
      <rPr>
        <i/>
        <sz val="12"/>
        <color theme="1"/>
        <rFont val="Times New Roman"/>
        <family val="1"/>
        <charset val="186"/>
      </rPr>
      <t>euro</t>
    </r>
    <r>
      <rPr>
        <sz val="12"/>
        <color theme="1"/>
        <rFont val="Times New Roman"/>
        <family val="1"/>
        <charset val="186"/>
      </rPr>
      <t xml:space="preserve"> * 0.05073(iznomātās platības koeficients) = 12,78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</si>
  <si>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738,68 </t>
    </r>
    <r>
      <rPr>
        <i/>
        <sz val="12"/>
        <color theme="1"/>
        <rFont val="Times New Roman"/>
        <family val="1"/>
        <charset val="186"/>
      </rPr>
      <t>euro</t>
    </r>
    <r>
      <rPr>
        <sz val="12"/>
        <color theme="1"/>
        <rFont val="Times New Roman"/>
        <family val="1"/>
        <charset val="186"/>
      </rPr>
      <t xml:space="preserve"> * 23,59 % = 174,25 </t>
    </r>
    <r>
      <rPr>
        <i/>
        <sz val="12"/>
        <color theme="1"/>
        <rFont val="Times New Roman"/>
        <family val="1"/>
        <charset val="186"/>
      </rPr>
      <t>euro.</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</si>
  <si>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 xml:space="preserve">euro </t>
    </r>
    <r>
      <rPr>
        <sz val="12"/>
        <color theme="1"/>
        <rFont val="Times New Roman"/>
        <family val="1"/>
        <charset val="186"/>
      </rPr>
      <t xml:space="preserve">/ 165.58 (vid. d. stundu sk. mēnesī). Vid. mēn. noslogojums 6.26 stundas, (8,20 </t>
    </r>
    <r>
      <rPr>
        <i/>
        <sz val="12"/>
        <color theme="1"/>
        <rFont val="Times New Roman"/>
        <family val="1"/>
        <charset val="186"/>
      </rPr>
      <t>euro</t>
    </r>
    <r>
      <rPr>
        <sz val="12"/>
        <color theme="1"/>
        <rFont val="Times New Roman"/>
        <family val="1"/>
        <charset val="186"/>
      </rPr>
      <t xml:space="preserve"> * 6.26 h) = 51,33 </t>
    </r>
    <r>
      <rPr>
        <i/>
        <sz val="12"/>
        <color theme="1"/>
        <rFont val="Times New Roman"/>
        <family val="1"/>
        <charset val="186"/>
      </rPr>
      <t>euro</t>
    </r>
    <r>
      <rPr>
        <sz val="12"/>
        <color theme="1"/>
        <rFont val="Times New Roman"/>
        <family val="1"/>
        <charset val="186"/>
      </rPr>
      <t xml:space="preserve">/mēn. * 12 mēn. = 615,96 </t>
    </r>
    <r>
      <rPr>
        <i/>
        <sz val="12"/>
        <color theme="1"/>
        <rFont val="Times New Roman"/>
        <family val="1"/>
        <charset val="186"/>
      </rPr>
      <t>euro</t>
    </r>
    <r>
      <rPr>
        <sz val="12"/>
        <color theme="1"/>
        <rFont val="Times New Roman"/>
        <family val="1"/>
        <charset val="186"/>
      </rPr>
      <t xml:space="preserve"> * 0.2444 (iznomātās platības koeficients) = 150,54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</si>
  <si>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142.54 stundas, (8,20 </t>
    </r>
    <r>
      <rPr>
        <i/>
        <sz val="12"/>
        <color theme="1"/>
        <rFont val="Times New Roman"/>
        <family val="1"/>
        <charset val="186"/>
      </rPr>
      <t>euro</t>
    </r>
    <r>
      <rPr>
        <sz val="12"/>
        <color theme="1"/>
        <rFont val="Times New Roman"/>
        <family val="1"/>
        <charset val="186"/>
      </rPr>
      <t xml:space="preserve"> * 142.54 h) = 1 168,83 </t>
    </r>
    <r>
      <rPr>
        <i/>
        <sz val="12"/>
        <color theme="1"/>
        <rFont val="Times New Roman"/>
        <family val="1"/>
        <charset val="186"/>
      </rPr>
      <t>euro</t>
    </r>
    <r>
      <rPr>
        <sz val="12"/>
        <color theme="1"/>
        <rFont val="Times New Roman"/>
        <family val="1"/>
        <charset val="186"/>
      </rPr>
      <t xml:space="preserve">/mēn.  * 12 mēn. = 14 025,96 </t>
    </r>
    <r>
      <rPr>
        <i/>
        <sz val="12"/>
        <color theme="1"/>
        <rFont val="Times New Roman"/>
        <family val="1"/>
        <charset val="186"/>
      </rPr>
      <t>euro</t>
    </r>
    <r>
      <rPr>
        <sz val="12"/>
        <color theme="1"/>
        <rFont val="Times New Roman"/>
        <family val="1"/>
        <charset val="186"/>
      </rPr>
      <t xml:space="preserve"> * 0.2444 (iznomātās platības koeficients) = 3 427,94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</si>
  <si>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10.44 stundas, (5,42 </t>
    </r>
    <r>
      <rPr>
        <i/>
        <sz val="12"/>
        <color theme="1"/>
        <rFont val="Times New Roman"/>
        <family val="1"/>
        <charset val="186"/>
      </rPr>
      <t>euro</t>
    </r>
    <r>
      <rPr>
        <sz val="12"/>
        <color theme="1"/>
        <rFont val="Times New Roman"/>
        <family val="1"/>
        <charset val="186"/>
      </rPr>
      <t xml:space="preserve"> * 10.44 h) = 56,58 </t>
    </r>
    <r>
      <rPr>
        <i/>
        <sz val="12"/>
        <color theme="1"/>
        <rFont val="Times New Roman"/>
        <family val="1"/>
        <charset val="186"/>
      </rPr>
      <t>euro</t>
    </r>
    <r>
      <rPr>
        <sz val="12"/>
        <color theme="1"/>
        <rFont val="Times New Roman"/>
        <family val="1"/>
        <charset val="186"/>
      </rPr>
      <t xml:space="preserve">/mēn. * 12 mēn. = 678,96 </t>
    </r>
    <r>
      <rPr>
        <i/>
        <sz val="12"/>
        <color theme="1"/>
        <rFont val="Times New Roman"/>
        <family val="1"/>
        <charset val="186"/>
      </rPr>
      <t>euro</t>
    </r>
    <r>
      <rPr>
        <sz val="12"/>
        <color theme="1"/>
        <rFont val="Times New Roman"/>
        <family val="1"/>
        <charset val="186"/>
      </rPr>
      <t xml:space="preserve"> * 0.2444 (iznomātās platības koeficients) = 165,94 </t>
    </r>
    <r>
      <rPr>
        <i/>
        <sz val="12"/>
        <color theme="1"/>
        <rFont val="Times New Roman"/>
        <family val="1"/>
        <charset val="186"/>
      </rPr>
      <t>euro</t>
    </r>
    <r>
      <rPr>
        <sz val="12"/>
        <color theme="1"/>
        <rFont val="Times New Roman"/>
        <family val="1"/>
        <charset val="186"/>
      </rPr>
      <t xml:space="preserve">. </t>
    </r>
  </si>
  <si>
    <r>
      <t xml:space="preserve">Galv. nekust. īpaš. pārvaldnieks (150,54 </t>
    </r>
    <r>
      <rPr>
        <i/>
        <sz val="12"/>
        <color theme="1"/>
        <rFont val="Times New Roman"/>
        <family val="1"/>
        <charset val="186"/>
      </rPr>
      <t>euro</t>
    </r>
    <r>
      <rPr>
        <sz val="12"/>
        <color theme="1"/>
        <rFont val="Times New Roman"/>
        <family val="1"/>
        <charset val="186"/>
      </rPr>
      <t xml:space="preserve"> * 10%) = 15,05 </t>
    </r>
    <r>
      <rPr>
        <i/>
        <sz val="12"/>
        <color theme="1"/>
        <rFont val="Times New Roman"/>
        <family val="1"/>
        <charset val="186"/>
      </rPr>
      <t>euro</t>
    </r>
    <r>
      <rPr>
        <sz val="12"/>
        <color theme="1"/>
        <rFont val="Times New Roman"/>
        <family val="1"/>
        <charset val="186"/>
      </rPr>
      <t xml:space="preserve">, Dienesta viesnīcas vadīotājs (3 427,94 </t>
    </r>
    <r>
      <rPr>
        <i/>
        <sz val="12"/>
        <color theme="1"/>
        <rFont val="Times New Roman"/>
        <family val="1"/>
        <charset val="186"/>
      </rPr>
      <t>euro</t>
    </r>
    <r>
      <rPr>
        <sz val="12"/>
        <color theme="1"/>
        <rFont val="Times New Roman"/>
        <family val="1"/>
        <charset val="186"/>
      </rPr>
      <t xml:space="preserve"> * 10%) = 342,79 </t>
    </r>
    <r>
      <rPr>
        <i/>
        <sz val="12"/>
        <color theme="1"/>
        <rFont val="Times New Roman"/>
        <family val="1"/>
        <charset val="186"/>
      </rPr>
      <t>euro</t>
    </r>
    <r>
      <rPr>
        <sz val="12"/>
        <color theme="1"/>
        <rFont val="Times New Roman"/>
        <family val="1"/>
        <charset val="186"/>
      </rPr>
      <t xml:space="preserve">. Saimniecības pārzinis (165,94 </t>
    </r>
    <r>
      <rPr>
        <i/>
        <sz val="12"/>
        <color theme="1"/>
        <rFont val="Times New Roman"/>
        <family val="1"/>
        <charset val="186"/>
      </rPr>
      <t>euro</t>
    </r>
    <r>
      <rPr>
        <sz val="12"/>
        <color theme="1"/>
        <rFont val="Times New Roman"/>
        <family val="1"/>
        <charset val="186"/>
      </rPr>
      <t xml:space="preserve"> * 10%) = 16,59 </t>
    </r>
    <r>
      <rPr>
        <i/>
        <sz val="12"/>
        <color theme="1"/>
        <rFont val="Times New Roman"/>
        <family val="1"/>
        <charset val="186"/>
      </rPr>
      <t>euro.</t>
    </r>
    <r>
      <rPr>
        <sz val="12"/>
        <color theme="1"/>
        <rFont val="Times New Roman"/>
        <family val="1"/>
        <charset val="186"/>
      </rPr>
      <t xml:space="preserve"> Kopā (15,05 </t>
    </r>
    <r>
      <rPr>
        <i/>
        <sz val="12"/>
        <color theme="1"/>
        <rFont val="Times New Roman"/>
        <family val="1"/>
        <charset val="186"/>
      </rPr>
      <t>euro</t>
    </r>
    <r>
      <rPr>
        <sz val="12"/>
        <color theme="1"/>
        <rFont val="Times New Roman"/>
        <family val="1"/>
        <charset val="186"/>
      </rPr>
      <t xml:space="preserve"> + 342,79 </t>
    </r>
    <r>
      <rPr>
        <i/>
        <sz val="12"/>
        <color theme="1"/>
        <rFont val="Times New Roman"/>
        <family val="1"/>
        <charset val="186"/>
      </rPr>
      <t>euro</t>
    </r>
    <r>
      <rPr>
        <sz val="12"/>
        <color theme="1"/>
        <rFont val="Times New Roman"/>
        <family val="1"/>
        <charset val="186"/>
      </rPr>
      <t xml:space="preserve"> + 16,59 </t>
    </r>
    <r>
      <rPr>
        <i/>
        <sz val="12"/>
        <color theme="1"/>
        <rFont val="Times New Roman"/>
        <family val="1"/>
        <charset val="186"/>
      </rPr>
      <t>euro</t>
    </r>
    <r>
      <rPr>
        <sz val="12"/>
        <color theme="1"/>
        <rFont val="Times New Roman"/>
        <family val="1"/>
        <charset val="186"/>
      </rPr>
      <t xml:space="preserve">) = 374,43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</si>
  <si>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4 118,85 </t>
    </r>
    <r>
      <rPr>
        <i/>
        <sz val="12"/>
        <color theme="1"/>
        <rFont val="Times New Roman"/>
        <family val="1"/>
        <charset val="186"/>
      </rPr>
      <t>euro</t>
    </r>
    <r>
      <rPr>
        <sz val="12"/>
        <color theme="1"/>
        <rFont val="Times New Roman"/>
        <family val="1"/>
        <charset val="186"/>
      </rPr>
      <t xml:space="preserve"> * 23,59 % = 971,64 </t>
    </r>
    <r>
      <rPr>
        <i/>
        <sz val="12"/>
        <color theme="1"/>
        <rFont val="Times New Roman"/>
        <family val="1"/>
        <charset val="186"/>
      </rPr>
      <t xml:space="preserve">euro. </t>
    </r>
  </si>
  <si>
    <r>
      <t xml:space="preserve">Galv. nekust. īpaš. pārvaldnieks (150,54 </t>
    </r>
    <r>
      <rPr>
        <i/>
        <sz val="12"/>
        <color theme="1"/>
        <rFont val="Times New Roman"/>
        <family val="1"/>
        <charset val="186"/>
      </rPr>
      <t>euro</t>
    </r>
    <r>
      <rPr>
        <sz val="12"/>
        <color theme="1"/>
        <rFont val="Times New Roman"/>
        <family val="1"/>
        <charset val="186"/>
      </rPr>
      <t xml:space="preserve"> * 5%) = 7,53 </t>
    </r>
    <r>
      <rPr>
        <i/>
        <sz val="12"/>
        <color theme="1"/>
        <rFont val="Times New Roman"/>
        <family val="1"/>
        <charset val="186"/>
      </rPr>
      <t>euro</t>
    </r>
    <r>
      <rPr>
        <sz val="12"/>
        <color theme="1"/>
        <rFont val="Times New Roman"/>
        <family val="1"/>
        <charset val="186"/>
      </rPr>
      <t xml:space="preserve">, Dienesta viesnīcas vadīotājs (3 427,94 </t>
    </r>
    <r>
      <rPr>
        <i/>
        <sz val="12"/>
        <color theme="1"/>
        <rFont val="Times New Roman"/>
        <family val="1"/>
        <charset val="186"/>
      </rPr>
      <t>euro</t>
    </r>
    <r>
      <rPr>
        <sz val="12"/>
        <color theme="1"/>
        <rFont val="Times New Roman"/>
        <family val="1"/>
        <charset val="186"/>
      </rPr>
      <t xml:space="preserve"> * 5%) = 171,40 </t>
    </r>
    <r>
      <rPr>
        <i/>
        <sz val="12"/>
        <color theme="1"/>
        <rFont val="Times New Roman"/>
        <family val="1"/>
        <charset val="186"/>
      </rPr>
      <t>euro</t>
    </r>
    <r>
      <rPr>
        <sz val="12"/>
        <color theme="1"/>
        <rFont val="Times New Roman"/>
        <family val="1"/>
        <charset val="186"/>
      </rPr>
      <t xml:space="preserve">. Saimniecības pārzinis (165,94 </t>
    </r>
    <r>
      <rPr>
        <i/>
        <sz val="12"/>
        <color theme="1"/>
        <rFont val="Times New Roman"/>
        <family val="1"/>
        <charset val="186"/>
      </rPr>
      <t>euro</t>
    </r>
    <r>
      <rPr>
        <sz val="12"/>
        <color theme="1"/>
        <rFont val="Times New Roman"/>
        <family val="1"/>
        <charset val="186"/>
      </rPr>
      <t xml:space="preserve"> * 5%) = 8,30 </t>
    </r>
    <r>
      <rPr>
        <i/>
        <sz val="12"/>
        <color theme="1"/>
        <rFont val="Times New Roman"/>
        <family val="1"/>
        <charset val="186"/>
      </rPr>
      <t>euro.</t>
    </r>
    <r>
      <rPr>
        <sz val="12"/>
        <color theme="1"/>
        <rFont val="Times New Roman"/>
        <family val="1"/>
        <charset val="186"/>
      </rPr>
      <t xml:space="preserve"> Kopā (7,53 </t>
    </r>
    <r>
      <rPr>
        <i/>
        <sz val="12"/>
        <color theme="1"/>
        <rFont val="Times New Roman"/>
        <family val="1"/>
        <charset val="186"/>
      </rPr>
      <t>euro</t>
    </r>
    <r>
      <rPr>
        <sz val="12"/>
        <color theme="1"/>
        <rFont val="Times New Roman"/>
        <family val="1"/>
        <charset val="186"/>
      </rPr>
      <t xml:space="preserve"> + 171,40 </t>
    </r>
    <r>
      <rPr>
        <i/>
        <sz val="12"/>
        <color theme="1"/>
        <rFont val="Times New Roman"/>
        <family val="1"/>
        <charset val="186"/>
      </rPr>
      <t>euro</t>
    </r>
    <r>
      <rPr>
        <sz val="12"/>
        <color theme="1"/>
        <rFont val="Times New Roman"/>
        <family val="1"/>
        <charset val="186"/>
      </rPr>
      <t xml:space="preserve"> + 8,30 </t>
    </r>
    <r>
      <rPr>
        <i/>
        <sz val="12"/>
        <color theme="1"/>
        <rFont val="Times New Roman"/>
        <family val="1"/>
        <charset val="186"/>
      </rPr>
      <t>euro</t>
    </r>
    <r>
      <rPr>
        <sz val="12"/>
        <color theme="1"/>
        <rFont val="Times New Roman"/>
        <family val="1"/>
        <charset val="186"/>
      </rPr>
      <t xml:space="preserve">) = 187,23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</si>
  <si>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971,64 </t>
    </r>
    <r>
      <rPr>
        <i/>
        <sz val="12"/>
        <color theme="1"/>
        <rFont val="Times New Roman"/>
        <family val="1"/>
        <charset val="186"/>
      </rPr>
      <t>euro</t>
    </r>
    <r>
      <rPr>
        <sz val="12"/>
        <color theme="1"/>
        <rFont val="Times New Roman"/>
        <family val="1"/>
        <charset val="186"/>
      </rPr>
      <t xml:space="preserve">. Veselības apdrošināšana 187,23 </t>
    </r>
    <r>
      <rPr>
        <i/>
        <sz val="12"/>
        <color theme="1"/>
        <rFont val="Times New Roman"/>
        <family val="1"/>
        <charset val="186"/>
      </rPr>
      <t>euro</t>
    </r>
    <r>
      <rPr>
        <sz val="12"/>
        <color theme="1"/>
        <rFont val="Times New Roman"/>
        <family val="1"/>
        <charset val="186"/>
      </rPr>
      <t xml:space="preserve">. Kopā 1 158,87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</si>
  <si>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1.91 stundas, (11,47 </t>
    </r>
    <r>
      <rPr>
        <i/>
        <sz val="12"/>
        <color theme="1"/>
        <rFont val="Times New Roman"/>
        <family val="1"/>
        <charset val="186"/>
      </rPr>
      <t>euro</t>
    </r>
    <r>
      <rPr>
        <sz val="12"/>
        <color theme="1"/>
        <rFont val="Times New Roman"/>
        <family val="1"/>
        <charset val="186"/>
      </rPr>
      <t xml:space="preserve"> * 1.91 h) = 21,91 </t>
    </r>
    <r>
      <rPr>
        <i/>
        <sz val="12"/>
        <color theme="1"/>
        <rFont val="Times New Roman"/>
        <family val="1"/>
        <charset val="186"/>
      </rPr>
      <t>euro</t>
    </r>
    <r>
      <rPr>
        <sz val="12"/>
        <color theme="1"/>
        <rFont val="Times New Roman"/>
        <family val="1"/>
        <charset val="186"/>
      </rPr>
      <t xml:space="preserve">/mēn. * 12. mēn. = 262,92 </t>
    </r>
    <r>
      <rPr>
        <i/>
        <sz val="12"/>
        <color theme="1"/>
        <rFont val="Times New Roman"/>
        <family val="1"/>
        <charset val="186"/>
      </rPr>
      <t>euro</t>
    </r>
    <r>
      <rPr>
        <sz val="12"/>
        <color theme="1"/>
        <rFont val="Times New Roman"/>
        <family val="1"/>
        <charset val="186"/>
      </rPr>
      <t xml:space="preserve"> * 0.2444 (iznomātās platības koeficients) = 64,26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</si>
  <si>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1.87 stundas, (7,65 </t>
    </r>
    <r>
      <rPr>
        <i/>
        <sz val="12"/>
        <color theme="1"/>
        <rFont val="Times New Roman"/>
        <family val="1"/>
        <charset val="186"/>
      </rPr>
      <t>euro</t>
    </r>
    <r>
      <rPr>
        <sz val="12"/>
        <color theme="1"/>
        <rFont val="Times New Roman"/>
        <family val="1"/>
        <charset val="186"/>
      </rPr>
      <t xml:space="preserve"> * 1.87 h) = 14,31 </t>
    </r>
    <r>
      <rPr>
        <i/>
        <sz val="12"/>
        <color theme="1"/>
        <rFont val="Times New Roman"/>
        <family val="1"/>
        <charset val="186"/>
      </rPr>
      <t>euro</t>
    </r>
    <r>
      <rPr>
        <sz val="12"/>
        <color theme="1"/>
        <rFont val="Times New Roman"/>
        <family val="1"/>
        <charset val="186"/>
      </rPr>
      <t xml:space="preserve">/mēn. * 12. mēn. = 171,72 </t>
    </r>
    <r>
      <rPr>
        <i/>
        <sz val="12"/>
        <color theme="1"/>
        <rFont val="Times New Roman"/>
        <family val="1"/>
        <charset val="186"/>
      </rPr>
      <t>euro</t>
    </r>
    <r>
      <rPr>
        <sz val="12"/>
        <color theme="1"/>
        <rFont val="Times New Roman"/>
        <family val="1"/>
        <charset val="186"/>
      </rPr>
      <t xml:space="preserve"> * 0.2444 (iznomātās platības koeficients) = 41,97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</si>
  <si>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1.83 stundas, (11,47 </t>
    </r>
    <r>
      <rPr>
        <i/>
        <sz val="12"/>
        <color theme="1"/>
        <rFont val="Times New Roman"/>
        <family val="1"/>
        <charset val="186"/>
      </rPr>
      <t>euro</t>
    </r>
    <r>
      <rPr>
        <sz val="12"/>
        <color theme="1"/>
        <rFont val="Times New Roman"/>
        <family val="1"/>
        <charset val="186"/>
      </rPr>
      <t xml:space="preserve"> * 1.83 h) = 20,99 </t>
    </r>
    <r>
      <rPr>
        <i/>
        <sz val="12"/>
        <color theme="1"/>
        <rFont val="Times New Roman"/>
        <family val="1"/>
        <charset val="186"/>
      </rPr>
      <t>euro</t>
    </r>
    <r>
      <rPr>
        <sz val="12"/>
        <color theme="1"/>
        <rFont val="Times New Roman"/>
        <family val="1"/>
        <charset val="186"/>
      </rPr>
      <t xml:space="preserve">/mēn. * 12. mēn. = 251,88 </t>
    </r>
    <r>
      <rPr>
        <i/>
        <sz val="12"/>
        <color theme="1"/>
        <rFont val="Times New Roman"/>
        <family val="1"/>
        <charset val="186"/>
      </rPr>
      <t>euro</t>
    </r>
    <r>
      <rPr>
        <sz val="12"/>
        <color theme="1"/>
        <rFont val="Times New Roman"/>
        <family val="1"/>
        <charset val="186"/>
      </rPr>
      <t xml:space="preserve"> * 0.2444 (iznomātās platības koeficients) = 61,56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</si>
  <si>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2.06 stundas, (15,15 </t>
    </r>
    <r>
      <rPr>
        <i/>
        <sz val="12"/>
        <color theme="1"/>
        <rFont val="Times New Roman"/>
        <family val="1"/>
        <charset val="186"/>
      </rPr>
      <t>euro</t>
    </r>
    <r>
      <rPr>
        <sz val="12"/>
        <color theme="1"/>
        <rFont val="Times New Roman"/>
        <family val="1"/>
        <charset val="186"/>
      </rPr>
      <t xml:space="preserve"> * 2.06 h) = 31,21 </t>
    </r>
    <r>
      <rPr>
        <i/>
        <sz val="12"/>
        <color theme="1"/>
        <rFont val="Times New Roman"/>
        <family val="1"/>
        <charset val="186"/>
      </rPr>
      <t>euro</t>
    </r>
    <r>
      <rPr>
        <sz val="12"/>
        <color theme="1"/>
        <rFont val="Times New Roman"/>
        <family val="1"/>
        <charset val="186"/>
      </rPr>
      <t xml:space="preserve">/mēn. * 12. mēn. = 374,52 </t>
    </r>
    <r>
      <rPr>
        <i/>
        <sz val="12"/>
        <color theme="1"/>
        <rFont val="Times New Roman"/>
        <family val="1"/>
        <charset val="186"/>
      </rPr>
      <t>euro</t>
    </r>
    <r>
      <rPr>
        <sz val="12"/>
        <color theme="1"/>
        <rFont val="Times New Roman"/>
        <family val="1"/>
        <charset val="186"/>
      </rPr>
      <t xml:space="preserve"> * 0.2444 (iznomātās platības koeficients) = 91,53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</si>
  <si>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1.66 stundas, (12,17 </t>
    </r>
    <r>
      <rPr>
        <i/>
        <sz val="12"/>
        <color theme="1"/>
        <rFont val="Times New Roman"/>
        <family val="1"/>
        <charset val="186"/>
      </rPr>
      <t>euro</t>
    </r>
    <r>
      <rPr>
        <sz val="12"/>
        <color theme="1"/>
        <rFont val="Times New Roman"/>
        <family val="1"/>
        <charset val="186"/>
      </rPr>
      <t xml:space="preserve"> * 1.66 h) = 20,20 </t>
    </r>
    <r>
      <rPr>
        <i/>
        <sz val="12"/>
        <color theme="1"/>
        <rFont val="Times New Roman"/>
        <family val="1"/>
        <charset val="186"/>
      </rPr>
      <t>euro</t>
    </r>
    <r>
      <rPr>
        <sz val="12"/>
        <color theme="1"/>
        <rFont val="Times New Roman"/>
        <family val="1"/>
        <charset val="186"/>
      </rPr>
      <t xml:space="preserve">/mēn. * 12. mēn. = 242,40 </t>
    </r>
    <r>
      <rPr>
        <i/>
        <sz val="12"/>
        <color theme="1"/>
        <rFont val="Times New Roman"/>
        <family val="1"/>
        <charset val="186"/>
      </rPr>
      <t>euro</t>
    </r>
    <r>
      <rPr>
        <sz val="12"/>
        <color theme="1"/>
        <rFont val="Times New Roman"/>
        <family val="1"/>
        <charset val="186"/>
      </rPr>
      <t xml:space="preserve"> * 0.2444 (iznomātās platības koeficients) = 59,24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</si>
  <si>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9.23 stunda,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0.2444 (iznomātās platības koeficients) = 224,42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</si>
  <si>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33.59 stundas, (9,42 </t>
    </r>
    <r>
      <rPr>
        <i/>
        <sz val="12"/>
        <color theme="1"/>
        <rFont val="Times New Roman"/>
        <family val="1"/>
        <charset val="186"/>
      </rPr>
      <t>euro</t>
    </r>
    <r>
      <rPr>
        <sz val="12"/>
        <color theme="1"/>
        <rFont val="Times New Roman"/>
        <family val="1"/>
        <charset val="186"/>
      </rPr>
      <t xml:space="preserve"> * 33.59 h) = 316,42 </t>
    </r>
    <r>
      <rPr>
        <i/>
        <sz val="12"/>
        <color theme="1"/>
        <rFont val="Times New Roman"/>
        <family val="1"/>
        <charset val="186"/>
      </rPr>
      <t>euro</t>
    </r>
    <r>
      <rPr>
        <sz val="12"/>
        <color theme="1"/>
        <rFont val="Times New Roman"/>
        <family val="1"/>
        <charset val="186"/>
      </rPr>
      <t xml:space="preserve">/mēn. * 12. mēn. = 3 797,04 </t>
    </r>
    <r>
      <rPr>
        <i/>
        <sz val="12"/>
        <color theme="1"/>
        <rFont val="Times New Roman"/>
        <family val="1"/>
        <charset val="186"/>
      </rPr>
      <t>euro</t>
    </r>
    <r>
      <rPr>
        <sz val="12"/>
        <color theme="1"/>
        <rFont val="Times New Roman"/>
        <family val="1"/>
        <charset val="186"/>
      </rPr>
      <t xml:space="preserve"> * 0.2444 (iznomātās platības koeficients) = 928,00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</si>
  <si>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58.67 stundas, (8,29 </t>
    </r>
    <r>
      <rPr>
        <i/>
        <sz val="12"/>
        <color theme="1"/>
        <rFont val="Times New Roman"/>
        <family val="1"/>
        <charset val="186"/>
      </rPr>
      <t>euro</t>
    </r>
    <r>
      <rPr>
        <sz val="12"/>
        <color theme="1"/>
        <rFont val="Times New Roman"/>
        <family val="1"/>
        <charset val="186"/>
      </rPr>
      <t xml:space="preserve"> * 58.67 h) = 486,37 </t>
    </r>
    <r>
      <rPr>
        <i/>
        <sz val="12"/>
        <color theme="1"/>
        <rFont val="Times New Roman"/>
        <family val="1"/>
        <charset val="186"/>
      </rPr>
      <t>euro</t>
    </r>
    <r>
      <rPr>
        <sz val="12"/>
        <color theme="1"/>
        <rFont val="Times New Roman"/>
        <family val="1"/>
        <charset val="186"/>
      </rPr>
      <t xml:space="preserve">/mēn. * 12. mēn. = 5 836,44 </t>
    </r>
    <r>
      <rPr>
        <i/>
        <sz val="12"/>
        <color theme="1"/>
        <rFont val="Times New Roman"/>
        <family val="1"/>
        <charset val="186"/>
      </rPr>
      <t>euro</t>
    </r>
    <r>
      <rPr>
        <sz val="12"/>
        <color theme="1"/>
        <rFont val="Times New Roman"/>
        <family val="1"/>
        <charset val="186"/>
      </rPr>
      <t xml:space="preserve"> * 0.2444 (iznomātās platības koeficients) = 1 426,43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</si>
  <si>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7.2 stundas, (25,09 </t>
    </r>
    <r>
      <rPr>
        <i/>
        <sz val="12"/>
        <color theme="1"/>
        <rFont val="Times New Roman"/>
        <family val="1"/>
        <charset val="186"/>
      </rPr>
      <t>euro</t>
    </r>
    <r>
      <rPr>
        <sz val="12"/>
        <color theme="1"/>
        <rFont val="Times New Roman"/>
        <family val="1"/>
        <charset val="186"/>
      </rPr>
      <t xml:space="preserve"> * 7.2 h) = 180,65 </t>
    </r>
    <r>
      <rPr>
        <i/>
        <sz val="12"/>
        <color theme="1"/>
        <rFont val="Times New Roman"/>
        <family val="1"/>
        <charset val="186"/>
      </rPr>
      <t>euro</t>
    </r>
    <r>
      <rPr>
        <sz val="12"/>
        <color theme="1"/>
        <rFont val="Times New Roman"/>
        <family val="1"/>
        <charset val="186"/>
      </rPr>
      <t xml:space="preserve">/mēn. * 12. mēn. = 2 167,80 </t>
    </r>
    <r>
      <rPr>
        <i/>
        <sz val="12"/>
        <color theme="1"/>
        <rFont val="Times New Roman"/>
        <family val="1"/>
        <charset val="186"/>
      </rPr>
      <t>euro</t>
    </r>
    <r>
      <rPr>
        <sz val="12"/>
        <color theme="1"/>
        <rFont val="Times New Roman"/>
        <family val="1"/>
        <charset val="186"/>
      </rPr>
      <t xml:space="preserve"> * 0.2444 (iznomātās platības koeficients) = 529,81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</si>
  <si>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1.65 stundas, (27,18 </t>
    </r>
    <r>
      <rPr>
        <i/>
        <sz val="12"/>
        <color theme="1"/>
        <rFont val="Times New Roman"/>
        <family val="1"/>
        <charset val="186"/>
      </rPr>
      <t>euro</t>
    </r>
    <r>
      <rPr>
        <sz val="12"/>
        <color theme="1"/>
        <rFont val="Times New Roman"/>
        <family val="1"/>
        <charset val="186"/>
      </rPr>
      <t xml:space="preserve"> * 1.65 h) = 44,85 </t>
    </r>
    <r>
      <rPr>
        <i/>
        <sz val="12"/>
        <color theme="1"/>
        <rFont val="Times New Roman"/>
        <family val="1"/>
        <charset val="186"/>
      </rPr>
      <t>euro</t>
    </r>
    <r>
      <rPr>
        <sz val="12"/>
        <color theme="1"/>
        <rFont val="Times New Roman"/>
        <family val="1"/>
        <charset val="186"/>
      </rPr>
      <t xml:space="preserve">/mēn. * 12. mēn. = 538,20 </t>
    </r>
    <r>
      <rPr>
        <i/>
        <sz val="12"/>
        <color theme="1"/>
        <rFont val="Times New Roman"/>
        <family val="1"/>
        <charset val="186"/>
      </rPr>
      <t>euro</t>
    </r>
    <r>
      <rPr>
        <sz val="12"/>
        <color theme="1"/>
        <rFont val="Times New Roman"/>
        <family val="1"/>
        <charset val="186"/>
      </rPr>
      <t xml:space="preserve"> * 0.2444 (iznomātās platības koeficients) = 131,54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</si>
  <si>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3 558,76 </t>
    </r>
    <r>
      <rPr>
        <i/>
        <sz val="12"/>
        <color theme="1"/>
        <rFont val="Times New Roman"/>
        <family val="1"/>
        <charset val="186"/>
      </rPr>
      <t>euro</t>
    </r>
    <r>
      <rPr>
        <sz val="12"/>
        <color theme="1"/>
        <rFont val="Times New Roman"/>
        <family val="1"/>
        <charset val="186"/>
      </rPr>
      <t xml:space="preserve"> * 23,59 % = 839,51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</si>
  <si>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8,14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6.26 stundas, (8,14 </t>
    </r>
    <r>
      <rPr>
        <i/>
        <sz val="12"/>
        <color theme="1"/>
        <rFont val="Times New Roman"/>
        <family val="1"/>
        <charset val="186"/>
      </rPr>
      <t>euro</t>
    </r>
    <r>
      <rPr>
        <sz val="12"/>
        <color theme="1"/>
        <rFont val="Times New Roman"/>
        <family val="1"/>
        <charset val="186"/>
      </rPr>
      <t xml:space="preserve"> * 6.26 h) = 51,33 </t>
    </r>
    <r>
      <rPr>
        <i/>
        <sz val="12"/>
        <color theme="1"/>
        <rFont val="Times New Roman"/>
        <family val="1"/>
        <charset val="186"/>
      </rPr>
      <t>euro</t>
    </r>
    <r>
      <rPr>
        <sz val="12"/>
        <color theme="1"/>
        <rFont val="Times New Roman"/>
        <family val="1"/>
        <charset val="186"/>
      </rPr>
      <t xml:space="preserve">/mēn. * 12 mēn. = 615,96 </t>
    </r>
    <r>
      <rPr>
        <i/>
        <sz val="12"/>
        <color theme="1"/>
        <rFont val="Times New Roman"/>
        <family val="1"/>
        <charset val="186"/>
      </rPr>
      <t>euro</t>
    </r>
    <r>
      <rPr>
        <sz val="12"/>
        <color theme="1"/>
        <rFont val="Times New Roman"/>
        <family val="1"/>
        <charset val="186"/>
      </rPr>
      <t xml:space="preserve"> * 0.0026 (iznomātās platības koeficients) = 1,60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</si>
  <si>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142.54 stundas, (8,20 </t>
    </r>
    <r>
      <rPr>
        <i/>
        <sz val="12"/>
        <color theme="1"/>
        <rFont val="Times New Roman"/>
        <family val="1"/>
        <charset val="186"/>
      </rPr>
      <t>euro</t>
    </r>
    <r>
      <rPr>
        <sz val="12"/>
        <color theme="1"/>
        <rFont val="Times New Roman"/>
        <family val="1"/>
        <charset val="186"/>
      </rPr>
      <t xml:space="preserve"> * 142.54 h) = 1 168,83 </t>
    </r>
    <r>
      <rPr>
        <i/>
        <sz val="12"/>
        <color theme="1"/>
        <rFont val="Times New Roman"/>
        <family val="1"/>
        <charset val="186"/>
      </rPr>
      <t>euro</t>
    </r>
    <r>
      <rPr>
        <sz val="12"/>
        <color theme="1"/>
        <rFont val="Times New Roman"/>
        <family val="1"/>
        <charset val="186"/>
      </rPr>
      <t xml:space="preserve">/mēn.  * 12 mēn. = 14 025,96 </t>
    </r>
    <r>
      <rPr>
        <i/>
        <sz val="12"/>
        <color theme="1"/>
        <rFont val="Times New Roman"/>
        <family val="1"/>
        <charset val="186"/>
      </rPr>
      <t>euro</t>
    </r>
    <r>
      <rPr>
        <sz val="12"/>
        <color theme="1"/>
        <rFont val="Times New Roman"/>
        <family val="1"/>
        <charset val="186"/>
      </rPr>
      <t xml:space="preserve"> * 0.0026 (iznomātās platības koeficients) = 36,47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</si>
  <si>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10.44 stundas, (5,42 </t>
    </r>
    <r>
      <rPr>
        <i/>
        <sz val="12"/>
        <color theme="1"/>
        <rFont val="Times New Roman"/>
        <family val="1"/>
        <charset val="186"/>
      </rPr>
      <t>euro</t>
    </r>
    <r>
      <rPr>
        <sz val="12"/>
        <color theme="1"/>
        <rFont val="Times New Roman"/>
        <family val="1"/>
        <charset val="186"/>
      </rPr>
      <t xml:space="preserve"> * 10.44 h) = 56,58 </t>
    </r>
    <r>
      <rPr>
        <i/>
        <sz val="12"/>
        <color theme="1"/>
        <rFont val="Times New Roman"/>
        <family val="1"/>
        <charset val="186"/>
      </rPr>
      <t>euro</t>
    </r>
    <r>
      <rPr>
        <sz val="12"/>
        <color theme="1"/>
        <rFont val="Times New Roman"/>
        <family val="1"/>
        <charset val="186"/>
      </rPr>
      <t xml:space="preserve">/mēn. * 12 mēn. = 678,96 </t>
    </r>
    <r>
      <rPr>
        <i/>
        <sz val="12"/>
        <color theme="1"/>
        <rFont val="Times New Roman"/>
        <family val="1"/>
        <charset val="186"/>
      </rPr>
      <t>euro</t>
    </r>
    <r>
      <rPr>
        <sz val="12"/>
        <color theme="1"/>
        <rFont val="Times New Roman"/>
        <family val="1"/>
        <charset val="186"/>
      </rPr>
      <t xml:space="preserve"> * 0.0026 (iznomātās platības koeficients) = 1,77 </t>
    </r>
    <r>
      <rPr>
        <i/>
        <sz val="12"/>
        <color theme="1"/>
        <rFont val="Times New Roman"/>
        <family val="1"/>
        <charset val="186"/>
      </rPr>
      <t>euro</t>
    </r>
    <r>
      <rPr>
        <sz val="12"/>
        <color theme="1"/>
        <rFont val="Times New Roman"/>
        <family val="1"/>
        <charset val="186"/>
      </rPr>
      <t xml:space="preserve">. </t>
    </r>
  </si>
  <si>
    <r>
      <t xml:space="preserve">Galv. nekust. īpaš. pārvaldnieks (1,60 </t>
    </r>
    <r>
      <rPr>
        <i/>
        <sz val="12"/>
        <color theme="1"/>
        <rFont val="Times New Roman"/>
        <family val="1"/>
        <charset val="186"/>
      </rPr>
      <t>euro</t>
    </r>
    <r>
      <rPr>
        <sz val="12"/>
        <color theme="1"/>
        <rFont val="Times New Roman"/>
        <family val="1"/>
        <charset val="186"/>
      </rPr>
      <t xml:space="preserve"> * 10%) = 0,16 </t>
    </r>
    <r>
      <rPr>
        <i/>
        <sz val="12"/>
        <color theme="1"/>
        <rFont val="Times New Roman"/>
        <family val="1"/>
        <charset val="186"/>
      </rPr>
      <t>euro</t>
    </r>
    <r>
      <rPr>
        <sz val="12"/>
        <color theme="1"/>
        <rFont val="Times New Roman"/>
        <family val="1"/>
        <charset val="186"/>
      </rPr>
      <t xml:space="preserve">, Dienesta viesnīcas vadīotājs (36,47 </t>
    </r>
    <r>
      <rPr>
        <i/>
        <sz val="12"/>
        <color theme="1"/>
        <rFont val="Times New Roman"/>
        <family val="1"/>
        <charset val="186"/>
      </rPr>
      <t>euro</t>
    </r>
    <r>
      <rPr>
        <sz val="12"/>
        <color theme="1"/>
        <rFont val="Times New Roman"/>
        <family val="1"/>
        <charset val="186"/>
      </rPr>
      <t xml:space="preserve"> * 10%) = 3,65 </t>
    </r>
    <r>
      <rPr>
        <i/>
        <sz val="12"/>
        <color theme="1"/>
        <rFont val="Times New Roman"/>
        <family val="1"/>
        <charset val="186"/>
      </rPr>
      <t>euro</t>
    </r>
    <r>
      <rPr>
        <sz val="12"/>
        <color theme="1"/>
        <rFont val="Times New Roman"/>
        <family val="1"/>
        <charset val="186"/>
      </rPr>
      <t xml:space="preserve">. Saimniecības pārzinis (1,77 </t>
    </r>
    <r>
      <rPr>
        <i/>
        <sz val="12"/>
        <color theme="1"/>
        <rFont val="Times New Roman"/>
        <family val="1"/>
        <charset val="186"/>
      </rPr>
      <t>euro</t>
    </r>
    <r>
      <rPr>
        <sz val="12"/>
        <color theme="1"/>
        <rFont val="Times New Roman"/>
        <family val="1"/>
        <charset val="186"/>
      </rPr>
      <t xml:space="preserve"> * 10%) = 0,18 </t>
    </r>
    <r>
      <rPr>
        <i/>
        <sz val="12"/>
        <color theme="1"/>
        <rFont val="Times New Roman"/>
        <family val="1"/>
        <charset val="186"/>
      </rPr>
      <t>euro.</t>
    </r>
    <r>
      <rPr>
        <sz val="12"/>
        <color theme="1"/>
        <rFont val="Times New Roman"/>
        <family val="1"/>
        <charset val="186"/>
      </rPr>
      <t xml:space="preserve"> Kopā (0,16 </t>
    </r>
    <r>
      <rPr>
        <i/>
        <sz val="12"/>
        <color theme="1"/>
        <rFont val="Times New Roman"/>
        <family val="1"/>
        <charset val="186"/>
      </rPr>
      <t>euro</t>
    </r>
    <r>
      <rPr>
        <sz val="12"/>
        <color theme="1"/>
        <rFont val="Times New Roman"/>
        <family val="1"/>
        <charset val="186"/>
      </rPr>
      <t xml:space="preserve"> + 3,65 </t>
    </r>
    <r>
      <rPr>
        <i/>
        <sz val="12"/>
        <color theme="1"/>
        <rFont val="Times New Roman"/>
        <family val="1"/>
        <charset val="186"/>
      </rPr>
      <t>euro</t>
    </r>
    <r>
      <rPr>
        <sz val="12"/>
        <color theme="1"/>
        <rFont val="Times New Roman"/>
        <family val="1"/>
        <charset val="186"/>
      </rPr>
      <t xml:space="preserve"> + 0,18 </t>
    </r>
    <r>
      <rPr>
        <i/>
        <sz val="12"/>
        <color theme="1"/>
        <rFont val="Times New Roman"/>
        <family val="1"/>
        <charset val="186"/>
      </rPr>
      <t>euro</t>
    </r>
    <r>
      <rPr>
        <sz val="12"/>
        <color theme="1"/>
        <rFont val="Times New Roman"/>
        <family val="1"/>
        <charset val="186"/>
      </rPr>
      <t xml:space="preserve">) = 3,99 </t>
    </r>
    <r>
      <rPr>
        <i/>
        <sz val="12"/>
        <color theme="1"/>
        <rFont val="Times New Roman"/>
        <family val="1"/>
        <charset val="186"/>
      </rPr>
      <t>euro</t>
    </r>
    <r>
      <rPr>
        <sz val="12"/>
        <color theme="1"/>
        <rFont val="Times New Roman"/>
        <family val="1"/>
        <charset val="186"/>
      </rPr>
      <t>.</t>
    </r>
  </si>
  <si>
    <r>
      <t xml:space="preserve">Galv. nekust. īpaš. pārvaldnieks (1,60 </t>
    </r>
    <r>
      <rPr>
        <i/>
        <sz val="12"/>
        <color theme="1"/>
        <rFont val="Times New Roman"/>
        <family val="1"/>
        <charset val="186"/>
      </rPr>
      <t>euro</t>
    </r>
    <r>
      <rPr>
        <sz val="12"/>
        <color theme="1"/>
        <rFont val="Times New Roman"/>
        <family val="1"/>
        <charset val="186"/>
      </rPr>
      <t xml:space="preserve"> * 5%) = 0,08 </t>
    </r>
    <r>
      <rPr>
        <i/>
        <sz val="12"/>
        <color theme="1"/>
        <rFont val="Times New Roman"/>
        <family val="1"/>
        <charset val="186"/>
      </rPr>
      <t>euro</t>
    </r>
    <r>
      <rPr>
        <sz val="12"/>
        <color theme="1"/>
        <rFont val="Times New Roman"/>
        <family val="1"/>
        <charset val="186"/>
      </rPr>
      <t xml:space="preserve">, Dienesta viesnīcas vadīotājs (36,47 </t>
    </r>
    <r>
      <rPr>
        <i/>
        <sz val="12"/>
        <color theme="1"/>
        <rFont val="Times New Roman"/>
        <family val="1"/>
        <charset val="186"/>
      </rPr>
      <t>euro</t>
    </r>
    <r>
      <rPr>
        <sz val="12"/>
        <color theme="1"/>
        <rFont val="Times New Roman"/>
        <family val="1"/>
        <charset val="186"/>
      </rPr>
      <t xml:space="preserve"> * 5%) = 1,82 </t>
    </r>
    <r>
      <rPr>
        <i/>
        <sz val="12"/>
        <color theme="1"/>
        <rFont val="Times New Roman"/>
        <family val="1"/>
        <charset val="186"/>
      </rPr>
      <t>euro</t>
    </r>
    <r>
      <rPr>
        <sz val="12"/>
        <color theme="1"/>
        <rFont val="Times New Roman"/>
        <family val="1"/>
        <charset val="186"/>
      </rPr>
      <t xml:space="preserve">. Saimniecības pārzinis (1,77 </t>
    </r>
    <r>
      <rPr>
        <i/>
        <sz val="12"/>
        <color theme="1"/>
        <rFont val="Times New Roman"/>
        <family val="1"/>
        <charset val="186"/>
      </rPr>
      <t>euro</t>
    </r>
    <r>
      <rPr>
        <sz val="12"/>
        <color theme="1"/>
        <rFont val="Times New Roman"/>
        <family val="1"/>
        <charset val="186"/>
      </rPr>
      <t xml:space="preserve"> * 5%) = 0,09 </t>
    </r>
    <r>
      <rPr>
        <i/>
        <sz val="12"/>
        <color theme="1"/>
        <rFont val="Times New Roman"/>
        <family val="1"/>
        <charset val="186"/>
      </rPr>
      <t>euro.</t>
    </r>
    <r>
      <rPr>
        <sz val="12"/>
        <color theme="1"/>
        <rFont val="Times New Roman"/>
        <family val="1"/>
        <charset val="186"/>
      </rPr>
      <t xml:space="preserve"> Kopā (0,08 </t>
    </r>
    <r>
      <rPr>
        <i/>
        <sz val="12"/>
        <color theme="1"/>
        <rFont val="Times New Roman"/>
        <family val="1"/>
        <charset val="186"/>
      </rPr>
      <t>euro</t>
    </r>
    <r>
      <rPr>
        <sz val="12"/>
        <color theme="1"/>
        <rFont val="Times New Roman"/>
        <family val="1"/>
        <charset val="186"/>
      </rPr>
      <t xml:space="preserve"> + 1,82 </t>
    </r>
    <r>
      <rPr>
        <i/>
        <sz val="12"/>
        <color theme="1"/>
        <rFont val="Times New Roman"/>
        <family val="1"/>
        <charset val="186"/>
      </rPr>
      <t>euro</t>
    </r>
    <r>
      <rPr>
        <sz val="12"/>
        <color theme="1"/>
        <rFont val="Times New Roman"/>
        <family val="1"/>
        <charset val="186"/>
      </rPr>
      <t xml:space="preserve"> + 0,09 </t>
    </r>
    <r>
      <rPr>
        <i/>
        <sz val="12"/>
        <color theme="1"/>
        <rFont val="Times New Roman"/>
        <family val="1"/>
        <charset val="186"/>
      </rPr>
      <t>euro</t>
    </r>
    <r>
      <rPr>
        <sz val="12"/>
        <color theme="1"/>
        <rFont val="Times New Roman"/>
        <family val="1"/>
        <charset val="186"/>
      </rPr>
      <t xml:space="preserve">) = 1,99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</si>
  <si>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43,83 </t>
    </r>
    <r>
      <rPr>
        <i/>
        <sz val="12"/>
        <color theme="1"/>
        <rFont val="Times New Roman"/>
        <family val="1"/>
        <charset val="186"/>
      </rPr>
      <t>euro</t>
    </r>
    <r>
      <rPr>
        <sz val="12"/>
        <color theme="1"/>
        <rFont val="Times New Roman"/>
        <family val="1"/>
        <charset val="186"/>
      </rPr>
      <t xml:space="preserve"> * 23,59 % = 10,34 </t>
    </r>
    <r>
      <rPr>
        <i/>
        <sz val="12"/>
        <color theme="1"/>
        <rFont val="Times New Roman"/>
        <family val="1"/>
        <charset val="186"/>
      </rPr>
      <t xml:space="preserve">euro. </t>
    </r>
  </si>
  <si>
    <r>
      <t xml:space="preserve">Darba devēja valsts sociālās apdrošināšanas obligātās iemaksas 10,34 </t>
    </r>
    <r>
      <rPr>
        <i/>
        <sz val="12"/>
        <color theme="1"/>
        <rFont val="Times New Roman"/>
        <family val="1"/>
        <charset val="186"/>
      </rPr>
      <t>euro</t>
    </r>
    <r>
      <rPr>
        <sz val="12"/>
        <color theme="1"/>
        <rFont val="Times New Roman"/>
        <family val="1"/>
        <charset val="186"/>
      </rPr>
      <t xml:space="preserve">. Veselības apdrošināšana 1,99 </t>
    </r>
    <r>
      <rPr>
        <i/>
        <sz val="12"/>
        <color theme="1"/>
        <rFont val="Times New Roman"/>
        <family val="1"/>
        <charset val="186"/>
      </rPr>
      <t>euro</t>
    </r>
    <r>
      <rPr>
        <sz val="12"/>
        <color theme="1"/>
        <rFont val="Times New Roman"/>
        <family val="1"/>
        <charset val="186"/>
      </rPr>
      <t xml:space="preserve">. Kopā 12,33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</si>
  <si>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1.91 stundas, (11,47 </t>
    </r>
    <r>
      <rPr>
        <i/>
        <sz val="12"/>
        <color theme="1"/>
        <rFont val="Times New Roman"/>
        <family val="1"/>
        <charset val="186"/>
      </rPr>
      <t>euro</t>
    </r>
    <r>
      <rPr>
        <sz val="12"/>
        <color theme="1"/>
        <rFont val="Times New Roman"/>
        <family val="1"/>
        <charset val="186"/>
      </rPr>
      <t xml:space="preserve"> * 1.91 h) = 21,91 </t>
    </r>
    <r>
      <rPr>
        <i/>
        <sz val="12"/>
        <color theme="1"/>
        <rFont val="Times New Roman"/>
        <family val="1"/>
        <charset val="186"/>
      </rPr>
      <t>euro</t>
    </r>
    <r>
      <rPr>
        <sz val="12"/>
        <color theme="1"/>
        <rFont val="Times New Roman"/>
        <family val="1"/>
        <charset val="186"/>
      </rPr>
      <t xml:space="preserve">/mēn. * 12. mēn. = 262,92 </t>
    </r>
    <r>
      <rPr>
        <i/>
        <sz val="12"/>
        <color theme="1"/>
        <rFont val="Times New Roman"/>
        <family val="1"/>
        <charset val="186"/>
      </rPr>
      <t>euro</t>
    </r>
    <r>
      <rPr>
        <sz val="12"/>
        <color theme="1"/>
        <rFont val="Times New Roman"/>
        <family val="1"/>
        <charset val="186"/>
      </rPr>
      <t xml:space="preserve"> * 0.0026 (iznomātās platības koeficients) = 0,68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</si>
  <si>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1.87 stundas, (7,65 </t>
    </r>
    <r>
      <rPr>
        <i/>
        <sz val="12"/>
        <color theme="1"/>
        <rFont val="Times New Roman"/>
        <family val="1"/>
        <charset val="186"/>
      </rPr>
      <t>euro</t>
    </r>
    <r>
      <rPr>
        <sz val="12"/>
        <color theme="1"/>
        <rFont val="Times New Roman"/>
        <family val="1"/>
        <charset val="186"/>
      </rPr>
      <t xml:space="preserve"> * 1.87 h) = 14,31 </t>
    </r>
    <r>
      <rPr>
        <i/>
        <sz val="12"/>
        <color theme="1"/>
        <rFont val="Times New Roman"/>
        <family val="1"/>
        <charset val="186"/>
      </rPr>
      <t>euro</t>
    </r>
    <r>
      <rPr>
        <sz val="12"/>
        <color theme="1"/>
        <rFont val="Times New Roman"/>
        <family val="1"/>
        <charset val="186"/>
      </rPr>
      <t xml:space="preserve">/mēn. * 12. mēn. = 171,72 </t>
    </r>
    <r>
      <rPr>
        <i/>
        <sz val="12"/>
        <color theme="1"/>
        <rFont val="Times New Roman"/>
        <family val="1"/>
        <charset val="186"/>
      </rPr>
      <t>euro</t>
    </r>
    <r>
      <rPr>
        <sz val="12"/>
        <color theme="1"/>
        <rFont val="Times New Roman"/>
        <family val="1"/>
        <charset val="186"/>
      </rPr>
      <t xml:space="preserve"> * 0.0026 (iznomātās platības koeficients) = 0,45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</si>
  <si>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1.83 stundas, (11,47 </t>
    </r>
    <r>
      <rPr>
        <i/>
        <sz val="12"/>
        <color theme="1"/>
        <rFont val="Times New Roman"/>
        <family val="1"/>
        <charset val="186"/>
      </rPr>
      <t>euro</t>
    </r>
    <r>
      <rPr>
        <sz val="12"/>
        <color theme="1"/>
        <rFont val="Times New Roman"/>
        <family val="1"/>
        <charset val="186"/>
      </rPr>
      <t xml:space="preserve"> * 1.83 h) = 20,99 </t>
    </r>
    <r>
      <rPr>
        <i/>
        <sz val="12"/>
        <color theme="1"/>
        <rFont val="Times New Roman"/>
        <family val="1"/>
        <charset val="186"/>
      </rPr>
      <t>euro</t>
    </r>
    <r>
      <rPr>
        <sz val="12"/>
        <color theme="1"/>
        <rFont val="Times New Roman"/>
        <family val="1"/>
        <charset val="186"/>
      </rPr>
      <t xml:space="preserve">/mēn. * 12. mēn. = 251,88 </t>
    </r>
    <r>
      <rPr>
        <i/>
        <sz val="12"/>
        <color theme="1"/>
        <rFont val="Times New Roman"/>
        <family val="1"/>
        <charset val="186"/>
      </rPr>
      <t>euro</t>
    </r>
    <r>
      <rPr>
        <sz val="12"/>
        <color theme="1"/>
        <rFont val="Times New Roman"/>
        <family val="1"/>
        <charset val="186"/>
      </rPr>
      <t xml:space="preserve"> * 0.0026 (iznomātās platības koeficients) = 0,65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</si>
  <si>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2.06 stundas, (15,15 </t>
    </r>
    <r>
      <rPr>
        <i/>
        <sz val="12"/>
        <color theme="1"/>
        <rFont val="Times New Roman"/>
        <family val="1"/>
        <charset val="186"/>
      </rPr>
      <t>euro</t>
    </r>
    <r>
      <rPr>
        <sz val="12"/>
        <color theme="1"/>
        <rFont val="Times New Roman"/>
        <family val="1"/>
        <charset val="186"/>
      </rPr>
      <t xml:space="preserve"> * 2.06 h) = 31,21 </t>
    </r>
    <r>
      <rPr>
        <i/>
        <sz val="12"/>
        <color theme="1"/>
        <rFont val="Times New Roman"/>
        <family val="1"/>
        <charset val="186"/>
      </rPr>
      <t>euro</t>
    </r>
    <r>
      <rPr>
        <sz val="12"/>
        <color theme="1"/>
        <rFont val="Times New Roman"/>
        <family val="1"/>
        <charset val="186"/>
      </rPr>
      <t xml:space="preserve">/mēn. * 12. mēn. = 374,52 </t>
    </r>
    <r>
      <rPr>
        <i/>
        <sz val="12"/>
        <color theme="1"/>
        <rFont val="Times New Roman"/>
        <family val="1"/>
        <charset val="186"/>
      </rPr>
      <t>euro</t>
    </r>
    <r>
      <rPr>
        <sz val="12"/>
        <color theme="1"/>
        <rFont val="Times New Roman"/>
        <family val="1"/>
        <charset val="186"/>
      </rPr>
      <t xml:space="preserve"> * 0.0026 (iznomātās platības koeficients) = 0,97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</si>
  <si>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1.66 stundas, (12,17 </t>
    </r>
    <r>
      <rPr>
        <i/>
        <sz val="12"/>
        <color theme="1"/>
        <rFont val="Times New Roman"/>
        <family val="1"/>
        <charset val="186"/>
      </rPr>
      <t>euro</t>
    </r>
    <r>
      <rPr>
        <sz val="12"/>
        <color theme="1"/>
        <rFont val="Times New Roman"/>
        <family val="1"/>
        <charset val="186"/>
      </rPr>
      <t xml:space="preserve"> * 1.66 h) = 20,20 </t>
    </r>
    <r>
      <rPr>
        <i/>
        <sz val="12"/>
        <color theme="1"/>
        <rFont val="Times New Roman"/>
        <family val="1"/>
        <charset val="186"/>
      </rPr>
      <t>euro</t>
    </r>
    <r>
      <rPr>
        <sz val="12"/>
        <color theme="1"/>
        <rFont val="Times New Roman"/>
        <family val="1"/>
        <charset val="186"/>
      </rPr>
      <t xml:space="preserve">/mēn. * 12. mēn. = 242,40 </t>
    </r>
    <r>
      <rPr>
        <i/>
        <sz val="12"/>
        <color theme="1"/>
        <rFont val="Times New Roman"/>
        <family val="1"/>
        <charset val="186"/>
      </rPr>
      <t>euro</t>
    </r>
    <r>
      <rPr>
        <sz val="12"/>
        <color theme="1"/>
        <rFont val="Times New Roman"/>
        <family val="1"/>
        <charset val="186"/>
      </rPr>
      <t xml:space="preserve"> * 0.0026 (iznomātās platības koeficients) = 0,63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</si>
  <si>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9.23 stunda,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0.0026 (iznomātās platības koeficients) = 2,39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</si>
  <si>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33.59 stundas, (9,42 </t>
    </r>
    <r>
      <rPr>
        <i/>
        <sz val="12"/>
        <color theme="1"/>
        <rFont val="Times New Roman"/>
        <family val="1"/>
        <charset val="186"/>
      </rPr>
      <t>euro</t>
    </r>
    <r>
      <rPr>
        <sz val="12"/>
        <color theme="1"/>
        <rFont val="Times New Roman"/>
        <family val="1"/>
        <charset val="186"/>
      </rPr>
      <t xml:space="preserve"> * 33.59 h) = 316,42 </t>
    </r>
    <r>
      <rPr>
        <i/>
        <sz val="12"/>
        <color theme="1"/>
        <rFont val="Times New Roman"/>
        <family val="1"/>
        <charset val="186"/>
      </rPr>
      <t>euro</t>
    </r>
    <r>
      <rPr>
        <sz val="12"/>
        <color theme="1"/>
        <rFont val="Times New Roman"/>
        <family val="1"/>
        <charset val="186"/>
      </rPr>
      <t xml:space="preserve">/mēn. * 12. mēn. = 3 797,04 </t>
    </r>
    <r>
      <rPr>
        <i/>
        <sz val="12"/>
        <color theme="1"/>
        <rFont val="Times New Roman"/>
        <family val="1"/>
        <charset val="186"/>
      </rPr>
      <t>euro</t>
    </r>
    <r>
      <rPr>
        <sz val="12"/>
        <color theme="1"/>
        <rFont val="Times New Roman"/>
        <family val="1"/>
        <charset val="186"/>
      </rPr>
      <t xml:space="preserve"> * 0.0026 (iznomātās platības koeficients) = 9,87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</si>
  <si>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58.67 stundas, (8,29 </t>
    </r>
    <r>
      <rPr>
        <i/>
        <sz val="12"/>
        <color theme="1"/>
        <rFont val="Times New Roman"/>
        <family val="1"/>
        <charset val="186"/>
      </rPr>
      <t>euro</t>
    </r>
    <r>
      <rPr>
        <sz val="12"/>
        <color theme="1"/>
        <rFont val="Times New Roman"/>
        <family val="1"/>
        <charset val="186"/>
      </rPr>
      <t xml:space="preserve"> * 58.67 h) = 486,37 </t>
    </r>
    <r>
      <rPr>
        <i/>
        <sz val="12"/>
        <color theme="1"/>
        <rFont val="Times New Roman"/>
        <family val="1"/>
        <charset val="186"/>
      </rPr>
      <t>euro</t>
    </r>
    <r>
      <rPr>
        <sz val="12"/>
        <color theme="1"/>
        <rFont val="Times New Roman"/>
        <family val="1"/>
        <charset val="186"/>
      </rPr>
      <t xml:space="preserve">/mēn. * 12. mēn. = 5 836,44 </t>
    </r>
    <r>
      <rPr>
        <i/>
        <sz val="12"/>
        <color theme="1"/>
        <rFont val="Times New Roman"/>
        <family val="1"/>
        <charset val="186"/>
      </rPr>
      <t>euro</t>
    </r>
    <r>
      <rPr>
        <sz val="12"/>
        <color theme="1"/>
        <rFont val="Times New Roman"/>
        <family val="1"/>
        <charset val="186"/>
      </rPr>
      <t xml:space="preserve"> * 0.0026 (iznomātās platības koeficients) = 15,17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</si>
  <si>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7.2 stundas, (25,09 </t>
    </r>
    <r>
      <rPr>
        <i/>
        <sz val="12"/>
        <color theme="1"/>
        <rFont val="Times New Roman"/>
        <family val="1"/>
        <charset val="186"/>
      </rPr>
      <t>euro</t>
    </r>
    <r>
      <rPr>
        <sz val="12"/>
        <color theme="1"/>
        <rFont val="Times New Roman"/>
        <family val="1"/>
        <charset val="186"/>
      </rPr>
      <t xml:space="preserve"> * 7.2 h) = 180,65 </t>
    </r>
    <r>
      <rPr>
        <i/>
        <sz val="12"/>
        <color theme="1"/>
        <rFont val="Times New Roman"/>
        <family val="1"/>
        <charset val="186"/>
      </rPr>
      <t>euro</t>
    </r>
    <r>
      <rPr>
        <sz val="12"/>
        <color theme="1"/>
        <rFont val="Times New Roman"/>
        <family val="1"/>
        <charset val="186"/>
      </rPr>
      <t xml:space="preserve">/mēn. * 12. mēn. = 2 167,80 </t>
    </r>
    <r>
      <rPr>
        <i/>
        <sz val="12"/>
        <color theme="1"/>
        <rFont val="Times New Roman"/>
        <family val="1"/>
        <charset val="186"/>
      </rPr>
      <t>euro</t>
    </r>
    <r>
      <rPr>
        <sz val="12"/>
        <color theme="1"/>
        <rFont val="Times New Roman"/>
        <family val="1"/>
        <charset val="186"/>
      </rPr>
      <t xml:space="preserve"> * 0.0026 (iznomātās platības koeficients) = 5,64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</si>
  <si>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1.65 stundas, (27,18 </t>
    </r>
    <r>
      <rPr>
        <i/>
        <sz val="12"/>
        <color theme="1"/>
        <rFont val="Times New Roman"/>
        <family val="1"/>
        <charset val="186"/>
      </rPr>
      <t>euro</t>
    </r>
    <r>
      <rPr>
        <sz val="12"/>
        <color theme="1"/>
        <rFont val="Times New Roman"/>
        <family val="1"/>
        <charset val="186"/>
      </rPr>
      <t xml:space="preserve"> * 1.65 h) = 44,85 </t>
    </r>
    <r>
      <rPr>
        <i/>
        <sz val="12"/>
        <color theme="1"/>
        <rFont val="Times New Roman"/>
        <family val="1"/>
        <charset val="186"/>
      </rPr>
      <t>euro</t>
    </r>
    <r>
      <rPr>
        <sz val="12"/>
        <color theme="1"/>
        <rFont val="Times New Roman"/>
        <family val="1"/>
        <charset val="186"/>
      </rPr>
      <t xml:space="preserve">/mēn. * 12. mēn. = 538,20 euro * 0.0026 (iznomātās platības koeficients) = 1,40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</si>
  <si>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37,85 </t>
    </r>
    <r>
      <rPr>
        <i/>
        <sz val="12"/>
        <color theme="1"/>
        <rFont val="Times New Roman"/>
        <family val="1"/>
        <charset val="186"/>
      </rPr>
      <t>euro</t>
    </r>
    <r>
      <rPr>
        <sz val="12"/>
        <color theme="1"/>
        <rFont val="Times New Roman"/>
        <family val="1"/>
        <charset val="186"/>
      </rPr>
      <t xml:space="preserve"> * 23,59 % = 8,93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</si>
  <si>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6.26 stundas, (8,20 </t>
    </r>
    <r>
      <rPr>
        <i/>
        <sz val="12"/>
        <color theme="1"/>
        <rFont val="Times New Roman"/>
        <family val="1"/>
        <charset val="186"/>
      </rPr>
      <t>euro</t>
    </r>
    <r>
      <rPr>
        <sz val="12"/>
        <color theme="1"/>
        <rFont val="Times New Roman"/>
        <family val="1"/>
        <charset val="186"/>
      </rPr>
      <t xml:space="preserve"> * 6.26 h) = 51,33 </t>
    </r>
    <r>
      <rPr>
        <i/>
        <sz val="12"/>
        <color theme="1"/>
        <rFont val="Times New Roman"/>
        <family val="1"/>
        <charset val="186"/>
      </rPr>
      <t>euro</t>
    </r>
    <r>
      <rPr>
        <sz val="12"/>
        <color theme="1"/>
        <rFont val="Times New Roman"/>
        <family val="1"/>
        <charset val="186"/>
      </rPr>
      <t xml:space="preserve">/mēn. * 12 mēn. = 615,96 </t>
    </r>
    <r>
      <rPr>
        <i/>
        <sz val="12"/>
        <color theme="1"/>
        <rFont val="Times New Roman"/>
        <family val="1"/>
        <charset val="186"/>
      </rPr>
      <t>euro</t>
    </r>
    <r>
      <rPr>
        <sz val="12"/>
        <color theme="1"/>
        <rFont val="Times New Roman"/>
        <family val="1"/>
        <charset val="186"/>
      </rPr>
      <t xml:space="preserve"> * 0.0117 (iznomātās platības koeficients) = 7,21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</si>
  <si>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142.54 stundas, (8,20 </t>
    </r>
    <r>
      <rPr>
        <i/>
        <sz val="12"/>
        <color theme="1"/>
        <rFont val="Times New Roman"/>
        <family val="1"/>
        <charset val="186"/>
      </rPr>
      <t>euro</t>
    </r>
    <r>
      <rPr>
        <sz val="12"/>
        <color theme="1"/>
        <rFont val="Times New Roman"/>
        <family val="1"/>
        <charset val="186"/>
      </rPr>
      <t xml:space="preserve"> * 142.54 h) = 1 168,83 </t>
    </r>
    <r>
      <rPr>
        <i/>
        <sz val="12"/>
        <color theme="1"/>
        <rFont val="Times New Roman"/>
        <family val="1"/>
        <charset val="186"/>
      </rPr>
      <t>euro</t>
    </r>
    <r>
      <rPr>
        <sz val="12"/>
        <color theme="1"/>
        <rFont val="Times New Roman"/>
        <family val="1"/>
        <charset val="186"/>
      </rPr>
      <t xml:space="preserve">/mēn.  * 12 mēn. = 14 025,96 </t>
    </r>
    <r>
      <rPr>
        <i/>
        <sz val="12"/>
        <color theme="1"/>
        <rFont val="Times New Roman"/>
        <family val="1"/>
        <charset val="186"/>
      </rPr>
      <t>euro</t>
    </r>
    <r>
      <rPr>
        <sz val="12"/>
        <color theme="1"/>
        <rFont val="Times New Roman"/>
        <family val="1"/>
        <charset val="186"/>
      </rPr>
      <t xml:space="preserve"> * 0.0117 (iznomātās platības koeficients) = 164,10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</si>
  <si>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10.44 stundas, (5,42 </t>
    </r>
    <r>
      <rPr>
        <i/>
        <sz val="12"/>
        <color theme="1"/>
        <rFont val="Times New Roman"/>
        <family val="1"/>
        <charset val="186"/>
      </rPr>
      <t>euro</t>
    </r>
    <r>
      <rPr>
        <sz val="12"/>
        <color theme="1"/>
        <rFont val="Times New Roman"/>
        <family val="1"/>
        <charset val="186"/>
      </rPr>
      <t xml:space="preserve"> * 10.44 h) = 56,58 </t>
    </r>
    <r>
      <rPr>
        <i/>
        <sz val="12"/>
        <color theme="1"/>
        <rFont val="Times New Roman"/>
        <family val="1"/>
        <charset val="186"/>
      </rPr>
      <t>euro</t>
    </r>
    <r>
      <rPr>
        <sz val="12"/>
        <color theme="1"/>
        <rFont val="Times New Roman"/>
        <family val="1"/>
        <charset val="186"/>
      </rPr>
      <t xml:space="preserve">/mēn. * 12 mēn. = 678,96 </t>
    </r>
    <r>
      <rPr>
        <i/>
        <sz val="12"/>
        <color theme="1"/>
        <rFont val="Times New Roman"/>
        <family val="1"/>
        <charset val="186"/>
      </rPr>
      <t>euro</t>
    </r>
    <r>
      <rPr>
        <sz val="12"/>
        <color theme="1"/>
        <rFont val="Times New Roman"/>
        <family val="1"/>
        <charset val="186"/>
      </rPr>
      <t xml:space="preserve"> * 0.0117 (iznomātās platības koeficients) = 7,94 </t>
    </r>
    <r>
      <rPr>
        <i/>
        <sz val="12"/>
        <color theme="1"/>
        <rFont val="Times New Roman"/>
        <family val="1"/>
        <charset val="186"/>
      </rPr>
      <t>euro</t>
    </r>
    <r>
      <rPr>
        <sz val="12"/>
        <color theme="1"/>
        <rFont val="Times New Roman"/>
        <family val="1"/>
        <charset val="186"/>
      </rPr>
      <t xml:space="preserve">. </t>
    </r>
  </si>
  <si>
    <r>
      <t xml:space="preserve">Galv. nekust. īpaš. pārvaldnieks (7,21 </t>
    </r>
    <r>
      <rPr>
        <i/>
        <sz val="12"/>
        <color theme="1"/>
        <rFont val="Times New Roman"/>
        <family val="1"/>
        <charset val="186"/>
      </rPr>
      <t>euro</t>
    </r>
    <r>
      <rPr>
        <sz val="12"/>
        <color theme="1"/>
        <rFont val="Times New Roman"/>
        <family val="1"/>
        <charset val="186"/>
      </rPr>
      <t xml:space="preserve"> * 10%) = 0,72 </t>
    </r>
    <r>
      <rPr>
        <i/>
        <sz val="12"/>
        <color theme="1"/>
        <rFont val="Times New Roman"/>
        <family val="1"/>
        <charset val="186"/>
      </rPr>
      <t>euro</t>
    </r>
    <r>
      <rPr>
        <sz val="12"/>
        <color theme="1"/>
        <rFont val="Times New Roman"/>
        <family val="1"/>
        <charset val="186"/>
      </rPr>
      <t xml:space="preserve">, Dienesta viesnīcas vadīotājs (164,10 </t>
    </r>
    <r>
      <rPr>
        <i/>
        <sz val="12"/>
        <color theme="1"/>
        <rFont val="Times New Roman"/>
        <family val="1"/>
        <charset val="186"/>
      </rPr>
      <t>euro</t>
    </r>
    <r>
      <rPr>
        <sz val="12"/>
        <color theme="1"/>
        <rFont val="Times New Roman"/>
        <family val="1"/>
        <charset val="186"/>
      </rPr>
      <t xml:space="preserve"> * 10%) = 16,41 </t>
    </r>
    <r>
      <rPr>
        <i/>
        <sz val="12"/>
        <color theme="1"/>
        <rFont val="Times New Roman"/>
        <family val="1"/>
        <charset val="186"/>
      </rPr>
      <t>euro</t>
    </r>
    <r>
      <rPr>
        <sz val="12"/>
        <color theme="1"/>
        <rFont val="Times New Roman"/>
        <family val="1"/>
        <charset val="186"/>
      </rPr>
      <t xml:space="preserve">. Saimniecības pārzinis (7,94 </t>
    </r>
    <r>
      <rPr>
        <i/>
        <sz val="12"/>
        <color theme="1"/>
        <rFont val="Times New Roman"/>
        <family val="1"/>
        <charset val="186"/>
      </rPr>
      <t>euro</t>
    </r>
    <r>
      <rPr>
        <sz val="12"/>
        <color theme="1"/>
        <rFont val="Times New Roman"/>
        <family val="1"/>
        <charset val="186"/>
      </rPr>
      <t xml:space="preserve"> * 10%) = 0,79 </t>
    </r>
    <r>
      <rPr>
        <i/>
        <sz val="12"/>
        <color theme="1"/>
        <rFont val="Times New Roman"/>
        <family val="1"/>
        <charset val="186"/>
      </rPr>
      <t>euro.</t>
    </r>
    <r>
      <rPr>
        <sz val="12"/>
        <color theme="1"/>
        <rFont val="Times New Roman"/>
        <family val="1"/>
        <charset val="186"/>
      </rPr>
      <t xml:space="preserve"> Kopā (0,72 </t>
    </r>
    <r>
      <rPr>
        <i/>
        <sz val="12"/>
        <color theme="1"/>
        <rFont val="Times New Roman"/>
        <family val="1"/>
        <charset val="186"/>
      </rPr>
      <t>euro</t>
    </r>
    <r>
      <rPr>
        <sz val="12"/>
        <color theme="1"/>
        <rFont val="Times New Roman"/>
        <family val="1"/>
        <charset val="186"/>
      </rPr>
      <t xml:space="preserve"> + 16,41 </t>
    </r>
    <r>
      <rPr>
        <i/>
        <sz val="12"/>
        <color theme="1"/>
        <rFont val="Times New Roman"/>
        <family val="1"/>
        <charset val="186"/>
      </rPr>
      <t>euro</t>
    </r>
    <r>
      <rPr>
        <sz val="12"/>
        <color theme="1"/>
        <rFont val="Times New Roman"/>
        <family val="1"/>
        <charset val="186"/>
      </rPr>
      <t xml:space="preserve"> + 0,79 </t>
    </r>
    <r>
      <rPr>
        <i/>
        <sz val="12"/>
        <color theme="1"/>
        <rFont val="Times New Roman"/>
        <family val="1"/>
        <charset val="186"/>
      </rPr>
      <t>euro</t>
    </r>
    <r>
      <rPr>
        <sz val="12"/>
        <color theme="1"/>
        <rFont val="Times New Roman"/>
        <family val="1"/>
        <charset val="186"/>
      </rPr>
      <t xml:space="preserve">) = 17,92 </t>
    </r>
    <r>
      <rPr>
        <i/>
        <sz val="12"/>
        <color theme="1"/>
        <rFont val="Times New Roman"/>
        <family val="1"/>
        <charset val="186"/>
      </rPr>
      <t>euro</t>
    </r>
    <r>
      <rPr>
        <sz val="12"/>
        <color theme="1"/>
        <rFont val="Times New Roman"/>
        <family val="1"/>
        <charset val="186"/>
      </rPr>
      <t>.</t>
    </r>
  </si>
  <si>
    <r>
      <t xml:space="preserve">Galv. nekust. īpaš. pārvaldnieks (7,21 </t>
    </r>
    <r>
      <rPr>
        <i/>
        <sz val="12"/>
        <color theme="1"/>
        <rFont val="Times New Roman"/>
        <family val="1"/>
        <charset val="186"/>
      </rPr>
      <t>euro</t>
    </r>
    <r>
      <rPr>
        <sz val="12"/>
        <color theme="1"/>
        <rFont val="Times New Roman"/>
        <family val="1"/>
        <charset val="186"/>
      </rPr>
      <t xml:space="preserve"> * 5%) = 0,36 </t>
    </r>
    <r>
      <rPr>
        <i/>
        <sz val="12"/>
        <color theme="1"/>
        <rFont val="Times New Roman"/>
        <family val="1"/>
        <charset val="186"/>
      </rPr>
      <t>euro</t>
    </r>
    <r>
      <rPr>
        <sz val="12"/>
        <color theme="1"/>
        <rFont val="Times New Roman"/>
        <family val="1"/>
        <charset val="186"/>
      </rPr>
      <t xml:space="preserve">, Dienesta viesnīcas vadīotājs (164,10 </t>
    </r>
    <r>
      <rPr>
        <i/>
        <sz val="12"/>
        <color theme="1"/>
        <rFont val="Times New Roman"/>
        <family val="1"/>
        <charset val="186"/>
      </rPr>
      <t>euro</t>
    </r>
    <r>
      <rPr>
        <sz val="12"/>
        <color theme="1"/>
        <rFont val="Times New Roman"/>
        <family val="1"/>
        <charset val="186"/>
      </rPr>
      <t xml:space="preserve"> * 5%) = 8,21 </t>
    </r>
    <r>
      <rPr>
        <i/>
        <sz val="12"/>
        <color theme="1"/>
        <rFont val="Times New Roman"/>
        <family val="1"/>
        <charset val="186"/>
      </rPr>
      <t>euro</t>
    </r>
    <r>
      <rPr>
        <sz val="12"/>
        <color theme="1"/>
        <rFont val="Times New Roman"/>
        <family val="1"/>
        <charset val="186"/>
      </rPr>
      <t xml:space="preserve">. Saimniecības pārzinis (7,94 </t>
    </r>
    <r>
      <rPr>
        <i/>
        <sz val="12"/>
        <color theme="1"/>
        <rFont val="Times New Roman"/>
        <family val="1"/>
        <charset val="186"/>
      </rPr>
      <t>euro</t>
    </r>
    <r>
      <rPr>
        <sz val="12"/>
        <color theme="1"/>
        <rFont val="Times New Roman"/>
        <family val="1"/>
        <charset val="186"/>
      </rPr>
      <t xml:space="preserve"> * 5%) = 0,40 </t>
    </r>
    <r>
      <rPr>
        <i/>
        <sz val="12"/>
        <color theme="1"/>
        <rFont val="Times New Roman"/>
        <family val="1"/>
        <charset val="186"/>
      </rPr>
      <t>euro.</t>
    </r>
    <r>
      <rPr>
        <sz val="12"/>
        <color theme="1"/>
        <rFont val="Times New Roman"/>
        <family val="1"/>
        <charset val="186"/>
      </rPr>
      <t xml:space="preserve"> Kopā (0,36 </t>
    </r>
    <r>
      <rPr>
        <i/>
        <sz val="12"/>
        <color theme="1"/>
        <rFont val="Times New Roman"/>
        <family val="1"/>
        <charset val="186"/>
      </rPr>
      <t>euro</t>
    </r>
    <r>
      <rPr>
        <sz val="12"/>
        <color theme="1"/>
        <rFont val="Times New Roman"/>
        <family val="1"/>
        <charset val="186"/>
      </rPr>
      <t xml:space="preserve"> + 8,21 </t>
    </r>
    <r>
      <rPr>
        <i/>
        <sz val="12"/>
        <color theme="1"/>
        <rFont val="Times New Roman"/>
        <family val="1"/>
        <charset val="186"/>
      </rPr>
      <t>euro</t>
    </r>
    <r>
      <rPr>
        <sz val="12"/>
        <color theme="1"/>
        <rFont val="Times New Roman"/>
        <family val="1"/>
        <charset val="186"/>
      </rPr>
      <t xml:space="preserve"> + 0,40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</si>
  <si>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197,17 </t>
    </r>
    <r>
      <rPr>
        <i/>
        <sz val="12"/>
        <color theme="1"/>
        <rFont val="Times New Roman"/>
        <family val="1"/>
        <charset val="186"/>
      </rPr>
      <t>euro</t>
    </r>
    <r>
      <rPr>
        <sz val="12"/>
        <color theme="1"/>
        <rFont val="Times New Roman"/>
        <family val="1"/>
        <charset val="186"/>
      </rPr>
      <t xml:space="preserve"> * 23,59 % = 46,51 </t>
    </r>
    <r>
      <rPr>
        <i/>
        <sz val="12"/>
        <color theme="1"/>
        <rFont val="Times New Roman"/>
        <family val="1"/>
        <charset val="186"/>
      </rPr>
      <t xml:space="preserve">euro. </t>
    </r>
  </si>
  <si>
    <r>
      <t xml:space="preserve">Darba devēja valsts sociālās apdrošināšanas obligātās iemaksas 46,51 </t>
    </r>
    <r>
      <rPr>
        <i/>
        <sz val="12"/>
        <color theme="1"/>
        <rFont val="Times New Roman"/>
        <family val="1"/>
        <charset val="186"/>
      </rPr>
      <t>euro</t>
    </r>
    <r>
      <rPr>
        <sz val="12"/>
        <color theme="1"/>
        <rFont val="Times New Roman"/>
        <family val="1"/>
        <charset val="186"/>
      </rPr>
      <t xml:space="preserve">. Veselības apdrošināšana 8,97 </t>
    </r>
    <r>
      <rPr>
        <i/>
        <sz val="12"/>
        <color theme="1"/>
        <rFont val="Times New Roman"/>
        <family val="1"/>
        <charset val="186"/>
      </rPr>
      <t>euro</t>
    </r>
    <r>
      <rPr>
        <sz val="12"/>
        <color theme="1"/>
        <rFont val="Times New Roman"/>
        <family val="1"/>
        <charset val="186"/>
      </rPr>
      <t xml:space="preserve">. Kopā 55,48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</si>
  <si>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1.91 stundas, (11,47 </t>
    </r>
    <r>
      <rPr>
        <i/>
        <sz val="12"/>
        <color theme="1"/>
        <rFont val="Times New Roman"/>
        <family val="1"/>
        <charset val="186"/>
      </rPr>
      <t>euro</t>
    </r>
    <r>
      <rPr>
        <sz val="12"/>
        <color theme="1"/>
        <rFont val="Times New Roman"/>
        <family val="1"/>
        <charset val="186"/>
      </rPr>
      <t xml:space="preserve"> * 1.91 h) = 21,91 </t>
    </r>
    <r>
      <rPr>
        <i/>
        <sz val="12"/>
        <color theme="1"/>
        <rFont val="Times New Roman"/>
        <family val="1"/>
        <charset val="186"/>
      </rPr>
      <t>euro</t>
    </r>
    <r>
      <rPr>
        <sz val="12"/>
        <color theme="1"/>
        <rFont val="Times New Roman"/>
        <family val="1"/>
        <charset val="186"/>
      </rPr>
      <t xml:space="preserve">/mēn. * 12. mēn. = 262,92 </t>
    </r>
    <r>
      <rPr>
        <i/>
        <sz val="12"/>
        <color theme="1"/>
        <rFont val="Times New Roman"/>
        <family val="1"/>
        <charset val="186"/>
      </rPr>
      <t>euro</t>
    </r>
    <r>
      <rPr>
        <sz val="12"/>
        <color theme="1"/>
        <rFont val="Times New Roman"/>
        <family val="1"/>
        <charset val="186"/>
      </rPr>
      <t xml:space="preserve"> * 0.0117 (iznomātās platības koeficients) = 3,08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</si>
  <si>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1.87 stundas, (7,65 </t>
    </r>
    <r>
      <rPr>
        <i/>
        <sz val="12"/>
        <color theme="1"/>
        <rFont val="Times New Roman"/>
        <family val="1"/>
        <charset val="186"/>
      </rPr>
      <t>euro</t>
    </r>
    <r>
      <rPr>
        <sz val="12"/>
        <color theme="1"/>
        <rFont val="Times New Roman"/>
        <family val="1"/>
        <charset val="186"/>
      </rPr>
      <t xml:space="preserve"> * 1.87 h) = 14,31 </t>
    </r>
    <r>
      <rPr>
        <i/>
        <sz val="12"/>
        <color theme="1"/>
        <rFont val="Times New Roman"/>
        <family val="1"/>
        <charset val="186"/>
      </rPr>
      <t>euro</t>
    </r>
    <r>
      <rPr>
        <sz val="12"/>
        <color theme="1"/>
        <rFont val="Times New Roman"/>
        <family val="1"/>
        <charset val="186"/>
      </rPr>
      <t xml:space="preserve">/mēn. * 12. mēn. = 171,72 </t>
    </r>
    <r>
      <rPr>
        <i/>
        <sz val="12"/>
        <color theme="1"/>
        <rFont val="Times New Roman"/>
        <family val="1"/>
        <charset val="186"/>
      </rPr>
      <t>euro</t>
    </r>
    <r>
      <rPr>
        <sz val="12"/>
        <color theme="1"/>
        <rFont val="Times New Roman"/>
        <family val="1"/>
        <charset val="186"/>
      </rPr>
      <t xml:space="preserve"> * 0.0117 (iznomātās platības koeficients) = 2,01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</si>
  <si>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1.83 stundas, (11,47 </t>
    </r>
    <r>
      <rPr>
        <i/>
        <sz val="12"/>
        <color theme="1"/>
        <rFont val="Times New Roman"/>
        <family val="1"/>
        <charset val="186"/>
      </rPr>
      <t>euro</t>
    </r>
    <r>
      <rPr>
        <sz val="12"/>
        <color theme="1"/>
        <rFont val="Times New Roman"/>
        <family val="1"/>
        <charset val="186"/>
      </rPr>
      <t xml:space="preserve"> * 1.83 h) = 20,99 </t>
    </r>
    <r>
      <rPr>
        <i/>
        <sz val="12"/>
        <color theme="1"/>
        <rFont val="Times New Roman"/>
        <family val="1"/>
        <charset val="186"/>
      </rPr>
      <t>euro</t>
    </r>
    <r>
      <rPr>
        <sz val="12"/>
        <color theme="1"/>
        <rFont val="Times New Roman"/>
        <family val="1"/>
        <charset val="186"/>
      </rPr>
      <t xml:space="preserve">/mēn. * 12. mēn. = 251,88 </t>
    </r>
    <r>
      <rPr>
        <i/>
        <sz val="12"/>
        <color theme="1"/>
        <rFont val="Times New Roman"/>
        <family val="1"/>
        <charset val="186"/>
      </rPr>
      <t>euro</t>
    </r>
    <r>
      <rPr>
        <sz val="12"/>
        <color theme="1"/>
        <rFont val="Times New Roman"/>
        <family val="1"/>
        <charset val="186"/>
      </rPr>
      <t xml:space="preserve"> * 0.0117 (iznomātās platības koeficients) = 2,95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</si>
  <si>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2.06 stundas, (15,15 </t>
    </r>
    <r>
      <rPr>
        <i/>
        <sz val="12"/>
        <color theme="1"/>
        <rFont val="Times New Roman"/>
        <family val="1"/>
        <charset val="186"/>
      </rPr>
      <t>euro</t>
    </r>
    <r>
      <rPr>
        <sz val="12"/>
        <color theme="1"/>
        <rFont val="Times New Roman"/>
        <family val="1"/>
        <charset val="186"/>
      </rPr>
      <t xml:space="preserve"> * 2.06 h) = 31,21 </t>
    </r>
    <r>
      <rPr>
        <i/>
        <sz val="12"/>
        <color theme="1"/>
        <rFont val="Times New Roman"/>
        <family val="1"/>
        <charset val="186"/>
      </rPr>
      <t>euro</t>
    </r>
    <r>
      <rPr>
        <sz val="12"/>
        <color theme="1"/>
        <rFont val="Times New Roman"/>
        <family val="1"/>
        <charset val="186"/>
      </rPr>
      <t xml:space="preserve">/mēn. * 12. mēn. = 374,52 </t>
    </r>
    <r>
      <rPr>
        <i/>
        <sz val="12"/>
        <color theme="1"/>
        <rFont val="Times New Roman"/>
        <family val="1"/>
        <charset val="186"/>
      </rPr>
      <t>euro</t>
    </r>
    <r>
      <rPr>
        <sz val="12"/>
        <color theme="1"/>
        <rFont val="Times New Roman"/>
        <family val="1"/>
        <charset val="186"/>
      </rPr>
      <t xml:space="preserve"> * 0.0117 (iznomātās platības koeficients) = 4,38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</si>
  <si>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euro = 2 015 euro / 165.58 (vid. d. stundu sk. mēnesī). Vid. mēn. noslogojums 1.66 stundas, (12,17 </t>
    </r>
    <r>
      <rPr>
        <i/>
        <sz val="12"/>
        <color theme="1"/>
        <rFont val="Times New Roman"/>
        <family val="1"/>
        <charset val="186"/>
      </rPr>
      <t>euro</t>
    </r>
    <r>
      <rPr>
        <sz val="12"/>
        <color theme="1"/>
        <rFont val="Times New Roman"/>
        <family val="1"/>
        <charset val="186"/>
      </rPr>
      <t xml:space="preserve"> * 1.66 h) = 20,20 </t>
    </r>
    <r>
      <rPr>
        <i/>
        <sz val="12"/>
        <color theme="1"/>
        <rFont val="Times New Roman"/>
        <family val="1"/>
        <charset val="186"/>
      </rPr>
      <t>euro</t>
    </r>
    <r>
      <rPr>
        <sz val="12"/>
        <color theme="1"/>
        <rFont val="Times New Roman"/>
        <family val="1"/>
        <charset val="186"/>
      </rPr>
      <t xml:space="preserve">/mēn. * 12. mēn. = 242,20 </t>
    </r>
    <r>
      <rPr>
        <i/>
        <sz val="12"/>
        <color theme="1"/>
        <rFont val="Times New Roman"/>
        <family val="1"/>
        <charset val="186"/>
      </rPr>
      <t>euro</t>
    </r>
    <r>
      <rPr>
        <sz val="12"/>
        <color theme="1"/>
        <rFont val="Times New Roman"/>
        <family val="1"/>
        <charset val="186"/>
      </rPr>
      <t xml:space="preserve"> * 0.0117 (iznomātās platības koeficients) = 2,84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</si>
  <si>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9.23 stunda,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0.0117 (iznomātās platības koeficients) = 10,74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</si>
  <si>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58.67 stundas, (8,29 </t>
    </r>
    <r>
      <rPr>
        <i/>
        <sz val="12"/>
        <color theme="1"/>
        <rFont val="Times New Roman"/>
        <family val="1"/>
        <charset val="186"/>
      </rPr>
      <t>euro</t>
    </r>
    <r>
      <rPr>
        <sz val="12"/>
        <color theme="1"/>
        <rFont val="Times New Roman"/>
        <family val="1"/>
        <charset val="186"/>
      </rPr>
      <t xml:space="preserve"> * 58.67 h) = 486,37 </t>
    </r>
    <r>
      <rPr>
        <i/>
        <sz val="12"/>
        <color theme="1"/>
        <rFont val="Times New Roman"/>
        <family val="1"/>
        <charset val="186"/>
      </rPr>
      <t>euro</t>
    </r>
    <r>
      <rPr>
        <sz val="12"/>
        <color theme="1"/>
        <rFont val="Times New Roman"/>
        <family val="1"/>
        <charset val="186"/>
      </rPr>
      <t xml:space="preserve">/mēn. * 12. mēn. = 5 836,44 </t>
    </r>
    <r>
      <rPr>
        <i/>
        <sz val="12"/>
        <color theme="1"/>
        <rFont val="Times New Roman"/>
        <family val="1"/>
        <charset val="186"/>
      </rPr>
      <t>euro</t>
    </r>
    <r>
      <rPr>
        <sz val="12"/>
        <color theme="1"/>
        <rFont val="Times New Roman"/>
        <family val="1"/>
        <charset val="186"/>
      </rPr>
      <t xml:space="preserve"> * 0.0117 (iznomātās platības koeficients) = 68,29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</si>
  <si>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7.2 stundas, (25,09 </t>
    </r>
    <r>
      <rPr>
        <i/>
        <sz val="12"/>
        <color theme="1"/>
        <rFont val="Times New Roman"/>
        <family val="1"/>
        <charset val="186"/>
      </rPr>
      <t>euro</t>
    </r>
    <r>
      <rPr>
        <sz val="12"/>
        <color theme="1"/>
        <rFont val="Times New Roman"/>
        <family val="1"/>
        <charset val="186"/>
      </rPr>
      <t xml:space="preserve"> * 7.2 h) = 180,65 </t>
    </r>
    <r>
      <rPr>
        <i/>
        <sz val="12"/>
        <color theme="1"/>
        <rFont val="Times New Roman"/>
        <family val="1"/>
        <charset val="186"/>
      </rPr>
      <t>euro</t>
    </r>
    <r>
      <rPr>
        <sz val="12"/>
        <color theme="1"/>
        <rFont val="Times New Roman"/>
        <family val="1"/>
        <charset val="186"/>
      </rPr>
      <t xml:space="preserve">/mēn. * 12. mēn. = 2 167,80 </t>
    </r>
    <r>
      <rPr>
        <i/>
        <sz val="12"/>
        <color theme="1"/>
        <rFont val="Times New Roman"/>
        <family val="1"/>
        <charset val="186"/>
      </rPr>
      <t>euro</t>
    </r>
    <r>
      <rPr>
        <sz val="12"/>
        <color theme="1"/>
        <rFont val="Times New Roman"/>
        <family val="1"/>
        <charset val="186"/>
      </rPr>
      <t xml:space="preserve"> * 0.0117 (iznomātās platības koeficients) = 25,36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</si>
  <si>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33.59 stundas, (9,42 </t>
    </r>
    <r>
      <rPr>
        <i/>
        <sz val="12"/>
        <color theme="1"/>
        <rFont val="Times New Roman"/>
        <family val="1"/>
        <charset val="186"/>
      </rPr>
      <t>euro</t>
    </r>
    <r>
      <rPr>
        <sz val="12"/>
        <color theme="1"/>
        <rFont val="Times New Roman"/>
        <family val="1"/>
        <charset val="186"/>
      </rPr>
      <t xml:space="preserve"> * 33.59 h) = 316,42 </t>
    </r>
    <r>
      <rPr>
        <i/>
        <sz val="12"/>
        <color theme="1"/>
        <rFont val="Times New Roman"/>
        <family val="1"/>
        <charset val="186"/>
      </rPr>
      <t>euro</t>
    </r>
    <r>
      <rPr>
        <sz val="12"/>
        <color theme="1"/>
        <rFont val="Times New Roman"/>
        <family val="1"/>
        <charset val="186"/>
      </rPr>
      <t xml:space="preserve">/mēn. * 12. mēn. = 3 797,04 </t>
    </r>
    <r>
      <rPr>
        <i/>
        <sz val="12"/>
        <color theme="1"/>
        <rFont val="Times New Roman"/>
        <family val="1"/>
        <charset val="186"/>
      </rPr>
      <t>euro</t>
    </r>
    <r>
      <rPr>
        <sz val="12"/>
        <color theme="1"/>
        <rFont val="Times New Roman"/>
        <family val="1"/>
        <charset val="186"/>
      </rPr>
      <t xml:space="preserve"> * 0.0117 (iznomātās platības koeficients) = 44,43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</si>
  <si>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1.65 stundas, (27,18 </t>
    </r>
    <r>
      <rPr>
        <i/>
        <sz val="12"/>
        <color theme="1"/>
        <rFont val="Times New Roman"/>
        <family val="1"/>
        <charset val="186"/>
      </rPr>
      <t>euro</t>
    </r>
    <r>
      <rPr>
        <sz val="12"/>
        <color theme="1"/>
        <rFont val="Times New Roman"/>
        <family val="1"/>
        <charset val="186"/>
      </rPr>
      <t xml:space="preserve"> * 1.65 h) = 44,85 </t>
    </r>
    <r>
      <rPr>
        <i/>
        <sz val="12"/>
        <color theme="1"/>
        <rFont val="Times New Roman"/>
        <family val="1"/>
        <charset val="186"/>
      </rPr>
      <t>euro</t>
    </r>
    <r>
      <rPr>
        <sz val="12"/>
        <color theme="1"/>
        <rFont val="Times New Roman"/>
        <family val="1"/>
        <charset val="186"/>
      </rPr>
      <t xml:space="preserve">/mēn. * 12. mēn. = 538,20 </t>
    </r>
    <r>
      <rPr>
        <i/>
        <sz val="12"/>
        <color theme="1"/>
        <rFont val="Times New Roman"/>
        <family val="1"/>
        <charset val="186"/>
      </rPr>
      <t>euro</t>
    </r>
    <r>
      <rPr>
        <sz val="12"/>
        <color theme="1"/>
        <rFont val="Times New Roman"/>
        <family val="1"/>
        <charset val="186"/>
      </rPr>
      <t xml:space="preserve"> * 0.0117 (iznomātās platības koeficients) = 6,30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</si>
  <si>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6.26 stundas, (8,20 </t>
    </r>
    <r>
      <rPr>
        <i/>
        <sz val="12"/>
        <color theme="1"/>
        <rFont val="Times New Roman"/>
        <family val="1"/>
        <charset val="186"/>
      </rPr>
      <t>euro</t>
    </r>
    <r>
      <rPr>
        <sz val="12"/>
        <color theme="1"/>
        <rFont val="Times New Roman"/>
        <family val="1"/>
        <charset val="186"/>
      </rPr>
      <t xml:space="preserve"> * 6.26 h) = 51,33 </t>
    </r>
    <r>
      <rPr>
        <i/>
        <sz val="12"/>
        <color theme="1"/>
        <rFont val="Times New Roman"/>
        <family val="1"/>
        <charset val="186"/>
      </rPr>
      <t>euro</t>
    </r>
    <r>
      <rPr>
        <sz val="12"/>
        <color theme="1"/>
        <rFont val="Times New Roman"/>
        <family val="1"/>
        <charset val="186"/>
      </rPr>
      <t xml:space="preserve">/mēn. * 12 mēn. = 615,96 </t>
    </r>
    <r>
      <rPr>
        <i/>
        <sz val="12"/>
        <color theme="1"/>
        <rFont val="Times New Roman"/>
        <family val="1"/>
        <charset val="186"/>
      </rPr>
      <t>euro</t>
    </r>
    <r>
      <rPr>
        <sz val="12"/>
        <color theme="1"/>
        <rFont val="Times New Roman"/>
        <family val="1"/>
        <charset val="186"/>
      </rPr>
      <t xml:space="preserve"> * 0.2415 (iznomātās platības koeficients) = 148,75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</si>
  <si>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142.54 stundas, (8,20 </t>
    </r>
    <r>
      <rPr>
        <i/>
        <sz val="12"/>
        <color theme="1"/>
        <rFont val="Times New Roman"/>
        <family val="1"/>
        <charset val="186"/>
      </rPr>
      <t>euro</t>
    </r>
    <r>
      <rPr>
        <sz val="12"/>
        <color theme="1"/>
        <rFont val="Times New Roman"/>
        <family val="1"/>
        <charset val="186"/>
      </rPr>
      <t xml:space="preserve"> * 142.54 h) = 1 168,83 </t>
    </r>
    <r>
      <rPr>
        <i/>
        <sz val="12"/>
        <color theme="1"/>
        <rFont val="Times New Roman"/>
        <family val="1"/>
        <charset val="186"/>
      </rPr>
      <t>euro</t>
    </r>
    <r>
      <rPr>
        <sz val="12"/>
        <color theme="1"/>
        <rFont val="Times New Roman"/>
        <family val="1"/>
        <charset val="186"/>
      </rPr>
      <t xml:space="preserve">/mēn.  * 12 mēn. = 14 025,96 </t>
    </r>
    <r>
      <rPr>
        <i/>
        <sz val="12"/>
        <color theme="1"/>
        <rFont val="Times New Roman"/>
        <family val="1"/>
        <charset val="186"/>
      </rPr>
      <t>euro</t>
    </r>
    <r>
      <rPr>
        <sz val="12"/>
        <color theme="1"/>
        <rFont val="Times New Roman"/>
        <family val="1"/>
        <charset val="186"/>
      </rPr>
      <t xml:space="preserve"> * 0.2415 (iznomātās platības koeficients) = 3 387,27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</si>
  <si>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10.44 stundas, (5,42 </t>
    </r>
    <r>
      <rPr>
        <i/>
        <sz val="12"/>
        <color theme="1"/>
        <rFont val="Times New Roman"/>
        <family val="1"/>
        <charset val="186"/>
      </rPr>
      <t>euro</t>
    </r>
    <r>
      <rPr>
        <sz val="12"/>
        <color theme="1"/>
        <rFont val="Times New Roman"/>
        <family val="1"/>
        <charset val="186"/>
      </rPr>
      <t xml:space="preserve"> * 10.44 h) = 56,58 </t>
    </r>
    <r>
      <rPr>
        <i/>
        <sz val="12"/>
        <color theme="1"/>
        <rFont val="Times New Roman"/>
        <family val="1"/>
        <charset val="186"/>
      </rPr>
      <t>euro</t>
    </r>
    <r>
      <rPr>
        <sz val="12"/>
        <color theme="1"/>
        <rFont val="Times New Roman"/>
        <family val="1"/>
        <charset val="186"/>
      </rPr>
      <t xml:space="preserve">/mēn. * 12 mēn. = 678,96 </t>
    </r>
    <r>
      <rPr>
        <i/>
        <sz val="12"/>
        <color theme="1"/>
        <rFont val="Times New Roman"/>
        <family val="1"/>
        <charset val="186"/>
      </rPr>
      <t>euro</t>
    </r>
    <r>
      <rPr>
        <sz val="12"/>
        <color theme="1"/>
        <rFont val="Times New Roman"/>
        <family val="1"/>
        <charset val="186"/>
      </rPr>
      <t xml:space="preserve"> * 0.2415 (iznomātās platības koeficients) = 163,97 </t>
    </r>
    <r>
      <rPr>
        <i/>
        <sz val="12"/>
        <color theme="1"/>
        <rFont val="Times New Roman"/>
        <family val="1"/>
        <charset val="186"/>
      </rPr>
      <t>euro</t>
    </r>
    <r>
      <rPr>
        <sz val="12"/>
        <color theme="1"/>
        <rFont val="Times New Roman"/>
        <family val="1"/>
        <charset val="186"/>
      </rPr>
      <t xml:space="preserve">. </t>
    </r>
  </si>
  <si>
    <r>
      <t xml:space="preserve">Galv. nekust. īpaš. pārvaldnieks (148,75 </t>
    </r>
    <r>
      <rPr>
        <i/>
        <sz val="12"/>
        <color theme="1"/>
        <rFont val="Times New Roman"/>
        <family val="1"/>
        <charset val="186"/>
      </rPr>
      <t>euro</t>
    </r>
    <r>
      <rPr>
        <sz val="12"/>
        <color theme="1"/>
        <rFont val="Times New Roman"/>
        <family val="1"/>
        <charset val="186"/>
      </rPr>
      <t xml:space="preserve"> * 10%) = 14,88 </t>
    </r>
    <r>
      <rPr>
        <i/>
        <sz val="12"/>
        <color theme="1"/>
        <rFont val="Times New Roman"/>
        <family val="1"/>
        <charset val="186"/>
      </rPr>
      <t>euro</t>
    </r>
    <r>
      <rPr>
        <sz val="12"/>
        <color theme="1"/>
        <rFont val="Times New Roman"/>
        <family val="1"/>
        <charset val="186"/>
      </rPr>
      <t xml:space="preserve">, Dienesta viesnīcas vadīotājs (3 387,27 </t>
    </r>
    <r>
      <rPr>
        <i/>
        <sz val="12"/>
        <color theme="1"/>
        <rFont val="Times New Roman"/>
        <family val="1"/>
        <charset val="186"/>
      </rPr>
      <t>euro</t>
    </r>
    <r>
      <rPr>
        <sz val="12"/>
        <color theme="1"/>
        <rFont val="Times New Roman"/>
        <family val="1"/>
        <charset val="186"/>
      </rPr>
      <t xml:space="preserve"> * 10%) = 338,73 </t>
    </r>
    <r>
      <rPr>
        <i/>
        <sz val="12"/>
        <color theme="1"/>
        <rFont val="Times New Roman"/>
        <family val="1"/>
        <charset val="186"/>
      </rPr>
      <t>euro</t>
    </r>
    <r>
      <rPr>
        <sz val="12"/>
        <color theme="1"/>
        <rFont val="Times New Roman"/>
        <family val="1"/>
        <charset val="186"/>
      </rPr>
      <t xml:space="preserve">. Saimniecības pārzinis (163,97 </t>
    </r>
    <r>
      <rPr>
        <i/>
        <sz val="12"/>
        <color theme="1"/>
        <rFont val="Times New Roman"/>
        <family val="1"/>
        <charset val="186"/>
      </rPr>
      <t>euro</t>
    </r>
    <r>
      <rPr>
        <sz val="12"/>
        <color theme="1"/>
        <rFont val="Times New Roman"/>
        <family val="1"/>
        <charset val="186"/>
      </rPr>
      <t xml:space="preserve"> * 10%) = 16,40 </t>
    </r>
    <r>
      <rPr>
        <i/>
        <sz val="12"/>
        <color theme="1"/>
        <rFont val="Times New Roman"/>
        <family val="1"/>
        <charset val="186"/>
      </rPr>
      <t>euro.</t>
    </r>
    <r>
      <rPr>
        <sz val="12"/>
        <color theme="1"/>
        <rFont val="Times New Roman"/>
        <family val="1"/>
        <charset val="186"/>
      </rPr>
      <t xml:space="preserve"> Kopā (14,88 </t>
    </r>
    <r>
      <rPr>
        <i/>
        <sz val="12"/>
        <color theme="1"/>
        <rFont val="Times New Roman"/>
        <family val="1"/>
        <charset val="186"/>
      </rPr>
      <t>euro</t>
    </r>
    <r>
      <rPr>
        <sz val="12"/>
        <color theme="1"/>
        <rFont val="Times New Roman"/>
        <family val="1"/>
        <charset val="186"/>
      </rPr>
      <t xml:space="preserve"> + 338,73 </t>
    </r>
    <r>
      <rPr>
        <i/>
        <sz val="12"/>
        <color theme="1"/>
        <rFont val="Times New Roman"/>
        <family val="1"/>
        <charset val="186"/>
      </rPr>
      <t>euro</t>
    </r>
    <r>
      <rPr>
        <sz val="12"/>
        <color theme="1"/>
        <rFont val="Times New Roman"/>
        <family val="1"/>
        <charset val="186"/>
      </rPr>
      <t xml:space="preserve"> + 16,40 </t>
    </r>
    <r>
      <rPr>
        <i/>
        <sz val="12"/>
        <color theme="1"/>
        <rFont val="Times New Roman"/>
        <family val="1"/>
        <charset val="186"/>
      </rPr>
      <t>euro</t>
    </r>
    <r>
      <rPr>
        <sz val="12"/>
        <color theme="1"/>
        <rFont val="Times New Roman"/>
        <family val="1"/>
        <charset val="186"/>
      </rPr>
      <t xml:space="preserve">) = 370,01 </t>
    </r>
    <r>
      <rPr>
        <i/>
        <sz val="12"/>
        <color theme="1"/>
        <rFont val="Times New Roman"/>
        <family val="1"/>
        <charset val="186"/>
      </rPr>
      <t>euro</t>
    </r>
    <r>
      <rPr>
        <sz val="12"/>
        <color theme="1"/>
        <rFont val="Times New Roman"/>
        <family val="1"/>
        <charset val="186"/>
      </rPr>
      <t>.</t>
    </r>
  </si>
  <si>
    <r>
      <t xml:space="preserve">Galv. nekust. īpaš. pārvaldnieks (148,75 </t>
    </r>
    <r>
      <rPr>
        <i/>
        <sz val="12"/>
        <color theme="1"/>
        <rFont val="Times New Roman"/>
        <family val="1"/>
        <charset val="186"/>
      </rPr>
      <t>euro</t>
    </r>
    <r>
      <rPr>
        <sz val="12"/>
        <color theme="1"/>
        <rFont val="Times New Roman"/>
        <family val="1"/>
        <charset val="186"/>
      </rPr>
      <t xml:space="preserve"> * 5%) = 7,44 </t>
    </r>
    <r>
      <rPr>
        <i/>
        <sz val="12"/>
        <color theme="1"/>
        <rFont val="Times New Roman"/>
        <family val="1"/>
        <charset val="186"/>
      </rPr>
      <t>euro</t>
    </r>
    <r>
      <rPr>
        <sz val="12"/>
        <color theme="1"/>
        <rFont val="Times New Roman"/>
        <family val="1"/>
        <charset val="186"/>
      </rPr>
      <t xml:space="preserve">, Dienesta viesnīcas vadīotājs (3 387,27 </t>
    </r>
    <r>
      <rPr>
        <i/>
        <sz val="12"/>
        <color theme="1"/>
        <rFont val="Times New Roman"/>
        <family val="1"/>
        <charset val="186"/>
      </rPr>
      <t>euro</t>
    </r>
    <r>
      <rPr>
        <sz val="12"/>
        <color theme="1"/>
        <rFont val="Times New Roman"/>
        <family val="1"/>
        <charset val="186"/>
      </rPr>
      <t xml:space="preserve"> * 5%) = 169,36 </t>
    </r>
    <r>
      <rPr>
        <i/>
        <sz val="12"/>
        <color theme="1"/>
        <rFont val="Times New Roman"/>
        <family val="1"/>
        <charset val="186"/>
      </rPr>
      <t>euro</t>
    </r>
    <r>
      <rPr>
        <sz val="12"/>
        <color theme="1"/>
        <rFont val="Times New Roman"/>
        <family val="1"/>
        <charset val="186"/>
      </rPr>
      <t xml:space="preserve">. Saimniecības pārzinis (163,97 </t>
    </r>
    <r>
      <rPr>
        <i/>
        <sz val="12"/>
        <color theme="1"/>
        <rFont val="Times New Roman"/>
        <family val="1"/>
        <charset val="186"/>
      </rPr>
      <t>euro</t>
    </r>
    <r>
      <rPr>
        <sz val="12"/>
        <color theme="1"/>
        <rFont val="Times New Roman"/>
        <family val="1"/>
        <charset val="186"/>
      </rPr>
      <t xml:space="preserve"> * 5%) = 8,20 </t>
    </r>
    <r>
      <rPr>
        <i/>
        <sz val="12"/>
        <color theme="1"/>
        <rFont val="Times New Roman"/>
        <family val="1"/>
        <charset val="186"/>
      </rPr>
      <t>euro.</t>
    </r>
    <r>
      <rPr>
        <sz val="12"/>
        <color theme="1"/>
        <rFont val="Times New Roman"/>
        <family val="1"/>
        <charset val="186"/>
      </rPr>
      <t xml:space="preserve"> Kopā (7,44 </t>
    </r>
    <r>
      <rPr>
        <i/>
        <sz val="12"/>
        <color theme="1"/>
        <rFont val="Times New Roman"/>
        <family val="1"/>
        <charset val="186"/>
      </rPr>
      <t>euro</t>
    </r>
    <r>
      <rPr>
        <sz val="12"/>
        <color theme="1"/>
        <rFont val="Times New Roman"/>
        <family val="1"/>
        <charset val="186"/>
      </rPr>
      <t xml:space="preserve"> + 169,36 </t>
    </r>
    <r>
      <rPr>
        <i/>
        <sz val="12"/>
        <color theme="1"/>
        <rFont val="Times New Roman"/>
        <family val="1"/>
        <charset val="186"/>
      </rPr>
      <t>euro</t>
    </r>
    <r>
      <rPr>
        <sz val="12"/>
        <color theme="1"/>
        <rFont val="Times New Roman"/>
        <family val="1"/>
        <charset val="186"/>
      </rPr>
      <t xml:space="preserve"> + 8,20 </t>
    </r>
    <r>
      <rPr>
        <i/>
        <sz val="12"/>
        <color theme="1"/>
        <rFont val="Times New Roman"/>
        <family val="1"/>
        <charset val="186"/>
      </rPr>
      <t>euro</t>
    </r>
    <r>
      <rPr>
        <sz val="12"/>
        <color theme="1"/>
        <rFont val="Times New Roman"/>
        <family val="1"/>
        <charset val="186"/>
      </rPr>
      <t xml:space="preserve">) = 185,00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</si>
  <si>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4 070,00 </t>
    </r>
    <r>
      <rPr>
        <i/>
        <sz val="12"/>
        <color theme="1"/>
        <rFont val="Times New Roman"/>
        <family val="1"/>
        <charset val="186"/>
      </rPr>
      <t>euro</t>
    </r>
    <r>
      <rPr>
        <sz val="12"/>
        <color theme="1"/>
        <rFont val="Times New Roman"/>
        <family val="1"/>
        <charset val="186"/>
      </rPr>
      <t xml:space="preserve"> * 23,59 % = 960,11 </t>
    </r>
    <r>
      <rPr>
        <i/>
        <sz val="12"/>
        <color theme="1"/>
        <rFont val="Times New Roman"/>
        <family val="1"/>
        <charset val="186"/>
      </rPr>
      <t xml:space="preserve">euro. </t>
    </r>
  </si>
  <si>
    <r>
      <t xml:space="preserve">Darba devēja valsts sociālās apdrošināšanas obligātās iemaksas 960,11 </t>
    </r>
    <r>
      <rPr>
        <i/>
        <sz val="12"/>
        <color theme="1"/>
        <rFont val="Times New Roman"/>
        <family val="1"/>
        <charset val="186"/>
      </rPr>
      <t>euro</t>
    </r>
    <r>
      <rPr>
        <sz val="12"/>
        <color theme="1"/>
        <rFont val="Times New Roman"/>
        <family val="1"/>
        <charset val="186"/>
      </rPr>
      <t xml:space="preserve">. Veselības apdrošināšana 185,00 </t>
    </r>
    <r>
      <rPr>
        <i/>
        <sz val="12"/>
        <color theme="1"/>
        <rFont val="Times New Roman"/>
        <family val="1"/>
        <charset val="186"/>
      </rPr>
      <t>euro</t>
    </r>
    <r>
      <rPr>
        <sz val="12"/>
        <color theme="1"/>
        <rFont val="Times New Roman"/>
        <family val="1"/>
        <charset val="186"/>
      </rPr>
      <t xml:space="preserve">. Kopā 1 145,11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</si>
  <si>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1.91 stundas, (11,47 </t>
    </r>
    <r>
      <rPr>
        <i/>
        <sz val="12"/>
        <color theme="1"/>
        <rFont val="Times New Roman"/>
        <family val="1"/>
        <charset val="186"/>
      </rPr>
      <t>euro</t>
    </r>
    <r>
      <rPr>
        <sz val="12"/>
        <color theme="1"/>
        <rFont val="Times New Roman"/>
        <family val="1"/>
        <charset val="186"/>
      </rPr>
      <t xml:space="preserve"> * 1.91 h) = 21,91 </t>
    </r>
    <r>
      <rPr>
        <i/>
        <sz val="12"/>
        <color theme="1"/>
        <rFont val="Times New Roman"/>
        <family val="1"/>
        <charset val="186"/>
      </rPr>
      <t>euro</t>
    </r>
    <r>
      <rPr>
        <sz val="12"/>
        <color theme="1"/>
        <rFont val="Times New Roman"/>
        <family val="1"/>
        <charset val="186"/>
      </rPr>
      <t xml:space="preserve">/mēn. * 12. mēn. = 262,92 </t>
    </r>
    <r>
      <rPr>
        <i/>
        <sz val="12"/>
        <color theme="1"/>
        <rFont val="Times New Roman"/>
        <family val="1"/>
        <charset val="186"/>
      </rPr>
      <t>euro</t>
    </r>
    <r>
      <rPr>
        <sz val="12"/>
        <color theme="1"/>
        <rFont val="Times New Roman"/>
        <family val="1"/>
        <charset val="186"/>
      </rPr>
      <t xml:space="preserve"> * 0.2415 (iznomātās platības koeficients) = 63,50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</si>
  <si>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1.87 stundas, (7,65 </t>
    </r>
    <r>
      <rPr>
        <i/>
        <sz val="12"/>
        <color theme="1"/>
        <rFont val="Times New Roman"/>
        <family val="1"/>
        <charset val="186"/>
      </rPr>
      <t>euro</t>
    </r>
    <r>
      <rPr>
        <sz val="12"/>
        <color theme="1"/>
        <rFont val="Times New Roman"/>
        <family val="1"/>
        <charset val="186"/>
      </rPr>
      <t xml:space="preserve"> * 1.87 h) = 14,31 </t>
    </r>
    <r>
      <rPr>
        <i/>
        <sz val="12"/>
        <color theme="1"/>
        <rFont val="Times New Roman"/>
        <family val="1"/>
        <charset val="186"/>
      </rPr>
      <t>euro</t>
    </r>
    <r>
      <rPr>
        <sz val="12"/>
        <color theme="1"/>
        <rFont val="Times New Roman"/>
        <family val="1"/>
        <charset val="186"/>
      </rPr>
      <t xml:space="preserve">/mēn. * 12. mēn. = 171,72 </t>
    </r>
    <r>
      <rPr>
        <i/>
        <sz val="12"/>
        <color theme="1"/>
        <rFont val="Times New Roman"/>
        <family val="1"/>
        <charset val="186"/>
      </rPr>
      <t>euro</t>
    </r>
    <r>
      <rPr>
        <sz val="12"/>
        <color theme="1"/>
        <rFont val="Times New Roman"/>
        <family val="1"/>
        <charset val="186"/>
      </rPr>
      <t xml:space="preserve"> * 0.2415 (iznomātās platības koeficients) = 41,47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</si>
  <si>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1.83 stundas, (11,47 </t>
    </r>
    <r>
      <rPr>
        <i/>
        <sz val="12"/>
        <color theme="1"/>
        <rFont val="Times New Roman"/>
        <family val="1"/>
        <charset val="186"/>
      </rPr>
      <t>euro</t>
    </r>
    <r>
      <rPr>
        <sz val="12"/>
        <color theme="1"/>
        <rFont val="Times New Roman"/>
        <family val="1"/>
        <charset val="186"/>
      </rPr>
      <t xml:space="preserve"> * 1.83 h) = 20,99 </t>
    </r>
    <r>
      <rPr>
        <i/>
        <sz val="12"/>
        <color theme="1"/>
        <rFont val="Times New Roman"/>
        <family val="1"/>
        <charset val="186"/>
      </rPr>
      <t>euro</t>
    </r>
    <r>
      <rPr>
        <sz val="12"/>
        <color theme="1"/>
        <rFont val="Times New Roman"/>
        <family val="1"/>
        <charset val="186"/>
      </rPr>
      <t xml:space="preserve">/mēn. * 12. mēn. = 251,88 </t>
    </r>
    <r>
      <rPr>
        <i/>
        <sz val="12"/>
        <color theme="1"/>
        <rFont val="Times New Roman"/>
        <family val="1"/>
        <charset val="186"/>
      </rPr>
      <t>euro</t>
    </r>
    <r>
      <rPr>
        <sz val="12"/>
        <color theme="1"/>
        <rFont val="Times New Roman"/>
        <family val="1"/>
        <charset val="186"/>
      </rPr>
      <t xml:space="preserve"> * 0.2415 (iznomātās platības koeficients) = 60,83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</si>
  <si>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2.06 stundas, (15,15 </t>
    </r>
    <r>
      <rPr>
        <i/>
        <sz val="12"/>
        <color theme="1"/>
        <rFont val="Times New Roman"/>
        <family val="1"/>
        <charset val="186"/>
      </rPr>
      <t>euro</t>
    </r>
    <r>
      <rPr>
        <sz val="12"/>
        <color theme="1"/>
        <rFont val="Times New Roman"/>
        <family val="1"/>
        <charset val="186"/>
      </rPr>
      <t xml:space="preserve"> * 2.06 h) = 31,21 </t>
    </r>
    <r>
      <rPr>
        <i/>
        <sz val="12"/>
        <color theme="1"/>
        <rFont val="Times New Roman"/>
        <family val="1"/>
        <charset val="186"/>
      </rPr>
      <t>euro</t>
    </r>
    <r>
      <rPr>
        <sz val="12"/>
        <color theme="1"/>
        <rFont val="Times New Roman"/>
        <family val="1"/>
        <charset val="186"/>
      </rPr>
      <t xml:space="preserve">/mēn. * 12. mēn. = 374,52 </t>
    </r>
    <r>
      <rPr>
        <i/>
        <sz val="12"/>
        <color theme="1"/>
        <rFont val="Times New Roman"/>
        <family val="1"/>
        <charset val="186"/>
      </rPr>
      <t>euro</t>
    </r>
    <r>
      <rPr>
        <sz val="12"/>
        <color theme="1"/>
        <rFont val="Times New Roman"/>
        <family val="1"/>
        <charset val="186"/>
      </rPr>
      <t xml:space="preserve"> * 0.2415 (iznomātās platības koeficients) = 90,45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</si>
  <si>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1.66 stundas, (12,17 </t>
    </r>
    <r>
      <rPr>
        <i/>
        <sz val="12"/>
        <color theme="1"/>
        <rFont val="Times New Roman"/>
        <family val="1"/>
        <charset val="186"/>
      </rPr>
      <t>euro</t>
    </r>
    <r>
      <rPr>
        <sz val="12"/>
        <color theme="1"/>
        <rFont val="Times New Roman"/>
        <family val="1"/>
        <charset val="186"/>
      </rPr>
      <t xml:space="preserve"> * 1.66 h) = 20,20 </t>
    </r>
    <r>
      <rPr>
        <i/>
        <sz val="12"/>
        <color theme="1"/>
        <rFont val="Times New Roman"/>
        <family val="1"/>
        <charset val="186"/>
      </rPr>
      <t>euro</t>
    </r>
    <r>
      <rPr>
        <sz val="12"/>
        <color theme="1"/>
        <rFont val="Times New Roman"/>
        <family val="1"/>
        <charset val="186"/>
      </rPr>
      <t xml:space="preserve">/mēn. * 12. mēn. = 242,40 </t>
    </r>
    <r>
      <rPr>
        <i/>
        <sz val="12"/>
        <color theme="1"/>
        <rFont val="Times New Roman"/>
        <family val="1"/>
        <charset val="186"/>
      </rPr>
      <t>euro</t>
    </r>
    <r>
      <rPr>
        <sz val="12"/>
        <color theme="1"/>
        <rFont val="Times New Roman"/>
        <family val="1"/>
        <charset val="186"/>
      </rPr>
      <t xml:space="preserve"> * 0.2415 (iznomātās platības koeficients) = 58,54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</si>
  <si>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9.23 stunda,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0.2415 (iznomātās platības koeficients) = 221,75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</si>
  <si>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33.59 stundas, (9,42 </t>
    </r>
    <r>
      <rPr>
        <i/>
        <sz val="12"/>
        <color theme="1"/>
        <rFont val="Times New Roman"/>
        <family val="1"/>
        <charset val="186"/>
      </rPr>
      <t>euro</t>
    </r>
    <r>
      <rPr>
        <sz val="12"/>
        <color theme="1"/>
        <rFont val="Times New Roman"/>
        <family val="1"/>
        <charset val="186"/>
      </rPr>
      <t xml:space="preserve"> * 33.59 h) = 316,42 </t>
    </r>
    <r>
      <rPr>
        <i/>
        <sz val="12"/>
        <color theme="1"/>
        <rFont val="Times New Roman"/>
        <family val="1"/>
        <charset val="186"/>
      </rPr>
      <t>euro</t>
    </r>
    <r>
      <rPr>
        <sz val="12"/>
        <color theme="1"/>
        <rFont val="Times New Roman"/>
        <family val="1"/>
        <charset val="186"/>
      </rPr>
      <t xml:space="preserve">/mēn. * 12. mēn. = 3 797,04 </t>
    </r>
    <r>
      <rPr>
        <i/>
        <sz val="12"/>
        <color theme="1"/>
        <rFont val="Times New Roman"/>
        <family val="1"/>
        <charset val="186"/>
      </rPr>
      <t>euro</t>
    </r>
    <r>
      <rPr>
        <sz val="12"/>
        <color theme="1"/>
        <rFont val="Times New Roman"/>
        <family val="1"/>
        <charset val="186"/>
      </rPr>
      <t xml:space="preserve"> * 0.2415 (iznomātās platības koeficients) = 916,99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</si>
  <si>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58.67 stundas, (8,29 </t>
    </r>
    <r>
      <rPr>
        <i/>
        <sz val="12"/>
        <color theme="1"/>
        <rFont val="Times New Roman"/>
        <family val="1"/>
        <charset val="186"/>
      </rPr>
      <t>euro</t>
    </r>
    <r>
      <rPr>
        <sz val="12"/>
        <color theme="1"/>
        <rFont val="Times New Roman"/>
        <family val="1"/>
        <charset val="186"/>
      </rPr>
      <t xml:space="preserve"> * 58.67 h) = 486,37 </t>
    </r>
    <r>
      <rPr>
        <i/>
        <sz val="12"/>
        <color theme="1"/>
        <rFont val="Times New Roman"/>
        <family val="1"/>
        <charset val="186"/>
      </rPr>
      <t>euro</t>
    </r>
    <r>
      <rPr>
        <sz val="12"/>
        <color theme="1"/>
        <rFont val="Times New Roman"/>
        <family val="1"/>
        <charset val="186"/>
      </rPr>
      <t xml:space="preserve">/mēn. * 12. mēn. = 5 836,44 </t>
    </r>
    <r>
      <rPr>
        <i/>
        <sz val="12"/>
        <color theme="1"/>
        <rFont val="Times New Roman"/>
        <family val="1"/>
        <charset val="186"/>
      </rPr>
      <t>euro</t>
    </r>
    <r>
      <rPr>
        <sz val="12"/>
        <color theme="1"/>
        <rFont val="Times New Roman"/>
        <family val="1"/>
        <charset val="186"/>
      </rPr>
      <t xml:space="preserve"> * 0.2415 (iznomātās platības koeficients) = 1 409,50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</si>
  <si>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7.2 stundas, (25,09 </t>
    </r>
    <r>
      <rPr>
        <i/>
        <sz val="12"/>
        <color theme="1"/>
        <rFont val="Times New Roman"/>
        <family val="1"/>
        <charset val="186"/>
      </rPr>
      <t>euro</t>
    </r>
    <r>
      <rPr>
        <sz val="12"/>
        <color theme="1"/>
        <rFont val="Times New Roman"/>
        <family val="1"/>
        <charset val="186"/>
      </rPr>
      <t xml:space="preserve"> * 7.2 h) = 180,65 </t>
    </r>
    <r>
      <rPr>
        <i/>
        <sz val="12"/>
        <color theme="1"/>
        <rFont val="Times New Roman"/>
        <family val="1"/>
        <charset val="186"/>
      </rPr>
      <t>euro</t>
    </r>
    <r>
      <rPr>
        <sz val="12"/>
        <color theme="1"/>
        <rFont val="Times New Roman"/>
        <family val="1"/>
        <charset val="186"/>
      </rPr>
      <t xml:space="preserve">/mēn. * 12. mēn. = 2 167,80 </t>
    </r>
    <r>
      <rPr>
        <i/>
        <sz val="12"/>
        <color theme="1"/>
        <rFont val="Times New Roman"/>
        <family val="1"/>
        <charset val="186"/>
      </rPr>
      <t>euro</t>
    </r>
    <r>
      <rPr>
        <sz val="12"/>
        <color theme="1"/>
        <rFont val="Times New Roman"/>
        <family val="1"/>
        <charset val="186"/>
      </rPr>
      <t xml:space="preserve"> * 0.2415 (iznomātās platības koeficients) = 523,52 </t>
    </r>
    <r>
      <rPr>
        <i/>
        <sz val="12"/>
        <color theme="1"/>
        <rFont val="Times New Roman"/>
        <family val="1"/>
        <charset val="186"/>
      </rPr>
      <t>euro</t>
    </r>
    <r>
      <rPr>
        <sz val="12"/>
        <color theme="1"/>
        <rFont val="Times New Roman"/>
        <family val="1"/>
        <charset val="186"/>
      </rPr>
      <t xml:space="preserve">. </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</si>
  <si>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1.65 stundas, (27,18 </t>
    </r>
    <r>
      <rPr>
        <i/>
        <sz val="12"/>
        <color theme="1"/>
        <rFont val="Times New Roman"/>
        <family val="1"/>
        <charset val="186"/>
      </rPr>
      <t>euro</t>
    </r>
    <r>
      <rPr>
        <sz val="12"/>
        <color theme="1"/>
        <rFont val="Times New Roman"/>
        <family val="1"/>
        <charset val="186"/>
      </rPr>
      <t xml:space="preserve"> * 1.65 h) = 44,85 </t>
    </r>
    <r>
      <rPr>
        <i/>
        <sz val="12"/>
        <color theme="1"/>
        <rFont val="Times New Roman"/>
        <family val="1"/>
        <charset val="186"/>
      </rPr>
      <t>euro</t>
    </r>
    <r>
      <rPr>
        <sz val="12"/>
        <color theme="1"/>
        <rFont val="Times New Roman"/>
        <family val="1"/>
        <charset val="186"/>
      </rPr>
      <t xml:space="preserve">/mēn. * 12. mēn. = 538,20 </t>
    </r>
    <r>
      <rPr>
        <i/>
        <sz val="12"/>
        <color theme="1"/>
        <rFont val="Times New Roman"/>
        <family val="1"/>
        <charset val="186"/>
      </rPr>
      <t>euro</t>
    </r>
    <r>
      <rPr>
        <sz val="12"/>
        <color theme="1"/>
        <rFont val="Times New Roman"/>
        <family val="1"/>
        <charset val="186"/>
      </rPr>
      <t xml:space="preserve"> * 0.2415 (iznomātās platības koeficients) = 128,90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</si>
  <si>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3 515,45 </t>
    </r>
    <r>
      <rPr>
        <i/>
        <sz val="12"/>
        <color theme="1"/>
        <rFont val="Times New Roman"/>
        <family val="1"/>
        <charset val="186"/>
      </rPr>
      <t>euro</t>
    </r>
    <r>
      <rPr>
        <sz val="12"/>
        <color theme="1"/>
        <rFont val="Times New Roman"/>
        <family val="1"/>
        <charset val="186"/>
      </rPr>
      <t xml:space="preserve"> * 23,59 % = 829,29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</si>
  <si>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5.1 stundas, (8,20 </t>
    </r>
    <r>
      <rPr>
        <i/>
        <sz val="12"/>
        <color theme="1"/>
        <rFont val="Times New Roman"/>
        <family val="1"/>
        <charset val="186"/>
      </rPr>
      <t>euro</t>
    </r>
    <r>
      <rPr>
        <sz val="12"/>
        <color theme="1"/>
        <rFont val="Times New Roman"/>
        <family val="1"/>
        <charset val="186"/>
      </rPr>
      <t xml:space="preserve"> * 5.1 h) = 41,82 </t>
    </r>
    <r>
      <rPr>
        <i/>
        <sz val="12"/>
        <color theme="1"/>
        <rFont val="Times New Roman"/>
        <family val="1"/>
        <charset val="186"/>
      </rPr>
      <t>euro</t>
    </r>
    <r>
      <rPr>
        <sz val="12"/>
        <color theme="1"/>
        <rFont val="Times New Roman"/>
        <family val="1"/>
        <charset val="186"/>
      </rPr>
      <t xml:space="preserve">/mēn. * 12 mēn. = 501,84 </t>
    </r>
    <r>
      <rPr>
        <i/>
        <sz val="12"/>
        <color theme="1"/>
        <rFont val="Times New Roman"/>
        <family val="1"/>
        <charset val="186"/>
      </rPr>
      <t>euro</t>
    </r>
    <r>
      <rPr>
        <sz val="12"/>
        <color theme="1"/>
        <rFont val="Times New Roman"/>
        <family val="1"/>
        <charset val="186"/>
      </rPr>
      <t xml:space="preserve"> * 0.6049 (iznomātās platības koeficients) = 303,56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</si>
  <si>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15.85 stundas, (8,20 </t>
    </r>
    <r>
      <rPr>
        <i/>
        <sz val="12"/>
        <color theme="1"/>
        <rFont val="Times New Roman"/>
        <family val="1"/>
        <charset val="186"/>
      </rPr>
      <t>euro</t>
    </r>
    <r>
      <rPr>
        <sz val="12"/>
        <color theme="1"/>
        <rFont val="Times New Roman"/>
        <family val="1"/>
        <charset val="186"/>
      </rPr>
      <t xml:space="preserve"> * 15.85 h) = 129,97 </t>
    </r>
    <r>
      <rPr>
        <i/>
        <sz val="12"/>
        <color theme="1"/>
        <rFont val="Times New Roman"/>
        <family val="1"/>
        <charset val="186"/>
      </rPr>
      <t>euro</t>
    </r>
    <r>
      <rPr>
        <sz val="12"/>
        <color theme="1"/>
        <rFont val="Times New Roman"/>
        <family val="1"/>
        <charset val="186"/>
      </rPr>
      <t xml:space="preserve">/mēn. * 12 mēn. = 1 559,64 </t>
    </r>
    <r>
      <rPr>
        <i/>
        <sz val="12"/>
        <color theme="1"/>
        <rFont val="Times New Roman"/>
        <family val="1"/>
        <charset val="186"/>
      </rPr>
      <t>euro</t>
    </r>
    <r>
      <rPr>
        <sz val="12"/>
        <color theme="1"/>
        <rFont val="Times New Roman"/>
        <family val="1"/>
        <charset val="186"/>
      </rPr>
      <t xml:space="preserve"> * 0.6049 (iznomātās platības koeficients) = 943,43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</si>
  <si>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10.2 stundas, (5,42 </t>
    </r>
    <r>
      <rPr>
        <i/>
        <sz val="12"/>
        <color theme="1"/>
        <rFont val="Times New Roman"/>
        <family val="1"/>
        <charset val="186"/>
      </rPr>
      <t>euro</t>
    </r>
    <r>
      <rPr>
        <sz val="12"/>
        <color theme="1"/>
        <rFont val="Times New Roman"/>
        <family val="1"/>
        <charset val="186"/>
      </rPr>
      <t xml:space="preserve"> * 10.2 h) = 55,28 </t>
    </r>
    <r>
      <rPr>
        <i/>
        <sz val="12"/>
        <color theme="1"/>
        <rFont val="Times New Roman"/>
        <family val="1"/>
        <charset val="186"/>
      </rPr>
      <t>euro</t>
    </r>
    <r>
      <rPr>
        <sz val="12"/>
        <color theme="1"/>
        <rFont val="Times New Roman"/>
        <family val="1"/>
        <charset val="186"/>
      </rPr>
      <t xml:space="preserve">/mēn. * 12 mēn. = 663,36 </t>
    </r>
    <r>
      <rPr>
        <i/>
        <sz val="12"/>
        <color theme="1"/>
        <rFont val="Times New Roman"/>
        <family val="1"/>
        <charset val="186"/>
      </rPr>
      <t>euro</t>
    </r>
    <r>
      <rPr>
        <sz val="12"/>
        <color theme="1"/>
        <rFont val="Times New Roman"/>
        <family val="1"/>
        <charset val="186"/>
      </rPr>
      <t xml:space="preserve"> * 0.6049 (iznomātās platības koeficients) = 401,27 </t>
    </r>
    <r>
      <rPr>
        <i/>
        <sz val="12"/>
        <color theme="1"/>
        <rFont val="Times New Roman"/>
        <family val="1"/>
        <charset val="186"/>
      </rPr>
      <t>euro</t>
    </r>
    <r>
      <rPr>
        <sz val="12"/>
        <color theme="1"/>
        <rFont val="Times New Roman"/>
        <family val="1"/>
        <charset val="186"/>
      </rPr>
      <t xml:space="preserve">. </t>
    </r>
  </si>
  <si>
    <r>
      <t xml:space="preserve">Galv. nekust. īpaš. pārvaldnieks (303,56 </t>
    </r>
    <r>
      <rPr>
        <i/>
        <sz val="12"/>
        <color theme="1"/>
        <rFont val="Times New Roman"/>
        <family val="1"/>
        <charset val="186"/>
      </rPr>
      <t>euro</t>
    </r>
    <r>
      <rPr>
        <sz val="12"/>
        <color theme="1"/>
        <rFont val="Times New Roman"/>
        <family val="1"/>
        <charset val="186"/>
      </rPr>
      <t xml:space="preserve"> * 10%) = 30,36 </t>
    </r>
    <r>
      <rPr>
        <i/>
        <sz val="12"/>
        <color theme="1"/>
        <rFont val="Times New Roman"/>
        <family val="1"/>
        <charset val="186"/>
      </rPr>
      <t>euro</t>
    </r>
    <r>
      <rPr>
        <sz val="12"/>
        <color theme="1"/>
        <rFont val="Times New Roman"/>
        <family val="1"/>
        <charset val="186"/>
      </rPr>
      <t xml:space="preserve">, Dienesta viesnīcas vadīotājs (943,43 </t>
    </r>
    <r>
      <rPr>
        <i/>
        <sz val="12"/>
        <color theme="1"/>
        <rFont val="Times New Roman"/>
        <family val="1"/>
        <charset val="186"/>
      </rPr>
      <t>euro</t>
    </r>
    <r>
      <rPr>
        <sz val="12"/>
        <color theme="1"/>
        <rFont val="Times New Roman"/>
        <family val="1"/>
        <charset val="186"/>
      </rPr>
      <t xml:space="preserve"> * 10%) = 94,34 </t>
    </r>
    <r>
      <rPr>
        <i/>
        <sz val="12"/>
        <color theme="1"/>
        <rFont val="Times New Roman"/>
        <family val="1"/>
        <charset val="186"/>
      </rPr>
      <t>euro</t>
    </r>
    <r>
      <rPr>
        <sz val="12"/>
        <color theme="1"/>
        <rFont val="Times New Roman"/>
        <family val="1"/>
        <charset val="186"/>
      </rPr>
      <t xml:space="preserve">. Saimniecības pārzinis (401,27 </t>
    </r>
    <r>
      <rPr>
        <i/>
        <sz val="12"/>
        <color theme="1"/>
        <rFont val="Times New Roman"/>
        <family val="1"/>
        <charset val="186"/>
      </rPr>
      <t>euro</t>
    </r>
    <r>
      <rPr>
        <sz val="12"/>
        <color theme="1"/>
        <rFont val="Times New Roman"/>
        <family val="1"/>
        <charset val="186"/>
      </rPr>
      <t xml:space="preserve"> * 10%) = 40,13 </t>
    </r>
    <r>
      <rPr>
        <i/>
        <sz val="12"/>
        <color theme="1"/>
        <rFont val="Times New Roman"/>
        <family val="1"/>
        <charset val="186"/>
      </rPr>
      <t>euro.</t>
    </r>
    <r>
      <rPr>
        <sz val="12"/>
        <color theme="1"/>
        <rFont val="Times New Roman"/>
        <family val="1"/>
        <charset val="186"/>
      </rPr>
      <t xml:space="preserve"> Kopā (30,36 </t>
    </r>
    <r>
      <rPr>
        <i/>
        <sz val="12"/>
        <color theme="1"/>
        <rFont val="Times New Roman"/>
        <family val="1"/>
        <charset val="186"/>
      </rPr>
      <t>euro</t>
    </r>
    <r>
      <rPr>
        <sz val="12"/>
        <color theme="1"/>
        <rFont val="Times New Roman"/>
        <family val="1"/>
        <charset val="186"/>
      </rPr>
      <t xml:space="preserve"> + 94,34 </t>
    </r>
    <r>
      <rPr>
        <i/>
        <sz val="12"/>
        <color theme="1"/>
        <rFont val="Times New Roman"/>
        <family val="1"/>
        <charset val="186"/>
      </rPr>
      <t>euro</t>
    </r>
    <r>
      <rPr>
        <sz val="12"/>
        <color theme="1"/>
        <rFont val="Times New Roman"/>
        <family val="1"/>
        <charset val="186"/>
      </rPr>
      <t xml:space="preserve"> + 40,13 </t>
    </r>
    <r>
      <rPr>
        <i/>
        <sz val="12"/>
        <color theme="1"/>
        <rFont val="Times New Roman"/>
        <family val="1"/>
        <charset val="186"/>
      </rPr>
      <t>euro</t>
    </r>
    <r>
      <rPr>
        <sz val="12"/>
        <color theme="1"/>
        <rFont val="Times New Roman"/>
        <family val="1"/>
        <charset val="186"/>
      </rPr>
      <t xml:space="preserve">) = 164,83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</si>
  <si>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1 813,09 </t>
    </r>
    <r>
      <rPr>
        <i/>
        <sz val="12"/>
        <color theme="1"/>
        <rFont val="Times New Roman"/>
        <family val="1"/>
        <charset val="186"/>
      </rPr>
      <t>euro</t>
    </r>
    <r>
      <rPr>
        <sz val="12"/>
        <color theme="1"/>
        <rFont val="Times New Roman"/>
        <family val="1"/>
        <charset val="186"/>
      </rPr>
      <t xml:space="preserve"> * 23,59 % = 427,71 </t>
    </r>
    <r>
      <rPr>
        <i/>
        <sz val="12"/>
        <color theme="1"/>
        <rFont val="Times New Roman"/>
        <family val="1"/>
        <charset val="186"/>
      </rPr>
      <t xml:space="preserve">euro. </t>
    </r>
  </si>
  <si>
    <r>
      <t xml:space="preserve">Galv. nekust. īpaš. pārvaldnieks (303,56 </t>
    </r>
    <r>
      <rPr>
        <i/>
        <sz val="12"/>
        <color theme="1"/>
        <rFont val="Times New Roman"/>
        <family val="1"/>
        <charset val="186"/>
      </rPr>
      <t>euro</t>
    </r>
    <r>
      <rPr>
        <sz val="12"/>
        <color theme="1"/>
        <rFont val="Times New Roman"/>
        <family val="1"/>
        <charset val="186"/>
      </rPr>
      <t xml:space="preserve"> * 5%) = 15,18 </t>
    </r>
    <r>
      <rPr>
        <i/>
        <sz val="12"/>
        <color theme="1"/>
        <rFont val="Times New Roman"/>
        <family val="1"/>
        <charset val="186"/>
      </rPr>
      <t>euro</t>
    </r>
    <r>
      <rPr>
        <sz val="12"/>
        <color theme="1"/>
        <rFont val="Times New Roman"/>
        <family val="1"/>
        <charset val="186"/>
      </rPr>
      <t xml:space="preserve">, Dienesta viesnīcas vadīotājs (943,42 </t>
    </r>
    <r>
      <rPr>
        <i/>
        <sz val="12"/>
        <color theme="1"/>
        <rFont val="Times New Roman"/>
        <family val="1"/>
        <charset val="186"/>
      </rPr>
      <t>euro</t>
    </r>
    <r>
      <rPr>
        <sz val="12"/>
        <color theme="1"/>
        <rFont val="Times New Roman"/>
        <family val="1"/>
        <charset val="186"/>
      </rPr>
      <t xml:space="preserve"> * 5%) = 47,17 </t>
    </r>
    <r>
      <rPr>
        <i/>
        <sz val="12"/>
        <color theme="1"/>
        <rFont val="Times New Roman"/>
        <family val="1"/>
        <charset val="186"/>
      </rPr>
      <t>euro</t>
    </r>
    <r>
      <rPr>
        <sz val="12"/>
        <color theme="1"/>
        <rFont val="Times New Roman"/>
        <family val="1"/>
        <charset val="186"/>
      </rPr>
      <t xml:space="preserve">. Saimniecības pārzinis (401,27 </t>
    </r>
    <r>
      <rPr>
        <i/>
        <sz val="12"/>
        <color theme="1"/>
        <rFont val="Times New Roman"/>
        <family val="1"/>
        <charset val="186"/>
      </rPr>
      <t>euro</t>
    </r>
    <r>
      <rPr>
        <sz val="12"/>
        <color theme="1"/>
        <rFont val="Times New Roman"/>
        <family val="1"/>
        <charset val="186"/>
      </rPr>
      <t xml:space="preserve"> * 5%) = 20,06 </t>
    </r>
    <r>
      <rPr>
        <i/>
        <sz val="12"/>
        <color theme="1"/>
        <rFont val="Times New Roman"/>
        <family val="1"/>
        <charset val="186"/>
      </rPr>
      <t>euro.</t>
    </r>
    <r>
      <rPr>
        <sz val="12"/>
        <color theme="1"/>
        <rFont val="Times New Roman"/>
        <family val="1"/>
        <charset val="186"/>
      </rPr>
      <t xml:space="preserve"> Kopā (15,18 </t>
    </r>
    <r>
      <rPr>
        <i/>
        <sz val="12"/>
        <color theme="1"/>
        <rFont val="Times New Roman"/>
        <family val="1"/>
        <charset val="186"/>
      </rPr>
      <t>euro</t>
    </r>
    <r>
      <rPr>
        <sz val="12"/>
        <color theme="1"/>
        <rFont val="Times New Roman"/>
        <family val="1"/>
        <charset val="186"/>
      </rPr>
      <t xml:space="preserve"> + 47,17 </t>
    </r>
    <r>
      <rPr>
        <i/>
        <sz val="12"/>
        <color theme="1"/>
        <rFont val="Times New Roman"/>
        <family val="1"/>
        <charset val="186"/>
      </rPr>
      <t>euro</t>
    </r>
    <r>
      <rPr>
        <sz val="12"/>
        <color theme="1"/>
        <rFont val="Times New Roman"/>
        <family val="1"/>
        <charset val="186"/>
      </rPr>
      <t xml:space="preserve"> + 20,06 </t>
    </r>
    <r>
      <rPr>
        <i/>
        <sz val="12"/>
        <color theme="1"/>
        <rFont val="Times New Roman"/>
        <family val="1"/>
        <charset val="186"/>
      </rPr>
      <t>euro</t>
    </r>
    <r>
      <rPr>
        <sz val="12"/>
        <color theme="1"/>
        <rFont val="Times New Roman"/>
        <family val="1"/>
        <charset val="186"/>
      </rPr>
      <t xml:space="preserve">) = 82,41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</si>
  <si>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427,71 </t>
    </r>
    <r>
      <rPr>
        <i/>
        <sz val="12"/>
        <color theme="1"/>
        <rFont val="Times New Roman"/>
        <family val="1"/>
        <charset val="186"/>
      </rPr>
      <t>euro</t>
    </r>
    <r>
      <rPr>
        <sz val="12"/>
        <color theme="1"/>
        <rFont val="Times New Roman"/>
        <family val="1"/>
        <charset val="186"/>
      </rPr>
      <t xml:space="preserve">. Veselības apdrošināšana 82,41 </t>
    </r>
    <r>
      <rPr>
        <i/>
        <sz val="12"/>
        <color theme="1"/>
        <rFont val="Times New Roman"/>
        <family val="1"/>
        <charset val="186"/>
      </rPr>
      <t>euro</t>
    </r>
    <r>
      <rPr>
        <sz val="12"/>
        <color theme="1"/>
        <rFont val="Times New Roman"/>
        <family val="1"/>
        <charset val="186"/>
      </rPr>
      <t xml:space="preserve">. Kopā 510,12 </t>
    </r>
    <r>
      <rPr>
        <i/>
        <sz val="12"/>
        <color theme="1"/>
        <rFont val="Times New Roman"/>
        <family val="1"/>
        <charset val="186"/>
      </rPr>
      <t>euro</t>
    </r>
    <r>
      <rPr>
        <sz val="12"/>
        <color theme="1"/>
        <rFont val="Times New Roman"/>
        <family val="1"/>
        <charset val="186"/>
      </rPr>
      <t>.</t>
    </r>
  </si>
  <si>
    <r>
      <t xml:space="preserve">Rīgas īpašumu pārvaldes nodaļas vadītājs (3. saime, V līmenis, 10. algu grupa, mēnešalga 1 914 </t>
    </r>
    <r>
      <rPr>
        <i/>
        <sz val="12"/>
        <color theme="1"/>
        <rFont val="Times New Roman"/>
        <family val="1"/>
        <charset val="186"/>
      </rPr>
      <t>euro</t>
    </r>
    <r>
      <rPr>
        <sz val="12"/>
        <color theme="1"/>
        <rFont val="Times New Roman"/>
        <family val="1"/>
        <charset val="186"/>
      </rPr>
      <t xml:space="preserve">). Stundas tarifa likme 11,56 </t>
    </r>
    <r>
      <rPr>
        <i/>
        <sz val="12"/>
        <color theme="1"/>
        <rFont val="Times New Roman"/>
        <family val="1"/>
        <charset val="186"/>
      </rPr>
      <t>euro</t>
    </r>
    <r>
      <rPr>
        <sz val="12"/>
        <color theme="1"/>
        <rFont val="Times New Roman"/>
        <family val="1"/>
        <charset val="186"/>
      </rPr>
      <t xml:space="preserve"> = 1 914 </t>
    </r>
    <r>
      <rPr>
        <i/>
        <sz val="12"/>
        <color theme="1"/>
        <rFont val="Times New Roman"/>
        <family val="1"/>
        <charset val="186"/>
      </rPr>
      <t>euro</t>
    </r>
    <r>
      <rPr>
        <sz val="12"/>
        <color theme="1"/>
        <rFont val="Times New Roman"/>
        <family val="1"/>
        <charset val="186"/>
      </rPr>
      <t xml:space="preserve"> / 165.58 (vid. d. stundu sk. mēnesī). Vid. mēn. noslogojums 1.28 stundas, (11,56 </t>
    </r>
    <r>
      <rPr>
        <i/>
        <sz val="12"/>
        <color theme="1"/>
        <rFont val="Times New Roman"/>
        <family val="1"/>
        <charset val="186"/>
      </rPr>
      <t>euro</t>
    </r>
    <r>
      <rPr>
        <sz val="12"/>
        <color theme="1"/>
        <rFont val="Times New Roman"/>
        <family val="1"/>
        <charset val="186"/>
      </rPr>
      <t xml:space="preserve"> * 1.28 h) = 14,80 </t>
    </r>
    <r>
      <rPr>
        <i/>
        <sz val="12"/>
        <color theme="1"/>
        <rFont val="Times New Roman"/>
        <family val="1"/>
        <charset val="186"/>
      </rPr>
      <t>euro</t>
    </r>
    <r>
      <rPr>
        <sz val="12"/>
        <color theme="1"/>
        <rFont val="Times New Roman"/>
        <family val="1"/>
        <charset val="186"/>
      </rPr>
      <t xml:space="preserve">/mēn. * 12. mēn. = 177,60 </t>
    </r>
    <r>
      <rPr>
        <i/>
        <sz val="12"/>
        <color theme="1"/>
        <rFont val="Times New Roman"/>
        <family val="1"/>
        <charset val="186"/>
      </rPr>
      <t>euro</t>
    </r>
    <r>
      <rPr>
        <sz val="12"/>
        <color theme="1"/>
        <rFont val="Times New Roman"/>
        <family val="1"/>
        <charset val="186"/>
      </rPr>
      <t xml:space="preserve"> * 0.6049 (iznomātās platības koeficients) = 107,43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</si>
  <si>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11 min. (11,47 </t>
    </r>
    <r>
      <rPr>
        <i/>
        <sz val="12"/>
        <color theme="1"/>
        <rFont val="Times New Roman"/>
        <family val="1"/>
        <charset val="186"/>
      </rPr>
      <t>euro</t>
    </r>
    <r>
      <rPr>
        <sz val="12"/>
        <color theme="1"/>
        <rFont val="Times New Roman"/>
        <family val="1"/>
        <charset val="186"/>
      </rPr>
      <t xml:space="preserve"> * 0.18 h) = 2,06 </t>
    </r>
    <r>
      <rPr>
        <i/>
        <sz val="12"/>
        <color theme="1"/>
        <rFont val="Times New Roman"/>
        <family val="1"/>
        <charset val="186"/>
      </rPr>
      <t>euro</t>
    </r>
    <r>
      <rPr>
        <sz val="12"/>
        <color theme="1"/>
        <rFont val="Times New Roman"/>
        <family val="1"/>
        <charset val="186"/>
      </rPr>
      <t xml:space="preserve">/mēn. * 12. mēn. = 24,72 </t>
    </r>
    <r>
      <rPr>
        <i/>
        <sz val="12"/>
        <color theme="1"/>
        <rFont val="Times New Roman"/>
        <family val="1"/>
        <charset val="186"/>
      </rPr>
      <t>euro</t>
    </r>
    <r>
      <rPr>
        <sz val="12"/>
        <color theme="1"/>
        <rFont val="Times New Roman"/>
        <family val="1"/>
        <charset val="186"/>
      </rPr>
      <t xml:space="preserve"> * 0.6049 (iznomātās platības koeficients) = 14,95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</si>
  <si>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10 min. (7,65 </t>
    </r>
    <r>
      <rPr>
        <i/>
        <sz val="12"/>
        <color theme="1"/>
        <rFont val="Times New Roman"/>
        <family val="1"/>
        <charset val="186"/>
      </rPr>
      <t>euro</t>
    </r>
    <r>
      <rPr>
        <sz val="12"/>
        <color theme="1"/>
        <rFont val="Times New Roman"/>
        <family val="1"/>
        <charset val="186"/>
      </rPr>
      <t xml:space="preserve"> * 0.17 h) = 1,30 </t>
    </r>
    <r>
      <rPr>
        <i/>
        <sz val="12"/>
        <color theme="1"/>
        <rFont val="Times New Roman"/>
        <family val="1"/>
        <charset val="186"/>
      </rPr>
      <t>euro</t>
    </r>
    <r>
      <rPr>
        <sz val="12"/>
        <color theme="1"/>
        <rFont val="Times New Roman"/>
        <family val="1"/>
        <charset val="186"/>
      </rPr>
      <t xml:space="preserve">/mēn. * 12. mēn. = 15,60 </t>
    </r>
    <r>
      <rPr>
        <i/>
        <sz val="12"/>
        <color theme="1"/>
        <rFont val="Times New Roman"/>
        <family val="1"/>
        <charset val="186"/>
      </rPr>
      <t>euro</t>
    </r>
    <r>
      <rPr>
        <sz val="12"/>
        <color theme="1"/>
        <rFont val="Times New Roman"/>
        <family val="1"/>
        <charset val="186"/>
      </rPr>
      <t xml:space="preserve"> * 0.6049 (iznomātās platības koeficients) = 9,44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</si>
  <si>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165.58 (vid. d. stundu sk. mēnesī). Vid. mēn. noslogojums 10 min. (11,47 </t>
    </r>
    <r>
      <rPr>
        <i/>
        <sz val="12"/>
        <color theme="1"/>
        <rFont val="Times New Roman"/>
        <family val="1"/>
        <charset val="186"/>
      </rPr>
      <t>euro</t>
    </r>
    <r>
      <rPr>
        <sz val="12"/>
        <color theme="1"/>
        <rFont val="Times New Roman"/>
        <family val="1"/>
        <charset val="186"/>
      </rPr>
      <t xml:space="preserve"> * 0.17 h) = 1,95 </t>
    </r>
    <r>
      <rPr>
        <i/>
        <sz val="12"/>
        <color theme="1"/>
        <rFont val="Times New Roman"/>
        <family val="1"/>
        <charset val="186"/>
      </rPr>
      <t>euro</t>
    </r>
    <r>
      <rPr>
        <sz val="12"/>
        <color theme="1"/>
        <rFont val="Times New Roman"/>
        <family val="1"/>
        <charset val="186"/>
      </rPr>
      <t xml:space="preserve">/mēn. * 12. mēn. = 23,40 </t>
    </r>
    <r>
      <rPr>
        <i/>
        <sz val="12"/>
        <color theme="1"/>
        <rFont val="Times New Roman"/>
        <family val="1"/>
        <charset val="186"/>
      </rPr>
      <t>euro</t>
    </r>
    <r>
      <rPr>
        <sz val="12"/>
        <color theme="1"/>
        <rFont val="Times New Roman"/>
        <family val="1"/>
        <charset val="186"/>
      </rPr>
      <t xml:space="preserve"> * 0.6049 (iznomātās platības koeficients) = 14,15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</si>
  <si>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 min. (15,15 </t>
    </r>
    <r>
      <rPr>
        <i/>
        <sz val="12"/>
        <color theme="1"/>
        <rFont val="Times New Roman"/>
        <family val="1"/>
        <charset val="186"/>
      </rPr>
      <t>euro</t>
    </r>
    <r>
      <rPr>
        <sz val="12"/>
        <color theme="1"/>
        <rFont val="Times New Roman"/>
        <family val="1"/>
        <charset val="186"/>
      </rPr>
      <t xml:space="preserve"> * 0.33 h) = 5,00 </t>
    </r>
    <r>
      <rPr>
        <i/>
        <sz val="12"/>
        <color theme="1"/>
        <rFont val="Times New Roman"/>
        <family val="1"/>
        <charset val="186"/>
      </rPr>
      <t>euro</t>
    </r>
    <r>
      <rPr>
        <sz val="12"/>
        <color theme="1"/>
        <rFont val="Times New Roman"/>
        <family val="1"/>
        <charset val="186"/>
      </rPr>
      <t xml:space="preserve">/mēn. * 12. mēn. = 60,00 </t>
    </r>
    <r>
      <rPr>
        <i/>
        <sz val="12"/>
        <color theme="1"/>
        <rFont val="Times New Roman"/>
        <family val="1"/>
        <charset val="186"/>
      </rPr>
      <t>euro</t>
    </r>
    <r>
      <rPr>
        <sz val="12"/>
        <color theme="1"/>
        <rFont val="Times New Roman"/>
        <family val="1"/>
        <charset val="186"/>
      </rPr>
      <t xml:space="preserve"> * 0.6049 (iznomātās platības koeficients) = 36,29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</si>
  <si>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9 min. (12,17 </t>
    </r>
    <r>
      <rPr>
        <i/>
        <sz val="12"/>
        <color theme="1"/>
        <rFont val="Times New Roman"/>
        <family val="1"/>
        <charset val="186"/>
      </rPr>
      <t>euro</t>
    </r>
    <r>
      <rPr>
        <sz val="12"/>
        <color theme="1"/>
        <rFont val="Times New Roman"/>
        <family val="1"/>
        <charset val="186"/>
      </rPr>
      <t xml:space="preserve"> * 0.15 h) = 1,83 </t>
    </r>
    <r>
      <rPr>
        <i/>
        <sz val="12"/>
        <color theme="1"/>
        <rFont val="Times New Roman"/>
        <family val="1"/>
        <charset val="186"/>
      </rPr>
      <t>euro</t>
    </r>
    <r>
      <rPr>
        <sz val="12"/>
        <color theme="1"/>
        <rFont val="Times New Roman"/>
        <family val="1"/>
        <charset val="186"/>
      </rPr>
      <t xml:space="preserve">/mēn. * 12. mēn. = 21,96 </t>
    </r>
    <r>
      <rPr>
        <i/>
        <sz val="12"/>
        <color theme="1"/>
        <rFont val="Times New Roman"/>
        <family val="1"/>
        <charset val="186"/>
      </rPr>
      <t>euro</t>
    </r>
    <r>
      <rPr>
        <sz val="12"/>
        <color theme="1"/>
        <rFont val="Times New Roman"/>
        <family val="1"/>
        <charset val="186"/>
      </rPr>
      <t xml:space="preserve"> * 0.6049 (iznomātās platības koeficients) = 13,28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</si>
  <si>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5.88 stunda, (8,29 </t>
    </r>
    <r>
      <rPr>
        <i/>
        <sz val="12"/>
        <color theme="1"/>
        <rFont val="Times New Roman"/>
        <family val="1"/>
        <charset val="186"/>
      </rPr>
      <t>euro</t>
    </r>
    <r>
      <rPr>
        <sz val="12"/>
        <color theme="1"/>
        <rFont val="Times New Roman"/>
        <family val="1"/>
        <charset val="186"/>
      </rPr>
      <t xml:space="preserve"> * 5.88 h) = 48,75 </t>
    </r>
    <r>
      <rPr>
        <i/>
        <sz val="12"/>
        <color theme="1"/>
        <rFont val="Times New Roman"/>
        <family val="1"/>
        <charset val="186"/>
      </rPr>
      <t>euro</t>
    </r>
    <r>
      <rPr>
        <sz val="12"/>
        <color theme="1"/>
        <rFont val="Times New Roman"/>
        <family val="1"/>
        <charset val="186"/>
      </rPr>
      <t xml:space="preserve">/mēn. * 12. mēn. = 585,00 </t>
    </r>
    <r>
      <rPr>
        <i/>
        <sz val="12"/>
        <color theme="1"/>
        <rFont val="Times New Roman"/>
        <family val="1"/>
        <charset val="186"/>
      </rPr>
      <t>euro</t>
    </r>
    <r>
      <rPr>
        <sz val="12"/>
        <color theme="1"/>
        <rFont val="Times New Roman"/>
        <family val="1"/>
        <charset val="186"/>
      </rPr>
      <t xml:space="preserve"> * 0.6049 (iznomātās platības koeficients) = 353,87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</si>
  <si>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5.41 stunda (9,42 </t>
    </r>
    <r>
      <rPr>
        <i/>
        <sz val="12"/>
        <color theme="1"/>
        <rFont val="Times New Roman"/>
        <family val="1"/>
        <charset val="186"/>
      </rPr>
      <t>euro</t>
    </r>
    <r>
      <rPr>
        <sz val="12"/>
        <color theme="1"/>
        <rFont val="Times New Roman"/>
        <family val="1"/>
        <charset val="186"/>
      </rPr>
      <t xml:space="preserve"> * 5.41 h) = 50,96 </t>
    </r>
    <r>
      <rPr>
        <i/>
        <sz val="12"/>
        <color theme="1"/>
        <rFont val="Times New Roman"/>
        <family val="1"/>
        <charset val="186"/>
      </rPr>
      <t>euro</t>
    </r>
    <r>
      <rPr>
        <sz val="12"/>
        <color theme="1"/>
        <rFont val="Times New Roman"/>
        <family val="1"/>
        <charset val="186"/>
      </rPr>
      <t xml:space="preserve">/mēn. * 12. mēn. = 611,52 </t>
    </r>
    <r>
      <rPr>
        <i/>
        <sz val="12"/>
        <color theme="1"/>
        <rFont val="Times New Roman"/>
        <family val="1"/>
        <charset val="186"/>
      </rPr>
      <t>euro</t>
    </r>
    <r>
      <rPr>
        <sz val="12"/>
        <color theme="1"/>
        <rFont val="Times New Roman"/>
        <family val="1"/>
        <charset val="186"/>
      </rPr>
      <t xml:space="preserve"> * 0.6049 (iznomātās platības koeficients) = 369,91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</si>
  <si>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8,22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8.31 stunda (8,22 </t>
    </r>
    <r>
      <rPr>
        <i/>
        <sz val="12"/>
        <color theme="1"/>
        <rFont val="Times New Roman"/>
        <family val="1"/>
        <charset val="186"/>
      </rPr>
      <t>euro</t>
    </r>
    <r>
      <rPr>
        <sz val="12"/>
        <color theme="1"/>
        <rFont val="Times New Roman"/>
        <family val="1"/>
        <charset val="186"/>
      </rPr>
      <t xml:space="preserve"> * 8.31 h) = 68,89 </t>
    </r>
    <r>
      <rPr>
        <i/>
        <sz val="12"/>
        <color theme="1"/>
        <rFont val="Times New Roman"/>
        <family val="1"/>
        <charset val="186"/>
      </rPr>
      <t>euro</t>
    </r>
    <r>
      <rPr>
        <sz val="12"/>
        <color theme="1"/>
        <rFont val="Times New Roman"/>
        <family val="1"/>
        <charset val="186"/>
      </rPr>
      <t xml:space="preserve">/mēn. * 12. mēn. = 826,68 </t>
    </r>
    <r>
      <rPr>
        <i/>
        <sz val="12"/>
        <color theme="1"/>
        <rFont val="Times New Roman"/>
        <family val="1"/>
        <charset val="186"/>
      </rPr>
      <t>euro</t>
    </r>
    <r>
      <rPr>
        <sz val="12"/>
        <color theme="1"/>
        <rFont val="Times New Roman"/>
        <family val="1"/>
        <charset val="186"/>
      </rPr>
      <t xml:space="preserve"> * 0.6049 (iznomātās platības koeficients) = 500,06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</si>
  <si>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40 min. (25,09 </t>
    </r>
    <r>
      <rPr>
        <i/>
        <sz val="12"/>
        <color theme="1"/>
        <rFont val="Times New Roman"/>
        <family val="1"/>
        <charset val="186"/>
      </rPr>
      <t>euro</t>
    </r>
    <r>
      <rPr>
        <sz val="12"/>
        <color theme="1"/>
        <rFont val="Times New Roman"/>
        <family val="1"/>
        <charset val="186"/>
      </rPr>
      <t xml:space="preserve"> * 0.67 h) = 16,81 </t>
    </r>
    <r>
      <rPr>
        <i/>
        <sz val="12"/>
        <color theme="1"/>
        <rFont val="Times New Roman"/>
        <family val="1"/>
        <charset val="186"/>
      </rPr>
      <t>euro</t>
    </r>
    <r>
      <rPr>
        <sz val="12"/>
        <color theme="1"/>
        <rFont val="Times New Roman"/>
        <family val="1"/>
        <charset val="186"/>
      </rPr>
      <t xml:space="preserve">/mēn. * 12. mēn. = 201,72 </t>
    </r>
    <r>
      <rPr>
        <i/>
        <sz val="12"/>
        <color theme="1"/>
        <rFont val="Times New Roman"/>
        <family val="1"/>
        <charset val="186"/>
      </rPr>
      <t>euro</t>
    </r>
    <r>
      <rPr>
        <sz val="12"/>
        <color theme="1"/>
        <rFont val="Times New Roman"/>
        <family val="1"/>
        <charset val="186"/>
      </rPr>
      <t xml:space="preserve"> * 0.6049 (iznomātās platības koeficients) = 122,02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</si>
  <si>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9 min. (27,18 </t>
    </r>
    <r>
      <rPr>
        <i/>
        <sz val="12"/>
        <color theme="1"/>
        <rFont val="Times New Roman"/>
        <family val="1"/>
        <charset val="186"/>
      </rPr>
      <t>euro</t>
    </r>
    <r>
      <rPr>
        <sz val="12"/>
        <color theme="1"/>
        <rFont val="Times New Roman"/>
        <family val="1"/>
        <charset val="186"/>
      </rPr>
      <t xml:space="preserve"> * 0.15 h) = 4,08 </t>
    </r>
    <r>
      <rPr>
        <i/>
        <sz val="12"/>
        <color theme="1"/>
        <rFont val="Times New Roman"/>
        <family val="1"/>
        <charset val="186"/>
      </rPr>
      <t>euro</t>
    </r>
    <r>
      <rPr>
        <sz val="12"/>
        <color theme="1"/>
        <rFont val="Times New Roman"/>
        <family val="1"/>
        <charset val="186"/>
      </rPr>
      <t xml:space="preserve">/mēn. * 12. mēn. = 48,96 </t>
    </r>
    <r>
      <rPr>
        <i/>
        <sz val="12"/>
        <color theme="1"/>
        <rFont val="Times New Roman"/>
        <family val="1"/>
        <charset val="186"/>
      </rPr>
      <t>euro</t>
    </r>
    <r>
      <rPr>
        <sz val="12"/>
        <color theme="1"/>
        <rFont val="Times New Roman"/>
        <family val="1"/>
        <charset val="186"/>
      </rPr>
      <t xml:space="preserve"> * 0.6049 (iznomātās platības koeficients) = 29,62 </t>
    </r>
    <r>
      <rPr>
        <i/>
        <sz val="12"/>
        <color theme="1"/>
        <rFont val="Times New Roman"/>
        <family val="1"/>
        <charset val="186"/>
      </rPr>
      <t>euro</t>
    </r>
    <r>
      <rPr>
        <sz val="12"/>
        <color theme="1"/>
        <rFont val="Times New Roman"/>
        <family val="1"/>
        <charset val="186"/>
      </rPr>
      <t>.</t>
    </r>
  </si>
  <si>
    <r>
      <t xml:space="preserve">Galv. nekust. īpaš. pārvaldnieks (198,28 </t>
    </r>
    <r>
      <rPr>
        <i/>
        <sz val="12"/>
        <color theme="1"/>
        <rFont val="Times New Roman"/>
        <family val="1"/>
        <charset val="186"/>
      </rPr>
      <t>euro</t>
    </r>
    <r>
      <rPr>
        <sz val="12"/>
        <color theme="1"/>
        <rFont val="Times New Roman"/>
        <family val="1"/>
        <charset val="186"/>
      </rPr>
      <t xml:space="preserve"> * 10%) = 19,83 </t>
    </r>
    <r>
      <rPr>
        <i/>
        <sz val="12"/>
        <color theme="1"/>
        <rFont val="Times New Roman"/>
        <family val="1"/>
        <charset val="186"/>
      </rPr>
      <t>euro</t>
    </r>
    <r>
      <rPr>
        <sz val="12"/>
        <color theme="1"/>
        <rFont val="Times New Roman"/>
        <family val="1"/>
        <charset val="186"/>
      </rPr>
      <t xml:space="preserve">, Dienesta viesnīcas vadīotājs (616,21 </t>
    </r>
    <r>
      <rPr>
        <i/>
        <sz val="12"/>
        <color theme="1"/>
        <rFont val="Times New Roman"/>
        <family val="1"/>
        <charset val="186"/>
      </rPr>
      <t>euro</t>
    </r>
    <r>
      <rPr>
        <sz val="12"/>
        <color theme="1"/>
        <rFont val="Times New Roman"/>
        <family val="1"/>
        <charset val="186"/>
      </rPr>
      <t xml:space="preserve"> * 10%) = 61,62 </t>
    </r>
    <r>
      <rPr>
        <i/>
        <sz val="12"/>
        <color theme="1"/>
        <rFont val="Times New Roman"/>
        <family val="1"/>
        <charset val="186"/>
      </rPr>
      <t>euro</t>
    </r>
    <r>
      <rPr>
        <sz val="12"/>
        <color theme="1"/>
        <rFont val="Times New Roman"/>
        <family val="1"/>
        <charset val="186"/>
      </rPr>
      <t xml:space="preserve">. Saimniecības pārzinis (262,09 </t>
    </r>
    <r>
      <rPr>
        <i/>
        <sz val="12"/>
        <color theme="1"/>
        <rFont val="Times New Roman"/>
        <family val="1"/>
        <charset val="186"/>
      </rPr>
      <t>euro</t>
    </r>
    <r>
      <rPr>
        <sz val="12"/>
        <color theme="1"/>
        <rFont val="Times New Roman"/>
        <family val="1"/>
        <charset val="186"/>
      </rPr>
      <t xml:space="preserve"> * 10%) = 26,21 </t>
    </r>
    <r>
      <rPr>
        <i/>
        <sz val="12"/>
        <color theme="1"/>
        <rFont val="Times New Roman"/>
        <family val="1"/>
        <charset val="186"/>
      </rPr>
      <t>euro.</t>
    </r>
    <r>
      <rPr>
        <sz val="12"/>
        <color theme="1"/>
        <rFont val="Times New Roman"/>
        <family val="1"/>
        <charset val="186"/>
      </rPr>
      <t xml:space="preserve"> Kopā (19,83 </t>
    </r>
    <r>
      <rPr>
        <i/>
        <sz val="12"/>
        <color theme="1"/>
        <rFont val="Times New Roman"/>
        <family val="1"/>
        <charset val="186"/>
      </rPr>
      <t>euro</t>
    </r>
    <r>
      <rPr>
        <sz val="12"/>
        <color theme="1"/>
        <rFont val="Times New Roman"/>
        <family val="1"/>
        <charset val="186"/>
      </rPr>
      <t xml:space="preserve"> + 61,62 </t>
    </r>
    <r>
      <rPr>
        <i/>
        <sz val="12"/>
        <color theme="1"/>
        <rFont val="Times New Roman"/>
        <family val="1"/>
        <charset val="186"/>
      </rPr>
      <t>euro</t>
    </r>
    <r>
      <rPr>
        <sz val="12"/>
        <color theme="1"/>
        <rFont val="Times New Roman"/>
        <family val="1"/>
        <charset val="186"/>
      </rPr>
      <t xml:space="preserve"> + 16.21,97 </t>
    </r>
    <r>
      <rPr>
        <i/>
        <sz val="12"/>
        <color theme="1"/>
        <rFont val="Times New Roman"/>
        <family val="1"/>
        <charset val="186"/>
      </rPr>
      <t>euro</t>
    </r>
    <r>
      <rPr>
        <sz val="12"/>
        <color theme="1"/>
        <rFont val="Times New Roman"/>
        <family val="1"/>
        <charset val="186"/>
      </rPr>
      <t xml:space="preserve">) = 107,66 </t>
    </r>
    <r>
      <rPr>
        <i/>
        <sz val="12"/>
        <color theme="1"/>
        <rFont val="Times New Roman"/>
        <family val="1"/>
        <charset val="186"/>
      </rPr>
      <t>euro</t>
    </r>
    <r>
      <rPr>
        <sz val="12"/>
        <color theme="1"/>
        <rFont val="Times New Roman"/>
        <family val="1"/>
        <charset val="186"/>
      </rPr>
      <t>.</t>
    </r>
  </si>
  <si>
    <r>
      <t xml:space="preserve">Galv. nekust. īpaš. pārvaldnieks (198,28 </t>
    </r>
    <r>
      <rPr>
        <i/>
        <sz val="12"/>
        <color theme="1"/>
        <rFont val="Times New Roman"/>
        <family val="1"/>
        <charset val="186"/>
      </rPr>
      <t xml:space="preserve">euro </t>
    </r>
    <r>
      <rPr>
        <sz val="12"/>
        <color theme="1"/>
        <rFont val="Times New Roman"/>
        <family val="1"/>
        <charset val="186"/>
      </rPr>
      <t xml:space="preserve">* 5%) = 9,91 </t>
    </r>
    <r>
      <rPr>
        <i/>
        <sz val="12"/>
        <color theme="1"/>
        <rFont val="Times New Roman"/>
        <family val="1"/>
        <charset val="186"/>
      </rPr>
      <t>euro</t>
    </r>
    <r>
      <rPr>
        <sz val="12"/>
        <color theme="1"/>
        <rFont val="Times New Roman"/>
        <family val="1"/>
        <charset val="186"/>
      </rPr>
      <t xml:space="preserve">, Dienesta viesnīcas vadīotājs (616,21 </t>
    </r>
    <r>
      <rPr>
        <i/>
        <sz val="12"/>
        <color theme="1"/>
        <rFont val="Times New Roman"/>
        <family val="1"/>
        <charset val="186"/>
      </rPr>
      <t>euro</t>
    </r>
    <r>
      <rPr>
        <sz val="12"/>
        <color theme="1"/>
        <rFont val="Times New Roman"/>
        <family val="1"/>
        <charset val="186"/>
      </rPr>
      <t xml:space="preserve"> * 5%) = 30,81 </t>
    </r>
    <r>
      <rPr>
        <i/>
        <sz val="12"/>
        <color theme="1"/>
        <rFont val="Times New Roman"/>
        <family val="1"/>
        <charset val="186"/>
      </rPr>
      <t>euro</t>
    </r>
    <r>
      <rPr>
        <sz val="12"/>
        <color theme="1"/>
        <rFont val="Times New Roman"/>
        <family val="1"/>
        <charset val="186"/>
      </rPr>
      <t xml:space="preserve">. Saimniecības pārzinis (262,09 </t>
    </r>
    <r>
      <rPr>
        <i/>
        <sz val="12"/>
        <color theme="1"/>
        <rFont val="Times New Roman"/>
        <family val="1"/>
        <charset val="186"/>
      </rPr>
      <t>euro</t>
    </r>
    <r>
      <rPr>
        <sz val="12"/>
        <color theme="1"/>
        <rFont val="Times New Roman"/>
        <family val="1"/>
        <charset val="186"/>
      </rPr>
      <t xml:space="preserve"> * 5%) = 13,10 </t>
    </r>
    <r>
      <rPr>
        <i/>
        <sz val="12"/>
        <color theme="1"/>
        <rFont val="Times New Roman"/>
        <family val="1"/>
        <charset val="186"/>
      </rPr>
      <t>euro.</t>
    </r>
    <r>
      <rPr>
        <sz val="12"/>
        <color theme="1"/>
        <rFont val="Times New Roman"/>
        <family val="1"/>
        <charset val="186"/>
      </rPr>
      <t xml:space="preserve"> Kopā (9,91 </t>
    </r>
    <r>
      <rPr>
        <i/>
        <sz val="12"/>
        <color theme="1"/>
        <rFont val="Times New Roman"/>
        <family val="1"/>
        <charset val="186"/>
      </rPr>
      <t>euro</t>
    </r>
    <r>
      <rPr>
        <sz val="12"/>
        <color theme="1"/>
        <rFont val="Times New Roman"/>
        <family val="1"/>
        <charset val="186"/>
      </rPr>
      <t xml:space="preserve"> + 30,81 </t>
    </r>
    <r>
      <rPr>
        <i/>
        <sz val="12"/>
        <color theme="1"/>
        <rFont val="Times New Roman"/>
        <family val="1"/>
        <charset val="186"/>
      </rPr>
      <t>euro</t>
    </r>
    <r>
      <rPr>
        <sz val="12"/>
        <color theme="1"/>
        <rFont val="Times New Roman"/>
        <family val="1"/>
        <charset val="186"/>
      </rPr>
      <t xml:space="preserve"> + 13,10 </t>
    </r>
    <r>
      <rPr>
        <i/>
        <sz val="12"/>
        <color theme="1"/>
        <rFont val="Times New Roman"/>
        <family val="1"/>
        <charset val="186"/>
      </rPr>
      <t>euro</t>
    </r>
    <r>
      <rPr>
        <sz val="12"/>
        <color theme="1"/>
        <rFont val="Times New Roman"/>
        <family val="1"/>
        <charset val="186"/>
      </rPr>
      <t xml:space="preserve">) = 53,82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</si>
  <si>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1 184,24 </t>
    </r>
    <r>
      <rPr>
        <i/>
        <sz val="12"/>
        <color theme="1"/>
        <rFont val="Times New Roman"/>
        <family val="1"/>
        <charset val="186"/>
      </rPr>
      <t>euro</t>
    </r>
    <r>
      <rPr>
        <sz val="12"/>
        <color theme="1"/>
        <rFont val="Times New Roman"/>
        <family val="1"/>
        <charset val="186"/>
      </rPr>
      <t xml:space="preserve"> * 23,59 % = 279,36 </t>
    </r>
    <r>
      <rPr>
        <i/>
        <sz val="12"/>
        <color theme="1"/>
        <rFont val="Times New Roman"/>
        <family val="1"/>
        <charset val="186"/>
      </rPr>
      <t xml:space="preserve">euro. </t>
    </r>
  </si>
  <si>
    <r>
      <t xml:space="preserve">Darba devēja valsts sociālās apdrošināšanas obligātās iemaksas 279,36 </t>
    </r>
    <r>
      <rPr>
        <i/>
        <sz val="12"/>
        <color theme="1"/>
        <rFont val="Times New Roman"/>
        <family val="1"/>
        <charset val="186"/>
      </rPr>
      <t>euro</t>
    </r>
    <r>
      <rPr>
        <sz val="12"/>
        <color theme="1"/>
        <rFont val="Times New Roman"/>
        <family val="1"/>
        <charset val="186"/>
      </rPr>
      <t xml:space="preserve">. Veselības apdrošināšana 53,82 </t>
    </r>
    <r>
      <rPr>
        <i/>
        <sz val="12"/>
        <color theme="1"/>
        <rFont val="Times New Roman"/>
        <family val="1"/>
        <charset val="186"/>
      </rPr>
      <t>euro</t>
    </r>
    <r>
      <rPr>
        <sz val="12"/>
        <color theme="1"/>
        <rFont val="Times New Roman"/>
        <family val="1"/>
        <charset val="186"/>
      </rPr>
      <t xml:space="preserve">. Kopā 333,18 </t>
    </r>
    <r>
      <rPr>
        <i/>
        <sz val="12"/>
        <color theme="1"/>
        <rFont val="Times New Roman"/>
        <family val="1"/>
        <charset val="186"/>
      </rPr>
      <t>euro</t>
    </r>
    <r>
      <rPr>
        <sz val="12"/>
        <color theme="1"/>
        <rFont val="Times New Roman"/>
        <family val="1"/>
        <charset val="186"/>
      </rPr>
      <t>.</t>
    </r>
  </si>
  <si>
    <r>
      <t xml:space="preserve">Rīgas īpašumu pārvaldes nodaļas vadītājs (3. saime, V līmenis, 10. algu grupa, mēnešalga 1 914 </t>
    </r>
    <r>
      <rPr>
        <i/>
        <sz val="12"/>
        <color theme="1"/>
        <rFont val="Times New Roman"/>
        <family val="1"/>
        <charset val="186"/>
      </rPr>
      <t>euro</t>
    </r>
    <r>
      <rPr>
        <sz val="12"/>
        <color theme="1"/>
        <rFont val="Times New Roman"/>
        <family val="1"/>
        <charset val="186"/>
      </rPr>
      <t xml:space="preserve">). Stundas tarifa likme 11,56 </t>
    </r>
    <r>
      <rPr>
        <i/>
        <sz val="12"/>
        <color theme="1"/>
        <rFont val="Times New Roman"/>
        <family val="1"/>
        <charset val="186"/>
      </rPr>
      <t>euro</t>
    </r>
    <r>
      <rPr>
        <sz val="12"/>
        <color theme="1"/>
        <rFont val="Times New Roman"/>
        <family val="1"/>
        <charset val="186"/>
      </rPr>
      <t xml:space="preserve"> = 1 914 </t>
    </r>
    <r>
      <rPr>
        <i/>
        <sz val="12"/>
        <color theme="1"/>
        <rFont val="Times New Roman"/>
        <family val="1"/>
        <charset val="186"/>
      </rPr>
      <t>euro</t>
    </r>
    <r>
      <rPr>
        <sz val="12"/>
        <color theme="1"/>
        <rFont val="Times New Roman"/>
        <family val="1"/>
        <charset val="186"/>
      </rPr>
      <t xml:space="preserve"> / 165.58 (vid. d. stundu sk. mēnesī). Vid. mēn. noslogojums 1.28 stundas, (11,56 </t>
    </r>
    <r>
      <rPr>
        <i/>
        <sz val="12"/>
        <color theme="1"/>
        <rFont val="Times New Roman"/>
        <family val="1"/>
        <charset val="186"/>
      </rPr>
      <t>euro</t>
    </r>
    <r>
      <rPr>
        <sz val="12"/>
        <color theme="1"/>
        <rFont val="Times New Roman"/>
        <family val="1"/>
        <charset val="186"/>
      </rPr>
      <t xml:space="preserve"> * 1.28 h) = 14,80 </t>
    </r>
    <r>
      <rPr>
        <i/>
        <sz val="12"/>
        <color theme="1"/>
        <rFont val="Times New Roman"/>
        <family val="1"/>
        <charset val="186"/>
      </rPr>
      <t>euro</t>
    </r>
    <r>
      <rPr>
        <sz val="12"/>
        <color theme="1"/>
        <rFont val="Times New Roman"/>
        <family val="1"/>
        <charset val="186"/>
      </rPr>
      <t xml:space="preserve">/mēn. * 12. mēn. = 177,60 </t>
    </r>
    <r>
      <rPr>
        <i/>
        <sz val="12"/>
        <color theme="1"/>
        <rFont val="Times New Roman"/>
        <family val="1"/>
        <charset val="186"/>
      </rPr>
      <t>euro</t>
    </r>
    <r>
      <rPr>
        <sz val="12"/>
        <color theme="1"/>
        <rFont val="Times New Roman"/>
        <family val="1"/>
        <charset val="186"/>
      </rPr>
      <t xml:space="preserve"> * 0.3951 (iznomātās platības koeficients)  = 70,17 </t>
    </r>
    <r>
      <rPr>
        <i/>
        <sz val="12"/>
        <color theme="1"/>
        <rFont val="Times New Roman"/>
        <family val="1"/>
        <charset val="186"/>
      </rPr>
      <t>euro.</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</si>
  <si>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11 min. (11,47 </t>
    </r>
    <r>
      <rPr>
        <i/>
        <sz val="12"/>
        <color theme="1"/>
        <rFont val="Times New Roman"/>
        <family val="1"/>
        <charset val="186"/>
      </rPr>
      <t>euro</t>
    </r>
    <r>
      <rPr>
        <sz val="12"/>
        <color theme="1"/>
        <rFont val="Times New Roman"/>
        <family val="1"/>
        <charset val="186"/>
      </rPr>
      <t xml:space="preserve"> * 0.18 h) = 2,06 </t>
    </r>
    <r>
      <rPr>
        <i/>
        <sz val="12"/>
        <color theme="1"/>
        <rFont val="Times New Roman"/>
        <family val="1"/>
        <charset val="186"/>
      </rPr>
      <t>euro</t>
    </r>
    <r>
      <rPr>
        <sz val="12"/>
        <color theme="1"/>
        <rFont val="Times New Roman"/>
        <family val="1"/>
        <charset val="186"/>
      </rPr>
      <t xml:space="preserve">/mēn. * 12. mēn. = 24,72 </t>
    </r>
    <r>
      <rPr>
        <i/>
        <sz val="12"/>
        <color theme="1"/>
        <rFont val="Times New Roman"/>
        <family val="1"/>
        <charset val="186"/>
      </rPr>
      <t>euro</t>
    </r>
    <r>
      <rPr>
        <sz val="12"/>
        <color theme="1"/>
        <rFont val="Times New Roman"/>
        <family val="1"/>
        <charset val="186"/>
      </rPr>
      <t xml:space="preserve"> * 0.3951 (iznomātās platības koeficients) = 9,77 </t>
    </r>
    <r>
      <rPr>
        <i/>
        <sz val="12"/>
        <color theme="1"/>
        <rFont val="Times New Roman"/>
        <family val="1"/>
        <charset val="186"/>
      </rPr>
      <t>euro.</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</si>
  <si>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10 min. (7,65 </t>
    </r>
    <r>
      <rPr>
        <i/>
        <sz val="12"/>
        <color theme="1"/>
        <rFont val="Times New Roman"/>
        <family val="1"/>
        <charset val="186"/>
      </rPr>
      <t>euro</t>
    </r>
    <r>
      <rPr>
        <sz val="12"/>
        <color theme="1"/>
        <rFont val="Times New Roman"/>
        <family val="1"/>
        <charset val="186"/>
      </rPr>
      <t xml:space="preserve"> * 0.17 h) = 1,30 </t>
    </r>
    <r>
      <rPr>
        <i/>
        <sz val="12"/>
        <color theme="1"/>
        <rFont val="Times New Roman"/>
        <family val="1"/>
        <charset val="186"/>
      </rPr>
      <t>euro</t>
    </r>
    <r>
      <rPr>
        <sz val="12"/>
        <color theme="1"/>
        <rFont val="Times New Roman"/>
        <family val="1"/>
        <charset val="186"/>
      </rPr>
      <t xml:space="preserve">/mēn. * 12. mēn. = 15,60 </t>
    </r>
    <r>
      <rPr>
        <i/>
        <sz val="12"/>
        <color theme="1"/>
        <rFont val="Times New Roman"/>
        <family val="1"/>
        <charset val="186"/>
      </rPr>
      <t>euro</t>
    </r>
    <r>
      <rPr>
        <sz val="12"/>
        <color theme="1"/>
        <rFont val="Times New Roman"/>
        <family val="1"/>
        <charset val="186"/>
      </rPr>
      <t xml:space="preserve"> * 0.3951 (iznomātās platības koeficients) = 6,16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</si>
  <si>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10 min. (11,47 </t>
    </r>
    <r>
      <rPr>
        <i/>
        <sz val="12"/>
        <color theme="1"/>
        <rFont val="Times New Roman"/>
        <family val="1"/>
        <charset val="186"/>
      </rPr>
      <t>euro</t>
    </r>
    <r>
      <rPr>
        <sz val="12"/>
        <color theme="1"/>
        <rFont val="Times New Roman"/>
        <family val="1"/>
        <charset val="186"/>
      </rPr>
      <t xml:space="preserve"> * 0.17 h) = 1,95 </t>
    </r>
    <r>
      <rPr>
        <i/>
        <sz val="12"/>
        <color theme="1"/>
        <rFont val="Times New Roman"/>
        <family val="1"/>
        <charset val="186"/>
      </rPr>
      <t>euro</t>
    </r>
    <r>
      <rPr>
        <sz val="12"/>
        <color theme="1"/>
        <rFont val="Times New Roman"/>
        <family val="1"/>
        <charset val="186"/>
      </rPr>
      <t xml:space="preserve">/mēn. * 12. mēn. = 23,40 </t>
    </r>
    <r>
      <rPr>
        <i/>
        <sz val="12"/>
        <color theme="1"/>
        <rFont val="Times New Roman"/>
        <family val="1"/>
        <charset val="186"/>
      </rPr>
      <t>euro</t>
    </r>
    <r>
      <rPr>
        <sz val="12"/>
        <color theme="1"/>
        <rFont val="Times New Roman"/>
        <family val="1"/>
        <charset val="186"/>
      </rPr>
      <t xml:space="preserve"> * 0.3951 (iznomātās platības koeficients)  = 9,25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</si>
  <si>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20 min. (15,15 </t>
    </r>
    <r>
      <rPr>
        <i/>
        <sz val="12"/>
        <color theme="1"/>
        <rFont val="Times New Roman"/>
        <family val="1"/>
        <charset val="186"/>
      </rPr>
      <t>euro</t>
    </r>
    <r>
      <rPr>
        <sz val="12"/>
        <color theme="1"/>
        <rFont val="Times New Roman"/>
        <family val="1"/>
        <charset val="186"/>
      </rPr>
      <t xml:space="preserve"> * 0.33 h) = 5,00 </t>
    </r>
    <r>
      <rPr>
        <i/>
        <sz val="12"/>
        <color theme="1"/>
        <rFont val="Times New Roman"/>
        <family val="1"/>
        <charset val="186"/>
      </rPr>
      <t>euro</t>
    </r>
    <r>
      <rPr>
        <sz val="12"/>
        <color theme="1"/>
        <rFont val="Times New Roman"/>
        <family val="1"/>
        <charset val="186"/>
      </rPr>
      <t xml:space="preserve">/mēn. * 12. mēn. = 60,00 </t>
    </r>
    <r>
      <rPr>
        <i/>
        <sz val="12"/>
        <color theme="1"/>
        <rFont val="Times New Roman"/>
        <family val="1"/>
        <charset val="186"/>
      </rPr>
      <t>euro</t>
    </r>
    <r>
      <rPr>
        <sz val="12"/>
        <color theme="1"/>
        <rFont val="Times New Roman"/>
        <family val="1"/>
        <charset val="186"/>
      </rPr>
      <t xml:space="preserve"> * 0.3951 (iznomātās platības koeficients) = 23,71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</si>
  <si>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9 min. (12,17 </t>
    </r>
    <r>
      <rPr>
        <i/>
        <sz val="12"/>
        <color theme="1"/>
        <rFont val="Times New Roman"/>
        <family val="1"/>
        <charset val="186"/>
      </rPr>
      <t>euro</t>
    </r>
    <r>
      <rPr>
        <sz val="12"/>
        <color theme="1"/>
        <rFont val="Times New Roman"/>
        <family val="1"/>
        <charset val="186"/>
      </rPr>
      <t xml:space="preserve"> * 0.15 h) = 1,83 </t>
    </r>
    <r>
      <rPr>
        <i/>
        <sz val="12"/>
        <color theme="1"/>
        <rFont val="Times New Roman"/>
        <family val="1"/>
        <charset val="186"/>
      </rPr>
      <t>euro</t>
    </r>
    <r>
      <rPr>
        <sz val="12"/>
        <color theme="1"/>
        <rFont val="Times New Roman"/>
        <family val="1"/>
        <charset val="186"/>
      </rPr>
      <t xml:space="preserve">/mēn. * 12. mēn. = 21,72 </t>
    </r>
    <r>
      <rPr>
        <i/>
        <sz val="12"/>
        <color theme="1"/>
        <rFont val="Times New Roman"/>
        <family val="1"/>
        <charset val="186"/>
      </rPr>
      <t>euro</t>
    </r>
    <r>
      <rPr>
        <sz val="12"/>
        <color theme="1"/>
        <rFont val="Times New Roman"/>
        <family val="1"/>
        <charset val="186"/>
      </rPr>
      <t xml:space="preserve"> * 0.3951 (iznomātās platības koeficients) = 8,68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</si>
  <si>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5.88 stunda, (8,29 </t>
    </r>
    <r>
      <rPr>
        <i/>
        <sz val="12"/>
        <color theme="1"/>
        <rFont val="Times New Roman"/>
        <family val="1"/>
        <charset val="186"/>
      </rPr>
      <t>euro</t>
    </r>
    <r>
      <rPr>
        <sz val="12"/>
        <color theme="1"/>
        <rFont val="Times New Roman"/>
        <family val="1"/>
        <charset val="186"/>
      </rPr>
      <t xml:space="preserve"> * 5.88 h) = 48,75 </t>
    </r>
    <r>
      <rPr>
        <i/>
        <sz val="12"/>
        <color theme="1"/>
        <rFont val="Times New Roman"/>
        <family val="1"/>
        <charset val="186"/>
      </rPr>
      <t>euro</t>
    </r>
    <r>
      <rPr>
        <sz val="12"/>
        <color theme="1"/>
        <rFont val="Times New Roman"/>
        <family val="1"/>
        <charset val="186"/>
      </rPr>
      <t xml:space="preserve">/mēn. * 12. mēn. = 585,00 </t>
    </r>
    <r>
      <rPr>
        <i/>
        <sz val="12"/>
        <color theme="1"/>
        <rFont val="Times New Roman"/>
        <family val="1"/>
        <charset val="186"/>
      </rPr>
      <t>euro</t>
    </r>
    <r>
      <rPr>
        <sz val="12"/>
        <color theme="1"/>
        <rFont val="Times New Roman"/>
        <family val="1"/>
        <charset val="186"/>
      </rPr>
      <t xml:space="preserve"> * 0.3951 (iznomātās platības koeficients) = 231,13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</si>
  <si>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5.41 stunda (9,42 </t>
    </r>
    <r>
      <rPr>
        <i/>
        <sz val="12"/>
        <color theme="1"/>
        <rFont val="Times New Roman"/>
        <family val="1"/>
        <charset val="186"/>
      </rPr>
      <t>euro</t>
    </r>
    <r>
      <rPr>
        <sz val="12"/>
        <color theme="1"/>
        <rFont val="Times New Roman"/>
        <family val="1"/>
        <charset val="186"/>
      </rPr>
      <t xml:space="preserve"> * 5.41 h) = 50,96 </t>
    </r>
    <r>
      <rPr>
        <i/>
        <sz val="12"/>
        <color theme="1"/>
        <rFont val="Times New Roman"/>
        <family val="1"/>
        <charset val="186"/>
      </rPr>
      <t>euro</t>
    </r>
    <r>
      <rPr>
        <sz val="12"/>
        <color theme="1"/>
        <rFont val="Times New Roman"/>
        <family val="1"/>
        <charset val="186"/>
      </rPr>
      <t xml:space="preserve">/mēn. * 12. mēn. = 611,52 </t>
    </r>
    <r>
      <rPr>
        <i/>
        <sz val="12"/>
        <color theme="1"/>
        <rFont val="Times New Roman"/>
        <family val="1"/>
        <charset val="186"/>
      </rPr>
      <t>euro</t>
    </r>
    <r>
      <rPr>
        <sz val="12"/>
        <color theme="1"/>
        <rFont val="Times New Roman"/>
        <family val="1"/>
        <charset val="186"/>
      </rPr>
      <t xml:space="preserve"> * 0.3951 (iznomātās platības koeficients) = 241,61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</si>
  <si>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8.31 stunda (8,29 </t>
    </r>
    <r>
      <rPr>
        <i/>
        <sz val="12"/>
        <color theme="1"/>
        <rFont val="Times New Roman"/>
        <family val="1"/>
        <charset val="186"/>
      </rPr>
      <t>euro</t>
    </r>
    <r>
      <rPr>
        <sz val="12"/>
        <color theme="1"/>
        <rFont val="Times New Roman"/>
        <family val="1"/>
        <charset val="186"/>
      </rPr>
      <t xml:space="preserve"> * 8.31 h) = 68,89 </t>
    </r>
    <r>
      <rPr>
        <i/>
        <sz val="12"/>
        <color theme="1"/>
        <rFont val="Times New Roman"/>
        <family val="1"/>
        <charset val="186"/>
      </rPr>
      <t>euro</t>
    </r>
    <r>
      <rPr>
        <sz val="12"/>
        <color theme="1"/>
        <rFont val="Times New Roman"/>
        <family val="1"/>
        <charset val="186"/>
      </rPr>
      <t xml:space="preserve">/mēn. * 12. mēn. = 826,68 </t>
    </r>
    <r>
      <rPr>
        <i/>
        <sz val="12"/>
        <color theme="1"/>
        <rFont val="Times New Roman"/>
        <family val="1"/>
        <charset val="186"/>
      </rPr>
      <t>euro</t>
    </r>
    <r>
      <rPr>
        <sz val="12"/>
        <color theme="1"/>
        <rFont val="Times New Roman"/>
        <family val="1"/>
        <charset val="186"/>
      </rPr>
      <t xml:space="preserve"> * 0.3951 (iznomātās platības koeficients) = 326,62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</si>
  <si>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40 min. (25,09 </t>
    </r>
    <r>
      <rPr>
        <i/>
        <sz val="12"/>
        <color theme="1"/>
        <rFont val="Times New Roman"/>
        <family val="1"/>
        <charset val="186"/>
      </rPr>
      <t>euro</t>
    </r>
    <r>
      <rPr>
        <sz val="12"/>
        <color theme="1"/>
        <rFont val="Times New Roman"/>
        <family val="1"/>
        <charset val="186"/>
      </rPr>
      <t xml:space="preserve"> * 0.67 h) = 16,81 </t>
    </r>
    <r>
      <rPr>
        <i/>
        <sz val="12"/>
        <color theme="1"/>
        <rFont val="Times New Roman"/>
        <family val="1"/>
        <charset val="186"/>
      </rPr>
      <t>euro</t>
    </r>
    <r>
      <rPr>
        <sz val="12"/>
        <color theme="1"/>
        <rFont val="Times New Roman"/>
        <family val="1"/>
        <charset val="186"/>
      </rPr>
      <t xml:space="preserve">/mēn. * 12. mēn. = 201,72 </t>
    </r>
    <r>
      <rPr>
        <i/>
        <sz val="12"/>
        <color theme="1"/>
        <rFont val="Times New Roman"/>
        <family val="1"/>
        <charset val="186"/>
      </rPr>
      <t>euro</t>
    </r>
    <r>
      <rPr>
        <sz val="12"/>
        <color theme="1"/>
        <rFont val="Times New Roman"/>
        <family val="1"/>
        <charset val="186"/>
      </rPr>
      <t xml:space="preserve"> * 0.3951 (iznomātās platības koeficients) = 79,70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</si>
  <si>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9 min. (27,18 </t>
    </r>
    <r>
      <rPr>
        <i/>
        <sz val="12"/>
        <color theme="1"/>
        <rFont val="Times New Roman"/>
        <family val="1"/>
        <charset val="186"/>
      </rPr>
      <t>euro</t>
    </r>
    <r>
      <rPr>
        <sz val="12"/>
        <color theme="1"/>
        <rFont val="Times New Roman"/>
        <family val="1"/>
        <charset val="186"/>
      </rPr>
      <t xml:space="preserve"> * 0.15 h) = 4,08 </t>
    </r>
    <r>
      <rPr>
        <i/>
        <sz val="12"/>
        <color theme="1"/>
        <rFont val="Times New Roman"/>
        <family val="1"/>
        <charset val="186"/>
      </rPr>
      <t>euro</t>
    </r>
    <r>
      <rPr>
        <sz val="12"/>
        <color theme="1"/>
        <rFont val="Times New Roman"/>
        <family val="1"/>
        <charset val="186"/>
      </rPr>
      <t xml:space="preserve">/mēn. * 12. mēn. = 48,96 </t>
    </r>
    <r>
      <rPr>
        <i/>
        <sz val="12"/>
        <color theme="1"/>
        <rFont val="Times New Roman"/>
        <family val="1"/>
        <charset val="186"/>
      </rPr>
      <t>euro</t>
    </r>
    <r>
      <rPr>
        <sz val="12"/>
        <color theme="1"/>
        <rFont val="Times New Roman"/>
        <family val="1"/>
        <charset val="186"/>
      </rPr>
      <t xml:space="preserve"> * 0.3951 (iznomātās platības koeficients) = 19,34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</si>
  <si>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1 026,14 </t>
    </r>
    <r>
      <rPr>
        <i/>
        <sz val="12"/>
        <color theme="1"/>
        <rFont val="Times New Roman"/>
        <family val="1"/>
        <charset val="186"/>
      </rPr>
      <t>euro</t>
    </r>
    <r>
      <rPr>
        <sz val="12"/>
        <color theme="1"/>
        <rFont val="Times New Roman"/>
        <family val="1"/>
        <charset val="186"/>
      </rPr>
      <t xml:space="preserve"> * 23,59 % = 242,07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</si>
  <si>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5.1 stundas, (8,20 </t>
    </r>
    <r>
      <rPr>
        <i/>
        <sz val="12"/>
        <color theme="1"/>
        <rFont val="Times New Roman"/>
        <family val="1"/>
        <charset val="186"/>
      </rPr>
      <t>euro</t>
    </r>
    <r>
      <rPr>
        <sz val="12"/>
        <color theme="1"/>
        <rFont val="Times New Roman"/>
        <family val="1"/>
        <charset val="186"/>
      </rPr>
      <t xml:space="preserve"> * 5.1 h) = 41,82 </t>
    </r>
    <r>
      <rPr>
        <i/>
        <sz val="12"/>
        <color theme="1"/>
        <rFont val="Times New Roman"/>
        <family val="1"/>
        <charset val="186"/>
      </rPr>
      <t>euro</t>
    </r>
    <r>
      <rPr>
        <sz val="12"/>
        <color theme="1"/>
        <rFont val="Times New Roman"/>
        <family val="1"/>
        <charset val="186"/>
      </rPr>
      <t xml:space="preserve">/mēn. * 12 mēn. = 501,84 </t>
    </r>
    <r>
      <rPr>
        <i/>
        <sz val="12"/>
        <color theme="1"/>
        <rFont val="Times New Roman"/>
        <family val="1"/>
        <charset val="186"/>
      </rPr>
      <t>euro</t>
    </r>
    <r>
      <rPr>
        <sz val="12"/>
        <color theme="1"/>
        <rFont val="Times New Roman"/>
        <family val="1"/>
        <charset val="186"/>
      </rPr>
      <t xml:space="preserve"> * 0.3951 (iznomātās platības koeficients) = 198,28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</si>
  <si>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15.85 stundas, (8,20 </t>
    </r>
    <r>
      <rPr>
        <i/>
        <sz val="12"/>
        <color theme="1"/>
        <rFont val="Times New Roman"/>
        <family val="1"/>
        <charset val="186"/>
      </rPr>
      <t>euro</t>
    </r>
    <r>
      <rPr>
        <sz val="12"/>
        <color theme="1"/>
        <rFont val="Times New Roman"/>
        <family val="1"/>
        <charset val="186"/>
      </rPr>
      <t xml:space="preserve"> * 15.85 h) = 129,97 </t>
    </r>
    <r>
      <rPr>
        <i/>
        <sz val="12"/>
        <color theme="1"/>
        <rFont val="Times New Roman"/>
        <family val="1"/>
        <charset val="186"/>
      </rPr>
      <t>euro</t>
    </r>
    <r>
      <rPr>
        <sz val="12"/>
        <color theme="1"/>
        <rFont val="Times New Roman"/>
        <family val="1"/>
        <charset val="186"/>
      </rPr>
      <t xml:space="preserve">/mēn. * 12 mēn. = 1 559,64 </t>
    </r>
    <r>
      <rPr>
        <i/>
        <sz val="12"/>
        <color theme="1"/>
        <rFont val="Times New Roman"/>
        <family val="1"/>
        <charset val="186"/>
      </rPr>
      <t>euro</t>
    </r>
    <r>
      <rPr>
        <sz val="12"/>
        <color theme="1"/>
        <rFont val="Times New Roman"/>
        <family val="1"/>
        <charset val="186"/>
      </rPr>
      <t xml:space="preserve"> * 0.3951 (iznomātās platības koeficients) = 616,21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</si>
  <si>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10.2 stundas, (5,42 </t>
    </r>
    <r>
      <rPr>
        <i/>
        <sz val="12"/>
        <color theme="1"/>
        <rFont val="Times New Roman"/>
        <family val="1"/>
        <charset val="186"/>
      </rPr>
      <t>euro</t>
    </r>
    <r>
      <rPr>
        <sz val="12"/>
        <color theme="1"/>
        <rFont val="Times New Roman"/>
        <family val="1"/>
        <charset val="186"/>
      </rPr>
      <t xml:space="preserve"> * 10.2 h) = 55,28 </t>
    </r>
    <r>
      <rPr>
        <i/>
        <sz val="12"/>
        <color theme="1"/>
        <rFont val="Times New Roman"/>
        <family val="1"/>
        <charset val="186"/>
      </rPr>
      <t>euro</t>
    </r>
    <r>
      <rPr>
        <sz val="12"/>
        <color theme="1"/>
        <rFont val="Times New Roman"/>
        <family val="1"/>
        <charset val="186"/>
      </rPr>
      <t xml:space="preserve">/mēn. * 12 mēn. = 663,36 </t>
    </r>
    <r>
      <rPr>
        <i/>
        <sz val="12"/>
        <color theme="1"/>
        <rFont val="Times New Roman"/>
        <family val="1"/>
        <charset val="186"/>
      </rPr>
      <t>euro</t>
    </r>
    <r>
      <rPr>
        <sz val="12"/>
        <color theme="1"/>
        <rFont val="Times New Roman"/>
        <family val="1"/>
        <charset val="186"/>
      </rPr>
      <t xml:space="preserve"> * 0.3951 (iznomātās platības koeficients) = 262,09 </t>
    </r>
    <r>
      <rPr>
        <i/>
        <sz val="12"/>
        <color theme="1"/>
        <rFont val="Times New Roman"/>
        <family val="1"/>
        <charset val="186"/>
      </rPr>
      <t>euro</t>
    </r>
    <r>
      <rPr>
        <sz val="12"/>
        <color theme="1"/>
        <rFont val="Times New Roman"/>
        <family val="1"/>
        <charset val="186"/>
      </rPr>
      <t xml:space="preserve">. </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</si>
  <si>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8 stundas, (8,20 </t>
    </r>
    <r>
      <rPr>
        <i/>
        <sz val="12"/>
        <color theme="1"/>
        <rFont val="Times New Roman"/>
        <family val="1"/>
        <charset val="186"/>
      </rPr>
      <t>euro</t>
    </r>
    <r>
      <rPr>
        <sz val="12"/>
        <color theme="1"/>
        <rFont val="Times New Roman"/>
        <family val="1"/>
        <charset val="186"/>
      </rPr>
      <t xml:space="preserve"> * 8 h) = 65,60 </t>
    </r>
    <r>
      <rPr>
        <i/>
        <sz val="12"/>
        <color theme="1"/>
        <rFont val="Times New Roman"/>
        <family val="1"/>
        <charset val="186"/>
      </rPr>
      <t>euro</t>
    </r>
    <r>
      <rPr>
        <sz val="12"/>
        <color theme="1"/>
        <rFont val="Times New Roman"/>
        <family val="1"/>
        <charset val="186"/>
      </rPr>
      <t xml:space="preserve">/mēn. * 12 mēn. = 787,20 </t>
    </r>
    <r>
      <rPr>
        <i/>
        <sz val="12"/>
        <color theme="1"/>
        <rFont val="Times New Roman"/>
        <family val="1"/>
        <charset val="186"/>
      </rPr>
      <t>euro</t>
    </r>
    <r>
      <rPr>
        <sz val="12"/>
        <color theme="1"/>
        <rFont val="Times New Roman"/>
        <family val="1"/>
        <charset val="186"/>
      </rPr>
      <t xml:space="preserve"> * 0.1422 (iznomātās platības koeficients) = 111,94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</si>
  <si>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23.89 stundas, (8,20 </t>
    </r>
    <r>
      <rPr>
        <i/>
        <sz val="12"/>
        <color theme="1"/>
        <rFont val="Times New Roman"/>
        <family val="1"/>
        <charset val="186"/>
      </rPr>
      <t>euro</t>
    </r>
    <r>
      <rPr>
        <sz val="12"/>
        <color theme="1"/>
        <rFont val="Times New Roman"/>
        <family val="1"/>
        <charset val="186"/>
      </rPr>
      <t xml:space="preserve"> * 23.89 h) = 195,90 </t>
    </r>
    <r>
      <rPr>
        <i/>
        <sz val="12"/>
        <color theme="1"/>
        <rFont val="Times New Roman"/>
        <family val="1"/>
        <charset val="186"/>
      </rPr>
      <t>euro</t>
    </r>
    <r>
      <rPr>
        <sz val="12"/>
        <color theme="1"/>
        <rFont val="Times New Roman"/>
        <family val="1"/>
        <charset val="186"/>
      </rPr>
      <t xml:space="preserve">/mēn. * 12 mēn. = 2 350,80 </t>
    </r>
    <r>
      <rPr>
        <i/>
        <sz val="12"/>
        <color theme="1"/>
        <rFont val="Times New Roman"/>
        <family val="1"/>
        <charset val="186"/>
      </rPr>
      <t>euro</t>
    </r>
    <r>
      <rPr>
        <sz val="12"/>
        <color theme="1"/>
        <rFont val="Times New Roman"/>
        <family val="1"/>
        <charset val="186"/>
      </rPr>
      <t xml:space="preserve"> * 0.1422 (iznomātās platības koeficients) = 334,28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</si>
  <si>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16 stundas, (5,42 </t>
    </r>
    <r>
      <rPr>
        <i/>
        <sz val="12"/>
        <color theme="1"/>
        <rFont val="Times New Roman"/>
        <family val="1"/>
        <charset val="186"/>
      </rPr>
      <t>euro</t>
    </r>
    <r>
      <rPr>
        <sz val="12"/>
        <color theme="1"/>
        <rFont val="Times New Roman"/>
        <family val="1"/>
        <charset val="186"/>
      </rPr>
      <t xml:space="preserve"> * 16 h) = 86,72 </t>
    </r>
    <r>
      <rPr>
        <i/>
        <sz val="12"/>
        <color theme="1"/>
        <rFont val="Times New Roman"/>
        <family val="1"/>
        <charset val="186"/>
      </rPr>
      <t>euro</t>
    </r>
    <r>
      <rPr>
        <sz val="12"/>
        <color theme="1"/>
        <rFont val="Times New Roman"/>
        <family val="1"/>
        <charset val="186"/>
      </rPr>
      <t xml:space="preserve">/mēn. * 12 mēn. = 1 040,64 </t>
    </r>
    <r>
      <rPr>
        <i/>
        <sz val="12"/>
        <color theme="1"/>
        <rFont val="Times New Roman"/>
        <family val="1"/>
        <charset val="186"/>
      </rPr>
      <t>euro</t>
    </r>
    <r>
      <rPr>
        <sz val="12"/>
        <color theme="1"/>
        <rFont val="Times New Roman"/>
        <family val="1"/>
        <charset val="186"/>
      </rPr>
      <t xml:space="preserve"> * 0.1422 (iznomātās platības koeficients) = 147,98 </t>
    </r>
    <r>
      <rPr>
        <i/>
        <sz val="12"/>
        <color theme="1"/>
        <rFont val="Times New Roman"/>
        <family val="1"/>
        <charset val="186"/>
      </rPr>
      <t>euro</t>
    </r>
    <r>
      <rPr>
        <sz val="12"/>
        <color theme="1"/>
        <rFont val="Times New Roman"/>
        <family val="1"/>
        <charset val="186"/>
      </rPr>
      <t xml:space="preserve">. </t>
    </r>
  </si>
  <si>
    <r>
      <t xml:space="preserve">Galv. nekust. īpaš. pārvaldnieks (111,94 </t>
    </r>
    <r>
      <rPr>
        <i/>
        <sz val="12"/>
        <color theme="1"/>
        <rFont val="Times New Roman"/>
        <family val="1"/>
        <charset val="186"/>
      </rPr>
      <t>euro</t>
    </r>
    <r>
      <rPr>
        <sz val="12"/>
        <color theme="1"/>
        <rFont val="Times New Roman"/>
        <family val="1"/>
        <charset val="186"/>
      </rPr>
      <t xml:space="preserve"> * 10%) = 11,19 </t>
    </r>
    <r>
      <rPr>
        <i/>
        <sz val="12"/>
        <color theme="1"/>
        <rFont val="Times New Roman"/>
        <family val="1"/>
        <charset val="186"/>
      </rPr>
      <t>euro</t>
    </r>
    <r>
      <rPr>
        <sz val="12"/>
        <color theme="1"/>
        <rFont val="Times New Roman"/>
        <family val="1"/>
        <charset val="186"/>
      </rPr>
      <t xml:space="preserve">, Dienesta viesnīcas vadīotājs (334,28 </t>
    </r>
    <r>
      <rPr>
        <i/>
        <sz val="12"/>
        <color theme="1"/>
        <rFont val="Times New Roman"/>
        <family val="1"/>
        <charset val="186"/>
      </rPr>
      <t>euro</t>
    </r>
    <r>
      <rPr>
        <sz val="12"/>
        <color theme="1"/>
        <rFont val="Times New Roman"/>
        <family val="1"/>
        <charset val="186"/>
      </rPr>
      <t xml:space="preserve"> * 10%) = 33,43 </t>
    </r>
    <r>
      <rPr>
        <i/>
        <sz val="12"/>
        <color theme="1"/>
        <rFont val="Times New Roman"/>
        <family val="1"/>
        <charset val="186"/>
      </rPr>
      <t>euro</t>
    </r>
    <r>
      <rPr>
        <sz val="12"/>
        <color theme="1"/>
        <rFont val="Times New Roman"/>
        <family val="1"/>
        <charset val="186"/>
      </rPr>
      <t xml:space="preserve">. Saimniecības pārzinis (147,98 </t>
    </r>
    <r>
      <rPr>
        <i/>
        <sz val="12"/>
        <color theme="1"/>
        <rFont val="Times New Roman"/>
        <family val="1"/>
        <charset val="186"/>
      </rPr>
      <t>euro</t>
    </r>
    <r>
      <rPr>
        <sz val="12"/>
        <color theme="1"/>
        <rFont val="Times New Roman"/>
        <family val="1"/>
        <charset val="186"/>
      </rPr>
      <t xml:space="preserve"> * 10%) = 14,80 </t>
    </r>
    <r>
      <rPr>
        <i/>
        <sz val="12"/>
        <color theme="1"/>
        <rFont val="Times New Roman"/>
        <family val="1"/>
        <charset val="186"/>
      </rPr>
      <t>euro.</t>
    </r>
    <r>
      <rPr>
        <sz val="12"/>
        <color theme="1"/>
        <rFont val="Times New Roman"/>
        <family val="1"/>
        <charset val="186"/>
      </rPr>
      <t xml:space="preserve"> Kopā (11,19 </t>
    </r>
    <r>
      <rPr>
        <i/>
        <sz val="12"/>
        <color theme="1"/>
        <rFont val="Times New Roman"/>
        <family val="1"/>
        <charset val="186"/>
      </rPr>
      <t>euro</t>
    </r>
    <r>
      <rPr>
        <sz val="12"/>
        <color theme="1"/>
        <rFont val="Times New Roman"/>
        <family val="1"/>
        <charset val="186"/>
      </rPr>
      <t xml:space="preserve"> + 33,43 </t>
    </r>
    <r>
      <rPr>
        <i/>
        <sz val="12"/>
        <color theme="1"/>
        <rFont val="Times New Roman"/>
        <family val="1"/>
        <charset val="186"/>
      </rPr>
      <t>euro</t>
    </r>
    <r>
      <rPr>
        <sz val="12"/>
        <color theme="1"/>
        <rFont val="Times New Roman"/>
        <family val="1"/>
        <charset val="186"/>
      </rPr>
      <t xml:space="preserve"> + 14,80 </t>
    </r>
    <r>
      <rPr>
        <i/>
        <sz val="12"/>
        <color theme="1"/>
        <rFont val="Times New Roman"/>
        <family val="1"/>
        <charset val="186"/>
      </rPr>
      <t>euro</t>
    </r>
    <r>
      <rPr>
        <sz val="12"/>
        <color theme="1"/>
        <rFont val="Times New Roman"/>
        <family val="1"/>
        <charset val="186"/>
      </rPr>
      <t xml:space="preserve">) = 59,42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</si>
  <si>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653,62 </t>
    </r>
    <r>
      <rPr>
        <i/>
        <sz val="12"/>
        <color theme="1"/>
        <rFont val="Times New Roman"/>
        <family val="1"/>
        <charset val="186"/>
      </rPr>
      <t>euro</t>
    </r>
    <r>
      <rPr>
        <sz val="12"/>
        <color theme="1"/>
        <rFont val="Times New Roman"/>
        <family val="1"/>
        <charset val="186"/>
      </rPr>
      <t xml:space="preserve"> * 23,59 % = 154,19 </t>
    </r>
    <r>
      <rPr>
        <i/>
        <sz val="12"/>
        <color theme="1"/>
        <rFont val="Times New Roman"/>
        <family val="1"/>
        <charset val="186"/>
      </rPr>
      <t xml:space="preserve">euro. </t>
    </r>
  </si>
  <si>
    <r>
      <t xml:space="preserve">Galv. nekust. īpaš. pārvaldnieks (111,94 </t>
    </r>
    <r>
      <rPr>
        <i/>
        <sz val="12"/>
        <color theme="1"/>
        <rFont val="Times New Roman"/>
        <family val="1"/>
        <charset val="186"/>
      </rPr>
      <t>euro</t>
    </r>
    <r>
      <rPr>
        <sz val="12"/>
        <color theme="1"/>
        <rFont val="Times New Roman"/>
        <family val="1"/>
        <charset val="186"/>
      </rPr>
      <t xml:space="preserve"> * 5%) = 5,60 </t>
    </r>
    <r>
      <rPr>
        <i/>
        <sz val="12"/>
        <color theme="1"/>
        <rFont val="Times New Roman"/>
        <family val="1"/>
        <charset val="186"/>
      </rPr>
      <t>euro</t>
    </r>
    <r>
      <rPr>
        <sz val="12"/>
        <color theme="1"/>
        <rFont val="Times New Roman"/>
        <family val="1"/>
        <charset val="186"/>
      </rPr>
      <t xml:space="preserve">, Dienesta viesnīcas vadīotājs (334,28 </t>
    </r>
    <r>
      <rPr>
        <i/>
        <sz val="12"/>
        <color theme="1"/>
        <rFont val="Times New Roman"/>
        <family val="1"/>
        <charset val="186"/>
      </rPr>
      <t>euro</t>
    </r>
    <r>
      <rPr>
        <sz val="12"/>
        <color theme="1"/>
        <rFont val="Times New Roman"/>
        <family val="1"/>
        <charset val="186"/>
      </rPr>
      <t xml:space="preserve"> * 5%) = 16,71 </t>
    </r>
    <r>
      <rPr>
        <i/>
        <sz val="12"/>
        <color theme="1"/>
        <rFont val="Times New Roman"/>
        <family val="1"/>
        <charset val="186"/>
      </rPr>
      <t>euro</t>
    </r>
    <r>
      <rPr>
        <sz val="12"/>
        <color theme="1"/>
        <rFont val="Times New Roman"/>
        <family val="1"/>
        <charset val="186"/>
      </rPr>
      <t xml:space="preserve">. Saimniecības pārzinis (147,98 </t>
    </r>
    <r>
      <rPr>
        <i/>
        <sz val="12"/>
        <color theme="1"/>
        <rFont val="Times New Roman"/>
        <family val="1"/>
        <charset val="186"/>
      </rPr>
      <t>euro</t>
    </r>
    <r>
      <rPr>
        <sz val="12"/>
        <color theme="1"/>
        <rFont val="Times New Roman"/>
        <family val="1"/>
        <charset val="186"/>
      </rPr>
      <t xml:space="preserve"> * 5%) = 7,40 </t>
    </r>
    <r>
      <rPr>
        <i/>
        <sz val="12"/>
        <color theme="1"/>
        <rFont val="Times New Roman"/>
        <family val="1"/>
        <charset val="186"/>
      </rPr>
      <t>euro.</t>
    </r>
    <r>
      <rPr>
        <sz val="12"/>
        <color theme="1"/>
        <rFont val="Times New Roman"/>
        <family val="1"/>
        <charset val="186"/>
      </rPr>
      <t xml:space="preserve"> Kopā (5,60 </t>
    </r>
    <r>
      <rPr>
        <i/>
        <sz val="12"/>
        <color theme="1"/>
        <rFont val="Times New Roman"/>
        <family val="1"/>
        <charset val="186"/>
      </rPr>
      <t>euro</t>
    </r>
    <r>
      <rPr>
        <sz val="12"/>
        <color theme="1"/>
        <rFont val="Times New Roman"/>
        <family val="1"/>
        <charset val="186"/>
      </rPr>
      <t xml:space="preserve"> + 16,71 </t>
    </r>
    <r>
      <rPr>
        <i/>
        <sz val="12"/>
        <color theme="1"/>
        <rFont val="Times New Roman"/>
        <family val="1"/>
        <charset val="186"/>
      </rPr>
      <t>euro</t>
    </r>
    <r>
      <rPr>
        <sz val="12"/>
        <color theme="1"/>
        <rFont val="Times New Roman"/>
        <family val="1"/>
        <charset val="186"/>
      </rPr>
      <t xml:space="preserve"> + 7,40 </t>
    </r>
    <r>
      <rPr>
        <i/>
        <sz val="12"/>
        <color theme="1"/>
        <rFont val="Times New Roman"/>
        <family val="1"/>
        <charset val="186"/>
      </rPr>
      <t>euro</t>
    </r>
    <r>
      <rPr>
        <sz val="12"/>
        <color theme="1"/>
        <rFont val="Times New Roman"/>
        <family val="1"/>
        <charset val="186"/>
      </rPr>
      <t xml:space="preserve">) = 29,71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</si>
  <si>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154,19 </t>
    </r>
    <r>
      <rPr>
        <i/>
        <sz val="12"/>
        <color theme="1"/>
        <rFont val="Times New Roman"/>
        <family val="1"/>
        <charset val="186"/>
      </rPr>
      <t>euro</t>
    </r>
    <r>
      <rPr>
        <sz val="12"/>
        <color theme="1"/>
        <rFont val="Times New Roman"/>
        <family val="1"/>
        <charset val="186"/>
      </rPr>
      <t xml:space="preserve">. Veselības apdrošināšana 29,71 </t>
    </r>
    <r>
      <rPr>
        <i/>
        <sz val="12"/>
        <color theme="1"/>
        <rFont val="Times New Roman"/>
        <family val="1"/>
        <charset val="186"/>
      </rPr>
      <t>euro</t>
    </r>
    <r>
      <rPr>
        <sz val="12"/>
        <color theme="1"/>
        <rFont val="Times New Roman"/>
        <family val="1"/>
        <charset val="186"/>
      </rPr>
      <t xml:space="preserve">. Kopā 183,90 </t>
    </r>
    <r>
      <rPr>
        <i/>
        <sz val="12"/>
        <color theme="1"/>
        <rFont val="Times New Roman"/>
        <family val="1"/>
        <charset val="186"/>
      </rPr>
      <t>euro</t>
    </r>
    <r>
      <rPr>
        <sz val="12"/>
        <color theme="1"/>
        <rFont val="Times New Roman"/>
        <family val="1"/>
        <charset val="186"/>
      </rPr>
      <t>.</t>
    </r>
  </si>
  <si>
    <r>
      <t xml:space="preserve">Rīgas īpašumu pārvaldes nodaļas vadītājs (3. saime, V līmenis, 10. algu grupa, mēnešalga 1 914 </t>
    </r>
    <r>
      <rPr>
        <i/>
        <sz val="12"/>
        <color theme="1"/>
        <rFont val="Times New Roman"/>
        <family val="1"/>
        <charset val="186"/>
      </rPr>
      <t>euro</t>
    </r>
    <r>
      <rPr>
        <sz val="12"/>
        <color theme="1"/>
        <rFont val="Times New Roman"/>
        <family val="1"/>
        <charset val="186"/>
      </rPr>
      <t xml:space="preserve">). Stundas tarifa likme 11,56 </t>
    </r>
    <r>
      <rPr>
        <i/>
        <sz val="12"/>
        <color theme="1"/>
        <rFont val="Times New Roman"/>
        <family val="1"/>
        <charset val="186"/>
      </rPr>
      <t>euro</t>
    </r>
    <r>
      <rPr>
        <sz val="12"/>
        <color theme="1"/>
        <rFont val="Times New Roman"/>
        <family val="1"/>
        <charset val="186"/>
      </rPr>
      <t xml:space="preserve"> = 1 914 </t>
    </r>
    <r>
      <rPr>
        <i/>
        <sz val="12"/>
        <color theme="1"/>
        <rFont val="Times New Roman"/>
        <family val="1"/>
        <charset val="186"/>
      </rPr>
      <t>euro</t>
    </r>
    <r>
      <rPr>
        <sz val="12"/>
        <color theme="1"/>
        <rFont val="Times New Roman"/>
        <family val="1"/>
        <charset val="186"/>
      </rPr>
      <t xml:space="preserve"> / 165.58 (vid. d. stundu sk. mēnesī). Vid. mēn. noslogojums 2 stundas, (11,56 </t>
    </r>
    <r>
      <rPr>
        <i/>
        <sz val="12"/>
        <color theme="1"/>
        <rFont val="Times New Roman"/>
        <family val="1"/>
        <charset val="186"/>
      </rPr>
      <t>euro</t>
    </r>
    <r>
      <rPr>
        <sz val="12"/>
        <color theme="1"/>
        <rFont val="Times New Roman"/>
        <family val="1"/>
        <charset val="186"/>
      </rPr>
      <t xml:space="preserve"> * 2 h) = 23,12 </t>
    </r>
    <r>
      <rPr>
        <i/>
        <sz val="12"/>
        <color theme="1"/>
        <rFont val="Times New Roman"/>
        <family val="1"/>
        <charset val="186"/>
      </rPr>
      <t>euro</t>
    </r>
    <r>
      <rPr>
        <sz val="12"/>
        <color theme="1"/>
        <rFont val="Times New Roman"/>
        <family val="1"/>
        <charset val="186"/>
      </rPr>
      <t xml:space="preserve">/mēn. * 12. mēn. = 277,44 </t>
    </r>
    <r>
      <rPr>
        <i/>
        <sz val="12"/>
        <color theme="1"/>
        <rFont val="Times New Roman"/>
        <family val="1"/>
        <charset val="186"/>
      </rPr>
      <t>euro</t>
    </r>
    <r>
      <rPr>
        <sz val="12"/>
        <color theme="1"/>
        <rFont val="Times New Roman"/>
        <family val="1"/>
        <charset val="186"/>
      </rPr>
      <t xml:space="preserve"> * 0.1422 (iznomātās platības koeficients) = 39,45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</si>
  <si>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9 min. (11,47 </t>
    </r>
    <r>
      <rPr>
        <i/>
        <sz val="12"/>
        <color theme="1"/>
        <rFont val="Times New Roman"/>
        <family val="1"/>
        <charset val="186"/>
      </rPr>
      <t>euro</t>
    </r>
    <r>
      <rPr>
        <sz val="12"/>
        <color theme="1"/>
        <rFont val="Times New Roman"/>
        <family val="1"/>
        <charset val="186"/>
      </rPr>
      <t xml:space="preserve"> * 0.15 h) = 1,72 </t>
    </r>
    <r>
      <rPr>
        <i/>
        <sz val="12"/>
        <color theme="1"/>
        <rFont val="Times New Roman"/>
        <family val="1"/>
        <charset val="186"/>
      </rPr>
      <t>euro</t>
    </r>
    <r>
      <rPr>
        <sz val="12"/>
        <color theme="1"/>
        <rFont val="Times New Roman"/>
        <family val="1"/>
        <charset val="186"/>
      </rPr>
      <t xml:space="preserve">/mēn. * 12. mēn. = 20,64 </t>
    </r>
    <r>
      <rPr>
        <i/>
        <sz val="12"/>
        <color theme="1"/>
        <rFont val="Times New Roman"/>
        <family val="1"/>
        <charset val="186"/>
      </rPr>
      <t>euro</t>
    </r>
    <r>
      <rPr>
        <sz val="12"/>
        <color theme="1"/>
        <rFont val="Times New Roman"/>
        <family val="1"/>
        <charset val="186"/>
      </rPr>
      <t xml:space="preserve"> * 0.1422 (iznomātās platības koeficients) = 2,94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</si>
  <si>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8 min. (7,65 </t>
    </r>
    <r>
      <rPr>
        <i/>
        <sz val="12"/>
        <color theme="1"/>
        <rFont val="Times New Roman"/>
        <family val="1"/>
        <charset val="186"/>
      </rPr>
      <t>euro</t>
    </r>
    <r>
      <rPr>
        <sz val="12"/>
        <color theme="1"/>
        <rFont val="Times New Roman"/>
        <family val="1"/>
        <charset val="186"/>
      </rPr>
      <t xml:space="preserve"> * 0.14 h) = 1,07 </t>
    </r>
    <r>
      <rPr>
        <i/>
        <sz val="12"/>
        <color theme="1"/>
        <rFont val="Times New Roman"/>
        <family val="1"/>
        <charset val="186"/>
      </rPr>
      <t>euro</t>
    </r>
    <r>
      <rPr>
        <sz val="12"/>
        <color theme="1"/>
        <rFont val="Times New Roman"/>
        <family val="1"/>
        <charset val="186"/>
      </rPr>
      <t xml:space="preserve">/mēn. * 12. mēn. = 12,84 </t>
    </r>
    <r>
      <rPr>
        <i/>
        <sz val="12"/>
        <color theme="1"/>
        <rFont val="Times New Roman"/>
        <family val="1"/>
        <charset val="186"/>
      </rPr>
      <t>euro</t>
    </r>
    <r>
      <rPr>
        <sz val="12"/>
        <color theme="1"/>
        <rFont val="Times New Roman"/>
        <family val="1"/>
        <charset val="186"/>
      </rPr>
      <t xml:space="preserve"> * 0.1422 (iznomātās platības koeficients) = 1,83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</si>
  <si>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8 min. (11,47 </t>
    </r>
    <r>
      <rPr>
        <i/>
        <sz val="12"/>
        <color theme="1"/>
        <rFont val="Times New Roman"/>
        <family val="1"/>
        <charset val="186"/>
      </rPr>
      <t>euro</t>
    </r>
    <r>
      <rPr>
        <sz val="12"/>
        <color theme="1"/>
        <rFont val="Times New Roman"/>
        <family val="1"/>
        <charset val="186"/>
      </rPr>
      <t xml:space="preserve"> * 0.14 h) = 1,61 </t>
    </r>
    <r>
      <rPr>
        <i/>
        <sz val="12"/>
        <color theme="1"/>
        <rFont val="Times New Roman"/>
        <family val="1"/>
        <charset val="186"/>
      </rPr>
      <t>euro</t>
    </r>
    <r>
      <rPr>
        <sz val="12"/>
        <color theme="1"/>
        <rFont val="Times New Roman"/>
        <family val="1"/>
        <charset val="186"/>
      </rPr>
      <t xml:space="preserve">/mēn. * 12. mēn. = 19,32 </t>
    </r>
    <r>
      <rPr>
        <i/>
        <sz val="12"/>
        <color theme="1"/>
        <rFont val="Times New Roman"/>
        <family val="1"/>
        <charset val="186"/>
      </rPr>
      <t>euro</t>
    </r>
    <r>
      <rPr>
        <sz val="12"/>
        <color theme="1"/>
        <rFont val="Times New Roman"/>
        <family val="1"/>
        <charset val="186"/>
      </rPr>
      <t xml:space="preserve"> * 0.1422 (iznomātās platības koeficients) = 2,75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</si>
  <si>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31 min. (15,15 </t>
    </r>
    <r>
      <rPr>
        <i/>
        <sz val="12"/>
        <color theme="1"/>
        <rFont val="Times New Roman"/>
        <family val="1"/>
        <charset val="186"/>
      </rPr>
      <t>euro</t>
    </r>
    <r>
      <rPr>
        <sz val="12"/>
        <color theme="1"/>
        <rFont val="Times New Roman"/>
        <family val="1"/>
        <charset val="186"/>
      </rPr>
      <t xml:space="preserve"> * 0.52 h) = 7,88 </t>
    </r>
    <r>
      <rPr>
        <i/>
        <sz val="12"/>
        <color theme="1"/>
        <rFont val="Times New Roman"/>
        <family val="1"/>
        <charset val="186"/>
      </rPr>
      <t>euro</t>
    </r>
    <r>
      <rPr>
        <sz val="12"/>
        <color theme="1"/>
        <rFont val="Times New Roman"/>
        <family val="1"/>
        <charset val="186"/>
      </rPr>
      <t xml:space="preserve">/mēn. * 12. mēn. = 94,56 </t>
    </r>
    <r>
      <rPr>
        <i/>
        <sz val="12"/>
        <color theme="1"/>
        <rFont val="Times New Roman"/>
        <family val="1"/>
        <charset val="186"/>
      </rPr>
      <t>euro</t>
    </r>
    <r>
      <rPr>
        <sz val="12"/>
        <color theme="1"/>
        <rFont val="Times New Roman"/>
        <family val="1"/>
        <charset val="186"/>
      </rPr>
      <t xml:space="preserve"> * 0.1422 (iznomātās platības koeficients) = 13,45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</si>
  <si>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8 min. (12,17 </t>
    </r>
    <r>
      <rPr>
        <i/>
        <sz val="12"/>
        <color theme="1"/>
        <rFont val="Times New Roman"/>
        <family val="1"/>
        <charset val="186"/>
      </rPr>
      <t>euro</t>
    </r>
    <r>
      <rPr>
        <sz val="12"/>
        <color theme="1"/>
        <rFont val="Times New Roman"/>
        <family val="1"/>
        <charset val="186"/>
      </rPr>
      <t xml:space="preserve"> * 0.13 h) = 1,58 </t>
    </r>
    <r>
      <rPr>
        <i/>
        <sz val="12"/>
        <color theme="1"/>
        <rFont val="Times New Roman"/>
        <family val="1"/>
        <charset val="186"/>
      </rPr>
      <t>euro</t>
    </r>
    <r>
      <rPr>
        <sz val="12"/>
        <color theme="1"/>
        <rFont val="Times New Roman"/>
        <family val="1"/>
        <charset val="186"/>
      </rPr>
      <t xml:space="preserve">/mēn. * 12. mēn. = 18,96 </t>
    </r>
    <r>
      <rPr>
        <i/>
        <sz val="12"/>
        <color theme="1"/>
        <rFont val="Times New Roman"/>
        <family val="1"/>
        <charset val="186"/>
      </rPr>
      <t>euro</t>
    </r>
    <r>
      <rPr>
        <sz val="12"/>
        <color theme="1"/>
        <rFont val="Times New Roman"/>
        <family val="1"/>
        <charset val="186"/>
      </rPr>
      <t xml:space="preserve"> * 0.1422 (iznomātās platības koeficients) = 2,70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</si>
  <si>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9.23 stunda,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0.1422 (iznomātās platības koeficients) = 130,57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</si>
  <si>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5.93 stunda (9,42 </t>
    </r>
    <r>
      <rPr>
        <i/>
        <sz val="12"/>
        <color theme="1"/>
        <rFont val="Times New Roman"/>
        <family val="1"/>
        <charset val="186"/>
      </rPr>
      <t>euro</t>
    </r>
    <r>
      <rPr>
        <sz val="12"/>
        <color theme="1"/>
        <rFont val="Times New Roman"/>
        <family val="1"/>
        <charset val="186"/>
      </rPr>
      <t xml:space="preserve"> * 5.93 h) = 55,86 </t>
    </r>
    <r>
      <rPr>
        <i/>
        <sz val="12"/>
        <color theme="1"/>
        <rFont val="Times New Roman"/>
        <family val="1"/>
        <charset val="186"/>
      </rPr>
      <t>euro</t>
    </r>
    <r>
      <rPr>
        <sz val="12"/>
        <color theme="1"/>
        <rFont val="Times New Roman"/>
        <family val="1"/>
        <charset val="186"/>
      </rPr>
      <t xml:space="preserve">/mēn. * 12. mēn. = 670,32 </t>
    </r>
    <r>
      <rPr>
        <i/>
        <sz val="12"/>
        <color theme="1"/>
        <rFont val="Times New Roman"/>
        <family val="1"/>
        <charset val="186"/>
      </rPr>
      <t>euro</t>
    </r>
    <r>
      <rPr>
        <sz val="12"/>
        <color theme="1"/>
        <rFont val="Times New Roman"/>
        <family val="1"/>
        <charset val="186"/>
      </rPr>
      <t xml:space="preserve"> * 0.1422 (iznomātās platības koeficients) = 95,32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</si>
  <si>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13.63 stunda (8,29 </t>
    </r>
    <r>
      <rPr>
        <i/>
        <sz val="12"/>
        <color theme="1"/>
        <rFont val="Times New Roman"/>
        <family val="1"/>
        <charset val="186"/>
      </rPr>
      <t>euro</t>
    </r>
    <r>
      <rPr>
        <sz val="12"/>
        <color theme="1"/>
        <rFont val="Times New Roman"/>
        <family val="1"/>
        <charset val="186"/>
      </rPr>
      <t xml:space="preserve"> * 13.63 h) = 112,99 </t>
    </r>
    <r>
      <rPr>
        <i/>
        <sz val="12"/>
        <color theme="1"/>
        <rFont val="Times New Roman"/>
        <family val="1"/>
        <charset val="186"/>
      </rPr>
      <t>euro</t>
    </r>
    <r>
      <rPr>
        <sz val="12"/>
        <color theme="1"/>
        <rFont val="Times New Roman"/>
        <family val="1"/>
        <charset val="186"/>
      </rPr>
      <t xml:space="preserve">/mēn. * 12. mēn. = 1 355,88 </t>
    </r>
    <r>
      <rPr>
        <i/>
        <sz val="12"/>
        <color theme="1"/>
        <rFont val="Times New Roman"/>
        <family val="1"/>
        <charset val="186"/>
      </rPr>
      <t>euro</t>
    </r>
    <r>
      <rPr>
        <sz val="12"/>
        <color theme="1"/>
        <rFont val="Times New Roman"/>
        <family val="1"/>
        <charset val="186"/>
      </rPr>
      <t xml:space="preserve"> * 0.1422 (iznomātās platības koeficients) = 192,81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</si>
  <si>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43 min. (24,34 </t>
    </r>
    <r>
      <rPr>
        <i/>
        <sz val="12"/>
        <color theme="1"/>
        <rFont val="Times New Roman"/>
        <family val="1"/>
        <charset val="186"/>
      </rPr>
      <t>euro</t>
    </r>
    <r>
      <rPr>
        <sz val="12"/>
        <color theme="1"/>
        <rFont val="Times New Roman"/>
        <family val="1"/>
        <charset val="186"/>
      </rPr>
      <t xml:space="preserve"> * 0.72 h) = 18,06 </t>
    </r>
    <r>
      <rPr>
        <i/>
        <sz val="12"/>
        <color theme="1"/>
        <rFont val="Times New Roman"/>
        <family val="1"/>
        <charset val="186"/>
      </rPr>
      <t>euro</t>
    </r>
    <r>
      <rPr>
        <sz val="12"/>
        <color theme="1"/>
        <rFont val="Times New Roman"/>
        <family val="1"/>
        <charset val="186"/>
      </rPr>
      <t xml:space="preserve">/mēn. * 12. mēn. = 216,72 </t>
    </r>
    <r>
      <rPr>
        <i/>
        <sz val="12"/>
        <color theme="1"/>
        <rFont val="Times New Roman"/>
        <family val="1"/>
        <charset val="186"/>
      </rPr>
      <t>euro</t>
    </r>
    <r>
      <rPr>
        <sz val="12"/>
        <color theme="1"/>
        <rFont val="Times New Roman"/>
        <family val="1"/>
        <charset val="186"/>
      </rPr>
      <t xml:space="preserve"> * 0.1422 (iznomātās platības koeficients) = 30,82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</si>
  <si>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9 min. (27,18 </t>
    </r>
    <r>
      <rPr>
        <i/>
        <sz val="12"/>
        <color theme="1"/>
        <rFont val="Times New Roman"/>
        <family val="1"/>
        <charset val="186"/>
      </rPr>
      <t>euro</t>
    </r>
    <r>
      <rPr>
        <sz val="12"/>
        <color theme="1"/>
        <rFont val="Times New Roman"/>
        <family val="1"/>
        <charset val="186"/>
      </rPr>
      <t xml:space="preserve"> * 0.15 h) = 4,08 </t>
    </r>
    <r>
      <rPr>
        <i/>
        <sz val="12"/>
        <color theme="1"/>
        <rFont val="Times New Roman"/>
        <family val="1"/>
        <charset val="186"/>
      </rPr>
      <t>euro</t>
    </r>
    <r>
      <rPr>
        <sz val="12"/>
        <color theme="1"/>
        <rFont val="Times New Roman"/>
        <family val="1"/>
        <charset val="186"/>
      </rPr>
      <t xml:space="preserve">/mēn. * 12. mēn. = 48,96 </t>
    </r>
    <r>
      <rPr>
        <i/>
        <sz val="12"/>
        <color theme="1"/>
        <rFont val="Times New Roman"/>
        <family val="1"/>
        <charset val="186"/>
      </rPr>
      <t>euro</t>
    </r>
    <r>
      <rPr>
        <sz val="12"/>
        <color theme="1"/>
        <rFont val="Times New Roman"/>
        <family val="1"/>
        <charset val="186"/>
      </rPr>
      <t xml:space="preserve"> * 0.1422 (iznomātās platības koeficients) = 6,96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</si>
  <si>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519,60 </t>
    </r>
    <r>
      <rPr>
        <i/>
        <sz val="12"/>
        <color theme="1"/>
        <rFont val="Times New Roman"/>
        <family val="1"/>
        <charset val="186"/>
      </rPr>
      <t>euro</t>
    </r>
    <r>
      <rPr>
        <sz val="12"/>
        <color theme="1"/>
        <rFont val="Times New Roman"/>
        <family val="1"/>
        <charset val="186"/>
      </rPr>
      <t xml:space="preserve"> * 23,59 % = 122,57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</si>
  <si>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8 stundas, (8,20 </t>
    </r>
    <r>
      <rPr>
        <i/>
        <sz val="12"/>
        <color theme="1"/>
        <rFont val="Times New Roman"/>
        <family val="1"/>
        <charset val="186"/>
      </rPr>
      <t>euro</t>
    </r>
    <r>
      <rPr>
        <sz val="12"/>
        <color theme="1"/>
        <rFont val="Times New Roman"/>
        <family val="1"/>
        <charset val="186"/>
      </rPr>
      <t xml:space="preserve"> * 8 h) = 65,60 </t>
    </r>
    <r>
      <rPr>
        <i/>
        <sz val="12"/>
        <color theme="1"/>
        <rFont val="Times New Roman"/>
        <family val="1"/>
        <charset val="186"/>
      </rPr>
      <t>euro</t>
    </r>
    <r>
      <rPr>
        <sz val="12"/>
        <color theme="1"/>
        <rFont val="Times New Roman"/>
        <family val="1"/>
        <charset val="186"/>
      </rPr>
      <t xml:space="preserve">/mēn. * 12 mēn. = 787,20 </t>
    </r>
    <r>
      <rPr>
        <i/>
        <sz val="12"/>
        <color theme="1"/>
        <rFont val="Times New Roman"/>
        <family val="1"/>
        <charset val="186"/>
      </rPr>
      <t>euro</t>
    </r>
    <r>
      <rPr>
        <sz val="12"/>
        <color theme="1"/>
        <rFont val="Times New Roman"/>
        <family val="1"/>
        <charset val="186"/>
      </rPr>
      <t xml:space="preserve"> * 0.8578 (iznomātās platības koeficients) = 675,26 </t>
    </r>
    <r>
      <rPr>
        <i/>
        <sz val="12"/>
        <color theme="1"/>
        <rFont val="Times New Roman"/>
        <family val="1"/>
        <charset val="186"/>
      </rPr>
      <t>euro</t>
    </r>
    <r>
      <rPr>
        <sz val="12"/>
        <color theme="1"/>
        <rFont val="Times New Roman"/>
        <family val="1"/>
        <charset val="186"/>
      </rPr>
      <t xml:space="preserve">. </t>
    </r>
  </si>
  <si>
    <r>
      <t xml:space="preserve">Dienesta viesnīcas vadītājs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 165.58 (vid. d. stundu sk. mēnesī). Vid. mēn. noslogojums 23.89 stundas, (8,20 </t>
    </r>
    <r>
      <rPr>
        <i/>
        <sz val="12"/>
        <color theme="1"/>
        <rFont val="Times New Roman"/>
        <family val="1"/>
        <charset val="186"/>
      </rPr>
      <t>euro</t>
    </r>
    <r>
      <rPr>
        <sz val="12"/>
        <color theme="1"/>
        <rFont val="Times New Roman"/>
        <family val="1"/>
        <charset val="186"/>
      </rPr>
      <t xml:space="preserve"> * 23.89 h) = 195,90 </t>
    </r>
    <r>
      <rPr>
        <i/>
        <sz val="12"/>
        <color theme="1"/>
        <rFont val="Times New Roman"/>
        <family val="1"/>
        <charset val="186"/>
      </rPr>
      <t>euro</t>
    </r>
    <r>
      <rPr>
        <sz val="12"/>
        <color theme="1"/>
        <rFont val="Times New Roman"/>
        <family val="1"/>
        <charset val="186"/>
      </rPr>
      <t xml:space="preserve">/mēn. * 12 mēn. = 2 350,80 </t>
    </r>
    <r>
      <rPr>
        <i/>
        <sz val="12"/>
        <color theme="1"/>
        <rFont val="Times New Roman"/>
        <family val="1"/>
        <charset val="186"/>
      </rPr>
      <t>euro</t>
    </r>
    <r>
      <rPr>
        <sz val="12"/>
        <color theme="1"/>
        <rFont val="Times New Roman"/>
        <family val="1"/>
        <charset val="186"/>
      </rPr>
      <t xml:space="preserve"> * 0.8578 (iznomātās platības koeficients) = 2 016,52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</si>
  <si>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16 stundas, (5,42 </t>
    </r>
    <r>
      <rPr>
        <i/>
        <sz val="12"/>
        <color theme="1"/>
        <rFont val="Times New Roman"/>
        <family val="1"/>
        <charset val="186"/>
      </rPr>
      <t>euro</t>
    </r>
    <r>
      <rPr>
        <sz val="12"/>
        <color theme="1"/>
        <rFont val="Times New Roman"/>
        <family val="1"/>
        <charset val="186"/>
      </rPr>
      <t xml:space="preserve"> * 16 h) = 86,72 </t>
    </r>
    <r>
      <rPr>
        <i/>
        <sz val="12"/>
        <color theme="1"/>
        <rFont val="Times New Roman"/>
        <family val="1"/>
        <charset val="186"/>
      </rPr>
      <t>euro</t>
    </r>
    <r>
      <rPr>
        <sz val="12"/>
        <color theme="1"/>
        <rFont val="Times New Roman"/>
        <family val="1"/>
        <charset val="186"/>
      </rPr>
      <t xml:space="preserve">/mēn. * 12 mēn. = 1 040,64 </t>
    </r>
    <r>
      <rPr>
        <i/>
        <sz val="12"/>
        <color theme="1"/>
        <rFont val="Times New Roman"/>
        <family val="1"/>
        <charset val="186"/>
      </rPr>
      <t>euro</t>
    </r>
    <r>
      <rPr>
        <sz val="12"/>
        <color theme="1"/>
        <rFont val="Times New Roman"/>
        <family val="1"/>
        <charset val="186"/>
      </rPr>
      <t xml:space="preserve"> * 0.8578 (iznomātās platības koeficients) = 892,66 </t>
    </r>
    <r>
      <rPr>
        <i/>
        <sz val="12"/>
        <color theme="1"/>
        <rFont val="Times New Roman"/>
        <family val="1"/>
        <charset val="186"/>
      </rPr>
      <t>euro</t>
    </r>
    <r>
      <rPr>
        <sz val="12"/>
        <color theme="1"/>
        <rFont val="Times New Roman"/>
        <family val="1"/>
        <charset val="186"/>
      </rPr>
      <t xml:space="preserve">. </t>
    </r>
  </si>
  <si>
    <r>
      <t xml:space="preserve">Galv. nekust. īpaš. pārvaldnieks (675,26 </t>
    </r>
    <r>
      <rPr>
        <i/>
        <sz val="12"/>
        <color theme="1"/>
        <rFont val="Times New Roman"/>
        <family val="1"/>
        <charset val="186"/>
      </rPr>
      <t>euro</t>
    </r>
    <r>
      <rPr>
        <sz val="12"/>
        <color theme="1"/>
        <rFont val="Times New Roman"/>
        <family val="1"/>
        <charset val="186"/>
      </rPr>
      <t xml:space="preserve"> * 10%) = 67,53 </t>
    </r>
    <r>
      <rPr>
        <i/>
        <sz val="12"/>
        <color theme="1"/>
        <rFont val="Times New Roman"/>
        <family val="1"/>
        <charset val="186"/>
      </rPr>
      <t>euro</t>
    </r>
    <r>
      <rPr>
        <sz val="12"/>
        <color theme="1"/>
        <rFont val="Times New Roman"/>
        <family val="1"/>
        <charset val="186"/>
      </rPr>
      <t xml:space="preserve">, Dienesta viesnīcas vadīotājs (2 016,52 </t>
    </r>
    <r>
      <rPr>
        <i/>
        <sz val="12"/>
        <color theme="1"/>
        <rFont val="Times New Roman"/>
        <family val="1"/>
        <charset val="186"/>
      </rPr>
      <t>euro</t>
    </r>
    <r>
      <rPr>
        <sz val="12"/>
        <color theme="1"/>
        <rFont val="Times New Roman"/>
        <family val="1"/>
        <charset val="186"/>
      </rPr>
      <t xml:space="preserve"> * 10%) = 201,65 </t>
    </r>
    <r>
      <rPr>
        <i/>
        <sz val="12"/>
        <color theme="1"/>
        <rFont val="Times New Roman"/>
        <family val="1"/>
        <charset val="186"/>
      </rPr>
      <t>euro</t>
    </r>
    <r>
      <rPr>
        <sz val="12"/>
        <color theme="1"/>
        <rFont val="Times New Roman"/>
        <family val="1"/>
        <charset val="186"/>
      </rPr>
      <t xml:space="preserve">. Saimniecības pārzinis (892,66 </t>
    </r>
    <r>
      <rPr>
        <i/>
        <sz val="12"/>
        <color theme="1"/>
        <rFont val="Times New Roman"/>
        <family val="1"/>
        <charset val="186"/>
      </rPr>
      <t>euro</t>
    </r>
    <r>
      <rPr>
        <sz val="12"/>
        <color theme="1"/>
        <rFont val="Times New Roman"/>
        <family val="1"/>
        <charset val="186"/>
      </rPr>
      <t xml:space="preserve"> * 10%) = 89,27 </t>
    </r>
    <r>
      <rPr>
        <i/>
        <sz val="12"/>
        <color theme="1"/>
        <rFont val="Times New Roman"/>
        <family val="1"/>
        <charset val="186"/>
      </rPr>
      <t>euro.</t>
    </r>
    <r>
      <rPr>
        <sz val="12"/>
        <color theme="1"/>
        <rFont val="Times New Roman"/>
        <family val="1"/>
        <charset val="186"/>
      </rPr>
      <t xml:space="preserve"> Kopā (67,53 </t>
    </r>
    <r>
      <rPr>
        <i/>
        <sz val="12"/>
        <color theme="1"/>
        <rFont val="Times New Roman"/>
        <family val="1"/>
        <charset val="186"/>
      </rPr>
      <t>euro</t>
    </r>
    <r>
      <rPr>
        <sz val="12"/>
        <color theme="1"/>
        <rFont val="Times New Roman"/>
        <family val="1"/>
        <charset val="186"/>
      </rPr>
      <t xml:space="preserve"> + 201,65 </t>
    </r>
    <r>
      <rPr>
        <i/>
        <sz val="12"/>
        <color theme="1"/>
        <rFont val="Times New Roman"/>
        <family val="1"/>
        <charset val="186"/>
      </rPr>
      <t>euro</t>
    </r>
    <r>
      <rPr>
        <sz val="12"/>
        <color theme="1"/>
        <rFont val="Times New Roman"/>
        <family val="1"/>
        <charset val="186"/>
      </rPr>
      <t xml:space="preserve"> + 89,27 </t>
    </r>
    <r>
      <rPr>
        <i/>
        <sz val="12"/>
        <color theme="1"/>
        <rFont val="Times New Roman"/>
        <family val="1"/>
        <charset val="186"/>
      </rPr>
      <t>euro</t>
    </r>
    <r>
      <rPr>
        <sz val="12"/>
        <color theme="1"/>
        <rFont val="Times New Roman"/>
        <family val="1"/>
        <charset val="186"/>
      </rPr>
      <t xml:space="preserve">) = 358,45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</si>
  <si>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3 942,89 </t>
    </r>
    <r>
      <rPr>
        <i/>
        <sz val="12"/>
        <color theme="1"/>
        <rFont val="Times New Roman"/>
        <family val="1"/>
        <charset val="186"/>
      </rPr>
      <t>euro</t>
    </r>
    <r>
      <rPr>
        <sz val="12"/>
        <color theme="1"/>
        <rFont val="Times New Roman"/>
        <family val="1"/>
        <charset val="186"/>
      </rPr>
      <t xml:space="preserve"> * 23,59 % = 930,13 </t>
    </r>
    <r>
      <rPr>
        <i/>
        <sz val="12"/>
        <color theme="1"/>
        <rFont val="Times New Roman"/>
        <family val="1"/>
        <charset val="186"/>
      </rPr>
      <t xml:space="preserve">euro. </t>
    </r>
  </si>
  <si>
    <r>
      <t xml:space="preserve">Galv. nekust. īpaš. pārvaldnieks (675,26 </t>
    </r>
    <r>
      <rPr>
        <i/>
        <sz val="12"/>
        <color theme="1"/>
        <rFont val="Times New Roman"/>
        <family val="1"/>
        <charset val="186"/>
      </rPr>
      <t>euro</t>
    </r>
    <r>
      <rPr>
        <sz val="12"/>
        <color theme="1"/>
        <rFont val="Times New Roman"/>
        <family val="1"/>
        <charset val="186"/>
      </rPr>
      <t xml:space="preserve"> * 5%) = 33,76 </t>
    </r>
    <r>
      <rPr>
        <i/>
        <sz val="12"/>
        <color theme="1"/>
        <rFont val="Times New Roman"/>
        <family val="1"/>
        <charset val="186"/>
      </rPr>
      <t>euro</t>
    </r>
    <r>
      <rPr>
        <sz val="12"/>
        <color theme="1"/>
        <rFont val="Times New Roman"/>
        <family val="1"/>
        <charset val="186"/>
      </rPr>
      <t xml:space="preserve">, Dienesta viesnīcas vadīotājs (2 016,52 </t>
    </r>
    <r>
      <rPr>
        <i/>
        <sz val="12"/>
        <color theme="1"/>
        <rFont val="Times New Roman"/>
        <family val="1"/>
        <charset val="186"/>
      </rPr>
      <t>euro</t>
    </r>
    <r>
      <rPr>
        <sz val="12"/>
        <color theme="1"/>
        <rFont val="Times New Roman"/>
        <family val="1"/>
        <charset val="186"/>
      </rPr>
      <t xml:space="preserve"> * 5%) = 100,83 </t>
    </r>
    <r>
      <rPr>
        <i/>
        <sz val="12"/>
        <color theme="1"/>
        <rFont val="Times New Roman"/>
        <family val="1"/>
        <charset val="186"/>
      </rPr>
      <t>euro</t>
    </r>
    <r>
      <rPr>
        <sz val="12"/>
        <color theme="1"/>
        <rFont val="Times New Roman"/>
        <family val="1"/>
        <charset val="186"/>
      </rPr>
      <t xml:space="preserve">. Saimniecības pārzinis (892,66 </t>
    </r>
    <r>
      <rPr>
        <i/>
        <sz val="12"/>
        <color theme="1"/>
        <rFont val="Times New Roman"/>
        <family val="1"/>
        <charset val="186"/>
      </rPr>
      <t>euro</t>
    </r>
    <r>
      <rPr>
        <sz val="12"/>
        <color theme="1"/>
        <rFont val="Times New Roman"/>
        <family val="1"/>
        <charset val="186"/>
      </rPr>
      <t xml:space="preserve"> * 5%) = 44,63 </t>
    </r>
    <r>
      <rPr>
        <i/>
        <sz val="12"/>
        <color theme="1"/>
        <rFont val="Times New Roman"/>
        <family val="1"/>
        <charset val="186"/>
      </rPr>
      <t>euro.</t>
    </r>
    <r>
      <rPr>
        <sz val="12"/>
        <color theme="1"/>
        <rFont val="Times New Roman"/>
        <family val="1"/>
        <charset val="186"/>
      </rPr>
      <t xml:space="preserve"> Kopā (33,76 </t>
    </r>
    <r>
      <rPr>
        <i/>
        <sz val="12"/>
        <color theme="1"/>
        <rFont val="Times New Roman"/>
        <family val="1"/>
        <charset val="186"/>
      </rPr>
      <t>euro</t>
    </r>
    <r>
      <rPr>
        <sz val="12"/>
        <color theme="1"/>
        <rFont val="Times New Roman"/>
        <family val="1"/>
        <charset val="186"/>
      </rPr>
      <t xml:space="preserve"> + 100,83 </t>
    </r>
    <r>
      <rPr>
        <i/>
        <sz val="12"/>
        <color theme="1"/>
        <rFont val="Times New Roman"/>
        <family val="1"/>
        <charset val="186"/>
      </rPr>
      <t>euro</t>
    </r>
    <r>
      <rPr>
        <sz val="12"/>
        <color theme="1"/>
        <rFont val="Times New Roman"/>
        <family val="1"/>
        <charset val="186"/>
      </rPr>
      <t xml:space="preserve"> + 44,63 </t>
    </r>
    <r>
      <rPr>
        <i/>
        <sz val="12"/>
        <color theme="1"/>
        <rFont val="Times New Roman"/>
        <family val="1"/>
        <charset val="186"/>
      </rPr>
      <t>euro</t>
    </r>
    <r>
      <rPr>
        <sz val="12"/>
        <color theme="1"/>
        <rFont val="Times New Roman"/>
        <family val="1"/>
        <charset val="186"/>
      </rPr>
      <t xml:space="preserve">) = 179,22 </t>
    </r>
    <r>
      <rPr>
        <i/>
        <sz val="12"/>
        <color theme="1"/>
        <rFont val="Times New Roman"/>
        <family val="1"/>
        <charset val="186"/>
      </rPr>
      <t>euro</t>
    </r>
    <r>
      <rPr>
        <sz val="12"/>
        <color theme="1"/>
        <rFont val="Times New Roman"/>
        <family val="1"/>
        <charset val="186"/>
      </rPr>
      <t>.</t>
    </r>
  </si>
  <si>
    <r>
      <t xml:space="preserve">Rīgas īpašumu pārvaldes nodaļas vadītājs (3. saime, V līmenis, 10. algu grupa, mēnešalga 1 914 </t>
    </r>
    <r>
      <rPr>
        <i/>
        <sz val="12"/>
        <color theme="1"/>
        <rFont val="Times New Roman"/>
        <family val="1"/>
        <charset val="186"/>
      </rPr>
      <t>euro</t>
    </r>
    <r>
      <rPr>
        <sz val="12"/>
        <color theme="1"/>
        <rFont val="Times New Roman"/>
        <family val="1"/>
        <charset val="186"/>
      </rPr>
      <t xml:space="preserve">). Stundas tarifa likme 11,56 </t>
    </r>
    <r>
      <rPr>
        <i/>
        <sz val="12"/>
        <color theme="1"/>
        <rFont val="Times New Roman"/>
        <family val="1"/>
        <charset val="186"/>
      </rPr>
      <t>euro</t>
    </r>
    <r>
      <rPr>
        <sz val="12"/>
        <color theme="1"/>
        <rFont val="Times New Roman"/>
        <family val="1"/>
        <charset val="186"/>
      </rPr>
      <t xml:space="preserve"> = 1 914 </t>
    </r>
    <r>
      <rPr>
        <i/>
        <sz val="12"/>
        <color theme="1"/>
        <rFont val="Times New Roman"/>
        <family val="1"/>
        <charset val="186"/>
      </rPr>
      <t>euro</t>
    </r>
    <r>
      <rPr>
        <sz val="12"/>
        <color theme="1"/>
        <rFont val="Times New Roman"/>
        <family val="1"/>
        <charset val="186"/>
      </rPr>
      <t xml:space="preserve"> / 165.58 (vid. d. stundu sk. mēnesī). Vid. mēn. noslogojums 2 stundas, (11,56 </t>
    </r>
    <r>
      <rPr>
        <i/>
        <sz val="12"/>
        <color theme="1"/>
        <rFont val="Times New Roman"/>
        <family val="1"/>
        <charset val="186"/>
      </rPr>
      <t>euro</t>
    </r>
    <r>
      <rPr>
        <sz val="12"/>
        <color theme="1"/>
        <rFont val="Times New Roman"/>
        <family val="1"/>
        <charset val="186"/>
      </rPr>
      <t xml:space="preserve"> * 2 h) = 23,12 </t>
    </r>
    <r>
      <rPr>
        <i/>
        <sz val="12"/>
        <color theme="1"/>
        <rFont val="Times New Roman"/>
        <family val="1"/>
        <charset val="186"/>
      </rPr>
      <t>euro</t>
    </r>
    <r>
      <rPr>
        <sz val="12"/>
        <color theme="1"/>
        <rFont val="Times New Roman"/>
        <family val="1"/>
        <charset val="186"/>
      </rPr>
      <t xml:space="preserve">/mēn. * 12. mēn. = 277,44 </t>
    </r>
    <r>
      <rPr>
        <i/>
        <sz val="12"/>
        <color theme="1"/>
        <rFont val="Times New Roman"/>
        <family val="1"/>
        <charset val="186"/>
      </rPr>
      <t>euro</t>
    </r>
    <r>
      <rPr>
        <sz val="12"/>
        <color theme="1"/>
        <rFont val="Times New Roman"/>
        <family val="1"/>
        <charset val="186"/>
      </rPr>
      <t xml:space="preserve"> * 0.8578 (iznomātās platības koeficients) = 237,99 </t>
    </r>
    <r>
      <rPr>
        <i/>
        <sz val="12"/>
        <color theme="1"/>
        <rFont val="Times New Roman"/>
        <family val="1"/>
        <charset val="186"/>
      </rPr>
      <t>euro</t>
    </r>
    <r>
      <rPr>
        <sz val="12"/>
        <color theme="1"/>
        <rFont val="Times New Roman"/>
        <family val="1"/>
        <charset val="186"/>
      </rPr>
      <t>.</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</si>
  <si>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9 min. (11,47 </t>
    </r>
    <r>
      <rPr>
        <i/>
        <sz val="12"/>
        <color theme="1"/>
        <rFont val="Times New Roman"/>
        <family val="1"/>
        <charset val="186"/>
      </rPr>
      <t>euro</t>
    </r>
    <r>
      <rPr>
        <sz val="12"/>
        <color theme="1"/>
        <rFont val="Times New Roman"/>
        <family val="1"/>
        <charset val="186"/>
      </rPr>
      <t xml:space="preserve"> * 0.15 h) = 1,72 </t>
    </r>
    <r>
      <rPr>
        <i/>
        <sz val="12"/>
        <color theme="1"/>
        <rFont val="Times New Roman"/>
        <family val="1"/>
        <charset val="186"/>
      </rPr>
      <t>euro</t>
    </r>
    <r>
      <rPr>
        <sz val="12"/>
        <color theme="1"/>
        <rFont val="Times New Roman"/>
        <family val="1"/>
        <charset val="186"/>
      </rPr>
      <t xml:space="preserve">/mēn. * 12. mēn. = 20,64 </t>
    </r>
    <r>
      <rPr>
        <i/>
        <sz val="12"/>
        <color theme="1"/>
        <rFont val="Times New Roman"/>
        <family val="1"/>
        <charset val="186"/>
      </rPr>
      <t>euro</t>
    </r>
    <r>
      <rPr>
        <sz val="12"/>
        <color theme="1"/>
        <rFont val="Times New Roman"/>
        <family val="1"/>
        <charset val="186"/>
      </rPr>
      <t xml:space="preserve"> * 0.8578 (iznomātās platības koeficients) = 17,70 </t>
    </r>
    <r>
      <rPr>
        <i/>
        <sz val="12"/>
        <color theme="1"/>
        <rFont val="Times New Roman"/>
        <family val="1"/>
        <charset val="186"/>
      </rPr>
      <t>euro</t>
    </r>
    <r>
      <rPr>
        <sz val="12"/>
        <color theme="1"/>
        <rFont val="Times New Roman"/>
        <family val="1"/>
        <charset val="186"/>
      </rPr>
      <t>.</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</si>
  <si>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8 min. (7,65 </t>
    </r>
    <r>
      <rPr>
        <i/>
        <sz val="12"/>
        <color theme="1"/>
        <rFont val="Times New Roman"/>
        <family val="1"/>
        <charset val="186"/>
      </rPr>
      <t>euro</t>
    </r>
    <r>
      <rPr>
        <sz val="12"/>
        <color theme="1"/>
        <rFont val="Times New Roman"/>
        <family val="1"/>
        <charset val="186"/>
      </rPr>
      <t xml:space="preserve"> * 0.14 h) = 1,07 </t>
    </r>
    <r>
      <rPr>
        <i/>
        <sz val="12"/>
        <color theme="1"/>
        <rFont val="Times New Roman"/>
        <family val="1"/>
        <charset val="186"/>
      </rPr>
      <t>euro</t>
    </r>
    <r>
      <rPr>
        <sz val="12"/>
        <color theme="1"/>
        <rFont val="Times New Roman"/>
        <family val="1"/>
        <charset val="186"/>
      </rPr>
      <t xml:space="preserve">/mēn. * 12. mēn. = 12,84 euro * 0.8578 (iznomātās platības koeficients) = 11,01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</si>
  <si>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8 min. (11,47 </t>
    </r>
    <r>
      <rPr>
        <i/>
        <sz val="12"/>
        <color theme="1"/>
        <rFont val="Times New Roman"/>
        <family val="1"/>
        <charset val="186"/>
      </rPr>
      <t>euro</t>
    </r>
    <r>
      <rPr>
        <sz val="12"/>
        <color theme="1"/>
        <rFont val="Times New Roman"/>
        <family val="1"/>
        <charset val="186"/>
      </rPr>
      <t xml:space="preserve"> * 0.14 h) = 1,61 </t>
    </r>
    <r>
      <rPr>
        <i/>
        <sz val="12"/>
        <color theme="1"/>
        <rFont val="Times New Roman"/>
        <family val="1"/>
        <charset val="186"/>
      </rPr>
      <t>euro</t>
    </r>
    <r>
      <rPr>
        <sz val="12"/>
        <color theme="1"/>
        <rFont val="Times New Roman"/>
        <family val="1"/>
        <charset val="186"/>
      </rPr>
      <t xml:space="preserve">/mēn. * 12. mēn. = 19,32 </t>
    </r>
    <r>
      <rPr>
        <i/>
        <sz val="12"/>
        <color theme="1"/>
        <rFont val="Times New Roman"/>
        <family val="1"/>
        <charset val="186"/>
      </rPr>
      <t>euro</t>
    </r>
    <r>
      <rPr>
        <sz val="12"/>
        <color theme="1"/>
        <rFont val="Times New Roman"/>
        <family val="1"/>
        <charset val="186"/>
      </rPr>
      <t xml:space="preserve"> * 0.8578 (iznomātās platības koeficients) = 16,57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</si>
  <si>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31 min. (15,15 </t>
    </r>
    <r>
      <rPr>
        <i/>
        <sz val="12"/>
        <color theme="1"/>
        <rFont val="Times New Roman"/>
        <family val="1"/>
        <charset val="186"/>
      </rPr>
      <t>euro</t>
    </r>
    <r>
      <rPr>
        <sz val="12"/>
        <color theme="1"/>
        <rFont val="Times New Roman"/>
        <family val="1"/>
        <charset val="186"/>
      </rPr>
      <t xml:space="preserve"> * 0.52 h) = 7,88 </t>
    </r>
    <r>
      <rPr>
        <i/>
        <sz val="12"/>
        <color theme="1"/>
        <rFont val="Times New Roman"/>
        <family val="1"/>
        <charset val="186"/>
      </rPr>
      <t>euro</t>
    </r>
    <r>
      <rPr>
        <sz val="12"/>
        <color theme="1"/>
        <rFont val="Times New Roman"/>
        <family val="1"/>
        <charset val="186"/>
      </rPr>
      <t xml:space="preserve">/mēn. * 12. mēn. = 94,56 </t>
    </r>
    <r>
      <rPr>
        <i/>
        <sz val="12"/>
        <color theme="1"/>
        <rFont val="Times New Roman"/>
        <family val="1"/>
        <charset val="186"/>
      </rPr>
      <t>euro</t>
    </r>
    <r>
      <rPr>
        <sz val="12"/>
        <color theme="1"/>
        <rFont val="Times New Roman"/>
        <family val="1"/>
        <charset val="186"/>
      </rPr>
      <t xml:space="preserve"> * 0.8578 (iznomātās platības koeficients) = 81,11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</si>
  <si>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8 min. (12,17 </t>
    </r>
    <r>
      <rPr>
        <i/>
        <sz val="12"/>
        <color theme="1"/>
        <rFont val="Times New Roman"/>
        <family val="1"/>
        <charset val="186"/>
      </rPr>
      <t>euro</t>
    </r>
    <r>
      <rPr>
        <sz val="12"/>
        <color theme="1"/>
        <rFont val="Times New Roman"/>
        <family val="1"/>
        <charset val="186"/>
      </rPr>
      <t xml:space="preserve"> * 0.13 h) = 1,58 </t>
    </r>
    <r>
      <rPr>
        <i/>
        <sz val="12"/>
        <color theme="1"/>
        <rFont val="Times New Roman"/>
        <family val="1"/>
        <charset val="186"/>
      </rPr>
      <t>euro</t>
    </r>
    <r>
      <rPr>
        <sz val="12"/>
        <color theme="1"/>
        <rFont val="Times New Roman"/>
        <family val="1"/>
        <charset val="186"/>
      </rPr>
      <t xml:space="preserve">/mēn. * 12. mēn. = 18,96 </t>
    </r>
    <r>
      <rPr>
        <i/>
        <sz val="12"/>
        <color theme="1"/>
        <rFont val="Times New Roman"/>
        <family val="1"/>
        <charset val="186"/>
      </rPr>
      <t>euro</t>
    </r>
    <r>
      <rPr>
        <sz val="12"/>
        <color theme="1"/>
        <rFont val="Times New Roman"/>
        <family val="1"/>
        <charset val="186"/>
      </rPr>
      <t xml:space="preserve"> * 0.8578 (iznomātās platības koeficients) = 16,26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</si>
  <si>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9.23 stunda, (8,29 </t>
    </r>
    <r>
      <rPr>
        <i/>
        <sz val="12"/>
        <color theme="1"/>
        <rFont val="Times New Roman"/>
        <family val="1"/>
        <charset val="186"/>
      </rPr>
      <t>euro</t>
    </r>
    <r>
      <rPr>
        <sz val="12"/>
        <color theme="1"/>
        <rFont val="Times New Roman"/>
        <family val="1"/>
        <charset val="186"/>
      </rPr>
      <t xml:space="preserve"> * 9.23 h) = 76,52 </t>
    </r>
    <r>
      <rPr>
        <i/>
        <sz val="12"/>
        <color theme="1"/>
        <rFont val="Times New Roman"/>
        <family val="1"/>
        <charset val="186"/>
      </rPr>
      <t>euro</t>
    </r>
    <r>
      <rPr>
        <sz val="12"/>
        <color theme="1"/>
        <rFont val="Times New Roman"/>
        <family val="1"/>
        <charset val="186"/>
      </rPr>
      <t xml:space="preserve">/mēn. * 12. mēn. = 918,24 </t>
    </r>
    <r>
      <rPr>
        <i/>
        <sz val="12"/>
        <color theme="1"/>
        <rFont val="Times New Roman"/>
        <family val="1"/>
        <charset val="186"/>
      </rPr>
      <t>euro</t>
    </r>
    <r>
      <rPr>
        <sz val="12"/>
        <color theme="1"/>
        <rFont val="Times New Roman"/>
        <family val="1"/>
        <charset val="186"/>
      </rPr>
      <t xml:space="preserve"> * 0.8578 (iznomātās platības koeficients) = 787,67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</si>
  <si>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5.93 stunda (9,42 </t>
    </r>
    <r>
      <rPr>
        <i/>
        <sz val="12"/>
        <color theme="1"/>
        <rFont val="Times New Roman"/>
        <family val="1"/>
        <charset val="186"/>
      </rPr>
      <t>euro</t>
    </r>
    <r>
      <rPr>
        <sz val="12"/>
        <color theme="1"/>
        <rFont val="Times New Roman"/>
        <family val="1"/>
        <charset val="186"/>
      </rPr>
      <t xml:space="preserve"> * 5.93 h) = 55,86 </t>
    </r>
    <r>
      <rPr>
        <i/>
        <sz val="12"/>
        <color theme="1"/>
        <rFont val="Times New Roman"/>
        <family val="1"/>
        <charset val="186"/>
      </rPr>
      <t>euro</t>
    </r>
    <r>
      <rPr>
        <sz val="12"/>
        <color theme="1"/>
        <rFont val="Times New Roman"/>
        <family val="1"/>
        <charset val="186"/>
      </rPr>
      <t xml:space="preserve">/mēn. * 12. mēn. = 670,32 </t>
    </r>
    <r>
      <rPr>
        <i/>
        <sz val="12"/>
        <color theme="1"/>
        <rFont val="Times New Roman"/>
        <family val="1"/>
        <charset val="186"/>
      </rPr>
      <t>euro</t>
    </r>
    <r>
      <rPr>
        <sz val="12"/>
        <color theme="1"/>
        <rFont val="Times New Roman"/>
        <family val="1"/>
        <charset val="186"/>
      </rPr>
      <t xml:space="preserve"> * 0.8578 (iznomātās platības koeficients) = 575,00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</si>
  <si>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13.63 stunda (8,29 </t>
    </r>
    <r>
      <rPr>
        <i/>
        <sz val="12"/>
        <color theme="1"/>
        <rFont val="Times New Roman"/>
        <family val="1"/>
        <charset val="186"/>
      </rPr>
      <t>euro</t>
    </r>
    <r>
      <rPr>
        <sz val="12"/>
        <color theme="1"/>
        <rFont val="Times New Roman"/>
        <family val="1"/>
        <charset val="186"/>
      </rPr>
      <t xml:space="preserve"> * 13.63 h) = 112,99 </t>
    </r>
    <r>
      <rPr>
        <i/>
        <sz val="12"/>
        <color theme="1"/>
        <rFont val="Times New Roman"/>
        <family val="1"/>
        <charset val="186"/>
      </rPr>
      <t>euro</t>
    </r>
    <r>
      <rPr>
        <sz val="12"/>
        <color theme="1"/>
        <rFont val="Times New Roman"/>
        <family val="1"/>
        <charset val="186"/>
      </rPr>
      <t xml:space="preserve">/mēn. * 12. mēn. = 1 355,88 </t>
    </r>
    <r>
      <rPr>
        <i/>
        <sz val="12"/>
        <color theme="1"/>
        <rFont val="Times New Roman"/>
        <family val="1"/>
        <charset val="186"/>
      </rPr>
      <t>euro</t>
    </r>
    <r>
      <rPr>
        <sz val="12"/>
        <color theme="1"/>
        <rFont val="Times New Roman"/>
        <family val="1"/>
        <charset val="186"/>
      </rPr>
      <t xml:space="preserve"> * 0.8578 (iznomātās platības koeficients) = 1 163,07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</si>
  <si>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euro). Stundas tarifa likme 25,09 euro = 4 155 euro / 165.58 (vid. d. stundu sk. mēnesī). Vid. mēn. noslogojums 43 min. (25,09 euro * 0.72 h) = 18,06 euro/mēn. * 12. mēn. = 216,72 euro * 0.8578 (iznomātās platības koeficients) = 185,90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</si>
  <si>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9 min. (27,18 </t>
    </r>
    <r>
      <rPr>
        <i/>
        <sz val="12"/>
        <color theme="1"/>
        <rFont val="Times New Roman"/>
        <family val="1"/>
        <charset val="186"/>
      </rPr>
      <t>euro</t>
    </r>
    <r>
      <rPr>
        <sz val="12"/>
        <color theme="1"/>
        <rFont val="Times New Roman"/>
        <family val="1"/>
        <charset val="186"/>
      </rPr>
      <t xml:space="preserve"> * 0.15 h) = 4,08 </t>
    </r>
    <r>
      <rPr>
        <i/>
        <sz val="12"/>
        <color theme="1"/>
        <rFont val="Times New Roman"/>
        <family val="1"/>
        <charset val="186"/>
      </rPr>
      <t>euro</t>
    </r>
    <r>
      <rPr>
        <sz val="12"/>
        <color theme="1"/>
        <rFont val="Times New Roman"/>
        <family val="1"/>
        <charset val="186"/>
      </rPr>
      <t xml:space="preserve">/mēn. * 12. mēn. = 48,96 </t>
    </r>
    <r>
      <rPr>
        <i/>
        <sz val="12"/>
        <color theme="1"/>
        <rFont val="Times New Roman"/>
        <family val="1"/>
        <charset val="186"/>
      </rPr>
      <t>euro</t>
    </r>
    <r>
      <rPr>
        <sz val="12"/>
        <color theme="1"/>
        <rFont val="Times New Roman"/>
        <family val="1"/>
        <charset val="186"/>
      </rPr>
      <t xml:space="preserve"> * 0.8578 (iznomātās platības koeficients) = 42,00 </t>
    </r>
    <r>
      <rPr>
        <i/>
        <sz val="12"/>
        <color theme="1"/>
        <rFont val="Times New Roman"/>
        <family val="1"/>
        <charset val="186"/>
      </rPr>
      <t>euro.</t>
    </r>
  </si>
  <si>
    <r>
      <t xml:space="preserve">Darba devēja valsts sociālās apdrošināšanas obligātās iemaksas 3 134,28 </t>
    </r>
    <r>
      <rPr>
        <i/>
        <sz val="12"/>
        <color theme="1"/>
        <rFont val="Times New Roman"/>
        <family val="1"/>
        <charset val="186"/>
      </rPr>
      <t>euro</t>
    </r>
    <r>
      <rPr>
        <sz val="12"/>
        <color theme="1"/>
        <rFont val="Times New Roman"/>
        <family val="1"/>
        <charset val="186"/>
      </rPr>
      <t xml:space="preserve"> * 23,59 % = 739,38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</si>
  <si>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930,13 </t>
    </r>
    <r>
      <rPr>
        <i/>
        <sz val="12"/>
        <color theme="1"/>
        <rFont val="Times New Roman"/>
        <family val="1"/>
        <charset val="186"/>
      </rPr>
      <t>euro</t>
    </r>
    <r>
      <rPr>
        <sz val="12"/>
        <color theme="1"/>
        <rFont val="Times New Roman"/>
        <family val="1"/>
        <charset val="186"/>
      </rPr>
      <t xml:space="preserve">. Veselības apdrošināšana 179,22 </t>
    </r>
    <r>
      <rPr>
        <i/>
        <sz val="12"/>
        <color theme="1"/>
        <rFont val="Times New Roman"/>
        <family val="1"/>
        <charset val="186"/>
      </rPr>
      <t>euro</t>
    </r>
    <r>
      <rPr>
        <sz val="12"/>
        <color theme="1"/>
        <rFont val="Times New Roman"/>
        <family val="1"/>
        <charset val="186"/>
      </rPr>
      <t xml:space="preserve">. Kopā 1 109,35 </t>
    </r>
    <r>
      <rPr>
        <i/>
        <sz val="12"/>
        <color theme="1"/>
        <rFont val="Times New Roman"/>
        <family val="1"/>
        <charset val="186"/>
      </rPr>
      <t>euro</t>
    </r>
    <r>
      <rPr>
        <sz val="12"/>
        <color theme="1"/>
        <rFont val="Times New Roman"/>
        <family val="1"/>
        <charset val="186"/>
      </rPr>
      <t>.</t>
    </r>
  </si>
  <si>
    <r>
      <t xml:space="preserve">Galv. nekust. īpaš. pārvaldnieks (29,16 </t>
    </r>
    <r>
      <rPr>
        <i/>
        <sz val="12"/>
        <color theme="1"/>
        <rFont val="Times New Roman"/>
        <family val="1"/>
        <charset val="186"/>
      </rPr>
      <t>euro</t>
    </r>
    <r>
      <rPr>
        <sz val="12"/>
        <color theme="1"/>
        <rFont val="Times New Roman"/>
        <family val="1"/>
        <charset val="186"/>
      </rPr>
      <t xml:space="preserve"> * 10%) = 2,92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</si>
  <si>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7,57 </t>
    </r>
    <r>
      <rPr>
        <i/>
        <sz val="12"/>
        <color theme="1"/>
        <rFont val="Times New Roman"/>
        <family val="1"/>
        <charset val="186"/>
      </rPr>
      <t xml:space="preserve">euro. </t>
    </r>
    <r>
      <rPr>
        <sz val="12"/>
        <color theme="1"/>
        <rFont val="Times New Roman"/>
        <family val="1"/>
        <charset val="186"/>
      </rPr>
      <t xml:space="preserve">Veselības apdrošināšana 1,46 </t>
    </r>
    <r>
      <rPr>
        <i/>
        <sz val="12"/>
        <color theme="1"/>
        <rFont val="Times New Roman"/>
        <family val="1"/>
        <charset val="186"/>
      </rPr>
      <t>euro</t>
    </r>
    <r>
      <rPr>
        <sz val="12"/>
        <color theme="1"/>
        <rFont val="Times New Roman"/>
        <family val="1"/>
        <charset val="186"/>
      </rPr>
      <t xml:space="preserve">. Kopā 9,03 </t>
    </r>
    <r>
      <rPr>
        <i/>
        <sz val="12"/>
        <color theme="1"/>
        <rFont val="Times New Roman"/>
        <family val="1"/>
        <charset val="186"/>
      </rPr>
      <t xml:space="preserve">euro. </t>
    </r>
  </si>
  <si>
    <r>
      <t xml:space="preserve">Darba devēja valsts sociālās apdrošināšanas obligātās iemaksas 32,08 </t>
    </r>
    <r>
      <rPr>
        <i/>
        <sz val="12"/>
        <color theme="1"/>
        <rFont val="Times New Roman"/>
        <family val="1"/>
        <charset val="186"/>
      </rPr>
      <t>euro</t>
    </r>
    <r>
      <rPr>
        <sz val="12"/>
        <color theme="1"/>
        <rFont val="Times New Roman"/>
        <family val="1"/>
        <charset val="186"/>
      </rPr>
      <t xml:space="preserve"> * 23,59 % = 7,57 </t>
    </r>
    <r>
      <rPr>
        <i/>
        <sz val="12"/>
        <color theme="1"/>
        <rFont val="Times New Roman"/>
        <family val="1"/>
        <charset val="186"/>
      </rPr>
      <t xml:space="preserve">euro. </t>
    </r>
  </si>
  <si>
    <r>
      <t xml:space="preserve">Galv. nekust. īpaš. pārvaldnieks (29,16 </t>
    </r>
    <r>
      <rPr>
        <i/>
        <sz val="12"/>
        <color theme="1"/>
        <rFont val="Times New Roman"/>
        <family val="1"/>
        <charset val="186"/>
      </rPr>
      <t>euro</t>
    </r>
    <r>
      <rPr>
        <sz val="12"/>
        <color theme="1"/>
        <rFont val="Times New Roman"/>
        <family val="1"/>
        <charset val="186"/>
      </rPr>
      <t xml:space="preserve"> * 5%) = 1,46 </t>
    </r>
    <r>
      <rPr>
        <i/>
        <sz val="12"/>
        <color theme="1"/>
        <rFont val="Times New Roman"/>
        <family val="1"/>
        <charset val="186"/>
      </rPr>
      <t>euro.</t>
    </r>
  </si>
  <si>
    <r>
      <t xml:space="preserve">Darba devēja valsts sociālās apdrošināšanas obligātās iemaksas 102,98 </t>
    </r>
    <r>
      <rPr>
        <i/>
        <sz val="12"/>
        <color theme="1"/>
        <rFont val="Times New Roman"/>
        <family val="1"/>
        <charset val="186"/>
      </rPr>
      <t>euro</t>
    </r>
    <r>
      <rPr>
        <sz val="12"/>
        <color theme="1"/>
        <rFont val="Times New Roman"/>
        <family val="1"/>
        <charset val="186"/>
      </rPr>
      <t xml:space="preserve"> * 23,59 % = 24,29 </t>
    </r>
    <r>
      <rPr>
        <i/>
        <sz val="12"/>
        <color theme="1"/>
        <rFont val="Times New Roman"/>
        <family val="1"/>
        <charset val="186"/>
      </rPr>
      <t xml:space="preserve">euro. </t>
    </r>
  </si>
  <si>
    <t>Izdevumi par par profesionālās darbības pakalpojumiem</t>
  </si>
  <si>
    <t>Transportlīdzekļu uzturēšana un remonts</t>
  </si>
  <si>
    <t>Ēku, telpu īre un noma</t>
  </si>
  <si>
    <t>Kurināmais</t>
  </si>
  <si>
    <t>Maksas pakalpojuma vienību skaits noteiktā laikposmā (560 stundas gadā)</t>
  </si>
  <si>
    <r>
      <rPr>
        <b/>
        <i/>
        <sz val="12"/>
        <color theme="1"/>
        <rFont val="Times New Roman"/>
        <family val="1"/>
        <charset val="186"/>
      </rPr>
      <t>euro</t>
    </r>
    <r>
      <rPr>
        <b/>
        <sz val="12"/>
        <color theme="1"/>
        <rFont val="Times New Roman"/>
        <family val="1"/>
        <charset val="186"/>
      </rPr>
      <t>,  stundā</t>
    </r>
  </si>
  <si>
    <r>
      <t xml:space="preserve">Galv. nekust. īpaš. pārvaldnieks (7,87 </t>
    </r>
    <r>
      <rPr>
        <i/>
        <sz val="12"/>
        <color theme="1"/>
        <rFont val="Times New Roman"/>
        <family val="1"/>
        <charset val="186"/>
      </rPr>
      <t>euro</t>
    </r>
    <r>
      <rPr>
        <sz val="12"/>
        <color theme="1"/>
        <rFont val="Times New Roman"/>
        <family val="1"/>
        <charset val="186"/>
      </rPr>
      <t xml:space="preserve"> * 10%) = 0,79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</si>
  <si>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2,04 </t>
    </r>
    <r>
      <rPr>
        <i/>
        <sz val="12"/>
        <color theme="1"/>
        <rFont val="Times New Roman"/>
        <family val="1"/>
        <charset val="186"/>
      </rPr>
      <t xml:space="preserve">euro. </t>
    </r>
    <r>
      <rPr>
        <sz val="12"/>
        <color theme="1"/>
        <rFont val="Times New Roman"/>
        <family val="1"/>
        <charset val="186"/>
      </rPr>
      <t xml:space="preserve">Veselības apdrošināšana 0,39 </t>
    </r>
    <r>
      <rPr>
        <i/>
        <sz val="12"/>
        <color theme="1"/>
        <rFont val="Times New Roman"/>
        <family val="1"/>
        <charset val="186"/>
      </rPr>
      <t>euro</t>
    </r>
    <r>
      <rPr>
        <sz val="12"/>
        <color theme="1"/>
        <rFont val="Times New Roman"/>
        <family val="1"/>
        <charset val="186"/>
      </rPr>
      <t xml:space="preserve">. Kopā 2,43 </t>
    </r>
    <r>
      <rPr>
        <i/>
        <sz val="12"/>
        <color theme="1"/>
        <rFont val="Times New Roman"/>
        <family val="1"/>
        <charset val="186"/>
      </rPr>
      <t xml:space="preserve">euro. </t>
    </r>
  </si>
  <si>
    <r>
      <t xml:space="preserve">Darba devēja valsts sociālās apdrošināšanas obligātās iemaksas 8,66 </t>
    </r>
    <r>
      <rPr>
        <i/>
        <sz val="12"/>
        <color theme="1"/>
        <rFont val="Times New Roman"/>
        <family val="1"/>
        <charset val="186"/>
      </rPr>
      <t>euro</t>
    </r>
    <r>
      <rPr>
        <sz val="12"/>
        <color theme="1"/>
        <rFont val="Times New Roman"/>
        <family val="1"/>
        <charset val="186"/>
      </rPr>
      <t xml:space="preserve"> * 23,59 % = 2,04 </t>
    </r>
    <r>
      <rPr>
        <i/>
        <sz val="12"/>
        <color theme="1"/>
        <rFont val="Times New Roman"/>
        <family val="1"/>
        <charset val="186"/>
      </rPr>
      <t xml:space="preserve">euro. </t>
    </r>
  </si>
  <si>
    <r>
      <t xml:space="preserve">Galv. nekust. īpaš. pārvaldnieks (7,87 </t>
    </r>
    <r>
      <rPr>
        <i/>
        <sz val="12"/>
        <color theme="1"/>
        <rFont val="Times New Roman"/>
        <family val="1"/>
        <charset val="186"/>
      </rPr>
      <t>euro</t>
    </r>
    <r>
      <rPr>
        <sz val="12"/>
        <color theme="1"/>
        <rFont val="Times New Roman"/>
        <family val="1"/>
        <charset val="186"/>
      </rPr>
      <t xml:space="preserve"> * 5%) = 0,39 </t>
    </r>
    <r>
      <rPr>
        <i/>
        <sz val="12"/>
        <color theme="1"/>
        <rFont val="Times New Roman"/>
        <family val="1"/>
        <charset val="186"/>
      </rPr>
      <t>euro.</t>
    </r>
  </si>
  <si>
    <r>
      <t xml:space="preserve">Darba devēja valsts sociālās apdrošināšanas obligātās iemaksas 28,03 </t>
    </r>
    <r>
      <rPr>
        <i/>
        <sz val="12"/>
        <color theme="1"/>
        <rFont val="Times New Roman"/>
        <family val="1"/>
        <charset val="186"/>
      </rPr>
      <t>euro</t>
    </r>
    <r>
      <rPr>
        <sz val="12"/>
        <color theme="1"/>
        <rFont val="Times New Roman"/>
        <family val="1"/>
        <charset val="186"/>
      </rPr>
      <t xml:space="preserve"> * 23,59 % = 6,61 </t>
    </r>
    <r>
      <rPr>
        <i/>
        <sz val="12"/>
        <color theme="1"/>
        <rFont val="Times New Roman"/>
        <family val="1"/>
        <charset val="186"/>
      </rPr>
      <t xml:space="preserve">euro. </t>
    </r>
  </si>
  <si>
    <t>Zemes noma</t>
  </si>
  <si>
    <r>
      <t xml:space="preserve">1 m3 ūdens maksā 3,01 </t>
    </r>
    <r>
      <rPr>
        <i/>
        <sz val="12"/>
        <color theme="1"/>
        <rFont val="Times New Roman"/>
        <family val="1"/>
        <charset val="186"/>
      </rPr>
      <t>euro</t>
    </r>
    <r>
      <rPr>
        <sz val="12"/>
        <color theme="1"/>
        <rFont val="Times New Roman"/>
        <family val="1"/>
        <charset val="186"/>
      </rPr>
      <t xml:space="preserve">. Vienā reizē (stundā) grupa no 16 līdz 30 cilvēkiem izlieto vidēji 0,90 m3 ūdens, (3,01 </t>
    </r>
    <r>
      <rPr>
        <i/>
        <sz val="12"/>
        <color theme="1"/>
        <rFont val="Times New Roman"/>
        <family val="1"/>
        <charset val="186"/>
      </rPr>
      <t>euro</t>
    </r>
    <r>
      <rPr>
        <sz val="12"/>
        <color theme="1"/>
        <rFont val="Times New Roman"/>
        <family val="1"/>
        <charset val="186"/>
      </rPr>
      <t xml:space="preserve"> x 0,90 m3  = 2,71 </t>
    </r>
    <r>
      <rPr>
        <i/>
        <sz val="12"/>
        <color theme="1"/>
        <rFont val="Times New Roman"/>
        <family val="1"/>
        <charset val="186"/>
      </rPr>
      <t>euro</t>
    </r>
    <r>
      <rPr>
        <sz val="12"/>
        <color theme="1"/>
        <rFont val="Times New Roman"/>
        <family val="1"/>
        <charset val="186"/>
      </rPr>
      <t xml:space="preserve">/h x 153 h = 414,63 </t>
    </r>
    <r>
      <rPr>
        <i/>
        <sz val="12"/>
        <color theme="1"/>
        <rFont val="Times New Roman"/>
        <family val="1"/>
        <charset val="186"/>
      </rPr>
      <t>euro</t>
    </r>
    <r>
      <rPr>
        <sz val="12"/>
        <color theme="1"/>
        <rFont val="Times New Roman"/>
        <family val="1"/>
        <charset val="186"/>
      </rPr>
      <t xml:space="preserve">) par 153 stundām tiek izlietoti 414,63 </t>
    </r>
    <r>
      <rPr>
        <i/>
        <sz val="12"/>
        <color theme="1"/>
        <rFont val="Times New Roman"/>
        <family val="1"/>
        <charset val="186"/>
      </rPr>
      <t>euro</t>
    </r>
    <r>
      <rPr>
        <sz val="12"/>
        <color theme="1"/>
        <rFont val="Times New Roman"/>
        <family val="1"/>
        <charset val="186"/>
      </rPr>
      <t xml:space="preserve">. </t>
    </r>
  </si>
  <si>
    <r>
      <t xml:space="preserve">Darba devēja valsts sociālās apdrošināšanas obligātās iemaksas  (5 636,51 </t>
    </r>
    <r>
      <rPr>
        <i/>
        <sz val="12"/>
        <color theme="1"/>
        <rFont val="Times New Roman"/>
        <family val="1"/>
        <charset val="186"/>
      </rPr>
      <t>euro</t>
    </r>
    <r>
      <rPr>
        <sz val="12"/>
        <color theme="1"/>
        <rFont val="Times New Roman"/>
        <family val="1"/>
        <charset val="186"/>
      </rPr>
      <t xml:space="preserve"> * 23.59 %) = 1 329,65 </t>
    </r>
    <r>
      <rPr>
        <i/>
        <sz val="12"/>
        <color theme="1"/>
        <rFont val="Times New Roman"/>
        <family val="1"/>
        <charset val="186"/>
      </rPr>
      <t>euro</t>
    </r>
    <r>
      <rPr>
        <sz val="12"/>
        <color theme="1"/>
        <rFont val="Times New Roman"/>
        <family val="1"/>
        <charset val="186"/>
      </rPr>
      <t>.</t>
    </r>
    <r>
      <rPr>
        <i/>
        <sz val="12"/>
        <color theme="1"/>
        <rFont val="Times New Roman"/>
        <family val="1"/>
        <charset val="186"/>
      </rPr>
      <t xml:space="preserve"> </t>
    </r>
  </si>
  <si>
    <r>
      <t xml:space="preserve">Veselības apdrošināšana, Galv. nekust. īpaš. pārvaldnieks (184,44 </t>
    </r>
    <r>
      <rPr>
        <i/>
        <sz val="12"/>
        <color theme="1"/>
        <rFont val="Times New Roman"/>
        <family val="1"/>
        <charset val="186"/>
      </rPr>
      <t>euro</t>
    </r>
    <r>
      <rPr>
        <sz val="12"/>
        <color theme="1"/>
        <rFont val="Times New Roman"/>
        <family val="1"/>
        <charset val="186"/>
      </rPr>
      <t xml:space="preserve"> * 5%) = 9,22 </t>
    </r>
    <r>
      <rPr>
        <i/>
        <sz val="12"/>
        <color theme="1"/>
        <rFont val="Times New Roman"/>
        <family val="1"/>
        <charset val="186"/>
      </rPr>
      <t>euro</t>
    </r>
    <r>
      <rPr>
        <sz val="12"/>
        <color theme="1"/>
        <rFont val="Times New Roman"/>
        <family val="1"/>
        <charset val="186"/>
      </rPr>
      <t xml:space="preserve">, Administrators (4 939,66 </t>
    </r>
    <r>
      <rPr>
        <i/>
        <sz val="12"/>
        <color theme="1"/>
        <rFont val="Times New Roman"/>
        <family val="1"/>
        <charset val="186"/>
      </rPr>
      <t>euro</t>
    </r>
    <r>
      <rPr>
        <sz val="12"/>
        <color theme="1"/>
        <rFont val="Times New Roman"/>
        <family val="1"/>
        <charset val="186"/>
      </rPr>
      <t xml:space="preserve"> * 5%) = 246,98 </t>
    </r>
    <r>
      <rPr>
        <i/>
        <sz val="12"/>
        <color theme="1"/>
        <rFont val="Times New Roman"/>
        <family val="1"/>
        <charset val="186"/>
      </rPr>
      <t>euro</t>
    </r>
    <r>
      <rPr>
        <sz val="12"/>
        <color theme="1"/>
        <rFont val="Times New Roman"/>
        <family val="1"/>
        <charset val="186"/>
      </rPr>
      <t xml:space="preserve">. Kopā (9,22 </t>
    </r>
    <r>
      <rPr>
        <i/>
        <sz val="12"/>
        <color theme="1"/>
        <rFont val="Times New Roman"/>
        <family val="1"/>
        <charset val="186"/>
      </rPr>
      <t>euro</t>
    </r>
    <r>
      <rPr>
        <sz val="12"/>
        <color theme="1"/>
        <rFont val="Times New Roman"/>
        <family val="1"/>
        <charset val="186"/>
      </rPr>
      <t xml:space="preserve"> + 246,98 </t>
    </r>
    <r>
      <rPr>
        <i/>
        <sz val="12"/>
        <color theme="1"/>
        <rFont val="Times New Roman"/>
        <family val="1"/>
        <charset val="186"/>
      </rPr>
      <t>euro</t>
    </r>
    <r>
      <rPr>
        <sz val="12"/>
        <color theme="1"/>
        <rFont val="Times New Roman"/>
        <family val="1"/>
        <charset val="186"/>
      </rPr>
      <t xml:space="preserve">) = 256,20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</si>
  <si>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1 329,65 </t>
    </r>
    <r>
      <rPr>
        <i/>
        <sz val="12"/>
        <color theme="1"/>
        <rFont val="Times New Roman"/>
        <family val="1"/>
        <charset val="186"/>
      </rPr>
      <t>euro</t>
    </r>
    <r>
      <rPr>
        <sz val="12"/>
        <color theme="1"/>
        <rFont val="Times New Roman"/>
        <family val="1"/>
        <charset val="186"/>
      </rPr>
      <t xml:space="preserve">. Veselības apdrošināšana 256,20 </t>
    </r>
    <r>
      <rPr>
        <i/>
        <sz val="12"/>
        <color theme="1"/>
        <rFont val="Times New Roman"/>
        <family val="1"/>
        <charset val="186"/>
      </rPr>
      <t>euro</t>
    </r>
    <r>
      <rPr>
        <sz val="12"/>
        <color theme="1"/>
        <rFont val="Times New Roman"/>
        <family val="1"/>
        <charset val="186"/>
      </rPr>
      <t xml:space="preserve">. Kopā 1 585,85 </t>
    </r>
    <r>
      <rPr>
        <i/>
        <sz val="12"/>
        <color theme="1"/>
        <rFont val="Times New Roman"/>
        <family val="1"/>
        <charset val="186"/>
      </rPr>
      <t>euro</t>
    </r>
    <r>
      <rPr>
        <sz val="12"/>
        <color theme="1"/>
        <rFont val="Times New Roman"/>
        <family val="1"/>
        <charset val="186"/>
      </rPr>
      <t>.</t>
    </r>
  </si>
  <si>
    <t>Maksas pakalpojuma vienību skaits noteiktā laikposmā (914 stundas gadā)</t>
  </si>
  <si>
    <t>Maksas pakalpojuma vienību skaits noteiktā laikposmā (30 stundas gadā)</t>
  </si>
  <si>
    <r>
      <t xml:space="preserve">Darba devēja valsts sociālās apdrošināšanas obligātās iemaksas 5,41 </t>
    </r>
    <r>
      <rPr>
        <i/>
        <sz val="12"/>
        <color theme="1"/>
        <rFont val="Times New Roman"/>
        <family val="1"/>
        <charset val="186"/>
      </rPr>
      <t>euro</t>
    </r>
    <r>
      <rPr>
        <sz val="12"/>
        <color theme="1"/>
        <rFont val="Times New Roman"/>
        <family val="1"/>
        <charset val="186"/>
      </rPr>
      <t xml:space="preserve">. Veselības apdrošināšana 4,92 </t>
    </r>
    <r>
      <rPr>
        <i/>
        <sz val="12"/>
        <color theme="1"/>
        <rFont val="Times New Roman"/>
        <family val="1"/>
        <charset val="186"/>
      </rPr>
      <t>euro</t>
    </r>
    <r>
      <rPr>
        <sz val="12"/>
        <color theme="1"/>
        <rFont val="Times New Roman"/>
        <family val="1"/>
        <charset val="186"/>
      </rPr>
      <t xml:space="preserve">. Kopā 10,33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</si>
  <si>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1.93 stundas, (9,42 </t>
    </r>
    <r>
      <rPr>
        <i/>
        <sz val="12"/>
        <color theme="1"/>
        <rFont val="Times New Roman"/>
        <family val="1"/>
        <charset val="186"/>
      </rPr>
      <t>euro</t>
    </r>
    <r>
      <rPr>
        <sz val="12"/>
        <color theme="1"/>
        <rFont val="Times New Roman"/>
        <family val="1"/>
        <charset val="186"/>
      </rPr>
      <t xml:space="preserve"> * 1.93 h) = 18,18 </t>
    </r>
    <r>
      <rPr>
        <i/>
        <sz val="12"/>
        <color theme="1"/>
        <rFont val="Times New Roman"/>
        <family val="1"/>
        <charset val="186"/>
      </rPr>
      <t>euro</t>
    </r>
    <r>
      <rPr>
        <sz val="12"/>
        <color theme="1"/>
        <rFont val="Times New Roman"/>
        <family val="1"/>
        <charset val="186"/>
      </rPr>
      <t xml:space="preserve">/mēn. * 12. mēn. = 218,16 </t>
    </r>
    <r>
      <rPr>
        <i/>
        <sz val="12"/>
        <color theme="1"/>
        <rFont val="Times New Roman"/>
        <family val="1"/>
        <charset val="186"/>
      </rPr>
      <t>euro.</t>
    </r>
    <r>
      <rPr>
        <sz val="12"/>
        <color theme="1"/>
        <rFont val="Times New Roman"/>
        <family val="1"/>
        <charset val="186"/>
      </rPr>
      <t xml:space="preserve"> </t>
    </r>
  </si>
  <si>
    <r>
      <t xml:space="preserve">Darba devēja valsts sociālās apdrošināšanas obligātās iemaksas 725,04 </t>
    </r>
    <r>
      <rPr>
        <i/>
        <sz val="12"/>
        <color theme="1"/>
        <rFont val="Times New Roman"/>
        <family val="1"/>
        <charset val="186"/>
      </rPr>
      <t>euro</t>
    </r>
    <r>
      <rPr>
        <sz val="12"/>
        <color theme="1"/>
        <rFont val="Times New Roman"/>
        <family val="1"/>
        <charset val="186"/>
      </rPr>
      <t xml:space="preserve"> * 23,59 % = 171,04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</si>
  <si>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(2 671,27 </t>
    </r>
    <r>
      <rPr>
        <i/>
        <sz val="12"/>
        <color theme="1"/>
        <rFont val="Times New Roman"/>
        <family val="1"/>
        <charset val="186"/>
      </rPr>
      <t>euro</t>
    </r>
    <r>
      <rPr>
        <sz val="12"/>
        <color theme="1"/>
        <rFont val="Times New Roman"/>
        <family val="1"/>
        <charset val="186"/>
      </rPr>
      <t xml:space="preserve"> * 23,59 %) = 630,15 </t>
    </r>
    <r>
      <rPr>
        <i/>
        <sz val="12"/>
        <color theme="1"/>
        <rFont val="Times New Roman"/>
        <family val="1"/>
        <charset val="186"/>
      </rPr>
      <t xml:space="preserve">euro. </t>
    </r>
  </si>
  <si>
    <r>
      <t xml:space="preserve">Darba devēja valsts sociālās apdrošināšanas obligātās iemaksas 289,40 </t>
    </r>
    <r>
      <rPr>
        <i/>
        <sz val="12"/>
        <color theme="1"/>
        <rFont val="Times New Roman"/>
        <family val="1"/>
        <charset val="186"/>
      </rPr>
      <t>euro</t>
    </r>
    <r>
      <rPr>
        <sz val="12"/>
        <color theme="1"/>
        <rFont val="Times New Roman"/>
        <family val="1"/>
        <charset val="186"/>
      </rPr>
      <t xml:space="preserve"> * 23,59 % = 68,27 </t>
    </r>
    <r>
      <rPr>
        <i/>
        <sz val="12"/>
        <color theme="1"/>
        <rFont val="Times New Roman"/>
        <family val="1"/>
        <charset val="186"/>
      </rPr>
      <t>euro</t>
    </r>
    <r>
      <rPr>
        <sz val="12"/>
        <color theme="1"/>
        <rFont val="Times New Roman"/>
        <family val="1"/>
        <charset val="186"/>
      </rPr>
      <t>.</t>
    </r>
  </si>
  <si>
    <t>Maksas pakalpojuma vienību skaits noteiktā laikposmā (3 numuri x 48 diennaktis gadā)</t>
  </si>
  <si>
    <t>Maksas pakalpojuma vienību skaits noteiktā laikposmā (3 numuri x 46 diennaktis gadā)</t>
  </si>
  <si>
    <t>Maksas pakalpojuma vienību skaits noteiktā laikposmā (3 numuri x 12 diennaktis gadā)</t>
  </si>
  <si>
    <t>Maksas pakalpojuma vienību skaits noteiktā laikposmā (20 numuri x 51 diennaktis gadā)</t>
  </si>
  <si>
    <t>Maksas pakalpojuma vienību skaits noteiktā laikposmā (2 numuri x 74 diennaktis gadā)</t>
  </si>
  <si>
    <t>Maksas pakalpojuma vienību skaits noteiktā laikposmā (2 numuri x 70 diennaktis gadā)</t>
  </si>
  <si>
    <r>
      <t xml:space="preserve">Darba devēja valsts sociālās apdrošināšanas obligātās iemaksas (538,84 </t>
    </r>
    <r>
      <rPr>
        <i/>
        <sz val="12"/>
        <color theme="1"/>
        <rFont val="Times New Roman"/>
        <family val="1"/>
        <charset val="186"/>
      </rPr>
      <t>euro</t>
    </r>
    <r>
      <rPr>
        <sz val="12"/>
        <color theme="1"/>
        <rFont val="Times New Roman"/>
        <family val="1"/>
        <charset val="186"/>
      </rPr>
      <t xml:space="preserve"> * 23,59 %) = 127,11 </t>
    </r>
    <r>
      <rPr>
        <i/>
        <sz val="12"/>
        <color theme="1"/>
        <rFont val="Times New Roman"/>
        <family val="1"/>
        <charset val="186"/>
      </rPr>
      <t xml:space="preserve">euro. </t>
    </r>
  </si>
  <si>
    <r>
      <t xml:space="preserve">Darba devēja valsts sociālās apdrošināšanas obligātās iemaksas 127,11 </t>
    </r>
    <r>
      <rPr>
        <i/>
        <sz val="12"/>
        <color theme="1"/>
        <rFont val="Times New Roman"/>
        <family val="1"/>
        <charset val="186"/>
      </rPr>
      <t>euro</t>
    </r>
    <r>
      <rPr>
        <sz val="12"/>
        <color theme="1"/>
        <rFont val="Times New Roman"/>
        <family val="1"/>
        <charset val="186"/>
      </rPr>
      <t xml:space="preserve">. Veselības apdrošināšana 24,28 </t>
    </r>
    <r>
      <rPr>
        <i/>
        <sz val="12"/>
        <color theme="1"/>
        <rFont val="Times New Roman"/>
        <family val="1"/>
        <charset val="186"/>
      </rPr>
      <t>euro</t>
    </r>
    <r>
      <rPr>
        <sz val="12"/>
        <color theme="1"/>
        <rFont val="Times New Roman"/>
        <family val="1"/>
        <charset val="186"/>
      </rPr>
      <t xml:space="preserve">. Kopā 151,59 </t>
    </r>
    <r>
      <rPr>
        <i/>
        <sz val="12"/>
        <color theme="1"/>
        <rFont val="Times New Roman"/>
        <family val="1"/>
        <charset val="186"/>
      </rPr>
      <t>euro</t>
    </r>
    <r>
      <rPr>
        <sz val="12"/>
        <color theme="1"/>
        <rFont val="Times New Roman"/>
        <family val="1"/>
        <charset val="186"/>
      </rPr>
      <t>.</t>
    </r>
  </si>
  <si>
    <t>Maksas pakalpojuma vienību skaits noteiktā laikposmā (3 numuri x 83 diennaktis gadā)</t>
  </si>
  <si>
    <t>Maksas pakalpojuma vienību skaits noteiktā laikposmā (2 numuri x 27 diennaktis gadā)</t>
  </si>
  <si>
    <r>
      <t xml:space="preserve">Galv. nekust. īpaš. pārvaldnieks (3. saime, III līmenis, 8. algu grupa, mēnešalga 1 358 </t>
    </r>
    <r>
      <rPr>
        <i/>
        <sz val="12"/>
        <color theme="1"/>
        <rFont val="Times New Roman"/>
        <family val="1"/>
        <charset val="186"/>
      </rPr>
      <t>euro</t>
    </r>
    <r>
      <rPr>
        <sz val="12"/>
        <color theme="1"/>
        <rFont val="Times New Roman"/>
        <family val="1"/>
        <charset val="186"/>
      </rPr>
      <t xml:space="preserve">). Stundas tarifa likme 8,20 </t>
    </r>
    <r>
      <rPr>
        <i/>
        <sz val="12"/>
        <color theme="1"/>
        <rFont val="Times New Roman"/>
        <family val="1"/>
        <charset val="186"/>
      </rPr>
      <t>euro</t>
    </r>
    <r>
      <rPr>
        <sz val="12"/>
        <color theme="1"/>
        <rFont val="Times New Roman"/>
        <family val="1"/>
        <charset val="186"/>
      </rPr>
      <t xml:space="preserve"> = 1 358 </t>
    </r>
    <r>
      <rPr>
        <i/>
        <sz val="12"/>
        <color theme="1"/>
        <rFont val="Times New Roman"/>
        <family val="1"/>
        <charset val="186"/>
      </rPr>
      <t>euro</t>
    </r>
    <r>
      <rPr>
        <sz val="12"/>
        <color theme="1"/>
        <rFont val="Times New Roman"/>
        <family val="1"/>
        <charset val="186"/>
      </rPr>
      <t xml:space="preserve">/ 165.58 (vid. d. stundu sk. mēnesī). Vid. mēn. noslogojums 59.73 stundas, (8,20 </t>
    </r>
    <r>
      <rPr>
        <i/>
        <sz val="12"/>
        <color theme="1"/>
        <rFont val="Times New Roman"/>
        <family val="1"/>
        <charset val="186"/>
      </rPr>
      <t>euro</t>
    </r>
    <r>
      <rPr>
        <sz val="12"/>
        <color theme="1"/>
        <rFont val="Times New Roman"/>
        <family val="1"/>
        <charset val="186"/>
      </rPr>
      <t xml:space="preserve"> * 59.73 h) = 489,79 </t>
    </r>
    <r>
      <rPr>
        <i/>
        <sz val="12"/>
        <color theme="1"/>
        <rFont val="Times New Roman"/>
        <family val="1"/>
        <charset val="186"/>
      </rPr>
      <t>euro</t>
    </r>
    <r>
      <rPr>
        <sz val="12"/>
        <color theme="1"/>
        <rFont val="Times New Roman"/>
        <family val="1"/>
        <charset val="186"/>
      </rPr>
      <t xml:space="preserve">/mēn. * 12 mēn. = 5 877,48 </t>
    </r>
    <r>
      <rPr>
        <i/>
        <sz val="12"/>
        <color theme="1"/>
        <rFont val="Times New Roman"/>
        <family val="1"/>
        <charset val="186"/>
      </rPr>
      <t>euro</t>
    </r>
    <r>
      <rPr>
        <sz val="12"/>
        <color theme="1"/>
        <rFont val="Times New Roman"/>
        <family val="1"/>
        <charset val="186"/>
      </rPr>
      <t xml:space="preserve"> * 0.0115 (iznomātās platības koeficients) = 67,59 </t>
    </r>
    <r>
      <rPr>
        <i/>
        <sz val="12"/>
        <color theme="1"/>
        <rFont val="Times New Roman"/>
        <family val="1"/>
        <charset val="186"/>
      </rPr>
      <t>euro</t>
    </r>
    <r>
      <rPr>
        <sz val="12"/>
        <color theme="1"/>
        <rFont val="Times New Roman"/>
        <family val="1"/>
        <charset val="186"/>
      </rPr>
      <t xml:space="preserve">. </t>
    </r>
  </si>
  <si>
    <r>
      <t xml:space="preserve">Saimniecības pārzinis (3. saime, I līmenis, 5. algu grupa, mēnešalga 897 </t>
    </r>
    <r>
      <rPr>
        <i/>
        <sz val="12"/>
        <color theme="1"/>
        <rFont val="Times New Roman"/>
        <family val="1"/>
        <charset val="186"/>
      </rPr>
      <t>euro</t>
    </r>
    <r>
      <rPr>
        <sz val="12"/>
        <color theme="1"/>
        <rFont val="Times New Roman"/>
        <family val="1"/>
        <charset val="186"/>
      </rPr>
      <t xml:space="preserve">). Stundas tarifa likme 5,42 </t>
    </r>
    <r>
      <rPr>
        <i/>
        <sz val="12"/>
        <color theme="1"/>
        <rFont val="Times New Roman"/>
        <family val="1"/>
        <charset val="186"/>
      </rPr>
      <t>euro</t>
    </r>
    <r>
      <rPr>
        <sz val="12"/>
        <color theme="1"/>
        <rFont val="Times New Roman"/>
        <family val="1"/>
        <charset val="186"/>
      </rPr>
      <t xml:space="preserve"> = 897 </t>
    </r>
    <r>
      <rPr>
        <i/>
        <sz val="12"/>
        <color theme="1"/>
        <rFont val="Times New Roman"/>
        <family val="1"/>
        <charset val="186"/>
      </rPr>
      <t>euro</t>
    </r>
    <r>
      <rPr>
        <sz val="12"/>
        <color theme="1"/>
        <rFont val="Times New Roman"/>
        <family val="1"/>
        <charset val="186"/>
      </rPr>
      <t xml:space="preserve"> / 165.58 (vid. d. stundu sk. mēnesī). Vid. mēn. noslogojums 114.23 stundas, (5,42 </t>
    </r>
    <r>
      <rPr>
        <i/>
        <sz val="12"/>
        <color theme="1"/>
        <rFont val="Times New Roman"/>
        <family val="1"/>
        <charset val="186"/>
      </rPr>
      <t>euro</t>
    </r>
    <r>
      <rPr>
        <sz val="12"/>
        <color theme="1"/>
        <rFont val="Times New Roman"/>
        <family val="1"/>
        <charset val="186"/>
      </rPr>
      <t xml:space="preserve"> * 114.23 h) = 619,13 </t>
    </r>
    <r>
      <rPr>
        <i/>
        <sz val="12"/>
        <color theme="1"/>
        <rFont val="Times New Roman"/>
        <family val="1"/>
        <charset val="186"/>
      </rPr>
      <t>euro/mēn.</t>
    </r>
    <r>
      <rPr>
        <sz val="12"/>
        <color theme="1"/>
        <rFont val="Times New Roman"/>
        <family val="1"/>
        <charset val="186"/>
      </rPr>
      <t xml:space="preserve"> * 12 mēn. = 7 429,56 </t>
    </r>
    <r>
      <rPr>
        <i/>
        <sz val="12"/>
        <color theme="1"/>
        <rFont val="Times New Roman"/>
        <family val="1"/>
        <charset val="186"/>
      </rPr>
      <t>euro</t>
    </r>
    <r>
      <rPr>
        <sz val="12"/>
        <color theme="1"/>
        <rFont val="Times New Roman"/>
        <family val="1"/>
        <charset val="186"/>
      </rPr>
      <t xml:space="preserve"> * 0.0115 (iznomātās platības koeficients) = 85,44 </t>
    </r>
    <r>
      <rPr>
        <i/>
        <sz val="12"/>
        <color theme="1"/>
        <rFont val="Times New Roman"/>
        <family val="1"/>
        <charset val="186"/>
      </rPr>
      <t>euro</t>
    </r>
    <r>
      <rPr>
        <sz val="12"/>
        <color theme="1"/>
        <rFont val="Times New Roman"/>
        <family val="1"/>
        <charset val="186"/>
      </rPr>
      <t xml:space="preserve">. </t>
    </r>
  </si>
  <si>
    <r>
      <t xml:space="preserve">Istabene (16. saime, III līmenis, 3. algu grupa, mēnešalga 760 </t>
    </r>
    <r>
      <rPr>
        <i/>
        <sz val="12"/>
        <color theme="1"/>
        <rFont val="Times New Roman"/>
        <family val="1"/>
        <charset val="186"/>
      </rPr>
      <t>euro</t>
    </r>
    <r>
      <rPr>
        <sz val="12"/>
        <color theme="1"/>
        <rFont val="Times New Roman"/>
        <family val="1"/>
        <charset val="186"/>
      </rPr>
      <t xml:space="preserve">). Stundas tarifa likme 4,59 </t>
    </r>
    <r>
      <rPr>
        <i/>
        <sz val="12"/>
        <color theme="1"/>
        <rFont val="Times New Roman"/>
        <family val="1"/>
        <charset val="186"/>
      </rPr>
      <t>euro</t>
    </r>
    <r>
      <rPr>
        <sz val="12"/>
        <color theme="1"/>
        <rFont val="Times New Roman"/>
        <family val="1"/>
        <charset val="186"/>
      </rPr>
      <t xml:space="preserve"> = 760 </t>
    </r>
    <r>
      <rPr>
        <i/>
        <sz val="12"/>
        <color theme="1"/>
        <rFont val="Times New Roman"/>
        <family val="1"/>
        <charset val="186"/>
      </rPr>
      <t>euro</t>
    </r>
    <r>
      <rPr>
        <sz val="12"/>
        <color theme="1"/>
        <rFont val="Times New Roman"/>
        <family val="1"/>
        <charset val="186"/>
      </rPr>
      <t xml:space="preserve"> / 165.58 (vid. d. stundu sk. mēnesī). Vid. mēn. noslogojums 126.26 stundas, (4,59 </t>
    </r>
    <r>
      <rPr>
        <i/>
        <sz val="12"/>
        <color theme="1"/>
        <rFont val="Times New Roman"/>
        <family val="1"/>
        <charset val="186"/>
      </rPr>
      <t>euro</t>
    </r>
    <r>
      <rPr>
        <sz val="12"/>
        <color theme="1"/>
        <rFont val="Times New Roman"/>
        <family val="1"/>
        <charset val="186"/>
      </rPr>
      <t xml:space="preserve"> * 126.26 h) = 579,53 </t>
    </r>
    <r>
      <rPr>
        <i/>
        <sz val="12"/>
        <color theme="1"/>
        <rFont val="Times New Roman"/>
        <family val="1"/>
        <charset val="186"/>
      </rPr>
      <t>euro/mēn.</t>
    </r>
    <r>
      <rPr>
        <sz val="12"/>
        <color theme="1"/>
        <rFont val="Times New Roman"/>
        <family val="1"/>
        <charset val="186"/>
      </rPr>
      <t xml:space="preserve"> * 12 mēn. = 6 258,12 </t>
    </r>
    <r>
      <rPr>
        <i/>
        <sz val="12"/>
        <color theme="1"/>
        <rFont val="Times New Roman"/>
        <family val="1"/>
        <charset val="186"/>
      </rPr>
      <t>euro</t>
    </r>
    <r>
      <rPr>
        <sz val="12"/>
        <color theme="1"/>
        <rFont val="Times New Roman"/>
        <family val="1"/>
        <charset val="186"/>
      </rPr>
      <t xml:space="preserve"> * 0.0115 (iznomātās platības koeficients) = 79,98 </t>
    </r>
    <r>
      <rPr>
        <i/>
        <sz val="12"/>
        <color theme="1"/>
        <rFont val="Times New Roman"/>
        <family val="1"/>
        <charset val="186"/>
      </rPr>
      <t>euro</t>
    </r>
    <r>
      <rPr>
        <sz val="12"/>
        <color theme="1"/>
        <rFont val="Times New Roman"/>
        <family val="1"/>
        <charset val="186"/>
      </rPr>
      <t xml:space="preserve">. </t>
    </r>
  </si>
  <si>
    <r>
      <t xml:space="preserve">Apkopēja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165.58 (vid. d. stundu sk. mēnesī). Vid. mēn. noslogojums 116.67 stundas, (4,47 </t>
    </r>
    <r>
      <rPr>
        <i/>
        <sz val="12"/>
        <color theme="1"/>
        <rFont val="Times New Roman"/>
        <family val="1"/>
        <charset val="186"/>
      </rPr>
      <t>euro</t>
    </r>
    <r>
      <rPr>
        <sz val="12"/>
        <color theme="1"/>
        <rFont val="Times New Roman"/>
        <family val="1"/>
        <charset val="186"/>
      </rPr>
      <t xml:space="preserve"> * 116.67 h) = 521,51 </t>
    </r>
    <r>
      <rPr>
        <i/>
        <sz val="12"/>
        <color theme="1"/>
        <rFont val="Times New Roman"/>
        <family val="1"/>
        <charset val="186"/>
      </rPr>
      <t>euro</t>
    </r>
    <r>
      <rPr>
        <sz val="12"/>
        <color theme="1"/>
        <rFont val="Times New Roman"/>
        <family val="1"/>
        <charset val="186"/>
      </rPr>
      <t xml:space="preserve">/mēn. * 12 mēn. = 6 202,20 </t>
    </r>
    <r>
      <rPr>
        <i/>
        <sz val="12"/>
        <color theme="1"/>
        <rFont val="Times New Roman"/>
        <family val="1"/>
        <charset val="186"/>
      </rPr>
      <t>euro</t>
    </r>
    <r>
      <rPr>
        <sz val="12"/>
        <color theme="1"/>
        <rFont val="Times New Roman"/>
        <family val="1"/>
        <charset val="186"/>
      </rPr>
      <t xml:space="preserve"> * 0.0115 (iznomātās platības koeficients) = 71,97 </t>
    </r>
    <r>
      <rPr>
        <i/>
        <sz val="12"/>
        <color theme="1"/>
        <rFont val="Times New Roman"/>
        <family val="1"/>
        <charset val="186"/>
      </rPr>
      <t>euro</t>
    </r>
    <r>
      <rPr>
        <sz val="12"/>
        <color theme="1"/>
        <rFont val="Times New Roman"/>
        <family val="1"/>
        <charset val="186"/>
      </rPr>
      <t xml:space="preserve">. </t>
    </r>
  </si>
  <si>
    <r>
      <t xml:space="preserve">Sētnieks (16. saime, I līmenis, 1. algu grupa, mēnešalga 740 </t>
    </r>
    <r>
      <rPr>
        <i/>
        <sz val="12"/>
        <color theme="1"/>
        <rFont val="Times New Roman"/>
        <family val="1"/>
        <charset val="186"/>
      </rPr>
      <t>euro</t>
    </r>
    <r>
      <rPr>
        <sz val="12"/>
        <color theme="1"/>
        <rFont val="Times New Roman"/>
        <family val="1"/>
        <charset val="186"/>
      </rPr>
      <t xml:space="preserve">). Stundas tarifa likme 4,47 </t>
    </r>
    <r>
      <rPr>
        <i/>
        <sz val="12"/>
        <color theme="1"/>
        <rFont val="Times New Roman"/>
        <family val="1"/>
        <charset val="186"/>
      </rPr>
      <t>euro</t>
    </r>
    <r>
      <rPr>
        <sz val="12"/>
        <color theme="1"/>
        <rFont val="Times New Roman"/>
        <family val="1"/>
        <charset val="186"/>
      </rPr>
      <t xml:space="preserve"> = 739 </t>
    </r>
    <r>
      <rPr>
        <i/>
        <sz val="12"/>
        <color theme="1"/>
        <rFont val="Times New Roman"/>
        <family val="1"/>
        <charset val="186"/>
      </rPr>
      <t>euro</t>
    </r>
    <r>
      <rPr>
        <sz val="12"/>
        <color theme="1"/>
        <rFont val="Times New Roman"/>
        <family val="1"/>
        <charset val="186"/>
      </rPr>
      <t xml:space="preserve"> / 165.58 (vid. d. stundu sk. mēnesī). Vid. mēn. noslogojums 62.46 stundas, (4,47 </t>
    </r>
    <r>
      <rPr>
        <i/>
        <sz val="12"/>
        <color theme="1"/>
        <rFont val="Times New Roman"/>
        <family val="1"/>
        <charset val="186"/>
      </rPr>
      <t>euro</t>
    </r>
    <r>
      <rPr>
        <sz val="12"/>
        <color theme="1"/>
        <rFont val="Times New Roman"/>
        <family val="1"/>
        <charset val="186"/>
      </rPr>
      <t xml:space="preserve"> * 62.46 h) = 279,20 </t>
    </r>
    <r>
      <rPr>
        <i/>
        <sz val="12"/>
        <color theme="1"/>
        <rFont val="Times New Roman"/>
        <family val="1"/>
        <charset val="186"/>
      </rPr>
      <t>euro</t>
    </r>
    <r>
      <rPr>
        <sz val="12"/>
        <color theme="1"/>
        <rFont val="Times New Roman"/>
        <family val="1"/>
        <charset val="186"/>
      </rPr>
      <t xml:space="preserve">/mēn. * 12 mēn. = 3 350,40 </t>
    </r>
    <r>
      <rPr>
        <i/>
        <sz val="12"/>
        <color theme="1"/>
        <rFont val="Times New Roman"/>
        <family val="1"/>
        <charset val="186"/>
      </rPr>
      <t>euro</t>
    </r>
    <r>
      <rPr>
        <sz val="12"/>
        <color theme="1"/>
        <rFont val="Times New Roman"/>
        <family val="1"/>
        <charset val="186"/>
      </rPr>
      <t xml:space="preserve"> * 0.0115 (iznomātās platības koeficients) = 38,53 </t>
    </r>
    <r>
      <rPr>
        <i/>
        <sz val="12"/>
        <color theme="1"/>
        <rFont val="Times New Roman"/>
        <family val="1"/>
        <charset val="186"/>
      </rPr>
      <t>euro</t>
    </r>
    <r>
      <rPr>
        <sz val="12"/>
        <color theme="1"/>
        <rFont val="Times New Roman"/>
        <family val="1"/>
        <charset val="186"/>
      </rPr>
      <t xml:space="preserve">. </t>
    </r>
  </si>
  <si>
    <r>
      <t xml:space="preserve">Vadošais personāla speciālists (34.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1.25 stundas, (11,47 </t>
    </r>
    <r>
      <rPr>
        <i/>
        <sz val="12"/>
        <color theme="1"/>
        <rFont val="Times New Roman"/>
        <family val="1"/>
        <charset val="186"/>
      </rPr>
      <t>euro</t>
    </r>
    <r>
      <rPr>
        <sz val="12"/>
        <color theme="1"/>
        <rFont val="Times New Roman"/>
        <family val="1"/>
        <charset val="186"/>
      </rPr>
      <t xml:space="preserve"> * 1.25 h) = 14,34 </t>
    </r>
    <r>
      <rPr>
        <i/>
        <sz val="12"/>
        <color theme="1"/>
        <rFont val="Times New Roman"/>
        <family val="1"/>
        <charset val="186"/>
      </rPr>
      <t>euro</t>
    </r>
    <r>
      <rPr>
        <sz val="12"/>
        <color theme="1"/>
        <rFont val="Times New Roman"/>
        <family val="1"/>
        <charset val="186"/>
      </rPr>
      <t xml:space="preserve">/mēn. * 12. mēn. = 172,08 </t>
    </r>
    <r>
      <rPr>
        <i/>
        <sz val="12"/>
        <color theme="1"/>
        <rFont val="Times New Roman"/>
        <family val="1"/>
        <charset val="186"/>
      </rPr>
      <t>euro</t>
    </r>
    <r>
      <rPr>
        <sz val="12"/>
        <color theme="1"/>
        <rFont val="Times New Roman"/>
        <family val="1"/>
        <charset val="186"/>
      </rPr>
      <t xml:space="preserve"> * 0.0115 (iznomātās platības koeficients) = 1,98 </t>
    </r>
    <r>
      <rPr>
        <i/>
        <sz val="12"/>
        <color theme="1"/>
        <rFont val="Times New Roman"/>
        <family val="1"/>
        <charset val="186"/>
      </rPr>
      <t>euro.</t>
    </r>
  </si>
  <si>
    <r>
      <t xml:space="preserve">Vecākais lietvedis (20.3. saime, II līmenis, 7. algu grupa, mēnešalga 1 266 </t>
    </r>
    <r>
      <rPr>
        <i/>
        <sz val="12"/>
        <color theme="1"/>
        <rFont val="Times New Roman"/>
        <family val="1"/>
        <charset val="186"/>
      </rPr>
      <t>euro</t>
    </r>
    <r>
      <rPr>
        <sz val="12"/>
        <color theme="1"/>
        <rFont val="Times New Roman"/>
        <family val="1"/>
        <charset val="186"/>
      </rPr>
      <t xml:space="preserve">). Stundas tarifa likme 7,65 </t>
    </r>
    <r>
      <rPr>
        <i/>
        <sz val="12"/>
        <color theme="1"/>
        <rFont val="Times New Roman"/>
        <family val="1"/>
        <charset val="186"/>
      </rPr>
      <t>euro</t>
    </r>
    <r>
      <rPr>
        <sz val="12"/>
        <color theme="1"/>
        <rFont val="Times New Roman"/>
        <family val="1"/>
        <charset val="186"/>
      </rPr>
      <t xml:space="preserve"> = 1 266 </t>
    </r>
    <r>
      <rPr>
        <i/>
        <sz val="12"/>
        <color theme="1"/>
        <rFont val="Times New Roman"/>
        <family val="1"/>
        <charset val="186"/>
      </rPr>
      <t>euro</t>
    </r>
    <r>
      <rPr>
        <sz val="12"/>
        <color theme="1"/>
        <rFont val="Times New Roman"/>
        <family val="1"/>
        <charset val="186"/>
      </rPr>
      <t xml:space="preserve"> / 165.58 (vid. d. stundu sk. mēnesī). Vid. mēn. noslogojums 1.23 stundas, (7,65 </t>
    </r>
    <r>
      <rPr>
        <i/>
        <sz val="12"/>
        <color theme="1"/>
        <rFont val="Times New Roman"/>
        <family val="1"/>
        <charset val="186"/>
      </rPr>
      <t>euro</t>
    </r>
    <r>
      <rPr>
        <sz val="12"/>
        <color theme="1"/>
        <rFont val="Times New Roman"/>
        <family val="1"/>
        <charset val="186"/>
      </rPr>
      <t xml:space="preserve"> * 1.23 h) = 9,41 </t>
    </r>
    <r>
      <rPr>
        <i/>
        <sz val="12"/>
        <color theme="1"/>
        <rFont val="Times New Roman"/>
        <family val="1"/>
        <charset val="186"/>
      </rPr>
      <t>euro</t>
    </r>
    <r>
      <rPr>
        <sz val="12"/>
        <color theme="1"/>
        <rFont val="Times New Roman"/>
        <family val="1"/>
        <charset val="186"/>
      </rPr>
      <t xml:space="preserve">/mēn. * 12. mēn. = 112,92 </t>
    </r>
    <r>
      <rPr>
        <i/>
        <sz val="12"/>
        <color theme="1"/>
        <rFont val="Times New Roman"/>
        <family val="1"/>
        <charset val="186"/>
      </rPr>
      <t>euro</t>
    </r>
    <r>
      <rPr>
        <sz val="12"/>
        <color theme="1"/>
        <rFont val="Times New Roman"/>
        <family val="1"/>
        <charset val="186"/>
      </rPr>
      <t xml:space="preserve"> * 0.0115 (iznomātās platības koeficients) = 1,30 </t>
    </r>
    <r>
      <rPr>
        <i/>
        <sz val="12"/>
        <color theme="1"/>
        <rFont val="Times New Roman"/>
        <family val="1"/>
        <charset val="186"/>
      </rPr>
      <t>euro.</t>
    </r>
  </si>
  <si>
    <r>
      <t xml:space="preserve">Jurists (24. saime, III līmenis, 11. algu grupa, mēnešalga 1 900 </t>
    </r>
    <r>
      <rPr>
        <i/>
        <sz val="12"/>
        <color theme="1"/>
        <rFont val="Times New Roman"/>
        <family val="1"/>
        <charset val="186"/>
      </rPr>
      <t>euro</t>
    </r>
    <r>
      <rPr>
        <sz val="12"/>
        <color theme="1"/>
        <rFont val="Times New Roman"/>
        <family val="1"/>
        <charset val="186"/>
      </rPr>
      <t xml:space="preserve">). Stundas tarifa likme 11,47 </t>
    </r>
    <r>
      <rPr>
        <i/>
        <sz val="12"/>
        <color theme="1"/>
        <rFont val="Times New Roman"/>
        <family val="1"/>
        <charset val="186"/>
      </rPr>
      <t>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1.2 stundas, (11,47 </t>
    </r>
    <r>
      <rPr>
        <i/>
        <sz val="12"/>
        <color theme="1"/>
        <rFont val="Times New Roman"/>
        <family val="1"/>
        <charset val="186"/>
      </rPr>
      <t>euro</t>
    </r>
    <r>
      <rPr>
        <sz val="12"/>
        <color theme="1"/>
        <rFont val="Times New Roman"/>
        <family val="1"/>
        <charset val="186"/>
      </rPr>
      <t xml:space="preserve"> * 1.2 h) = 13,76 </t>
    </r>
    <r>
      <rPr>
        <i/>
        <sz val="12"/>
        <color theme="1"/>
        <rFont val="Times New Roman"/>
        <family val="1"/>
        <charset val="186"/>
      </rPr>
      <t>euro</t>
    </r>
    <r>
      <rPr>
        <sz val="12"/>
        <color theme="1"/>
        <rFont val="Times New Roman"/>
        <family val="1"/>
        <charset val="186"/>
      </rPr>
      <t xml:space="preserve">/mēn. * 12. mēn. = 165,12 </t>
    </r>
    <r>
      <rPr>
        <i/>
        <sz val="12"/>
        <color theme="1"/>
        <rFont val="Times New Roman"/>
        <family val="1"/>
        <charset val="186"/>
      </rPr>
      <t>euro</t>
    </r>
    <r>
      <rPr>
        <sz val="12"/>
        <color theme="1"/>
        <rFont val="Times New Roman"/>
        <family val="1"/>
        <charset val="186"/>
      </rPr>
      <t xml:space="preserve"> * 0.0115 (iznomātās platības koeficients) = 1,90 </t>
    </r>
    <r>
      <rPr>
        <i/>
        <sz val="12"/>
        <color theme="1"/>
        <rFont val="Times New Roman"/>
        <family val="1"/>
        <charset val="186"/>
      </rPr>
      <t>euro.</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</si>
  <si>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1.24 stundas, (15,15 </t>
    </r>
    <r>
      <rPr>
        <i/>
        <sz val="12"/>
        <color theme="1"/>
        <rFont val="Times New Roman"/>
        <family val="1"/>
        <charset val="186"/>
      </rPr>
      <t>euro</t>
    </r>
    <r>
      <rPr>
        <sz val="12"/>
        <color theme="1"/>
        <rFont val="Times New Roman"/>
        <family val="1"/>
        <charset val="186"/>
      </rPr>
      <t xml:space="preserve"> * 1.24 h) = 18,79 </t>
    </r>
    <r>
      <rPr>
        <i/>
        <sz val="12"/>
        <color theme="1"/>
        <rFont val="Times New Roman"/>
        <family val="1"/>
        <charset val="186"/>
      </rPr>
      <t>euro</t>
    </r>
    <r>
      <rPr>
        <sz val="12"/>
        <color theme="1"/>
        <rFont val="Times New Roman"/>
        <family val="1"/>
        <charset val="186"/>
      </rPr>
      <t xml:space="preserve">/mēn. * 12. mēn. = 225,48 </t>
    </r>
    <r>
      <rPr>
        <i/>
        <sz val="12"/>
        <color theme="1"/>
        <rFont val="Times New Roman"/>
        <family val="1"/>
        <charset val="186"/>
      </rPr>
      <t>euro</t>
    </r>
    <r>
      <rPr>
        <sz val="12"/>
        <color theme="1"/>
        <rFont val="Times New Roman"/>
        <family val="1"/>
        <charset val="186"/>
      </rPr>
      <t xml:space="preserve"> * 0.0115 (iznomātās platības koeficients) = 2,59 </t>
    </r>
    <r>
      <rPr>
        <i/>
        <sz val="12"/>
        <color theme="1"/>
        <rFont val="Times New Roman"/>
        <family val="1"/>
        <charset val="186"/>
      </rPr>
      <t>euro.</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</si>
  <si>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12,14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1.09 stundas, (12,14 </t>
    </r>
    <r>
      <rPr>
        <i/>
        <sz val="12"/>
        <color theme="1"/>
        <rFont val="Times New Roman"/>
        <family val="1"/>
        <charset val="186"/>
      </rPr>
      <t>euro</t>
    </r>
    <r>
      <rPr>
        <sz val="12"/>
        <color theme="1"/>
        <rFont val="Times New Roman"/>
        <family val="1"/>
        <charset val="186"/>
      </rPr>
      <t xml:space="preserve"> * 1.09 h) = 13,27 </t>
    </r>
    <r>
      <rPr>
        <i/>
        <sz val="12"/>
        <color theme="1"/>
        <rFont val="Times New Roman"/>
        <family val="1"/>
        <charset val="186"/>
      </rPr>
      <t>euro</t>
    </r>
    <r>
      <rPr>
        <sz val="12"/>
        <color theme="1"/>
        <rFont val="Times New Roman"/>
        <family val="1"/>
        <charset val="186"/>
      </rPr>
      <t xml:space="preserve">/mēn. * 12. mēn. = 159,24 </t>
    </r>
    <r>
      <rPr>
        <i/>
        <sz val="12"/>
        <color theme="1"/>
        <rFont val="Times New Roman"/>
        <family val="1"/>
        <charset val="186"/>
      </rPr>
      <t>euro</t>
    </r>
    <r>
      <rPr>
        <sz val="12"/>
        <color theme="1"/>
        <rFont val="Times New Roman"/>
        <family val="1"/>
        <charset val="186"/>
      </rPr>
      <t xml:space="preserve"> * 0.0115 (iznomātās platības koeficients) = 1,83 </t>
    </r>
    <r>
      <rPr>
        <i/>
        <sz val="12"/>
        <color theme="1"/>
        <rFont val="Times New Roman"/>
        <family val="1"/>
        <charset val="186"/>
      </rPr>
      <t>euro.</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</si>
  <si>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9.22 stundas, (8,29 </t>
    </r>
    <r>
      <rPr>
        <i/>
        <sz val="12"/>
        <color theme="1"/>
        <rFont val="Times New Roman"/>
        <family val="1"/>
        <charset val="186"/>
      </rPr>
      <t>euro</t>
    </r>
    <r>
      <rPr>
        <sz val="12"/>
        <color theme="1"/>
        <rFont val="Times New Roman"/>
        <family val="1"/>
        <charset val="186"/>
      </rPr>
      <t xml:space="preserve"> * 9.22 h) = 76,43 </t>
    </r>
    <r>
      <rPr>
        <i/>
        <sz val="12"/>
        <color theme="1"/>
        <rFont val="Times New Roman"/>
        <family val="1"/>
        <charset val="186"/>
      </rPr>
      <t>euro</t>
    </r>
    <r>
      <rPr>
        <sz val="12"/>
        <color theme="1"/>
        <rFont val="Times New Roman"/>
        <family val="1"/>
        <charset val="186"/>
      </rPr>
      <t xml:space="preserve">/mēn. * 12. mēn. = 917,16 </t>
    </r>
    <r>
      <rPr>
        <i/>
        <sz val="12"/>
        <color theme="1"/>
        <rFont val="Times New Roman"/>
        <family val="1"/>
        <charset val="186"/>
      </rPr>
      <t>euro</t>
    </r>
    <r>
      <rPr>
        <sz val="12"/>
        <color theme="1"/>
        <rFont val="Times New Roman"/>
        <family val="1"/>
        <charset val="186"/>
      </rPr>
      <t xml:space="preserve"> * 0.0115 (iznomātās platības koeficients) = 10,55 </t>
    </r>
    <r>
      <rPr>
        <i/>
        <sz val="12"/>
        <color theme="1"/>
        <rFont val="Times New Roman"/>
        <family val="1"/>
        <charset val="186"/>
      </rPr>
      <t>euro.</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</si>
  <si>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8.48 stundas, (9,42 </t>
    </r>
    <r>
      <rPr>
        <i/>
        <sz val="12"/>
        <color theme="1"/>
        <rFont val="Times New Roman"/>
        <family val="1"/>
        <charset val="186"/>
      </rPr>
      <t>euro</t>
    </r>
    <r>
      <rPr>
        <sz val="12"/>
        <color theme="1"/>
        <rFont val="Times New Roman"/>
        <family val="1"/>
        <charset val="186"/>
      </rPr>
      <t xml:space="preserve"> * 8.48 h) = 79,88 </t>
    </r>
    <r>
      <rPr>
        <i/>
        <sz val="12"/>
        <color theme="1"/>
        <rFont val="Times New Roman"/>
        <family val="1"/>
        <charset val="186"/>
      </rPr>
      <t>euro</t>
    </r>
    <r>
      <rPr>
        <sz val="12"/>
        <color theme="1"/>
        <rFont val="Times New Roman"/>
        <family val="1"/>
        <charset val="186"/>
      </rPr>
      <t xml:space="preserve">/mēn. * 12. mēn. = 958,56 </t>
    </r>
    <r>
      <rPr>
        <i/>
        <sz val="12"/>
        <color theme="1"/>
        <rFont val="Times New Roman"/>
        <family val="1"/>
        <charset val="186"/>
      </rPr>
      <t>euro</t>
    </r>
    <r>
      <rPr>
        <sz val="12"/>
        <color theme="1"/>
        <rFont val="Times New Roman"/>
        <family val="1"/>
        <charset val="186"/>
      </rPr>
      <t xml:space="preserve"> * 0.0115 (iznomātās platības koeficients) = 11,02 </t>
    </r>
    <r>
      <rPr>
        <i/>
        <sz val="12"/>
        <color theme="1"/>
        <rFont val="Times New Roman"/>
        <family val="1"/>
        <charset val="186"/>
      </rPr>
      <t>euro.</t>
    </r>
  </si>
  <si>
    <r>
      <t xml:space="preserve">Direktora vietnieks, Nekustamo īpašumu pārvaldīšanas departamenta vadītājs (1.1. saime, IV līmenis, 16. algu grupa, mēnešalga 4 155 </t>
    </r>
    <r>
      <rPr>
        <i/>
        <sz val="12"/>
        <color theme="1"/>
        <rFont val="Times New Roman"/>
        <family val="1"/>
        <charset val="186"/>
      </rPr>
      <t>euro</t>
    </r>
    <r>
      <rPr>
        <sz val="12"/>
        <color theme="1"/>
        <rFont val="Times New Roman"/>
        <family val="1"/>
        <charset val="186"/>
      </rPr>
      <t xml:space="preserve">). Stundas tarifa likme 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4.72 stundas, (25,09 </t>
    </r>
    <r>
      <rPr>
        <i/>
        <sz val="12"/>
        <color theme="1"/>
        <rFont val="Times New Roman"/>
        <family val="1"/>
        <charset val="186"/>
      </rPr>
      <t>euro</t>
    </r>
    <r>
      <rPr>
        <sz val="12"/>
        <color theme="1"/>
        <rFont val="Times New Roman"/>
        <family val="1"/>
        <charset val="186"/>
      </rPr>
      <t xml:space="preserve"> * 4.72 h) = 118,42 </t>
    </r>
    <r>
      <rPr>
        <i/>
        <sz val="12"/>
        <color theme="1"/>
        <rFont val="Times New Roman"/>
        <family val="1"/>
        <charset val="186"/>
      </rPr>
      <t>euro</t>
    </r>
    <r>
      <rPr>
        <sz val="12"/>
        <color theme="1"/>
        <rFont val="Times New Roman"/>
        <family val="1"/>
        <charset val="186"/>
      </rPr>
      <t xml:space="preserve">/mēn. * 12. mēn. = 1 421,04 </t>
    </r>
    <r>
      <rPr>
        <i/>
        <sz val="12"/>
        <color theme="1"/>
        <rFont val="Times New Roman"/>
        <family val="1"/>
        <charset val="186"/>
      </rPr>
      <t>euro</t>
    </r>
    <r>
      <rPr>
        <sz val="12"/>
        <color theme="1"/>
        <rFont val="Times New Roman"/>
        <family val="1"/>
        <charset val="186"/>
      </rPr>
      <t xml:space="preserve"> * 0.0115 (iznomātās platības koeficients) = 16,34 </t>
    </r>
    <r>
      <rPr>
        <i/>
        <sz val="12"/>
        <color theme="1"/>
        <rFont val="Times New Roman"/>
        <family val="1"/>
        <charset val="186"/>
      </rPr>
      <t>euro.</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</si>
  <si>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65 min., (27,18 </t>
    </r>
    <r>
      <rPr>
        <i/>
        <sz val="12"/>
        <color theme="1"/>
        <rFont val="Times New Roman"/>
        <family val="1"/>
        <charset val="186"/>
      </rPr>
      <t>euro</t>
    </r>
    <r>
      <rPr>
        <sz val="12"/>
        <color theme="1"/>
        <rFont val="Times New Roman"/>
        <family val="1"/>
        <charset val="186"/>
      </rPr>
      <t xml:space="preserve"> * 1.08 h) = 29,35 </t>
    </r>
    <r>
      <rPr>
        <i/>
        <sz val="12"/>
        <color theme="1"/>
        <rFont val="Times New Roman"/>
        <family val="1"/>
        <charset val="186"/>
      </rPr>
      <t>euro</t>
    </r>
    <r>
      <rPr>
        <sz val="12"/>
        <color theme="1"/>
        <rFont val="Times New Roman"/>
        <family val="1"/>
        <charset val="186"/>
      </rPr>
      <t xml:space="preserve">/mēn. * 12. mēn. = 352,20 </t>
    </r>
    <r>
      <rPr>
        <i/>
        <sz val="12"/>
        <color theme="1"/>
        <rFont val="Times New Roman"/>
        <family val="1"/>
        <charset val="186"/>
      </rPr>
      <t>euro</t>
    </r>
    <r>
      <rPr>
        <sz val="12"/>
        <color theme="1"/>
        <rFont val="Times New Roman"/>
        <family val="1"/>
        <charset val="186"/>
      </rPr>
      <t xml:space="preserve"> * 0.0115 (iznomātās platības koeficients) = 4,05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</si>
  <si>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11.93 stundas, (8,29 </t>
    </r>
    <r>
      <rPr>
        <i/>
        <sz val="12"/>
        <color theme="1"/>
        <rFont val="Times New Roman"/>
        <family val="1"/>
        <charset val="186"/>
      </rPr>
      <t>euro</t>
    </r>
    <r>
      <rPr>
        <sz val="12"/>
        <color theme="1"/>
        <rFont val="Times New Roman"/>
        <family val="1"/>
        <charset val="186"/>
      </rPr>
      <t xml:space="preserve"> * 11.93 h) = 98,90 </t>
    </r>
    <r>
      <rPr>
        <i/>
        <sz val="12"/>
        <color theme="1"/>
        <rFont val="Times New Roman"/>
        <family val="1"/>
        <charset val="186"/>
      </rPr>
      <t>euro</t>
    </r>
    <r>
      <rPr>
        <sz val="12"/>
        <color theme="1"/>
        <rFont val="Times New Roman"/>
        <family val="1"/>
        <charset val="186"/>
      </rPr>
      <t xml:space="preserve">/mēn. * 12. mēn. = 1 186,80 </t>
    </r>
    <r>
      <rPr>
        <i/>
        <sz val="12"/>
        <color theme="1"/>
        <rFont val="Times New Roman"/>
        <family val="1"/>
        <charset val="186"/>
      </rPr>
      <t>euro</t>
    </r>
    <r>
      <rPr>
        <sz val="12"/>
        <color theme="1"/>
        <rFont val="Times New Roman"/>
        <family val="1"/>
        <charset val="186"/>
      </rPr>
      <t xml:space="preserve"> * 0.0115 (iznomātās platības koeficients) = 13,65 </t>
    </r>
    <r>
      <rPr>
        <i/>
        <sz val="12"/>
        <color theme="1"/>
        <rFont val="Times New Roman"/>
        <family val="1"/>
        <charset val="186"/>
      </rPr>
      <t>euro.</t>
    </r>
  </si>
  <si>
    <r>
      <t xml:space="preserve">Darba devēja valsts sociālās apdrošināšanas obligātās iemaksas 65,21 </t>
    </r>
    <r>
      <rPr>
        <i/>
        <sz val="12"/>
        <color theme="1"/>
        <rFont val="Times New Roman"/>
        <family val="1"/>
        <charset val="186"/>
      </rPr>
      <t>euro</t>
    </r>
    <r>
      <rPr>
        <sz val="12"/>
        <color theme="1"/>
        <rFont val="Times New Roman"/>
        <family val="1"/>
        <charset val="186"/>
      </rPr>
      <t xml:space="preserve"> * 23,59 % = 15,38 </t>
    </r>
    <r>
      <rPr>
        <i/>
        <sz val="12"/>
        <color theme="1"/>
        <rFont val="Times New Roman"/>
        <family val="1"/>
        <charset val="186"/>
      </rPr>
      <t>euro.</t>
    </r>
  </si>
  <si>
    <t>Maksas pakalpojuma vienību skaits noteiktā laikposmā (3 numuri ar 2 gultas vietām x 23 diennaktis gadā)</t>
  </si>
  <si>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11.93 stundas, (8,29 </t>
    </r>
    <r>
      <rPr>
        <i/>
        <sz val="12"/>
        <color theme="1"/>
        <rFont val="Times New Roman"/>
        <family val="1"/>
        <charset val="186"/>
      </rPr>
      <t>euro</t>
    </r>
    <r>
      <rPr>
        <sz val="12"/>
        <color theme="1"/>
        <rFont val="Times New Roman"/>
        <family val="1"/>
        <charset val="186"/>
      </rPr>
      <t xml:space="preserve"> * 11.93 h) = 98,90 </t>
    </r>
    <r>
      <rPr>
        <i/>
        <sz val="12"/>
        <color theme="1"/>
        <rFont val="Times New Roman"/>
        <family val="1"/>
        <charset val="186"/>
      </rPr>
      <t>euro</t>
    </r>
    <r>
      <rPr>
        <sz val="12"/>
        <color theme="1"/>
        <rFont val="Times New Roman"/>
        <family val="1"/>
        <charset val="186"/>
      </rPr>
      <t xml:space="preserve">/mēn. * 12. mēn. = 1 186,80 </t>
    </r>
    <r>
      <rPr>
        <i/>
        <sz val="12"/>
        <color theme="1"/>
        <rFont val="Times New Roman"/>
        <family val="1"/>
        <charset val="186"/>
      </rPr>
      <t>euro</t>
    </r>
    <r>
      <rPr>
        <sz val="12"/>
        <color theme="1"/>
        <rFont val="Times New Roman"/>
        <family val="1"/>
        <charset val="186"/>
      </rPr>
      <t xml:space="preserve"> * 0.0217 (iznomātās platības koeficients) = 25,75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</si>
  <si>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165.58 (vid. d. stundu sk. mēnesī). Vid. mēn. noslogojums  9.02 stundas, (8,29 </t>
    </r>
    <r>
      <rPr>
        <i/>
        <sz val="12"/>
        <color theme="1"/>
        <rFont val="Times New Roman"/>
        <family val="1"/>
        <charset val="186"/>
      </rPr>
      <t>euro</t>
    </r>
    <r>
      <rPr>
        <sz val="12"/>
        <color theme="1"/>
        <rFont val="Times New Roman"/>
        <family val="1"/>
        <charset val="186"/>
      </rPr>
      <t xml:space="preserve"> * 9.02 h) = 74,78 </t>
    </r>
    <r>
      <rPr>
        <i/>
        <sz val="12"/>
        <color theme="1"/>
        <rFont val="Times New Roman"/>
        <family val="1"/>
        <charset val="186"/>
      </rPr>
      <t>euro</t>
    </r>
    <r>
      <rPr>
        <sz val="12"/>
        <color theme="1"/>
        <rFont val="Times New Roman"/>
        <family val="1"/>
        <charset val="186"/>
      </rPr>
      <t xml:space="preserve">/mēn. * 12. mēn. = 897,36 </t>
    </r>
    <r>
      <rPr>
        <i/>
        <sz val="12"/>
        <color theme="1"/>
        <rFont val="Times New Roman"/>
        <family val="1"/>
        <charset val="186"/>
      </rPr>
      <t>euro</t>
    </r>
    <r>
      <rPr>
        <sz val="12"/>
        <color theme="1"/>
        <rFont val="Times New Roman"/>
        <family val="1"/>
        <charset val="186"/>
      </rPr>
      <t xml:space="preserve"> * 0.0217 (iznomātās platības koeficients) = 19,47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</si>
  <si>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122,61 </t>
    </r>
    <r>
      <rPr>
        <i/>
        <sz val="12"/>
        <color theme="1"/>
        <rFont val="Times New Roman"/>
        <family val="1"/>
        <charset val="186"/>
      </rPr>
      <t>euro</t>
    </r>
    <r>
      <rPr>
        <sz val="12"/>
        <color theme="1"/>
        <rFont val="Times New Roman"/>
        <family val="1"/>
        <charset val="186"/>
      </rPr>
      <t xml:space="preserve"> * 23,59 % = 28,92 </t>
    </r>
    <r>
      <rPr>
        <i/>
        <sz val="12"/>
        <color theme="1"/>
        <rFont val="Times New Roman"/>
        <family val="1"/>
        <charset val="186"/>
      </rPr>
      <t>euro.</t>
    </r>
  </si>
  <si>
    <t>Maksas pakalpojuma vienību skaits noteiktā laikposmā (5 numuri ar 3 gultas vietām x 29 diennaktis gadā)</t>
  </si>
  <si>
    <t>Maksas pakalpojuma vienību skaits noteiktā laikposmā (14 numuri x 54 diennaktis gadā)</t>
  </si>
  <si>
    <t>Maksas pakalpojuma vienību skaits noteiktā laikposmā ( 1 numurs x 130 diennaktis gadā)</t>
  </si>
  <si>
    <r>
      <t xml:space="preserve">Darba devēja valsts sociālās apdrošināšanas obligātās iemaksas (1 123,70 </t>
    </r>
    <r>
      <rPr>
        <i/>
        <sz val="12"/>
        <color theme="1"/>
        <rFont val="Times New Roman"/>
        <family val="1"/>
        <charset val="186"/>
      </rPr>
      <t>euro</t>
    </r>
    <r>
      <rPr>
        <sz val="12"/>
        <color theme="1"/>
        <rFont val="Times New Roman"/>
        <family val="1"/>
        <charset val="186"/>
      </rPr>
      <t xml:space="preserve"> * 23,59 %) = 265,08 </t>
    </r>
    <r>
      <rPr>
        <i/>
        <sz val="12"/>
        <color theme="1"/>
        <rFont val="Times New Roman"/>
        <family val="1"/>
        <charset val="186"/>
      </rPr>
      <t xml:space="preserve">euro. </t>
    </r>
  </si>
  <si>
    <r>
      <t xml:space="preserve">Darba devēja valsts sociālās apdrošināšanas obligātās iemaksas 265,08 </t>
    </r>
    <r>
      <rPr>
        <i/>
        <sz val="12"/>
        <color theme="1"/>
        <rFont val="Times New Roman"/>
        <family val="1"/>
        <charset val="186"/>
      </rPr>
      <t>euro</t>
    </r>
    <r>
      <rPr>
        <sz val="12"/>
        <color theme="1"/>
        <rFont val="Times New Roman"/>
        <family val="1"/>
        <charset val="186"/>
      </rPr>
      <t xml:space="preserve">. Veselības apdrošināšana 51,07 </t>
    </r>
    <r>
      <rPr>
        <i/>
        <sz val="12"/>
        <color theme="1"/>
        <rFont val="Times New Roman"/>
        <family val="1"/>
        <charset val="186"/>
      </rPr>
      <t>euro</t>
    </r>
    <r>
      <rPr>
        <sz val="12"/>
        <color theme="1"/>
        <rFont val="Times New Roman"/>
        <family val="1"/>
        <charset val="186"/>
      </rPr>
      <t xml:space="preserve">. Kopā 315,95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</si>
  <si>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194,32 </t>
    </r>
    <r>
      <rPr>
        <i/>
        <sz val="12"/>
        <color theme="1"/>
        <rFont val="Times New Roman"/>
        <family val="1"/>
        <charset val="186"/>
      </rPr>
      <t>euro</t>
    </r>
    <r>
      <rPr>
        <sz val="12"/>
        <color theme="1"/>
        <rFont val="Times New Roman"/>
        <family val="1"/>
        <charset val="186"/>
      </rPr>
      <t xml:space="preserve"> * 23,59 % = 45,84 </t>
    </r>
    <r>
      <rPr>
        <i/>
        <sz val="12"/>
        <color theme="1"/>
        <rFont val="Times New Roman"/>
        <family val="1"/>
        <charset val="186"/>
      </rPr>
      <t>euro.</t>
    </r>
  </si>
  <si>
    <t>Maksas pakalpojuma vienību skaits noteiktā laikposmā (19 diennaktis gadā)</t>
  </si>
  <si>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58.67 stundas, (8,29 </t>
    </r>
    <r>
      <rPr>
        <i/>
        <sz val="12"/>
        <color theme="1"/>
        <rFont val="Times New Roman"/>
        <family val="1"/>
        <charset val="186"/>
      </rPr>
      <t>euro</t>
    </r>
    <r>
      <rPr>
        <sz val="12"/>
        <color theme="1"/>
        <rFont val="Times New Roman"/>
        <family val="1"/>
        <charset val="186"/>
      </rPr>
      <t xml:space="preserve"> * 58.67 h) = 486,37 </t>
    </r>
    <r>
      <rPr>
        <i/>
        <sz val="12"/>
        <color theme="1"/>
        <rFont val="Times New Roman"/>
        <family val="1"/>
        <charset val="186"/>
      </rPr>
      <t>euro</t>
    </r>
    <r>
      <rPr>
        <sz val="12"/>
        <color theme="1"/>
        <rFont val="Times New Roman"/>
        <family val="1"/>
        <charset val="186"/>
      </rPr>
      <t xml:space="preserve">/mēn. * 12. mēn. = 5 836,44 </t>
    </r>
    <r>
      <rPr>
        <i/>
        <sz val="12"/>
        <color theme="1"/>
        <rFont val="Times New Roman"/>
        <family val="1"/>
        <charset val="186"/>
      </rPr>
      <t>euro</t>
    </r>
    <r>
      <rPr>
        <sz val="12"/>
        <color theme="1"/>
        <rFont val="Times New Roman"/>
        <family val="1"/>
        <charset val="186"/>
      </rPr>
      <t xml:space="preserve"> * 0.4169 (iznomātās platības koeficients) = 2 433,21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</si>
  <si>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6 070,56 </t>
    </r>
    <r>
      <rPr>
        <i/>
        <sz val="12"/>
        <color theme="1"/>
        <rFont val="Times New Roman"/>
        <family val="1"/>
        <charset val="186"/>
      </rPr>
      <t>euro</t>
    </r>
    <r>
      <rPr>
        <sz val="12"/>
        <color theme="1"/>
        <rFont val="Times New Roman"/>
        <family val="1"/>
        <charset val="186"/>
      </rPr>
      <t xml:space="preserve"> * 23,59 % = 1 432,05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</si>
  <si>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170,38 </t>
    </r>
    <r>
      <rPr>
        <i/>
        <sz val="12"/>
        <color theme="1"/>
        <rFont val="Times New Roman"/>
        <family val="1"/>
        <charset val="186"/>
      </rPr>
      <t>euro</t>
    </r>
    <r>
      <rPr>
        <sz val="12"/>
        <color theme="1"/>
        <rFont val="Times New Roman"/>
        <family val="1"/>
        <charset val="186"/>
      </rPr>
      <t xml:space="preserve"> * 23,59 % = 40,19 </t>
    </r>
    <r>
      <rPr>
        <i/>
        <sz val="12"/>
        <color theme="1"/>
        <rFont val="Times New Roman"/>
        <family val="1"/>
        <charset val="186"/>
      </rPr>
      <t>euro.</t>
    </r>
  </si>
  <si>
    <r>
      <t xml:space="preserve">Darba devēja valsts sociālās apdrošināšanas obligātās iemaksas 1 571,02 </t>
    </r>
    <r>
      <rPr>
        <i/>
        <sz val="12"/>
        <color theme="1"/>
        <rFont val="Times New Roman"/>
        <family val="1"/>
        <charset val="186"/>
      </rPr>
      <t>euro</t>
    </r>
    <r>
      <rPr>
        <sz val="12"/>
        <color theme="1"/>
        <rFont val="Times New Roman"/>
        <family val="1"/>
        <charset val="186"/>
      </rPr>
      <t xml:space="preserve"> * 23,59 % = 370,60 </t>
    </r>
    <r>
      <rPr>
        <i/>
        <sz val="12"/>
        <color theme="1"/>
        <rFont val="Times New Roman"/>
        <family val="1"/>
        <charset val="186"/>
      </rPr>
      <t>euro</t>
    </r>
    <r>
      <rPr>
        <sz val="12"/>
        <color theme="1"/>
        <rFont val="Times New Roman"/>
        <family val="1"/>
        <charset val="186"/>
      </rPr>
      <t>.</t>
    </r>
  </si>
  <si>
    <r>
      <t xml:space="preserve">Galv. nekust. īpaš. pārvaldnieks (3. saime, III līmenis, 8. algu grupa, mēnešalga 1 358 </t>
    </r>
    <r>
      <rPr>
        <i/>
        <sz val="12"/>
        <color theme="1"/>
        <rFont val="Times New Roman"/>
        <family val="1"/>
        <charset val="186"/>
      </rPr>
      <t xml:space="preserve">euro). </t>
    </r>
    <r>
      <rPr>
        <sz val="12"/>
        <color theme="1"/>
        <rFont val="Times New Roman"/>
        <family val="1"/>
        <charset val="186"/>
      </rPr>
      <t>Stundas tarifa likme 8,20</t>
    </r>
    <r>
      <rPr>
        <i/>
        <sz val="12"/>
        <color theme="1"/>
        <rFont val="Times New Roman"/>
        <family val="1"/>
        <charset val="186"/>
      </rPr>
      <t xml:space="preserve"> euro = </t>
    </r>
    <r>
      <rPr>
        <sz val="12"/>
        <color theme="1"/>
        <rFont val="Times New Roman"/>
        <family val="1"/>
        <charset val="186"/>
      </rPr>
      <t>1 358</t>
    </r>
    <r>
      <rPr>
        <i/>
        <sz val="12"/>
        <color theme="1"/>
        <rFont val="Times New Roman"/>
        <family val="1"/>
        <charset val="186"/>
      </rPr>
      <t xml:space="preserve"> euro</t>
    </r>
    <r>
      <rPr>
        <sz val="12"/>
        <color theme="1"/>
        <rFont val="Times New Roman"/>
        <family val="1"/>
        <charset val="186"/>
      </rPr>
      <t xml:space="preserve">/ 165.58 (vid. d. stundu sk. mēnesī). Vid. mēn. noslogojums 1 stundas, (8,20 </t>
    </r>
    <r>
      <rPr>
        <i/>
        <sz val="12"/>
        <color theme="1"/>
        <rFont val="Times New Roman"/>
        <family val="1"/>
        <charset val="186"/>
      </rPr>
      <t>euro</t>
    </r>
    <r>
      <rPr>
        <sz val="12"/>
        <color theme="1"/>
        <rFont val="Times New Roman"/>
        <family val="1"/>
        <charset val="186"/>
      </rPr>
      <t xml:space="preserve"> * 1 h) = 8,20 </t>
    </r>
    <r>
      <rPr>
        <i/>
        <sz val="12"/>
        <color theme="1"/>
        <rFont val="Times New Roman"/>
        <family val="1"/>
        <charset val="186"/>
      </rPr>
      <t>euro</t>
    </r>
    <r>
      <rPr>
        <sz val="12"/>
        <color theme="1"/>
        <rFont val="Times New Roman"/>
        <family val="1"/>
        <charset val="186"/>
      </rPr>
      <t xml:space="preserve">/mēn. * 12. mēn. = 98,40 </t>
    </r>
    <r>
      <rPr>
        <i/>
        <sz val="12"/>
        <color theme="1"/>
        <rFont val="Times New Roman"/>
        <family val="1"/>
        <charset val="186"/>
      </rPr>
      <t>euro</t>
    </r>
    <r>
      <rPr>
        <sz val="12"/>
        <color theme="1"/>
        <rFont val="Times New Roman"/>
        <family val="1"/>
        <charset val="186"/>
      </rPr>
      <t xml:space="preserve"> *  0.08 (pakalpojuma īpatsvars kopējos zemes un teritorijas sniegtajos maksas pakalpojumos)  = 7,87 </t>
    </r>
    <r>
      <rPr>
        <i/>
        <sz val="12"/>
        <color theme="1"/>
        <rFont val="Times New Roman"/>
        <family val="1"/>
        <charset val="186"/>
      </rPr>
      <t>euro</t>
    </r>
    <r>
      <rPr>
        <sz val="12"/>
        <color theme="1"/>
        <rFont val="Times New Roman"/>
        <family val="1"/>
        <charset val="186"/>
      </rPr>
      <t>.</t>
    </r>
  </si>
  <si>
    <r>
      <t xml:space="preserve">Rīgas īpašumu pārvaldes nodaļas vadītājs (3. saime, V līmenis, 10. algu grupa, mēnešalga 1 923 </t>
    </r>
    <r>
      <rPr>
        <i/>
        <sz val="12"/>
        <color theme="1"/>
        <rFont val="Times New Roman"/>
        <family val="1"/>
        <charset val="186"/>
      </rPr>
      <t>euro</t>
    </r>
    <r>
      <rPr>
        <sz val="12"/>
        <color theme="1"/>
        <rFont val="Times New Roman"/>
        <family val="1"/>
        <charset val="186"/>
      </rPr>
      <t xml:space="preserve">). Stundas tarifa likme 11,61 </t>
    </r>
    <r>
      <rPr>
        <i/>
        <sz val="12"/>
        <color theme="1"/>
        <rFont val="Times New Roman"/>
        <family val="1"/>
        <charset val="186"/>
      </rPr>
      <t>euro</t>
    </r>
    <r>
      <rPr>
        <sz val="12"/>
        <color theme="1"/>
        <rFont val="Times New Roman"/>
        <family val="1"/>
        <charset val="186"/>
      </rPr>
      <t xml:space="preserve"> = 1 923 </t>
    </r>
    <r>
      <rPr>
        <i/>
        <sz val="12"/>
        <color theme="1"/>
        <rFont val="Times New Roman"/>
        <family val="1"/>
        <charset val="186"/>
      </rPr>
      <t>euro</t>
    </r>
    <r>
      <rPr>
        <sz val="12"/>
        <color theme="1"/>
        <rFont val="Times New Roman"/>
        <family val="1"/>
        <charset val="186"/>
      </rPr>
      <t xml:space="preserve"> / 165.58 (vid. d. stundu sk. mēnesī). Vid. mēn. noslogojums 30 min., (11,61 </t>
    </r>
    <r>
      <rPr>
        <i/>
        <sz val="12"/>
        <color theme="1"/>
        <rFont val="Times New Roman"/>
        <family val="1"/>
        <charset val="186"/>
      </rPr>
      <t>euro</t>
    </r>
    <r>
      <rPr>
        <sz val="12"/>
        <color theme="1"/>
        <rFont val="Times New Roman"/>
        <family val="1"/>
        <charset val="186"/>
      </rPr>
      <t xml:space="preserve"> * 0.5 h) = 5,80 </t>
    </r>
    <r>
      <rPr>
        <i/>
        <sz val="12"/>
        <color theme="1"/>
        <rFont val="Times New Roman"/>
        <family val="1"/>
        <charset val="186"/>
      </rPr>
      <t>euro</t>
    </r>
    <r>
      <rPr>
        <sz val="12"/>
        <color theme="1"/>
        <rFont val="Times New Roman"/>
        <family val="1"/>
        <charset val="186"/>
      </rPr>
      <t xml:space="preserve">/mēn. * 12. mēn. = 69,60 </t>
    </r>
    <r>
      <rPr>
        <i/>
        <sz val="12"/>
        <color theme="1"/>
        <rFont val="Times New Roman"/>
        <family val="1"/>
        <charset val="186"/>
      </rPr>
      <t>euro</t>
    </r>
    <r>
      <rPr>
        <sz val="12"/>
        <color theme="1"/>
        <rFont val="Times New Roman"/>
        <family val="1"/>
        <charset val="186"/>
      </rPr>
      <t xml:space="preserve"> *  0.08 (pakalpojuma īpatsvars kopējos zemes un teritorijas sniegtajos maksas pakalpojumos) = 5,57 </t>
    </r>
    <r>
      <rPr>
        <i/>
        <sz val="12"/>
        <color theme="1"/>
        <rFont val="Times New Roman"/>
        <family val="1"/>
        <charset val="186"/>
      </rPr>
      <t>euro.</t>
    </r>
  </si>
  <si>
    <r>
      <t xml:space="preserve">Vecākais lietvedis (20.3. saime, II līmenis, 7. algu grupa, mēnešalga 1 255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1 255 </t>
    </r>
    <r>
      <rPr>
        <i/>
        <sz val="12"/>
        <color theme="1"/>
        <rFont val="Times New Roman"/>
        <family val="1"/>
        <charset val="186"/>
      </rPr>
      <t>euro</t>
    </r>
    <r>
      <rPr>
        <sz val="12"/>
        <color theme="1"/>
        <rFont val="Times New Roman"/>
        <family val="1"/>
        <charset val="186"/>
      </rPr>
      <t xml:space="preserve"> / 165.58 (vid. d. stundu sk. mēnesī). Vid. mēn. noslogojums 4 min., (7,58 </t>
    </r>
    <r>
      <rPr>
        <i/>
        <sz val="12"/>
        <color theme="1"/>
        <rFont val="Times New Roman"/>
        <family val="1"/>
        <charset val="186"/>
      </rPr>
      <t>euro</t>
    </r>
    <r>
      <rPr>
        <sz val="12"/>
        <color theme="1"/>
        <rFont val="Times New Roman"/>
        <family val="1"/>
        <charset val="186"/>
      </rPr>
      <t xml:space="preserve"> * 0.07 h) = 0,53 </t>
    </r>
    <r>
      <rPr>
        <i/>
        <sz val="12"/>
        <color theme="1"/>
        <rFont val="Times New Roman"/>
        <family val="1"/>
        <charset val="186"/>
      </rPr>
      <t>euro</t>
    </r>
    <r>
      <rPr>
        <sz val="12"/>
        <color theme="1"/>
        <rFont val="Times New Roman"/>
        <family val="1"/>
        <charset val="186"/>
      </rPr>
      <t xml:space="preserve">/mēn. * 12. mēn. = 6,36 euro *  0.08 (pakalpojuma īpatsvars kopējos zemes un teritorijas sniegtajos maksas pakalpojumos) = 0,51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</si>
  <si>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 xml:space="preserve">euro). </t>
    </r>
    <r>
      <rPr>
        <sz val="12"/>
        <color theme="1"/>
        <rFont val="Times New Roman"/>
        <family val="1"/>
        <charset val="186"/>
      </rPr>
      <t>Stundas tarifa likme 11,31</t>
    </r>
    <r>
      <rPr>
        <i/>
        <sz val="12"/>
        <color theme="1"/>
        <rFont val="Times New Roman"/>
        <family val="1"/>
        <charset val="186"/>
      </rPr>
      <t xml:space="preserve"> 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165.58 (vid. d. stundu sk. mēnesī). Vid. mēn. noslogojums 10 min., (11,31 </t>
    </r>
    <r>
      <rPr>
        <i/>
        <sz val="12"/>
        <color theme="1"/>
        <rFont val="Times New Roman"/>
        <family val="1"/>
        <charset val="186"/>
      </rPr>
      <t>euro</t>
    </r>
    <r>
      <rPr>
        <sz val="12"/>
        <color theme="1"/>
        <rFont val="Times New Roman"/>
        <family val="1"/>
        <charset val="186"/>
      </rPr>
      <t xml:space="preserve"> * 0.17 h) = 1,92 </t>
    </r>
    <r>
      <rPr>
        <i/>
        <sz val="12"/>
        <color theme="1"/>
        <rFont val="Times New Roman"/>
        <family val="1"/>
        <charset val="186"/>
      </rPr>
      <t>euro</t>
    </r>
    <r>
      <rPr>
        <sz val="12"/>
        <color theme="1"/>
        <rFont val="Times New Roman"/>
        <family val="1"/>
        <charset val="186"/>
      </rPr>
      <t xml:space="preserve">/mēn. * 12. mēn. = 23,04 </t>
    </r>
    <r>
      <rPr>
        <i/>
        <sz val="12"/>
        <color theme="1"/>
        <rFont val="Times New Roman"/>
        <family val="1"/>
        <charset val="186"/>
      </rPr>
      <t>euro</t>
    </r>
    <r>
      <rPr>
        <sz val="12"/>
        <color theme="1"/>
        <rFont val="Times New Roman"/>
        <family val="1"/>
        <charset val="186"/>
      </rPr>
      <t xml:space="preserve"> * 0.08 (pakalpojuma īpatsvars kopējos zemes un teritorijas sniegtajos maksas pakalpojumos) = 1,84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</si>
  <si>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15 min., (15,15 </t>
    </r>
    <r>
      <rPr>
        <i/>
        <sz val="12"/>
        <color theme="1"/>
        <rFont val="Times New Roman"/>
        <family val="1"/>
        <charset val="186"/>
      </rPr>
      <t>euro</t>
    </r>
    <r>
      <rPr>
        <sz val="12"/>
        <color theme="1"/>
        <rFont val="Times New Roman"/>
        <family val="1"/>
        <charset val="186"/>
      </rPr>
      <t xml:space="preserve"> * 0.25 h) = 3,79 </t>
    </r>
    <r>
      <rPr>
        <i/>
        <sz val="12"/>
        <color theme="1"/>
        <rFont val="Times New Roman"/>
        <family val="1"/>
        <charset val="186"/>
      </rPr>
      <t>euro</t>
    </r>
    <r>
      <rPr>
        <sz val="12"/>
        <color theme="1"/>
        <rFont val="Times New Roman"/>
        <family val="1"/>
        <charset val="186"/>
      </rPr>
      <t xml:space="preserve">/mēn. * 12. mēn. = 45,48 </t>
    </r>
    <r>
      <rPr>
        <i/>
        <sz val="12"/>
        <color theme="1"/>
        <rFont val="Times New Roman"/>
        <family val="1"/>
        <charset val="186"/>
      </rPr>
      <t>euro</t>
    </r>
    <r>
      <rPr>
        <sz val="12"/>
        <color theme="1"/>
        <rFont val="Times New Roman"/>
        <family val="1"/>
        <charset val="186"/>
      </rPr>
      <t xml:space="preserve"> *  0.08 (pakalpojuma īpatsvars kopējos zemes un teritorijas sniegtajos maksas pakalpojumos) = 3,64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</si>
  <si>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6 min., (12,17 </t>
    </r>
    <r>
      <rPr>
        <i/>
        <sz val="12"/>
        <color theme="1"/>
        <rFont val="Times New Roman"/>
        <family val="1"/>
        <charset val="186"/>
      </rPr>
      <t>euro</t>
    </r>
    <r>
      <rPr>
        <sz val="12"/>
        <color theme="1"/>
        <rFont val="Times New Roman"/>
        <family val="1"/>
        <charset val="186"/>
      </rPr>
      <t xml:space="preserve"> * 0.1 h) = 1,22 </t>
    </r>
    <r>
      <rPr>
        <i/>
        <sz val="12"/>
        <color theme="1"/>
        <rFont val="Times New Roman"/>
        <family val="1"/>
        <charset val="186"/>
      </rPr>
      <t>euro</t>
    </r>
    <r>
      <rPr>
        <sz val="12"/>
        <color theme="1"/>
        <rFont val="Times New Roman"/>
        <family val="1"/>
        <charset val="186"/>
      </rPr>
      <t xml:space="preserve">/mēn. * 12. mēn. = 14,64 </t>
    </r>
    <r>
      <rPr>
        <i/>
        <sz val="12"/>
        <color theme="1"/>
        <rFont val="Times New Roman"/>
        <family val="1"/>
        <charset val="186"/>
      </rPr>
      <t>euro</t>
    </r>
    <r>
      <rPr>
        <sz val="12"/>
        <color theme="1"/>
        <rFont val="Times New Roman"/>
        <family val="1"/>
        <charset val="186"/>
      </rPr>
      <t xml:space="preserve"> *  0.08 (pakalpojuma īpatsvars kopējos zemes un teritorijas sniegtajos maksas pakalpojumos)) = 1,17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</si>
  <si>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30 min., (8,29 </t>
    </r>
    <r>
      <rPr>
        <i/>
        <sz val="12"/>
        <color theme="1"/>
        <rFont val="Times New Roman"/>
        <family val="1"/>
        <charset val="186"/>
      </rPr>
      <t>euro</t>
    </r>
    <r>
      <rPr>
        <sz val="12"/>
        <color theme="1"/>
        <rFont val="Times New Roman"/>
        <family val="1"/>
        <charset val="186"/>
      </rPr>
      <t xml:space="preserve"> * 0.5 h) = 4,15 </t>
    </r>
    <r>
      <rPr>
        <i/>
        <sz val="12"/>
        <color theme="1"/>
        <rFont val="Times New Roman"/>
        <family val="1"/>
        <charset val="186"/>
      </rPr>
      <t>euro</t>
    </r>
    <r>
      <rPr>
        <sz val="12"/>
        <color theme="1"/>
        <rFont val="Times New Roman"/>
        <family val="1"/>
        <charset val="186"/>
      </rPr>
      <t xml:space="preserve">/mēn. * 12. mēn. = 49,80 </t>
    </r>
    <r>
      <rPr>
        <i/>
        <sz val="12"/>
        <color theme="1"/>
        <rFont val="Times New Roman"/>
        <family val="1"/>
        <charset val="186"/>
      </rPr>
      <t>euro</t>
    </r>
    <r>
      <rPr>
        <sz val="12"/>
        <color theme="1"/>
        <rFont val="Times New Roman"/>
        <family val="1"/>
        <charset val="186"/>
      </rPr>
      <t xml:space="preserve"> *  0.08 (pakalpojuma īpatsvars kopējos zemes un teritorijas sniegtajos maksas pakalpojumos) = 3,98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</si>
  <si>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30 min., (9,42 </t>
    </r>
    <r>
      <rPr>
        <i/>
        <sz val="12"/>
        <color theme="1"/>
        <rFont val="Times New Roman"/>
        <family val="1"/>
        <charset val="186"/>
      </rPr>
      <t>euro</t>
    </r>
    <r>
      <rPr>
        <sz val="12"/>
        <color theme="1"/>
        <rFont val="Times New Roman"/>
        <family val="1"/>
        <charset val="186"/>
      </rPr>
      <t xml:space="preserve"> * 0.5 h) = 4,71 </t>
    </r>
    <r>
      <rPr>
        <i/>
        <sz val="12"/>
        <color theme="1"/>
        <rFont val="Times New Roman"/>
        <family val="1"/>
        <charset val="186"/>
      </rPr>
      <t>euro</t>
    </r>
    <r>
      <rPr>
        <sz val="12"/>
        <color theme="1"/>
        <rFont val="Times New Roman"/>
        <family val="1"/>
        <charset val="186"/>
      </rPr>
      <t xml:space="preserve">/mēn. * 12. mēn. = 56,52 </t>
    </r>
    <r>
      <rPr>
        <i/>
        <sz val="12"/>
        <color theme="1"/>
        <rFont val="Times New Roman"/>
        <family val="1"/>
        <charset val="186"/>
      </rPr>
      <t>euro</t>
    </r>
    <r>
      <rPr>
        <sz val="12"/>
        <color theme="1"/>
        <rFont val="Times New Roman"/>
        <family val="1"/>
        <charset val="186"/>
      </rPr>
      <t xml:space="preserve"> *  0.08 (pakalpojuma īpatsvars kopējos zemes un teritorijas sniegtajos maksas pakalpojumos) = 4,52 </t>
    </r>
    <r>
      <rPr>
        <i/>
        <sz val="12"/>
        <color theme="1"/>
        <rFont val="Times New Roman"/>
        <family val="1"/>
        <charset val="186"/>
      </rPr>
      <t>euro</t>
    </r>
    <r>
      <rPr>
        <sz val="12"/>
        <color theme="1"/>
        <rFont val="Times New Roman"/>
        <family val="1"/>
        <charset val="186"/>
      </rPr>
      <t>.</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</si>
  <si>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20 min., (8,29 </t>
    </r>
    <r>
      <rPr>
        <i/>
        <sz val="12"/>
        <color theme="1"/>
        <rFont val="Times New Roman"/>
        <family val="1"/>
        <charset val="186"/>
      </rPr>
      <t>euro</t>
    </r>
    <r>
      <rPr>
        <sz val="12"/>
        <color theme="1"/>
        <rFont val="Times New Roman"/>
        <family val="1"/>
        <charset val="186"/>
      </rPr>
      <t xml:space="preserve"> * 0.33 h) = 2,74 </t>
    </r>
    <r>
      <rPr>
        <i/>
        <sz val="12"/>
        <color theme="1"/>
        <rFont val="Times New Roman"/>
        <family val="1"/>
        <charset val="186"/>
      </rPr>
      <t>euro</t>
    </r>
    <r>
      <rPr>
        <sz val="12"/>
        <color theme="1"/>
        <rFont val="Times New Roman"/>
        <family val="1"/>
        <charset val="186"/>
      </rPr>
      <t xml:space="preserve">/mēn. * 12. mēn. = 32,88 </t>
    </r>
    <r>
      <rPr>
        <i/>
        <sz val="12"/>
        <color theme="1"/>
        <rFont val="Times New Roman"/>
        <family val="1"/>
        <charset val="186"/>
      </rPr>
      <t>euro</t>
    </r>
    <r>
      <rPr>
        <sz val="12"/>
        <color theme="1"/>
        <rFont val="Times New Roman"/>
        <family val="1"/>
        <charset val="186"/>
      </rPr>
      <t xml:space="preserve"> *  0.08 (pakalpojuma īpatsvars kopējos zemes un teritorijas sniegtajos maksas pakalpojumos) = 2,63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</si>
  <si>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euro). Stundas tarifa likme 24,53 euro = 4 062 euro / 165.58 (vid. d. stundu sk. mēnesī). Vid. mēn. noslogojums 6 min., (24,53 euro * 0.1 h) = 2,45 euro/mēn. * 12. mēn. =29,40 euro *  0.08 (pakalpojuma īpatsvars kopējos zemes un teritorijas sniegtajos maksas pakalpojumos) = 2,35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</si>
  <si>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4 min., (27,18 </t>
    </r>
    <r>
      <rPr>
        <i/>
        <sz val="12"/>
        <color theme="1"/>
        <rFont val="Times New Roman"/>
        <family val="1"/>
        <charset val="186"/>
      </rPr>
      <t>euro</t>
    </r>
    <r>
      <rPr>
        <sz val="12"/>
        <color rgb="FFFF0000"/>
        <rFont val="Times New Roman"/>
        <family val="1"/>
        <charset val="186"/>
      </rPr>
      <t xml:space="preserve"> </t>
    </r>
    <r>
      <rPr>
        <sz val="12"/>
        <color theme="1"/>
        <rFont val="Times New Roman"/>
        <family val="1"/>
        <charset val="186"/>
      </rPr>
      <t xml:space="preserve">* 0.07 h) = 1,90 </t>
    </r>
    <r>
      <rPr>
        <i/>
        <sz val="12"/>
        <color theme="1"/>
        <rFont val="Times New Roman"/>
        <family val="1"/>
        <charset val="186"/>
      </rPr>
      <t>euro</t>
    </r>
    <r>
      <rPr>
        <sz val="12"/>
        <color theme="1"/>
        <rFont val="Times New Roman"/>
        <family val="1"/>
        <charset val="186"/>
      </rPr>
      <t xml:space="preserve">/mēn. * 12. mēn. = 22,80 </t>
    </r>
    <r>
      <rPr>
        <i/>
        <sz val="12"/>
        <color theme="1"/>
        <rFont val="Times New Roman"/>
        <family val="1"/>
        <charset val="186"/>
      </rPr>
      <t>euro</t>
    </r>
    <r>
      <rPr>
        <sz val="12"/>
        <color theme="1"/>
        <rFont val="Times New Roman"/>
        <family val="1"/>
        <charset val="186"/>
      </rPr>
      <t xml:space="preserve"> * 0.08 (pakalpojuma īpatsvars kopējos zemes un teritorijas sniegtajos maksas pakalpojumos) = 1,82 </t>
    </r>
    <r>
      <rPr>
        <i/>
        <sz val="12"/>
        <color theme="1"/>
        <rFont val="Times New Roman"/>
        <family val="1"/>
        <charset val="186"/>
      </rPr>
      <t>euro.</t>
    </r>
  </si>
  <si>
    <r>
      <t xml:space="preserve">Teritorijas uzkopšanas, apsardzes, apsaimniekošanas, apdrošināšanas izdevumi 716,01 </t>
    </r>
    <r>
      <rPr>
        <i/>
        <sz val="12"/>
        <color theme="1"/>
        <rFont val="Times New Roman"/>
        <family val="1"/>
        <charset val="186"/>
      </rPr>
      <t>euro</t>
    </r>
    <r>
      <rPr>
        <sz val="12"/>
        <color theme="1"/>
        <rFont val="Times New Roman"/>
        <family val="1"/>
        <charset val="186"/>
      </rPr>
      <t xml:space="preserve"> gadā *  0.08 (pakalpojuma īpatsvars kopējos zemes un teritorijas sniegtajos maksas pakalpojumos) = 62,08 </t>
    </r>
    <r>
      <rPr>
        <i/>
        <sz val="12"/>
        <color theme="1"/>
        <rFont val="Times New Roman"/>
        <family val="1"/>
        <charset val="186"/>
      </rPr>
      <t>euro.</t>
    </r>
  </si>
  <si>
    <r>
      <t xml:space="preserve">Zemes nomas izdevumi 34,88  </t>
    </r>
    <r>
      <rPr>
        <i/>
        <sz val="12"/>
        <color theme="1"/>
        <rFont val="Times New Roman"/>
        <family val="1"/>
        <charset val="186"/>
      </rPr>
      <t>euro</t>
    </r>
    <r>
      <rPr>
        <sz val="12"/>
        <color theme="1"/>
        <rFont val="Times New Roman"/>
        <family val="1"/>
        <charset val="186"/>
      </rPr>
      <t xml:space="preserve"> gadā * 0.08 (pakalpojuma īpatsvars kopējos zemes un teritorijas sniegtajos maksas pakalpojumos) = 2,79 </t>
    </r>
    <r>
      <rPr>
        <i/>
        <sz val="12"/>
        <color theme="1"/>
        <rFont val="Times New Roman"/>
        <family val="1"/>
        <charset val="186"/>
      </rPr>
      <t>euro.</t>
    </r>
  </si>
  <si>
    <r>
      <t xml:space="preserve">Nekustamā īpašuma nodoklis 60,58 </t>
    </r>
    <r>
      <rPr>
        <i/>
        <sz val="12"/>
        <color theme="1"/>
        <rFont val="Times New Roman"/>
        <family val="1"/>
        <charset val="186"/>
      </rPr>
      <t>euro</t>
    </r>
    <r>
      <rPr>
        <sz val="12"/>
        <color theme="1"/>
        <rFont val="Times New Roman"/>
        <family val="1"/>
        <charset val="186"/>
      </rPr>
      <t xml:space="preserve"> gadā *  0.08 (pakalpojuma īpatsvars kopējos zemes un teritorijas sniegtajos maksas pakalpojumos) = 4,85 </t>
    </r>
    <r>
      <rPr>
        <i/>
        <sz val="12"/>
        <color theme="1"/>
        <rFont val="Times New Roman"/>
        <family val="1"/>
        <charset val="186"/>
      </rPr>
      <t>euro.</t>
    </r>
  </si>
  <si>
    <r>
      <t xml:space="preserve">Vadošais personāla speciālists (34. saime, III līmenis, 11. algu grupa, mēnešalga 1 900 </t>
    </r>
    <r>
      <rPr>
        <i/>
        <sz val="12"/>
        <color theme="1"/>
        <rFont val="Times New Roman"/>
        <family val="1"/>
        <charset val="186"/>
      </rPr>
      <t xml:space="preserve">euro). </t>
    </r>
    <r>
      <rPr>
        <sz val="12"/>
        <color theme="1"/>
        <rFont val="Times New Roman"/>
        <family val="1"/>
        <charset val="186"/>
      </rPr>
      <t xml:space="preserve">Stundas tarifa likme 11,47 </t>
    </r>
    <r>
      <rPr>
        <i/>
        <sz val="12"/>
        <color theme="1"/>
        <rFont val="Times New Roman"/>
        <family val="1"/>
        <charset val="186"/>
      </rPr>
      <t xml:space="preserve">euro = </t>
    </r>
    <r>
      <rPr>
        <sz val="12"/>
        <color theme="1"/>
        <rFont val="Times New Roman"/>
        <family val="1"/>
        <charset val="186"/>
      </rPr>
      <t xml:space="preserve">1 900 </t>
    </r>
    <r>
      <rPr>
        <i/>
        <sz val="12"/>
        <color theme="1"/>
        <rFont val="Times New Roman"/>
        <family val="1"/>
        <charset val="186"/>
      </rPr>
      <t>euro</t>
    </r>
    <r>
      <rPr>
        <sz val="12"/>
        <color theme="1"/>
        <rFont val="Times New Roman"/>
        <family val="1"/>
        <charset val="186"/>
      </rPr>
      <t xml:space="preserve"> / 165.58 (vid. d. stundu sk. mēnesī). Vid. mēn. noslogojums 20 min, (11,47 </t>
    </r>
    <r>
      <rPr>
        <i/>
        <sz val="12"/>
        <color theme="1"/>
        <rFont val="Times New Roman"/>
        <family val="1"/>
        <charset val="186"/>
      </rPr>
      <t>euro</t>
    </r>
    <r>
      <rPr>
        <sz val="12"/>
        <color theme="1"/>
        <rFont val="Times New Roman"/>
        <family val="1"/>
        <charset val="186"/>
      </rPr>
      <t xml:space="preserve"> * 0.33 h) = 3,79 </t>
    </r>
    <r>
      <rPr>
        <i/>
        <sz val="12"/>
        <color theme="1"/>
        <rFont val="Times New Roman"/>
        <family val="1"/>
        <charset val="186"/>
      </rPr>
      <t>euro</t>
    </r>
    <r>
      <rPr>
        <sz val="12"/>
        <color theme="1"/>
        <rFont val="Times New Roman"/>
        <family val="1"/>
        <charset val="186"/>
      </rPr>
      <t xml:space="preserve">/mēn. * 12. mēn. = 45,48 </t>
    </r>
    <r>
      <rPr>
        <i/>
        <sz val="12"/>
        <color theme="1"/>
        <rFont val="Times New Roman"/>
        <family val="1"/>
        <charset val="186"/>
      </rPr>
      <t>euro</t>
    </r>
    <r>
      <rPr>
        <sz val="12"/>
        <color theme="1"/>
        <rFont val="Times New Roman"/>
        <family val="1"/>
        <charset val="186"/>
      </rPr>
      <t xml:space="preserve"> * 0.45 (pakalpojuma īpatsvars kopējos ēkā sniegtajos pakalpojumos) = 20,47 </t>
    </r>
    <r>
      <rPr>
        <i/>
        <sz val="12"/>
        <color theme="1"/>
        <rFont val="Times New Roman"/>
        <family val="1"/>
        <charset val="186"/>
      </rPr>
      <t>euro</t>
    </r>
    <r>
      <rPr>
        <sz val="12"/>
        <color theme="1"/>
        <rFont val="Times New Roman"/>
        <family val="1"/>
        <charset val="186"/>
      </rPr>
      <t>.</t>
    </r>
  </si>
  <si>
    <r>
      <t xml:space="preserve">Jurists (24. saime, III līmenis, 11. algu grupa, mēnešalga 1 900 </t>
    </r>
    <r>
      <rPr>
        <i/>
        <sz val="12"/>
        <color theme="1"/>
        <rFont val="Times New Roman"/>
        <family val="1"/>
        <charset val="186"/>
      </rPr>
      <t xml:space="preserve">euro). </t>
    </r>
    <r>
      <rPr>
        <sz val="12"/>
        <color theme="1"/>
        <rFont val="Times New Roman"/>
        <family val="1"/>
        <charset val="186"/>
      </rPr>
      <t>Stundas tarifa likme 11,47</t>
    </r>
    <r>
      <rPr>
        <i/>
        <sz val="12"/>
        <color theme="1"/>
        <rFont val="Times New Roman"/>
        <family val="1"/>
        <charset val="186"/>
      </rPr>
      <t xml:space="preserve"> euro</t>
    </r>
    <r>
      <rPr>
        <sz val="12"/>
        <color theme="1"/>
        <rFont val="Times New Roman"/>
        <family val="1"/>
        <charset val="186"/>
      </rPr>
      <t xml:space="preserve"> = 1 900 </t>
    </r>
    <r>
      <rPr>
        <i/>
        <sz val="12"/>
        <color theme="1"/>
        <rFont val="Times New Roman"/>
        <family val="1"/>
        <charset val="186"/>
      </rPr>
      <t>euro</t>
    </r>
    <r>
      <rPr>
        <sz val="12"/>
        <color theme="1"/>
        <rFont val="Times New Roman"/>
        <family val="1"/>
        <charset val="186"/>
      </rPr>
      <t xml:space="preserve"> / 165.58 (vid. d. stundu sk. mēnesī). Vid. mēn. noslogojums 20 min., (11,47 </t>
    </r>
    <r>
      <rPr>
        <i/>
        <sz val="12"/>
        <color theme="1"/>
        <rFont val="Times New Roman"/>
        <family val="1"/>
        <charset val="186"/>
      </rPr>
      <t>euro</t>
    </r>
    <r>
      <rPr>
        <sz val="12"/>
        <color theme="1"/>
        <rFont val="Times New Roman"/>
        <family val="1"/>
        <charset val="186"/>
      </rPr>
      <t xml:space="preserve"> * 0.33 h) = 3,79 </t>
    </r>
    <r>
      <rPr>
        <i/>
        <sz val="12"/>
        <color theme="1"/>
        <rFont val="Times New Roman"/>
        <family val="1"/>
        <charset val="186"/>
      </rPr>
      <t>euro</t>
    </r>
    <r>
      <rPr>
        <sz val="12"/>
        <color theme="1"/>
        <rFont val="Times New Roman"/>
        <family val="1"/>
        <charset val="186"/>
      </rPr>
      <t xml:space="preserve">/mēn. * 12. mēn. = 44,48 </t>
    </r>
    <r>
      <rPr>
        <i/>
        <sz val="12"/>
        <color theme="1"/>
        <rFont val="Times New Roman"/>
        <family val="1"/>
        <charset val="186"/>
      </rPr>
      <t>euro</t>
    </r>
    <r>
      <rPr>
        <sz val="12"/>
        <color theme="1"/>
        <rFont val="Times New Roman"/>
        <family val="1"/>
        <charset val="186"/>
      </rPr>
      <t xml:space="preserve"> * 0.45 (pakalpojuma īpatsvars kopējos ēkā sniegtajos pakalpojumos) = 20,47 </t>
    </r>
    <r>
      <rPr>
        <i/>
        <sz val="12"/>
        <color theme="1"/>
        <rFont val="Times New Roman"/>
        <family val="1"/>
        <charset val="186"/>
      </rPr>
      <t>euro</t>
    </r>
    <r>
      <rPr>
        <sz val="12"/>
        <color theme="1"/>
        <rFont val="Times New Roman"/>
        <family val="1"/>
        <charset val="186"/>
      </rPr>
      <t>.</t>
    </r>
  </si>
  <si>
    <r>
      <t xml:space="preserve">Darba devēja valsts sociālās apdrošināšanas obligātās iemaksas 23,59 %, 978,29 </t>
    </r>
    <r>
      <rPr>
        <i/>
        <sz val="12"/>
        <color theme="1"/>
        <rFont val="Times New Roman"/>
        <family val="1"/>
        <charset val="186"/>
      </rPr>
      <t>euro</t>
    </r>
    <r>
      <rPr>
        <sz val="12"/>
        <color theme="1"/>
        <rFont val="Times New Roman"/>
        <family val="1"/>
        <charset val="186"/>
      </rPr>
      <t xml:space="preserve">. Veselības apdrošināšana 188,51 </t>
    </r>
    <r>
      <rPr>
        <i/>
        <sz val="12"/>
        <color theme="1"/>
        <rFont val="Times New Roman"/>
        <family val="1"/>
        <charset val="186"/>
      </rPr>
      <t>euro</t>
    </r>
    <r>
      <rPr>
        <sz val="12"/>
        <color theme="1"/>
        <rFont val="Times New Roman"/>
        <family val="1"/>
        <charset val="186"/>
      </rPr>
      <t xml:space="preserve">, Kopā 1 166,80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</si>
  <si>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4 155 </t>
    </r>
    <r>
      <rPr>
        <i/>
        <sz val="12"/>
        <color theme="1"/>
        <rFont val="Times New Roman"/>
        <family val="1"/>
        <charset val="186"/>
      </rPr>
      <t xml:space="preserve">euro). </t>
    </r>
    <r>
      <rPr>
        <sz val="12"/>
        <color theme="1"/>
        <rFont val="Times New Roman"/>
        <family val="1"/>
        <charset val="186"/>
      </rPr>
      <t>Stundas tarifa likme</t>
    </r>
    <r>
      <rPr>
        <i/>
        <sz val="12"/>
        <color theme="1"/>
        <rFont val="Times New Roman"/>
        <family val="1"/>
        <charset val="186"/>
      </rPr>
      <t xml:space="preserve"> </t>
    </r>
    <r>
      <rPr>
        <sz val="12"/>
        <color theme="1"/>
        <rFont val="Times New Roman"/>
        <family val="1"/>
        <charset val="186"/>
      </rPr>
      <t xml:space="preserve">25,09 </t>
    </r>
    <r>
      <rPr>
        <i/>
        <sz val="12"/>
        <color theme="1"/>
        <rFont val="Times New Roman"/>
        <family val="1"/>
        <charset val="186"/>
      </rPr>
      <t>euro</t>
    </r>
    <r>
      <rPr>
        <sz val="12"/>
        <color theme="1"/>
        <rFont val="Times New Roman"/>
        <family val="1"/>
        <charset val="186"/>
      </rPr>
      <t xml:space="preserve"> = 4 155 </t>
    </r>
    <r>
      <rPr>
        <i/>
        <sz val="12"/>
        <color theme="1"/>
        <rFont val="Times New Roman"/>
        <family val="1"/>
        <charset val="186"/>
      </rPr>
      <t>euro</t>
    </r>
    <r>
      <rPr>
        <sz val="12"/>
        <color theme="1"/>
        <rFont val="Times New Roman"/>
        <family val="1"/>
        <charset val="186"/>
      </rPr>
      <t xml:space="preserve"> / 165.58 (vid. d. stundu sk. mēnesī). Vid. mēn. noslogojums 73 minūtes, (25,09 </t>
    </r>
    <r>
      <rPr>
        <i/>
        <sz val="12"/>
        <color theme="1"/>
        <rFont val="Times New Roman"/>
        <family val="1"/>
        <charset val="186"/>
      </rPr>
      <t>euro</t>
    </r>
    <r>
      <rPr>
        <sz val="12"/>
        <color theme="1"/>
        <rFont val="Times New Roman"/>
        <family val="1"/>
        <charset val="186"/>
      </rPr>
      <t xml:space="preserve"> * 1.22 h) = 30,61 </t>
    </r>
    <r>
      <rPr>
        <i/>
        <sz val="12"/>
        <color theme="1"/>
        <rFont val="Times New Roman"/>
        <family val="1"/>
        <charset val="186"/>
      </rPr>
      <t>euro</t>
    </r>
    <r>
      <rPr>
        <sz val="12"/>
        <color theme="1"/>
        <rFont val="Times New Roman"/>
        <family val="1"/>
        <charset val="186"/>
      </rPr>
      <t xml:space="preserve">/mēn. * 12. mēn. = 367,32 </t>
    </r>
    <r>
      <rPr>
        <i/>
        <sz val="12"/>
        <color theme="1"/>
        <rFont val="Times New Roman"/>
        <family val="1"/>
        <charset val="186"/>
      </rPr>
      <t>euro</t>
    </r>
    <r>
      <rPr>
        <sz val="12"/>
        <color theme="1"/>
        <rFont val="Times New Roman"/>
        <family val="1"/>
        <charset val="186"/>
      </rPr>
      <t xml:space="preserve"> * 0.45 (pakalpojuma īpatsvars kopējos ēkā sniegtajos pakalpojumos) = 165,29 </t>
    </r>
    <r>
      <rPr>
        <i/>
        <sz val="12"/>
        <color theme="1"/>
        <rFont val="Times New Roman"/>
        <family val="1"/>
        <charset val="186"/>
      </rPr>
      <t>euro</t>
    </r>
    <r>
      <rPr>
        <sz val="12"/>
        <color theme="1"/>
        <rFont val="Times New Roman"/>
        <family val="1"/>
        <charset val="186"/>
      </rPr>
      <t>.</t>
    </r>
  </si>
  <si>
    <t xml:space="preserve">Ministru kabineta noteikumu projekta ''Nodrošinājuma valsts aģenturas maksas pakalpojumu </t>
  </si>
  <si>
    <t>cenrādis" sākotnējās ietekmes novērtējuma ziņojumam (anotācijai)</t>
  </si>
  <si>
    <t>1. pielikums</t>
  </si>
  <si>
    <r>
      <t xml:space="preserve">3. Maksas pakalpojuma veids </t>
    </r>
    <r>
      <rPr>
        <b/>
        <sz val="12"/>
        <color theme="1"/>
        <rFont val="Times New Roman"/>
        <family val="1"/>
        <charset val="186"/>
      </rPr>
      <t>-</t>
    </r>
    <r>
      <rPr>
        <b/>
        <sz val="14"/>
        <color theme="1"/>
        <rFont val="Times New Roman"/>
        <family val="1"/>
        <charset val="186"/>
      </rPr>
      <t xml:space="preserve"> Nedzīvojamo telpu izmantošanas pakalpojumi (noma) </t>
    </r>
  </si>
  <si>
    <r>
      <t xml:space="preserve">Galv. nekust. īpaš. pārvaldnieks (3. saime, III līmenis, 8. algu grupa, mēnešalga 1 358 </t>
    </r>
    <r>
      <rPr>
        <i/>
        <sz val="12"/>
        <color theme="1"/>
        <rFont val="Times New Roman"/>
        <family val="1"/>
        <charset val="186"/>
      </rPr>
      <t xml:space="preserve">euro). </t>
    </r>
    <r>
      <rPr>
        <sz val="12"/>
        <color theme="1"/>
        <rFont val="Times New Roman"/>
        <family val="1"/>
        <charset val="186"/>
      </rPr>
      <t>Stundas tarifa likme 8,20</t>
    </r>
    <r>
      <rPr>
        <i/>
        <sz val="12"/>
        <color theme="1"/>
        <rFont val="Times New Roman"/>
        <family val="1"/>
        <charset val="186"/>
      </rPr>
      <t xml:space="preserve"> euro = </t>
    </r>
    <r>
      <rPr>
        <sz val="12"/>
        <color theme="1"/>
        <rFont val="Times New Roman"/>
        <family val="1"/>
        <charset val="186"/>
      </rPr>
      <t>1 358</t>
    </r>
    <r>
      <rPr>
        <i/>
        <sz val="12"/>
        <color theme="1"/>
        <rFont val="Times New Roman"/>
        <family val="1"/>
        <charset val="186"/>
      </rPr>
      <t xml:space="preserve"> euro</t>
    </r>
    <r>
      <rPr>
        <sz val="12"/>
        <color theme="1"/>
        <rFont val="Times New Roman"/>
        <family val="1"/>
        <charset val="186"/>
      </rPr>
      <t xml:space="preserve">/ 165.58 (vid. d. stundu sk. mēnesī). Vid. mēn. noslogojums 1 stundas, (8,20 </t>
    </r>
    <r>
      <rPr>
        <i/>
        <sz val="12"/>
        <color theme="1"/>
        <rFont val="Times New Roman"/>
        <family val="1"/>
        <charset val="186"/>
      </rPr>
      <t>euro</t>
    </r>
    <r>
      <rPr>
        <sz val="12"/>
        <color theme="1"/>
        <rFont val="Times New Roman"/>
        <family val="1"/>
        <charset val="186"/>
      </rPr>
      <t xml:space="preserve"> * 1 h) = 8,20 </t>
    </r>
    <r>
      <rPr>
        <i/>
        <sz val="12"/>
        <color theme="1"/>
        <rFont val="Times New Roman"/>
        <family val="1"/>
        <charset val="186"/>
      </rPr>
      <t>euro</t>
    </r>
    <r>
      <rPr>
        <sz val="12"/>
        <color theme="1"/>
        <rFont val="Times New Roman"/>
        <family val="1"/>
        <charset val="186"/>
      </rPr>
      <t xml:space="preserve">/mēn. * 12. mēn. = 98,40 </t>
    </r>
    <r>
      <rPr>
        <i/>
        <sz val="12"/>
        <color theme="1"/>
        <rFont val="Times New Roman"/>
        <family val="1"/>
        <charset val="186"/>
      </rPr>
      <t>euro</t>
    </r>
    <r>
      <rPr>
        <sz val="12"/>
        <color theme="1"/>
        <rFont val="Times New Roman"/>
        <family val="1"/>
        <charset val="186"/>
      </rPr>
      <t xml:space="preserve"> *  0.2963 (pakalpojuma īpatsvars kopējos ēkās sniegtajos maksas pakalpojumos)  = 29,16 </t>
    </r>
    <r>
      <rPr>
        <i/>
        <sz val="12"/>
        <color theme="1"/>
        <rFont val="Times New Roman"/>
        <family val="1"/>
        <charset val="186"/>
      </rPr>
      <t>euro</t>
    </r>
    <r>
      <rPr>
        <sz val="12"/>
        <color theme="1"/>
        <rFont val="Times New Roman"/>
        <family val="1"/>
        <charset val="186"/>
      </rPr>
      <t>.</t>
    </r>
  </si>
  <si>
    <r>
      <t xml:space="preserve">Rīgas īpašumu pārvaldes nodaļas vadītājs (3. saime, V līmenis, 10. algu grupa, mēnešalga 1 923 </t>
    </r>
    <r>
      <rPr>
        <i/>
        <sz val="12"/>
        <color theme="1"/>
        <rFont val="Times New Roman"/>
        <family val="1"/>
        <charset val="186"/>
      </rPr>
      <t>euro</t>
    </r>
    <r>
      <rPr>
        <sz val="12"/>
        <color theme="1"/>
        <rFont val="Times New Roman"/>
        <family val="1"/>
        <charset val="186"/>
      </rPr>
      <t xml:space="preserve">). Stundas tarifa likme 11,61 </t>
    </r>
    <r>
      <rPr>
        <i/>
        <sz val="12"/>
        <color theme="1"/>
        <rFont val="Times New Roman"/>
        <family val="1"/>
        <charset val="186"/>
      </rPr>
      <t>euro</t>
    </r>
    <r>
      <rPr>
        <sz val="12"/>
        <color theme="1"/>
        <rFont val="Times New Roman"/>
        <family val="1"/>
        <charset val="186"/>
      </rPr>
      <t xml:space="preserve"> = 1 923 </t>
    </r>
    <r>
      <rPr>
        <i/>
        <sz val="12"/>
        <color theme="1"/>
        <rFont val="Times New Roman"/>
        <family val="1"/>
        <charset val="186"/>
      </rPr>
      <t>euro</t>
    </r>
    <r>
      <rPr>
        <sz val="12"/>
        <color theme="1"/>
        <rFont val="Times New Roman"/>
        <family val="1"/>
        <charset val="186"/>
      </rPr>
      <t xml:space="preserve"> / 165.58 (vid. d. stundu sk. mēnesī). Vid. mēn. noslogojums 30 min., (11,61 </t>
    </r>
    <r>
      <rPr>
        <i/>
        <sz val="12"/>
        <color theme="1"/>
        <rFont val="Times New Roman"/>
        <family val="1"/>
        <charset val="186"/>
      </rPr>
      <t>euro</t>
    </r>
    <r>
      <rPr>
        <sz val="12"/>
        <color theme="1"/>
        <rFont val="Times New Roman"/>
        <family val="1"/>
        <charset val="186"/>
      </rPr>
      <t xml:space="preserve"> * 0.5 h) = 5,80 </t>
    </r>
    <r>
      <rPr>
        <i/>
        <sz val="12"/>
        <color theme="1"/>
        <rFont val="Times New Roman"/>
        <family val="1"/>
        <charset val="186"/>
      </rPr>
      <t>euro</t>
    </r>
    <r>
      <rPr>
        <sz val="12"/>
        <color theme="1"/>
        <rFont val="Times New Roman"/>
        <family val="1"/>
        <charset val="186"/>
      </rPr>
      <t xml:space="preserve">/mēn. * 12. mēn. = 69,60 </t>
    </r>
    <r>
      <rPr>
        <i/>
        <sz val="12"/>
        <color theme="1"/>
        <rFont val="Times New Roman"/>
        <family val="1"/>
        <charset val="186"/>
      </rPr>
      <t>euro</t>
    </r>
    <r>
      <rPr>
        <sz val="12"/>
        <color theme="1"/>
        <rFont val="Times New Roman"/>
        <family val="1"/>
        <charset val="186"/>
      </rPr>
      <t xml:space="preserve"> *  0.2963 (pakalpojuma īpatsvars kopējos ēkās sniegtajos maksas pakalpojumos)  = 20,62 </t>
    </r>
    <r>
      <rPr>
        <i/>
        <sz val="12"/>
        <color theme="1"/>
        <rFont val="Times New Roman"/>
        <family val="1"/>
        <charset val="186"/>
      </rPr>
      <t>euro.</t>
    </r>
  </si>
  <si>
    <r>
      <t xml:space="preserve">Vecākais lietvedis (20.3. saime, II līmenis, 7. algu grupa, mēnešalga 1 255 </t>
    </r>
    <r>
      <rPr>
        <i/>
        <sz val="12"/>
        <color theme="1"/>
        <rFont val="Times New Roman"/>
        <family val="1"/>
        <charset val="186"/>
      </rPr>
      <t>euro</t>
    </r>
    <r>
      <rPr>
        <sz val="12"/>
        <color theme="1"/>
        <rFont val="Times New Roman"/>
        <family val="1"/>
        <charset val="186"/>
      </rPr>
      <t xml:space="preserve">). Stundas tarifa likme 7,58 </t>
    </r>
    <r>
      <rPr>
        <i/>
        <sz val="12"/>
        <color theme="1"/>
        <rFont val="Times New Roman"/>
        <family val="1"/>
        <charset val="186"/>
      </rPr>
      <t>euro</t>
    </r>
    <r>
      <rPr>
        <sz val="12"/>
        <color theme="1"/>
        <rFont val="Times New Roman"/>
        <family val="1"/>
        <charset val="186"/>
      </rPr>
      <t xml:space="preserve"> = 1 255 </t>
    </r>
    <r>
      <rPr>
        <i/>
        <sz val="12"/>
        <color theme="1"/>
        <rFont val="Times New Roman"/>
        <family val="1"/>
        <charset val="186"/>
      </rPr>
      <t>euro</t>
    </r>
    <r>
      <rPr>
        <sz val="12"/>
        <color theme="1"/>
        <rFont val="Times New Roman"/>
        <family val="1"/>
        <charset val="186"/>
      </rPr>
      <t xml:space="preserve"> / 165.58 (vid. d. stundu sk. mēnesī). Vid. mēn. noslogojums 4 min., (7,58 </t>
    </r>
    <r>
      <rPr>
        <i/>
        <sz val="12"/>
        <color theme="1"/>
        <rFont val="Times New Roman"/>
        <family val="1"/>
        <charset val="186"/>
      </rPr>
      <t>euro</t>
    </r>
    <r>
      <rPr>
        <sz val="12"/>
        <color theme="1"/>
        <rFont val="Times New Roman"/>
        <family val="1"/>
        <charset val="186"/>
      </rPr>
      <t xml:space="preserve"> * 0.07 h) = 0,53 </t>
    </r>
    <r>
      <rPr>
        <i/>
        <sz val="12"/>
        <color theme="1"/>
        <rFont val="Times New Roman"/>
        <family val="1"/>
        <charset val="186"/>
      </rPr>
      <t>euro</t>
    </r>
    <r>
      <rPr>
        <sz val="12"/>
        <color theme="1"/>
        <rFont val="Times New Roman"/>
        <family val="1"/>
        <charset val="186"/>
      </rPr>
      <t xml:space="preserve">/mēn. * 12. mēn. = 6,36 euro *  0.2963 (pakalpojuma īpatsvars kopējos ēkās sniegtajos maksas pakalpojumos) = 1,88 </t>
    </r>
    <r>
      <rPr>
        <i/>
        <sz val="12"/>
        <color theme="1"/>
        <rFont val="Times New Roman"/>
        <family val="1"/>
        <charset val="186"/>
      </rPr>
      <t>euro</t>
    </r>
    <r>
      <rPr>
        <sz val="12"/>
        <color theme="1"/>
        <rFont val="Times New Roman"/>
        <family val="1"/>
        <charset val="186"/>
      </rPr>
      <t>.</t>
    </r>
  </si>
  <si>
    <r>
      <t xml:space="preserve">Jurists (24. saime, III līmenis, 11. algu grupa, mēnešalga 1 873 </t>
    </r>
    <r>
      <rPr>
        <i/>
        <sz val="12"/>
        <color theme="1"/>
        <rFont val="Times New Roman"/>
        <family val="1"/>
        <charset val="186"/>
      </rPr>
      <t xml:space="preserve">euro). </t>
    </r>
    <r>
      <rPr>
        <sz val="12"/>
        <color theme="1"/>
        <rFont val="Times New Roman"/>
        <family val="1"/>
        <charset val="186"/>
      </rPr>
      <t>Stundas tarifa likme 11,31</t>
    </r>
    <r>
      <rPr>
        <i/>
        <sz val="12"/>
        <color theme="1"/>
        <rFont val="Times New Roman"/>
        <family val="1"/>
        <charset val="186"/>
      </rPr>
      <t xml:space="preserve"> euro</t>
    </r>
    <r>
      <rPr>
        <sz val="12"/>
        <color theme="1"/>
        <rFont val="Times New Roman"/>
        <family val="1"/>
        <charset val="186"/>
      </rPr>
      <t xml:space="preserve"> = 1 873 </t>
    </r>
    <r>
      <rPr>
        <i/>
        <sz val="12"/>
        <color theme="1"/>
        <rFont val="Times New Roman"/>
        <family val="1"/>
        <charset val="186"/>
      </rPr>
      <t>euro</t>
    </r>
    <r>
      <rPr>
        <sz val="12"/>
        <color theme="1"/>
        <rFont val="Times New Roman"/>
        <family val="1"/>
        <charset val="186"/>
      </rPr>
      <t xml:space="preserve"> / 165.58 (vid. d. stundu sk. mēnesī). Vid. mēn. noslogojums 10 min., (11,31 </t>
    </r>
    <r>
      <rPr>
        <i/>
        <sz val="12"/>
        <color theme="1"/>
        <rFont val="Times New Roman"/>
        <family val="1"/>
        <charset val="186"/>
      </rPr>
      <t>euro</t>
    </r>
    <r>
      <rPr>
        <sz val="12"/>
        <color theme="1"/>
        <rFont val="Times New Roman"/>
        <family val="1"/>
        <charset val="186"/>
      </rPr>
      <t xml:space="preserve"> * 0.17 h) = 1,92 </t>
    </r>
    <r>
      <rPr>
        <i/>
        <sz val="12"/>
        <color theme="1"/>
        <rFont val="Times New Roman"/>
        <family val="1"/>
        <charset val="186"/>
      </rPr>
      <t>euro</t>
    </r>
    <r>
      <rPr>
        <sz val="12"/>
        <color theme="1"/>
        <rFont val="Times New Roman"/>
        <family val="1"/>
        <charset val="186"/>
      </rPr>
      <t xml:space="preserve">/mēn. * 12. mēn. = 23,04 </t>
    </r>
    <r>
      <rPr>
        <i/>
        <sz val="12"/>
        <color theme="1"/>
        <rFont val="Times New Roman"/>
        <family val="1"/>
        <charset val="186"/>
      </rPr>
      <t>euro</t>
    </r>
    <r>
      <rPr>
        <sz val="12"/>
        <color theme="1"/>
        <rFont val="Times New Roman"/>
        <family val="1"/>
        <charset val="186"/>
      </rPr>
      <t xml:space="preserve"> * 0.2963 (pakalpojuma īpatsvars kopējos ēkās sniegtajos pakalpojumos) = 6,83 </t>
    </r>
    <r>
      <rPr>
        <i/>
        <sz val="12"/>
        <color theme="1"/>
        <rFont val="Times New Roman"/>
        <family val="1"/>
        <charset val="186"/>
      </rPr>
      <t>euro</t>
    </r>
    <r>
      <rPr>
        <sz val="12"/>
        <color theme="1"/>
        <rFont val="Times New Roman"/>
        <family val="1"/>
        <charset val="186"/>
      </rPr>
      <t>.</t>
    </r>
  </si>
  <si>
    <r>
      <t xml:space="preserve">Pārvaldes vadītājs (15.1. saime, VA līmenis, 12. algu grupa,  mēnešalga 2 508 </t>
    </r>
    <r>
      <rPr>
        <i/>
        <sz val="12"/>
        <color theme="1"/>
        <rFont val="Times New Roman"/>
        <family val="1"/>
        <charset val="186"/>
      </rPr>
      <t>euro</t>
    </r>
    <r>
      <rPr>
        <sz val="12"/>
        <color theme="1"/>
        <rFont val="Times New Roman"/>
        <family val="1"/>
        <charset val="186"/>
      </rPr>
      <t xml:space="preserve">). Stundas tarifa likme 15,15 </t>
    </r>
    <r>
      <rPr>
        <i/>
        <sz val="12"/>
        <color theme="1"/>
        <rFont val="Times New Roman"/>
        <family val="1"/>
        <charset val="186"/>
      </rPr>
      <t>euro</t>
    </r>
    <r>
      <rPr>
        <sz val="12"/>
        <color theme="1"/>
        <rFont val="Times New Roman"/>
        <family val="1"/>
        <charset val="186"/>
      </rPr>
      <t xml:space="preserve"> = 2 508 </t>
    </r>
    <r>
      <rPr>
        <i/>
        <sz val="12"/>
        <color theme="1"/>
        <rFont val="Times New Roman"/>
        <family val="1"/>
        <charset val="186"/>
      </rPr>
      <t>euro</t>
    </r>
    <r>
      <rPr>
        <sz val="12"/>
        <color theme="1"/>
        <rFont val="Times New Roman"/>
        <family val="1"/>
        <charset val="186"/>
      </rPr>
      <t xml:space="preserve"> / 165.58 (vid. d. stundu sk. mēnesī). Vid. mēn. noslogojums 15 min., (15,15 </t>
    </r>
    <r>
      <rPr>
        <i/>
        <sz val="12"/>
        <color theme="1"/>
        <rFont val="Times New Roman"/>
        <family val="1"/>
        <charset val="186"/>
      </rPr>
      <t>euro</t>
    </r>
    <r>
      <rPr>
        <sz val="12"/>
        <color theme="1"/>
        <rFont val="Times New Roman"/>
        <family val="1"/>
        <charset val="186"/>
      </rPr>
      <t xml:space="preserve"> * 0.25 h) = 3,79 </t>
    </r>
    <r>
      <rPr>
        <i/>
        <sz val="12"/>
        <color theme="1"/>
        <rFont val="Times New Roman"/>
        <family val="1"/>
        <charset val="186"/>
      </rPr>
      <t>euro</t>
    </r>
    <r>
      <rPr>
        <sz val="12"/>
        <color theme="1"/>
        <rFont val="Times New Roman"/>
        <family val="1"/>
        <charset val="186"/>
      </rPr>
      <t xml:space="preserve">/mēn. * 12. mēn. = 45,48 </t>
    </r>
    <r>
      <rPr>
        <i/>
        <sz val="12"/>
        <color theme="1"/>
        <rFont val="Times New Roman"/>
        <family val="1"/>
        <charset val="186"/>
      </rPr>
      <t>euro</t>
    </r>
    <r>
      <rPr>
        <sz val="12"/>
        <color theme="1"/>
        <rFont val="Times New Roman"/>
        <family val="1"/>
        <charset val="186"/>
      </rPr>
      <t xml:space="preserve"> *  0.2963 (pakalpojuma īpatsvars kopējos ēkās sniegtajos maksas pakalpojumos) = 13,48 </t>
    </r>
    <r>
      <rPr>
        <i/>
        <sz val="12"/>
        <color theme="1"/>
        <rFont val="Times New Roman"/>
        <family val="1"/>
        <charset val="186"/>
      </rPr>
      <t>euro</t>
    </r>
    <r>
      <rPr>
        <sz val="12"/>
        <color theme="1"/>
        <rFont val="Times New Roman"/>
        <family val="1"/>
        <charset val="186"/>
      </rPr>
      <t>.</t>
    </r>
  </si>
  <si>
    <r>
      <t xml:space="preserve">Finanšu nodaļas vadītājs (15.1. saime, IVB līmenis, 11. algu grupa, mēnešalga 2 015 </t>
    </r>
    <r>
      <rPr>
        <i/>
        <sz val="12"/>
        <color theme="1"/>
        <rFont val="Times New Roman"/>
        <family val="1"/>
        <charset val="186"/>
      </rPr>
      <t>euro</t>
    </r>
    <r>
      <rPr>
        <sz val="12"/>
        <color theme="1"/>
        <rFont val="Times New Roman"/>
        <family val="1"/>
        <charset val="186"/>
      </rPr>
      <t xml:space="preserve">). Stundas tarifa likme 12,17 </t>
    </r>
    <r>
      <rPr>
        <i/>
        <sz val="12"/>
        <color theme="1"/>
        <rFont val="Times New Roman"/>
        <family val="1"/>
        <charset val="186"/>
      </rPr>
      <t>euro</t>
    </r>
    <r>
      <rPr>
        <sz val="12"/>
        <color theme="1"/>
        <rFont val="Times New Roman"/>
        <family val="1"/>
        <charset val="186"/>
      </rPr>
      <t xml:space="preserve"> = 2 015 </t>
    </r>
    <r>
      <rPr>
        <i/>
        <sz val="12"/>
        <color theme="1"/>
        <rFont val="Times New Roman"/>
        <family val="1"/>
        <charset val="186"/>
      </rPr>
      <t>euro</t>
    </r>
    <r>
      <rPr>
        <sz val="12"/>
        <color theme="1"/>
        <rFont val="Times New Roman"/>
        <family val="1"/>
        <charset val="186"/>
      </rPr>
      <t xml:space="preserve"> / 165.58 (vid. d. stundu sk. mēnesī). Vid. mēn. noslogojums 5 min., (12,17 </t>
    </r>
    <r>
      <rPr>
        <i/>
        <sz val="12"/>
        <color theme="1"/>
        <rFont val="Times New Roman"/>
        <family val="1"/>
        <charset val="186"/>
      </rPr>
      <t>euro</t>
    </r>
    <r>
      <rPr>
        <sz val="12"/>
        <color theme="1"/>
        <rFont val="Times New Roman"/>
        <family val="1"/>
        <charset val="186"/>
      </rPr>
      <t xml:space="preserve"> * 0.08 h) = 0,97 </t>
    </r>
    <r>
      <rPr>
        <i/>
        <sz val="12"/>
        <color theme="1"/>
        <rFont val="Times New Roman"/>
        <family val="1"/>
        <charset val="186"/>
      </rPr>
      <t>euro</t>
    </r>
    <r>
      <rPr>
        <sz val="12"/>
        <color theme="1"/>
        <rFont val="Times New Roman"/>
        <family val="1"/>
        <charset val="186"/>
      </rPr>
      <t xml:space="preserve">/mēn. * 12. mēn. = 11,64 </t>
    </r>
    <r>
      <rPr>
        <i/>
        <sz val="12"/>
        <color theme="1"/>
        <rFont val="Times New Roman"/>
        <family val="1"/>
        <charset val="186"/>
      </rPr>
      <t>euro</t>
    </r>
    <r>
      <rPr>
        <sz val="12"/>
        <color theme="1"/>
        <rFont val="Times New Roman"/>
        <family val="1"/>
        <charset val="186"/>
      </rPr>
      <t xml:space="preserve"> *  0.2963 (pakalpojuma īpatsvars kopējos ēkās sniegtajos maksas pakalpojumos) = 3,45 </t>
    </r>
    <r>
      <rPr>
        <i/>
        <sz val="12"/>
        <color theme="1"/>
        <rFont val="Times New Roman"/>
        <family val="1"/>
        <charset val="186"/>
      </rPr>
      <t>euro</t>
    </r>
    <r>
      <rPr>
        <sz val="12"/>
        <color theme="1"/>
        <rFont val="Times New Roman"/>
        <family val="1"/>
        <charset val="186"/>
      </rPr>
      <t>.</t>
    </r>
  </si>
  <si>
    <r>
      <t xml:space="preserve">Finansists (15.1. saime, IA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30 min., (8,29 </t>
    </r>
    <r>
      <rPr>
        <i/>
        <sz val="12"/>
        <color theme="1"/>
        <rFont val="Times New Roman"/>
        <family val="1"/>
        <charset val="186"/>
      </rPr>
      <t>euro</t>
    </r>
    <r>
      <rPr>
        <sz val="12"/>
        <color theme="1"/>
        <rFont val="Times New Roman"/>
        <family val="1"/>
        <charset val="186"/>
      </rPr>
      <t xml:space="preserve"> * 0.5 h) = 4,15 </t>
    </r>
    <r>
      <rPr>
        <i/>
        <sz val="12"/>
        <color theme="1"/>
        <rFont val="Times New Roman"/>
        <family val="1"/>
        <charset val="186"/>
      </rPr>
      <t>euro</t>
    </r>
    <r>
      <rPr>
        <sz val="12"/>
        <color theme="1"/>
        <rFont val="Times New Roman"/>
        <family val="1"/>
        <charset val="186"/>
      </rPr>
      <t xml:space="preserve">/mēn. * 12. mēn. = 49,80 </t>
    </r>
    <r>
      <rPr>
        <i/>
        <sz val="12"/>
        <color theme="1"/>
        <rFont val="Times New Roman"/>
        <family val="1"/>
        <charset val="186"/>
      </rPr>
      <t>euro</t>
    </r>
    <r>
      <rPr>
        <sz val="12"/>
        <color theme="1"/>
        <rFont val="Times New Roman"/>
        <family val="1"/>
        <charset val="186"/>
      </rPr>
      <t xml:space="preserve"> *  0.2963 (pakalpojuma īpatsvars kopējos ēkās sniegtajos maksas pakalpojumos) = 14,76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</si>
  <si>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 / 165.58 (vid. d. stundu sk. mēnesī). Vid. mēn. noslogojums 30 min., (9,42 </t>
    </r>
    <r>
      <rPr>
        <i/>
        <sz val="12"/>
        <color theme="1"/>
        <rFont val="Times New Roman"/>
        <family val="1"/>
        <charset val="186"/>
      </rPr>
      <t>euro</t>
    </r>
    <r>
      <rPr>
        <sz val="12"/>
        <color theme="1"/>
        <rFont val="Times New Roman"/>
        <family val="1"/>
        <charset val="186"/>
      </rPr>
      <t xml:space="preserve"> * 0.5 h) = 4,71 </t>
    </r>
    <r>
      <rPr>
        <i/>
        <sz val="12"/>
        <color theme="1"/>
        <rFont val="Times New Roman"/>
        <family val="1"/>
        <charset val="186"/>
      </rPr>
      <t>euro</t>
    </r>
    <r>
      <rPr>
        <sz val="12"/>
        <color theme="1"/>
        <rFont val="Times New Roman"/>
        <family val="1"/>
        <charset val="186"/>
      </rPr>
      <t xml:space="preserve">/mēn. * 12. mēn. = 56,52 </t>
    </r>
    <r>
      <rPr>
        <i/>
        <sz val="12"/>
        <color theme="1"/>
        <rFont val="Times New Roman"/>
        <family val="1"/>
        <charset val="186"/>
      </rPr>
      <t>euro</t>
    </r>
    <r>
      <rPr>
        <sz val="12"/>
        <color theme="1"/>
        <rFont val="Times New Roman"/>
        <family val="1"/>
        <charset val="186"/>
      </rPr>
      <t xml:space="preserve"> *  0.2963 (pakalpojuma īpatsvars kopējos ēkās sniegtajos maksas pakalpojumos) = 16,75 </t>
    </r>
    <r>
      <rPr>
        <i/>
        <sz val="12"/>
        <color theme="1"/>
        <rFont val="Times New Roman"/>
        <family val="1"/>
        <charset val="186"/>
      </rPr>
      <t>euro</t>
    </r>
    <r>
      <rPr>
        <sz val="12"/>
        <color theme="1"/>
        <rFont val="Times New Roman"/>
        <family val="1"/>
        <charset val="186"/>
      </rPr>
      <t>.</t>
    </r>
  </si>
  <si>
    <r>
      <t xml:space="preserve">Direktora vietnieks, Nekustamo īpašumu pārvaldīšanas departamenta vadītājs (1.1. saime, IV līmenis, 16. algu grupa, mēnešalga 4 062 euro). Stundas tarifa likme 24,53 euro = 4 062 euro / 165.58 (vid. d. stundu sk. mēnesī). Vid. mēn. noslogojums 6 min., (24,53 euro * 0.1 h) = 2,45 euro/mēn. * 12. mēn. =29,40 euro *  0.2963 (pakalpojuma īpatsvars kopējos ēkās sniegtajos maksas pakalpojumos) = 8,71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</si>
  <si>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4 min., (27,18 </t>
    </r>
    <r>
      <rPr>
        <i/>
        <sz val="12"/>
        <color theme="1"/>
        <rFont val="Times New Roman"/>
        <family val="1"/>
        <charset val="186"/>
      </rPr>
      <t>euro</t>
    </r>
    <r>
      <rPr>
        <sz val="12"/>
        <color rgb="FFFF0000"/>
        <rFont val="Times New Roman"/>
        <family val="1"/>
        <charset val="186"/>
      </rPr>
      <t xml:space="preserve"> </t>
    </r>
    <r>
      <rPr>
        <sz val="12"/>
        <color theme="1"/>
        <rFont val="Times New Roman"/>
        <family val="1"/>
        <charset val="186"/>
      </rPr>
      <t xml:space="preserve">* 0.07 h) = 1,90 </t>
    </r>
    <r>
      <rPr>
        <i/>
        <sz val="12"/>
        <color theme="1"/>
        <rFont val="Times New Roman"/>
        <family val="1"/>
        <charset val="186"/>
      </rPr>
      <t>euro</t>
    </r>
    <r>
      <rPr>
        <sz val="12"/>
        <color theme="1"/>
        <rFont val="Times New Roman"/>
        <family val="1"/>
        <charset val="186"/>
      </rPr>
      <t xml:space="preserve">/mēn. * 12. mēn. = 22,80 </t>
    </r>
    <r>
      <rPr>
        <i/>
        <sz val="12"/>
        <color theme="1"/>
        <rFont val="Times New Roman"/>
        <family val="1"/>
        <charset val="186"/>
      </rPr>
      <t>euro</t>
    </r>
    <r>
      <rPr>
        <sz val="12"/>
        <color theme="1"/>
        <rFont val="Times New Roman"/>
        <family val="1"/>
        <charset val="186"/>
      </rPr>
      <t xml:space="preserve"> * 0.2963 (pakalpojuma īpatsvars kopējos ēkās sniegtajos maksas pakalpojumos) = 6,76 </t>
    </r>
    <r>
      <rPr>
        <i/>
        <sz val="12"/>
        <color theme="1"/>
        <rFont val="Times New Roman"/>
        <family val="1"/>
        <charset val="186"/>
      </rPr>
      <t>euro.</t>
    </r>
  </si>
  <si>
    <r>
      <t xml:space="preserve">Izdevumi par apkuri 6 142,37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1 819,98 </t>
    </r>
    <r>
      <rPr>
        <i/>
        <sz val="12"/>
        <color theme="1"/>
        <rFont val="Times New Roman"/>
        <family val="1"/>
        <charset val="186"/>
      </rPr>
      <t>euro.</t>
    </r>
  </si>
  <si>
    <r>
      <t xml:space="preserve">Izdevumi par ūdeni un kanalizāciju 833,93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247,09 </t>
    </r>
    <r>
      <rPr>
        <i/>
        <sz val="12"/>
        <color theme="1"/>
        <rFont val="Times New Roman"/>
        <family val="1"/>
        <charset val="186"/>
      </rPr>
      <t>euro.</t>
    </r>
  </si>
  <si>
    <r>
      <t xml:space="preserve">Izdevumi par elektroenerģiju 6 918,76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2 050,03 </t>
    </r>
    <r>
      <rPr>
        <i/>
        <sz val="12"/>
        <color theme="1"/>
        <rFont val="Times New Roman"/>
        <family val="1"/>
        <charset val="186"/>
      </rPr>
      <t>euro.</t>
    </r>
  </si>
  <si>
    <r>
      <t xml:space="preserve">Izdevumi par atkritumu izvešanu 985,00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291,86 </t>
    </r>
    <r>
      <rPr>
        <i/>
        <sz val="12"/>
        <color theme="1"/>
        <rFont val="Times New Roman"/>
        <family val="1"/>
        <charset val="186"/>
      </rPr>
      <t>euro.</t>
    </r>
  </si>
  <si>
    <r>
      <t xml:space="preserve">Izdevumi par profesionālās darbības pakalpojumiem 76,19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22,58 </t>
    </r>
    <r>
      <rPr>
        <i/>
        <sz val="12"/>
        <color theme="1"/>
        <rFont val="Times New Roman"/>
        <family val="1"/>
        <charset val="186"/>
      </rPr>
      <t>euro.</t>
    </r>
  </si>
  <si>
    <r>
      <t xml:space="preserve">Izdevumi par pārējiem neklasificētiem pakalpojumiem 61,60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18,25 </t>
    </r>
    <r>
      <rPr>
        <i/>
        <sz val="12"/>
        <color theme="1"/>
        <rFont val="Times New Roman"/>
        <family val="1"/>
        <charset val="186"/>
      </rPr>
      <t>euro.</t>
    </r>
  </si>
  <si>
    <r>
      <t xml:space="preserve">Izdevumi par transportlīdzekļu uzturēšanu un remonta pakalpojumiem 515,04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152,61 </t>
    </r>
    <r>
      <rPr>
        <i/>
        <sz val="12"/>
        <color theme="1"/>
        <rFont val="Times New Roman"/>
        <family val="1"/>
        <charset val="186"/>
      </rPr>
      <t>euro</t>
    </r>
    <r>
      <rPr>
        <sz val="12"/>
        <color theme="1"/>
        <rFont val="Times New Roman"/>
        <family val="1"/>
        <charset val="186"/>
      </rPr>
      <t>.</t>
    </r>
  </si>
  <si>
    <r>
      <t xml:space="preserve">Iekārtu, aparatūras apkope un remonts, avāriju bojājumu novēršanas izdevumi 799,74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236,96 </t>
    </r>
    <r>
      <rPr>
        <i/>
        <sz val="12"/>
        <color theme="1"/>
        <rFont val="Times New Roman"/>
        <family val="1"/>
        <charset val="186"/>
      </rPr>
      <t>euro.</t>
    </r>
  </si>
  <si>
    <r>
      <t xml:space="preserve">Telpu uzkopšanas, apsardzes, apsaimniekošanas, apdrošināšanas izdevumi 6 324,41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1 873,92 </t>
    </r>
    <r>
      <rPr>
        <i/>
        <sz val="12"/>
        <color theme="1"/>
        <rFont val="Times New Roman"/>
        <family val="1"/>
        <charset val="186"/>
      </rPr>
      <t>euro.</t>
    </r>
  </si>
  <si>
    <r>
      <t xml:space="preserve">Pārējie uzturēšanas izdevumi 120,85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35,81 </t>
    </r>
    <r>
      <rPr>
        <i/>
        <sz val="12"/>
        <color theme="1"/>
        <rFont val="Times New Roman"/>
        <family val="1"/>
        <charset val="186"/>
      </rPr>
      <t>euro.</t>
    </r>
  </si>
  <si>
    <r>
      <t xml:space="preserve">Ēku, telpu īres un nomas izdevumi 3 261,50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966,38 </t>
    </r>
    <r>
      <rPr>
        <i/>
        <sz val="12"/>
        <color theme="1"/>
        <rFont val="Times New Roman"/>
        <family val="1"/>
        <charset val="186"/>
      </rPr>
      <t>euro.</t>
    </r>
  </si>
  <si>
    <r>
      <t xml:space="preserve">Inventāra iegādes izdevumi  92,60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27,44 </t>
    </r>
    <r>
      <rPr>
        <i/>
        <sz val="12"/>
        <color theme="1"/>
        <rFont val="Times New Roman"/>
        <family val="1"/>
        <charset val="186"/>
      </rPr>
      <t>euro.</t>
    </r>
  </si>
  <si>
    <r>
      <t xml:space="preserve">Kurināmā iegādes izdevumi 1 401,16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415,16 </t>
    </r>
    <r>
      <rPr>
        <i/>
        <sz val="12"/>
        <color theme="1"/>
        <rFont val="Times New Roman"/>
        <family val="1"/>
        <charset val="186"/>
      </rPr>
      <t>euro.</t>
    </r>
  </si>
  <si>
    <r>
      <t xml:space="preserve">Saimniecības inventāra un materiālu iegādes izdevumi 178,62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52,93 </t>
    </r>
    <r>
      <rPr>
        <i/>
        <sz val="12"/>
        <color theme="1"/>
        <rFont val="Times New Roman"/>
        <family val="1"/>
        <charset val="186"/>
      </rPr>
      <t>euro.</t>
    </r>
  </si>
  <si>
    <r>
      <t xml:space="preserve">Nekustamā īpašuma nodoklis 110,00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32,59 </t>
    </r>
    <r>
      <rPr>
        <i/>
        <sz val="12"/>
        <color theme="1"/>
        <rFont val="Times New Roman"/>
        <family val="1"/>
        <charset val="186"/>
      </rPr>
      <t>euro.</t>
    </r>
  </si>
  <si>
    <r>
      <t xml:space="preserve">Dabas resursu nodoklis 24,23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7,18 </t>
    </r>
    <r>
      <rPr>
        <i/>
        <sz val="12"/>
        <color theme="1"/>
        <rFont val="Times New Roman"/>
        <family val="1"/>
        <charset val="186"/>
      </rPr>
      <t>euro.</t>
    </r>
  </si>
  <si>
    <r>
      <t xml:space="preserve">Ēku amortizācija 2 438,92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722,65 </t>
    </r>
    <r>
      <rPr>
        <i/>
        <sz val="12"/>
        <color theme="1"/>
        <rFont val="Times New Roman"/>
        <family val="1"/>
        <charset val="186"/>
      </rPr>
      <t>euro.</t>
    </r>
  </si>
  <si>
    <r>
      <t xml:space="preserve">Grāmatvedis (17. saime, III līmenis, 8. algu grupa, mēnešalga 1 372 </t>
    </r>
    <r>
      <rPr>
        <i/>
        <sz val="12"/>
        <color theme="1"/>
        <rFont val="Times New Roman"/>
        <family val="1"/>
        <charset val="186"/>
      </rPr>
      <t>euro</t>
    </r>
    <r>
      <rPr>
        <sz val="12"/>
        <color theme="1"/>
        <rFont val="Times New Roman"/>
        <family val="1"/>
        <charset val="186"/>
      </rPr>
      <t xml:space="preserve">). Stundas tarifa likme 8,29 </t>
    </r>
    <r>
      <rPr>
        <i/>
        <sz val="12"/>
        <color theme="1"/>
        <rFont val="Times New Roman"/>
        <family val="1"/>
        <charset val="186"/>
      </rPr>
      <t>euro</t>
    </r>
    <r>
      <rPr>
        <sz val="12"/>
        <color theme="1"/>
        <rFont val="Times New Roman"/>
        <family val="1"/>
        <charset val="186"/>
      </rPr>
      <t xml:space="preserve"> = 1 372 </t>
    </r>
    <r>
      <rPr>
        <i/>
        <sz val="12"/>
        <color theme="1"/>
        <rFont val="Times New Roman"/>
        <family val="1"/>
        <charset val="186"/>
      </rPr>
      <t>euro</t>
    </r>
    <r>
      <rPr>
        <sz val="12"/>
        <color theme="1"/>
        <rFont val="Times New Roman"/>
        <family val="1"/>
        <charset val="186"/>
      </rPr>
      <t xml:space="preserve"> / 165.58 (vid. d. stundu sk. mēnesī). Vid. mēn. noslogojums 20 min., (8,29 </t>
    </r>
    <r>
      <rPr>
        <i/>
        <sz val="12"/>
        <color theme="1"/>
        <rFont val="Times New Roman"/>
        <family val="1"/>
        <charset val="186"/>
      </rPr>
      <t>euro</t>
    </r>
    <r>
      <rPr>
        <sz val="12"/>
        <color theme="1"/>
        <rFont val="Times New Roman"/>
        <family val="1"/>
        <charset val="186"/>
      </rPr>
      <t xml:space="preserve"> * 0.33 h) = 2,74 </t>
    </r>
    <r>
      <rPr>
        <i/>
        <sz val="12"/>
        <color theme="1"/>
        <rFont val="Times New Roman"/>
        <family val="1"/>
        <charset val="186"/>
      </rPr>
      <t>euro</t>
    </r>
    <r>
      <rPr>
        <sz val="12"/>
        <color theme="1"/>
        <rFont val="Times New Roman"/>
        <family val="1"/>
        <charset val="186"/>
      </rPr>
      <t xml:space="preserve">/mēn. * 12. mēn. = 32,88 </t>
    </r>
    <r>
      <rPr>
        <i/>
        <sz val="12"/>
        <color theme="1"/>
        <rFont val="Times New Roman"/>
        <family val="1"/>
        <charset val="186"/>
      </rPr>
      <t>euro</t>
    </r>
    <r>
      <rPr>
        <sz val="12"/>
        <color theme="1"/>
        <rFont val="Times New Roman"/>
        <family val="1"/>
        <charset val="186"/>
      </rPr>
      <t xml:space="preserve"> *  0.2963 (pakalpojuma īpatsvars kopējos ēkās sniegtajos maksas pakalpojumos) = 9,74 </t>
    </r>
    <r>
      <rPr>
        <i/>
        <sz val="12"/>
        <color theme="1"/>
        <rFont val="Times New Roman"/>
        <family val="1"/>
        <charset val="186"/>
      </rPr>
      <t>euro</t>
    </r>
    <r>
      <rPr>
        <sz val="12"/>
        <color theme="1"/>
        <rFont val="Times New Roman"/>
        <family val="1"/>
        <charset val="186"/>
      </rPr>
      <t>.</t>
    </r>
  </si>
  <si>
    <t>Nedzīvojamo telpu noma aģentūras pārvaldībā esošajos īpašumos  līdz 1000 m2</t>
  </si>
  <si>
    <t>3.1. Nedzīvojamo telpu noma aģentūras pārvaldībā esošajos īpašumos līdz 1000 m2</t>
  </si>
  <si>
    <r>
      <t xml:space="preserve">Izdevumi par lietus ūdeni 1 364,17 </t>
    </r>
    <r>
      <rPr>
        <i/>
        <sz val="12"/>
        <color theme="1"/>
        <rFont val="Times New Roman"/>
        <family val="1"/>
        <charset val="186"/>
      </rPr>
      <t>euro</t>
    </r>
    <r>
      <rPr>
        <sz val="12"/>
        <color theme="1"/>
        <rFont val="Times New Roman"/>
        <family val="1"/>
        <charset val="186"/>
      </rPr>
      <t xml:space="preserve"> gadā * 0.03 (pakalpojuma īpatsvars kopējos ēkā sniegtajos maksas pakalpojumos) = 40,93 </t>
    </r>
    <r>
      <rPr>
        <i/>
        <sz val="12"/>
        <color theme="1"/>
        <rFont val="Times New Roman"/>
        <family val="1"/>
        <charset val="186"/>
      </rPr>
      <t>euro</t>
    </r>
    <r>
      <rPr>
        <sz val="12"/>
        <color theme="1"/>
        <rFont val="Times New Roman"/>
        <family val="1"/>
        <charset val="186"/>
      </rPr>
      <t>.</t>
    </r>
  </si>
  <si>
    <t>Maksas pakalpojuma vienību skaits noteiktā laikposmā (1 numurs x 2 istabas x 35 diennaktis gadā)</t>
  </si>
  <si>
    <t>1.6. Pirts, saunas un dušu noma Piestātnes ielā 14 k-3, Jūrmalā</t>
  </si>
  <si>
    <r>
      <t xml:space="preserve">Izdevumi par atkritumu izvešanu 17 789,99 </t>
    </r>
    <r>
      <rPr>
        <i/>
        <sz val="12"/>
        <color theme="1"/>
        <rFont val="Times New Roman"/>
        <family val="1"/>
        <charset val="186"/>
      </rPr>
      <t>euro</t>
    </r>
    <r>
      <rPr>
        <sz val="12"/>
        <color theme="1"/>
        <rFont val="Times New Roman"/>
        <family val="1"/>
        <charset val="186"/>
      </rPr>
      <t xml:space="preserve"> gadā x 0.021 (iznomātās platības koeficients) = 373,59 </t>
    </r>
    <r>
      <rPr>
        <i/>
        <sz val="12"/>
        <color theme="1"/>
        <rFont val="Times New Roman"/>
        <family val="1"/>
        <charset val="186"/>
      </rPr>
      <t>euro.</t>
    </r>
  </si>
  <si>
    <r>
      <t xml:space="preserve">1 m3 ūdens maksā 3,01 </t>
    </r>
    <r>
      <rPr>
        <i/>
        <sz val="12"/>
        <color theme="1"/>
        <rFont val="Times New Roman"/>
        <family val="1"/>
        <charset val="186"/>
      </rPr>
      <t>euro</t>
    </r>
    <r>
      <rPr>
        <sz val="12"/>
        <color theme="1"/>
        <rFont val="Times New Roman"/>
        <family val="1"/>
        <charset val="186"/>
      </rPr>
      <t xml:space="preserve">. 15 cilvēki (stundā) izlieto vidēji 0,59 m3 ūdens, (3,01 </t>
    </r>
    <r>
      <rPr>
        <i/>
        <sz val="12"/>
        <color theme="1"/>
        <rFont val="Times New Roman"/>
        <family val="1"/>
        <charset val="186"/>
      </rPr>
      <t xml:space="preserve">euro </t>
    </r>
    <r>
      <rPr>
        <sz val="12"/>
        <color theme="1"/>
        <rFont val="Times New Roman"/>
        <family val="1"/>
        <charset val="186"/>
      </rPr>
      <t>x 0,59 m3) = 1,78</t>
    </r>
    <r>
      <rPr>
        <i/>
        <sz val="12"/>
        <color theme="1"/>
        <rFont val="Times New Roman"/>
        <family val="1"/>
        <charset val="186"/>
      </rPr>
      <t xml:space="preserve"> euro/h</t>
    </r>
    <r>
      <rPr>
        <sz val="12"/>
        <color theme="1"/>
        <rFont val="Times New Roman"/>
        <family val="1"/>
        <charset val="186"/>
      </rPr>
      <t xml:space="preserve"> x 892 h) = 1 587,76 </t>
    </r>
    <r>
      <rPr>
        <i/>
        <sz val="12"/>
        <color theme="1"/>
        <rFont val="Times New Roman"/>
        <family val="1"/>
        <charset val="186"/>
      </rPr>
      <t>euro</t>
    </r>
    <r>
      <rPr>
        <sz val="12"/>
        <color theme="1"/>
        <rFont val="Times New Roman"/>
        <family val="1"/>
        <charset val="186"/>
      </rPr>
      <t>.</t>
    </r>
  </si>
  <si>
    <r>
      <t xml:space="preserve">Izdevumi par ēku, būvju un telpu būvdarbiem 329,19 </t>
    </r>
    <r>
      <rPr>
        <i/>
        <sz val="12"/>
        <color theme="1"/>
        <rFont val="Times New Roman"/>
        <family val="1"/>
        <charset val="186"/>
      </rPr>
      <t>euro *</t>
    </r>
    <r>
      <rPr>
        <sz val="12"/>
        <color theme="1"/>
        <rFont val="Times New Roman"/>
        <family val="1"/>
        <charset val="186"/>
      </rPr>
      <t xml:space="preserve"> 0.077 (pakalpojuma īpatsvars kopējos ēkā sniegtajos maksas pakalpojumos) = 25,35 </t>
    </r>
    <r>
      <rPr>
        <i/>
        <sz val="12"/>
        <color theme="1"/>
        <rFont val="Times New Roman"/>
        <family val="1"/>
        <charset val="186"/>
      </rPr>
      <t>euro</t>
    </r>
  </si>
  <si>
    <r>
      <t xml:space="preserve">Izdevumi par ēku, būvju un telpu būvdarbiem 329,19 </t>
    </r>
    <r>
      <rPr>
        <i/>
        <sz val="12"/>
        <color theme="1"/>
        <rFont val="Times New Roman"/>
        <family val="1"/>
        <charset val="186"/>
      </rPr>
      <t>euro *</t>
    </r>
    <r>
      <rPr>
        <sz val="12"/>
        <color theme="1"/>
        <rFont val="Times New Roman"/>
        <family val="1"/>
        <charset val="186"/>
      </rPr>
      <t xml:space="preserve"> 0.45 (pakalpojuma īpatsvars kopējos ēkā sniegtajos maksas pakalpojumos) = 148,14 </t>
    </r>
    <r>
      <rPr>
        <i/>
        <sz val="12"/>
        <color theme="1"/>
        <rFont val="Times New Roman"/>
        <family val="1"/>
        <charset val="186"/>
      </rPr>
      <t>euro</t>
    </r>
  </si>
  <si>
    <t>Izdevumi par ēku, būvju un telpu būvdarbiem 1 961,47 euro gadā * 0.794 (iznomātās platības koeficients) = 1 557,41 euro.</t>
  </si>
  <si>
    <t>Izdevumi par ēku, būvju un telpu būvdarbiem 1 961,47 euro gadā * 0.205 (iznomātās platības koeficients) = 402,10 euro.</t>
  </si>
  <si>
    <r>
      <t xml:space="preserve">Izdevumi par ēku, būvju un telpu būvdarbiem 36 705,92 </t>
    </r>
    <r>
      <rPr>
        <i/>
        <sz val="12"/>
        <color theme="1"/>
        <rFont val="Times New Roman"/>
        <family val="1"/>
        <charset val="186"/>
      </rPr>
      <t>euro</t>
    </r>
    <r>
      <rPr>
        <sz val="12"/>
        <color theme="1"/>
        <rFont val="Times New Roman"/>
        <family val="1"/>
        <charset val="186"/>
      </rPr>
      <t xml:space="preserve"> gadā * 0.0155 (iznomātās platības koeficients) = 568,94 </t>
    </r>
    <r>
      <rPr>
        <i/>
        <sz val="12"/>
        <color theme="1"/>
        <rFont val="Times New Roman"/>
        <family val="1"/>
        <charset val="186"/>
      </rPr>
      <t>euro</t>
    </r>
    <r>
      <rPr>
        <sz val="12"/>
        <color theme="1"/>
        <rFont val="Times New Roman"/>
        <family val="1"/>
        <charset val="186"/>
      </rPr>
      <t>.</t>
    </r>
  </si>
  <si>
    <r>
      <t xml:space="preserve">Izdevumi par ēku, būvju un telpu būvdarbiem 36 705,92 </t>
    </r>
    <r>
      <rPr>
        <i/>
        <sz val="12"/>
        <color theme="1"/>
        <rFont val="Times New Roman"/>
        <family val="1"/>
        <charset val="186"/>
      </rPr>
      <t>euro</t>
    </r>
    <r>
      <rPr>
        <sz val="12"/>
        <color theme="1"/>
        <rFont val="Times New Roman"/>
        <family val="1"/>
        <charset val="186"/>
      </rPr>
      <t xml:space="preserve"> gadā * 0.4169 (iznomātās platības koeficients) = 15 302,70 </t>
    </r>
    <r>
      <rPr>
        <i/>
        <sz val="12"/>
        <color theme="1"/>
        <rFont val="Times New Roman"/>
        <family val="1"/>
        <charset val="186"/>
      </rPr>
      <t>euro</t>
    </r>
    <r>
      <rPr>
        <sz val="12"/>
        <color theme="1"/>
        <rFont val="Times New Roman"/>
        <family val="1"/>
        <charset val="186"/>
      </rPr>
      <t>.</t>
    </r>
  </si>
  <si>
    <r>
      <t xml:space="preserve">Izdevumi par ēku, būvju un telpu būvdarbiem 36 705,92 </t>
    </r>
    <r>
      <rPr>
        <i/>
        <sz val="12"/>
        <color theme="1"/>
        <rFont val="Times New Roman"/>
        <family val="1"/>
        <charset val="186"/>
      </rPr>
      <t>euro</t>
    </r>
    <r>
      <rPr>
        <sz val="12"/>
        <color theme="1"/>
        <rFont val="Times New Roman"/>
        <family val="1"/>
        <charset val="186"/>
      </rPr>
      <t xml:space="preserve"> gadā * 0.05073 (iznomātās platības koeficients) = 1 862,09 </t>
    </r>
    <r>
      <rPr>
        <i/>
        <sz val="12"/>
        <color theme="1"/>
        <rFont val="Times New Roman"/>
        <family val="1"/>
        <charset val="186"/>
      </rPr>
      <t>euro</t>
    </r>
    <r>
      <rPr>
        <sz val="12"/>
        <color theme="1"/>
        <rFont val="Times New Roman"/>
        <family val="1"/>
        <charset val="186"/>
      </rPr>
      <t>.</t>
    </r>
  </si>
  <si>
    <r>
      <t xml:space="preserve">Izdevumi par ēku, būvju un telpu būvdarbiem 36 705,92 </t>
    </r>
    <r>
      <rPr>
        <i/>
        <sz val="12"/>
        <color theme="1"/>
        <rFont val="Times New Roman"/>
        <family val="1"/>
        <charset val="186"/>
      </rPr>
      <t>euro</t>
    </r>
    <r>
      <rPr>
        <sz val="12"/>
        <color theme="1"/>
        <rFont val="Times New Roman"/>
        <family val="1"/>
        <charset val="186"/>
      </rPr>
      <t xml:space="preserve"> gadā * 0.2444 (iznomātās platības koeficients) = 8 970,93 </t>
    </r>
    <r>
      <rPr>
        <i/>
        <sz val="12"/>
        <color theme="1"/>
        <rFont val="Times New Roman"/>
        <family val="1"/>
        <charset val="186"/>
      </rPr>
      <t>euro</t>
    </r>
    <r>
      <rPr>
        <sz val="12"/>
        <color theme="1"/>
        <rFont val="Times New Roman"/>
        <family val="1"/>
        <charset val="186"/>
      </rPr>
      <t>.</t>
    </r>
  </si>
  <si>
    <r>
      <t xml:space="preserve">Izdevumi par ēku, būvju un telpu būvdarbiem 36 705,92 </t>
    </r>
    <r>
      <rPr>
        <i/>
        <sz val="12"/>
        <color theme="1"/>
        <rFont val="Times New Roman"/>
        <family val="1"/>
        <charset val="186"/>
      </rPr>
      <t>euro</t>
    </r>
    <r>
      <rPr>
        <sz val="12"/>
        <color theme="1"/>
        <rFont val="Times New Roman"/>
        <family val="1"/>
        <charset val="186"/>
      </rPr>
      <t xml:space="preserve"> gadā * 0.0026 (iznomātās platības koeficients) = 95,44 </t>
    </r>
    <r>
      <rPr>
        <i/>
        <sz val="12"/>
        <color theme="1"/>
        <rFont val="Times New Roman"/>
        <family val="1"/>
        <charset val="186"/>
      </rPr>
      <t>euro</t>
    </r>
    <r>
      <rPr>
        <sz val="12"/>
        <color theme="1"/>
        <rFont val="Times New Roman"/>
        <family val="1"/>
        <charset val="186"/>
      </rPr>
      <t>.</t>
    </r>
  </si>
  <si>
    <r>
      <t xml:space="preserve">Izdevumi par ēku, būvju un telpu būvdarbiem 36 705,92 </t>
    </r>
    <r>
      <rPr>
        <i/>
        <sz val="12"/>
        <color theme="1"/>
        <rFont val="Times New Roman"/>
        <family val="1"/>
        <charset val="186"/>
      </rPr>
      <t>euro</t>
    </r>
    <r>
      <rPr>
        <sz val="12"/>
        <color theme="1"/>
        <rFont val="Times New Roman"/>
        <family val="1"/>
        <charset val="186"/>
      </rPr>
      <t xml:space="preserve"> gadā * 0.0117 (iznomātās platības koeficients) = 429,46 </t>
    </r>
    <r>
      <rPr>
        <i/>
        <sz val="12"/>
        <color theme="1"/>
        <rFont val="Times New Roman"/>
        <family val="1"/>
        <charset val="186"/>
      </rPr>
      <t>euro</t>
    </r>
    <r>
      <rPr>
        <sz val="12"/>
        <color theme="1"/>
        <rFont val="Times New Roman"/>
        <family val="1"/>
        <charset val="186"/>
      </rPr>
      <t>.</t>
    </r>
  </si>
  <si>
    <r>
      <t xml:space="preserve">Izdevumi par ēku, būvju un telpu būvdarbiem 36 705,92 </t>
    </r>
    <r>
      <rPr>
        <i/>
        <sz val="12"/>
        <color theme="1"/>
        <rFont val="Times New Roman"/>
        <family val="1"/>
        <charset val="186"/>
      </rPr>
      <t>euro</t>
    </r>
    <r>
      <rPr>
        <sz val="12"/>
        <color theme="1"/>
        <rFont val="Times New Roman"/>
        <family val="1"/>
        <charset val="186"/>
      </rPr>
      <t xml:space="preserve"> gadā * 0.2415 (iznomātās platības koeficients) = 8 864,48 </t>
    </r>
    <r>
      <rPr>
        <i/>
        <sz val="12"/>
        <color theme="1"/>
        <rFont val="Times New Roman"/>
        <family val="1"/>
        <charset val="186"/>
      </rPr>
      <t>euro</t>
    </r>
    <r>
      <rPr>
        <sz val="12"/>
        <color theme="1"/>
        <rFont val="Times New Roman"/>
        <family val="1"/>
        <charset val="186"/>
      </rPr>
      <t>.</t>
    </r>
  </si>
  <si>
    <r>
      <t xml:space="preserve">Izdevumi par ēku, būvju un telpu būvdarbiem 4 426,16 </t>
    </r>
    <r>
      <rPr>
        <i/>
        <sz val="12"/>
        <color theme="1"/>
        <rFont val="Times New Roman"/>
        <family val="1"/>
        <charset val="186"/>
      </rPr>
      <t>euro</t>
    </r>
    <r>
      <rPr>
        <sz val="12"/>
        <color theme="1"/>
        <rFont val="Times New Roman"/>
        <family val="1"/>
        <charset val="186"/>
      </rPr>
      <t xml:space="preserve"> gadā * 0.6049 (iznomātās platības koeficients) = 2 677,38 </t>
    </r>
    <r>
      <rPr>
        <i/>
        <sz val="12"/>
        <color theme="1"/>
        <rFont val="Times New Roman"/>
        <family val="1"/>
        <charset val="186"/>
      </rPr>
      <t>euro</t>
    </r>
    <r>
      <rPr>
        <sz val="12"/>
        <color theme="1"/>
        <rFont val="Times New Roman"/>
        <family val="1"/>
        <charset val="186"/>
      </rPr>
      <t>.</t>
    </r>
  </si>
  <si>
    <r>
      <t xml:space="preserve">Izdevumi par ēku, būvju un telpu būvdarbiem 4 426,16 </t>
    </r>
    <r>
      <rPr>
        <i/>
        <sz val="12"/>
        <color theme="1"/>
        <rFont val="Times New Roman"/>
        <family val="1"/>
        <charset val="186"/>
      </rPr>
      <t>euro</t>
    </r>
    <r>
      <rPr>
        <sz val="12"/>
        <color theme="1"/>
        <rFont val="Times New Roman"/>
        <family val="1"/>
        <charset val="186"/>
      </rPr>
      <t xml:space="preserve"> gadā * 0.3951 (iznomātās platības koeficients) = 1 748,78 </t>
    </r>
    <r>
      <rPr>
        <i/>
        <sz val="12"/>
        <color theme="1"/>
        <rFont val="Times New Roman"/>
        <family val="1"/>
        <charset val="186"/>
      </rPr>
      <t>euro</t>
    </r>
    <r>
      <rPr>
        <sz val="12"/>
        <color theme="1"/>
        <rFont val="Times New Roman"/>
        <family val="1"/>
        <charset val="186"/>
      </rPr>
      <t>.</t>
    </r>
  </si>
  <si>
    <r>
      <t xml:space="preserve">Izdevumi par ēku, būvju un telpu būvdarbiem 1 942,93 </t>
    </r>
    <r>
      <rPr>
        <i/>
        <sz val="12"/>
        <color theme="1"/>
        <rFont val="Times New Roman"/>
        <family val="1"/>
        <charset val="186"/>
      </rPr>
      <t>euro</t>
    </r>
    <r>
      <rPr>
        <sz val="12"/>
        <color theme="1"/>
        <rFont val="Times New Roman"/>
        <family val="1"/>
        <charset val="186"/>
      </rPr>
      <t xml:space="preserve"> gadā * 0.1422 (iznomātās platības koeficients) = 276,28 </t>
    </r>
    <r>
      <rPr>
        <i/>
        <sz val="12"/>
        <color theme="1"/>
        <rFont val="Times New Roman"/>
        <family val="1"/>
        <charset val="186"/>
      </rPr>
      <t>euro.</t>
    </r>
  </si>
  <si>
    <r>
      <t xml:space="preserve">Izdevumi par ēku, būvju un telpu būvdarbiem 1 942,93 </t>
    </r>
    <r>
      <rPr>
        <i/>
        <sz val="12"/>
        <color theme="1"/>
        <rFont val="Times New Roman"/>
        <family val="1"/>
        <charset val="186"/>
      </rPr>
      <t>euro</t>
    </r>
    <r>
      <rPr>
        <sz val="12"/>
        <color theme="1"/>
        <rFont val="Times New Roman"/>
        <family val="1"/>
        <charset val="186"/>
      </rPr>
      <t xml:space="preserve"> gadā * 0.8578 (iznomātās platības koeficients) = 1 666,65 </t>
    </r>
    <r>
      <rPr>
        <i/>
        <sz val="12"/>
        <color theme="1"/>
        <rFont val="Times New Roman"/>
        <family val="1"/>
        <charset val="186"/>
      </rPr>
      <t>euro.</t>
    </r>
  </si>
  <si>
    <r>
      <t xml:space="preserve">Izdevumi par ēku, būvju un telpu būvdarbiem 1 868,58 </t>
    </r>
    <r>
      <rPr>
        <i/>
        <sz val="12"/>
        <color theme="1"/>
        <rFont val="Times New Roman"/>
        <family val="1"/>
        <charset val="186"/>
      </rPr>
      <t>euro</t>
    </r>
    <r>
      <rPr>
        <sz val="12"/>
        <color theme="1"/>
        <rFont val="Times New Roman"/>
        <family val="1"/>
        <charset val="186"/>
      </rPr>
      <t xml:space="preserve"> gadā *  0.2963 (pakalpojuma īpatsvars kopējos ēkās sniegtajos maksas pakalpojumos) = 553,66 </t>
    </r>
    <r>
      <rPr>
        <i/>
        <sz val="12"/>
        <color theme="1"/>
        <rFont val="Times New Roman"/>
        <family val="1"/>
        <charset val="186"/>
      </rPr>
      <t>euro.</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</si>
  <si>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1.65 stundas, (27,18 euro * 1.65 h) = 44,85 </t>
    </r>
    <r>
      <rPr>
        <i/>
        <sz val="12"/>
        <color theme="1"/>
        <rFont val="Times New Roman"/>
        <family val="1"/>
        <charset val="186"/>
      </rPr>
      <t>euro</t>
    </r>
    <r>
      <rPr>
        <sz val="12"/>
        <color theme="1"/>
        <rFont val="Times New Roman"/>
        <family val="1"/>
        <charset val="186"/>
      </rPr>
      <t xml:space="preserve">/mēn. * 12. mēn. = 538,20 </t>
    </r>
    <r>
      <rPr>
        <i/>
        <sz val="12"/>
        <color theme="1"/>
        <rFont val="Times New Roman"/>
        <family val="1"/>
        <charset val="186"/>
      </rPr>
      <t>euro</t>
    </r>
    <r>
      <rPr>
        <sz val="12"/>
        <color theme="1"/>
        <rFont val="Times New Roman"/>
        <family val="1"/>
        <charset val="186"/>
      </rPr>
      <t xml:space="preserve"> * 0.0087 (iznomātās platības koeficients) = 4,68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</si>
  <si>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1.65 stundas, (27,18 </t>
    </r>
    <r>
      <rPr>
        <i/>
        <sz val="12"/>
        <color theme="1"/>
        <rFont val="Times New Roman"/>
        <family val="1"/>
        <charset val="186"/>
      </rPr>
      <t>euro</t>
    </r>
    <r>
      <rPr>
        <sz val="12"/>
        <color theme="1"/>
        <rFont val="Times New Roman"/>
        <family val="1"/>
        <charset val="186"/>
      </rPr>
      <t xml:space="preserve"> * 1.65 h) = 44,85 </t>
    </r>
    <r>
      <rPr>
        <i/>
        <sz val="12"/>
        <color theme="1"/>
        <rFont val="Times New Roman"/>
        <family val="1"/>
        <charset val="186"/>
      </rPr>
      <t>euro</t>
    </r>
    <r>
      <rPr>
        <sz val="12"/>
        <color theme="1"/>
        <rFont val="Times New Roman"/>
        <family val="1"/>
        <charset val="186"/>
      </rPr>
      <t xml:space="preserve">/mēn. * 12. mēn. = 538,20 </t>
    </r>
    <r>
      <rPr>
        <i/>
        <sz val="12"/>
        <color theme="1"/>
        <rFont val="Times New Roman"/>
        <family val="1"/>
        <charset val="186"/>
      </rPr>
      <t>euro</t>
    </r>
    <r>
      <rPr>
        <sz val="12"/>
        <color theme="1"/>
        <rFont val="Times New Roman"/>
        <family val="1"/>
        <charset val="186"/>
      </rPr>
      <t xml:space="preserve"> * 0.0107 (iznomātās platības koeficients) = 5,76 </t>
    </r>
    <r>
      <rPr>
        <i/>
        <sz val="12"/>
        <color theme="1"/>
        <rFont val="Times New Roman"/>
        <family val="1"/>
        <charset val="186"/>
      </rPr>
      <t>euro.</t>
    </r>
  </si>
  <si>
    <r>
      <t xml:space="preserve">Galv. nekust. īpaš. pārvaldnieks (9,55 </t>
    </r>
    <r>
      <rPr>
        <i/>
        <sz val="12"/>
        <color theme="1"/>
        <rFont val="Times New Roman"/>
        <family val="1"/>
        <charset val="186"/>
      </rPr>
      <t>euro</t>
    </r>
    <r>
      <rPr>
        <sz val="12"/>
        <color theme="1"/>
        <rFont val="Times New Roman"/>
        <family val="1"/>
        <charset val="186"/>
      </rPr>
      <t xml:space="preserve"> * 5%) = 0,48 </t>
    </r>
    <r>
      <rPr>
        <i/>
        <sz val="12"/>
        <color theme="1"/>
        <rFont val="Times New Roman"/>
        <family val="1"/>
        <charset val="186"/>
      </rPr>
      <t>euro</t>
    </r>
    <r>
      <rPr>
        <sz val="12"/>
        <color theme="1"/>
        <rFont val="Times New Roman"/>
        <family val="1"/>
        <charset val="186"/>
      </rPr>
      <t xml:space="preserve">, Dienesta viesnīcas vadīotājs (217,40 euro * 5%) = 10,87 euro.  Saimniecības pārzinis (10,52 </t>
    </r>
    <r>
      <rPr>
        <i/>
        <sz val="12"/>
        <color theme="1"/>
        <rFont val="Times New Roman"/>
        <family val="1"/>
        <charset val="186"/>
      </rPr>
      <t>euro</t>
    </r>
    <r>
      <rPr>
        <sz val="12"/>
        <color theme="1"/>
        <rFont val="Times New Roman"/>
        <family val="1"/>
        <charset val="186"/>
      </rPr>
      <t xml:space="preserve"> * 5%) = 0,53 </t>
    </r>
    <r>
      <rPr>
        <i/>
        <sz val="12"/>
        <color theme="1"/>
        <rFont val="Times New Roman"/>
        <family val="1"/>
        <charset val="186"/>
      </rPr>
      <t>euro.</t>
    </r>
    <r>
      <rPr>
        <sz val="12"/>
        <color theme="1"/>
        <rFont val="Times New Roman"/>
        <family val="1"/>
        <charset val="186"/>
      </rPr>
      <t xml:space="preserve"> Kopā (0,48 </t>
    </r>
    <r>
      <rPr>
        <i/>
        <sz val="12"/>
        <color theme="1"/>
        <rFont val="Times New Roman"/>
        <family val="1"/>
        <charset val="186"/>
      </rPr>
      <t>euro</t>
    </r>
    <r>
      <rPr>
        <sz val="12"/>
        <color theme="1"/>
        <rFont val="Times New Roman"/>
        <family val="1"/>
        <charset val="186"/>
      </rPr>
      <t xml:space="preserve"> + 10,87 </t>
    </r>
    <r>
      <rPr>
        <i/>
        <sz val="12"/>
        <color theme="1"/>
        <rFont val="Times New Roman"/>
        <family val="1"/>
        <charset val="186"/>
      </rPr>
      <t>euro</t>
    </r>
    <r>
      <rPr>
        <sz val="12"/>
        <color theme="1"/>
        <rFont val="Times New Roman"/>
        <family val="1"/>
        <charset val="186"/>
      </rPr>
      <t xml:space="preserve"> + 0,53 </t>
    </r>
    <r>
      <rPr>
        <i/>
        <sz val="12"/>
        <color theme="1"/>
        <rFont val="Times New Roman"/>
        <family val="1"/>
        <charset val="186"/>
      </rPr>
      <t>euro</t>
    </r>
    <r>
      <rPr>
        <sz val="12"/>
        <color theme="1"/>
        <rFont val="Times New Roman"/>
        <family val="1"/>
        <charset val="186"/>
      </rPr>
      <t xml:space="preserve">) = 11,88 </t>
    </r>
    <r>
      <rPr>
        <i/>
        <sz val="12"/>
        <color theme="1"/>
        <rFont val="Times New Roman"/>
        <family val="1"/>
        <charset val="186"/>
      </rPr>
      <t>euro</t>
    </r>
    <r>
      <rPr>
        <sz val="12"/>
        <color theme="1"/>
        <rFont val="Times New Roman"/>
        <family val="1"/>
        <charset val="186"/>
      </rPr>
      <t>.</t>
    </r>
  </si>
  <si>
    <r>
      <t xml:space="preserve">Grāmatvedis (17. saime, IV līmenis, 9. algu grupa, mēnešalga 1 559 </t>
    </r>
    <r>
      <rPr>
        <i/>
        <sz val="12"/>
        <color theme="1"/>
        <rFont val="Times New Roman"/>
        <family val="1"/>
        <charset val="186"/>
      </rPr>
      <t>euro</t>
    </r>
    <r>
      <rPr>
        <sz val="12"/>
        <color theme="1"/>
        <rFont val="Times New Roman"/>
        <family val="1"/>
        <charset val="186"/>
      </rPr>
      <t xml:space="preserve">). Stundas tarifa likme 9,42 </t>
    </r>
    <r>
      <rPr>
        <i/>
        <sz val="12"/>
        <color theme="1"/>
        <rFont val="Times New Roman"/>
        <family val="1"/>
        <charset val="186"/>
      </rPr>
      <t>euro</t>
    </r>
    <r>
      <rPr>
        <sz val="12"/>
        <color theme="1"/>
        <rFont val="Times New Roman"/>
        <family val="1"/>
        <charset val="186"/>
      </rPr>
      <t xml:space="preserve"> = 1 559 </t>
    </r>
    <r>
      <rPr>
        <i/>
        <sz val="12"/>
        <color theme="1"/>
        <rFont val="Times New Roman"/>
        <family val="1"/>
        <charset val="186"/>
      </rPr>
      <t>euro</t>
    </r>
    <r>
      <rPr>
        <sz val="12"/>
        <color theme="1"/>
        <rFont val="Times New Roman"/>
        <family val="1"/>
        <charset val="186"/>
      </rPr>
      <t xml:space="preserve">/165.58 (vid. d. stundu sk. mēnesī). Vid. mēn. noslogojums 33.59 stundas, (9,42 </t>
    </r>
    <r>
      <rPr>
        <i/>
        <sz val="12"/>
        <color theme="1"/>
        <rFont val="Times New Roman"/>
        <family val="1"/>
        <charset val="186"/>
      </rPr>
      <t>euro</t>
    </r>
    <r>
      <rPr>
        <sz val="12"/>
        <color theme="1"/>
        <rFont val="Times New Roman"/>
        <family val="1"/>
        <charset val="186"/>
      </rPr>
      <t xml:space="preserve"> * 33.59 h) = 316,42 </t>
    </r>
    <r>
      <rPr>
        <i/>
        <sz val="12"/>
        <color theme="1"/>
        <rFont val="Times New Roman"/>
        <family val="1"/>
        <charset val="186"/>
      </rPr>
      <t>euro</t>
    </r>
    <r>
      <rPr>
        <sz val="12"/>
        <color theme="1"/>
        <rFont val="Times New Roman"/>
        <family val="1"/>
        <charset val="186"/>
      </rPr>
      <t xml:space="preserve">/mēn. * 12. mēn. = 3 797,04 </t>
    </r>
    <r>
      <rPr>
        <i/>
        <sz val="12"/>
        <color theme="1"/>
        <rFont val="Times New Roman"/>
        <family val="1"/>
        <charset val="186"/>
      </rPr>
      <t>euro</t>
    </r>
    <r>
      <rPr>
        <sz val="12"/>
        <color theme="1"/>
        <rFont val="Times New Roman"/>
        <family val="1"/>
        <charset val="186"/>
      </rPr>
      <t xml:space="preserve"> * 0.0155 (iznomātās platības koeficients) = 58,85 </t>
    </r>
    <r>
      <rPr>
        <i/>
        <sz val="12"/>
        <color theme="1"/>
        <rFont val="Times New Roman"/>
        <family val="1"/>
        <charset val="186"/>
      </rPr>
      <t>euro</t>
    </r>
    <r>
      <rPr>
        <sz val="12"/>
        <color theme="1"/>
        <rFont val="Times New Roman"/>
        <family val="1"/>
        <charset val="186"/>
      </rPr>
      <t>.</t>
    </r>
  </si>
  <si>
    <r>
      <t xml:space="preserve">Direktors (1.1. saime, V līmenis, 17. algu grupa, mēnešalga 4 500 </t>
    </r>
    <r>
      <rPr>
        <i/>
        <sz val="12"/>
        <color theme="1"/>
        <rFont val="Times New Roman"/>
        <family val="1"/>
        <charset val="186"/>
      </rPr>
      <t>euro</t>
    </r>
    <r>
      <rPr>
        <sz val="12"/>
        <color theme="1"/>
        <rFont val="Times New Roman"/>
        <family val="1"/>
        <charset val="186"/>
      </rPr>
      <t xml:space="preserve">). Stundas tarifa likme 27,18 </t>
    </r>
    <r>
      <rPr>
        <i/>
        <sz val="12"/>
        <color theme="1"/>
        <rFont val="Times New Roman"/>
        <family val="1"/>
        <charset val="186"/>
      </rPr>
      <t>euro</t>
    </r>
    <r>
      <rPr>
        <sz val="12"/>
        <color theme="1"/>
        <rFont val="Times New Roman"/>
        <family val="1"/>
        <charset val="186"/>
      </rPr>
      <t xml:space="preserve"> = 4 500 </t>
    </r>
    <r>
      <rPr>
        <i/>
        <sz val="12"/>
        <color theme="1"/>
        <rFont val="Times New Roman"/>
        <family val="1"/>
        <charset val="186"/>
      </rPr>
      <t>euro</t>
    </r>
    <r>
      <rPr>
        <sz val="12"/>
        <color theme="1"/>
        <rFont val="Times New Roman"/>
        <family val="1"/>
        <charset val="186"/>
      </rPr>
      <t xml:space="preserve"> / 165.58 (vid. d. stundu sk. mēnesī). Vid. mēn. noslogojums 1.65 stundas, (27,18 </t>
    </r>
    <r>
      <rPr>
        <i/>
        <sz val="12"/>
        <color theme="1"/>
        <rFont val="Times New Roman"/>
        <family val="1"/>
        <charset val="186"/>
      </rPr>
      <t>euro</t>
    </r>
    <r>
      <rPr>
        <sz val="12"/>
        <color theme="1"/>
        <rFont val="Times New Roman"/>
        <family val="1"/>
        <charset val="186"/>
      </rPr>
      <t xml:space="preserve"> * 1.65 h) = 44,85 </t>
    </r>
    <r>
      <rPr>
        <i/>
        <sz val="12"/>
        <color theme="1"/>
        <rFont val="Times New Roman"/>
        <family val="1"/>
        <charset val="186"/>
      </rPr>
      <t>euro</t>
    </r>
    <r>
      <rPr>
        <sz val="12"/>
        <color theme="1"/>
        <rFont val="Times New Roman"/>
        <family val="1"/>
        <charset val="186"/>
      </rPr>
      <t xml:space="preserve">/mēn. * 12. mēn. = 538,20 </t>
    </r>
    <r>
      <rPr>
        <i/>
        <sz val="12"/>
        <color theme="1"/>
        <rFont val="Times New Roman"/>
        <family val="1"/>
        <charset val="186"/>
      </rPr>
      <t>euro</t>
    </r>
    <r>
      <rPr>
        <sz val="12"/>
        <color theme="1"/>
        <rFont val="Times New Roman"/>
        <family val="1"/>
        <charset val="186"/>
      </rPr>
      <t xml:space="preserve"> * 0.0155 (iznomātās platības koeficients) = 8,34 </t>
    </r>
    <r>
      <rPr>
        <i/>
        <sz val="12"/>
        <color theme="1"/>
        <rFont val="Times New Roman"/>
        <family val="1"/>
        <charset val="186"/>
      </rPr>
      <t>euro</t>
    </r>
    <r>
      <rPr>
        <sz val="12"/>
        <color theme="1"/>
        <rFont val="Times New Roman"/>
        <family val="1"/>
        <charset val="186"/>
      </rPr>
      <t>.</t>
    </r>
  </si>
  <si>
    <r>
      <t xml:space="preserve">Izdevumi par ēku, būvju un telpu būvdarbiem 36 705,92 </t>
    </r>
    <r>
      <rPr>
        <i/>
        <sz val="12"/>
        <color theme="1"/>
        <rFont val="Times New Roman"/>
        <family val="1"/>
        <charset val="186"/>
      </rPr>
      <t>euro</t>
    </r>
    <r>
      <rPr>
        <sz val="12"/>
        <color theme="1"/>
        <rFont val="Times New Roman"/>
        <family val="1"/>
        <charset val="186"/>
      </rPr>
      <t xml:space="preserve"> gadā * 0.0107 (iznomātās platības koeficients) = 392,75 </t>
    </r>
    <r>
      <rPr>
        <i/>
        <sz val="12"/>
        <color theme="1"/>
        <rFont val="Times New Roman"/>
        <family val="1"/>
        <charset val="186"/>
      </rPr>
      <t>euro</t>
    </r>
    <r>
      <rPr>
        <sz val="12"/>
        <color theme="1"/>
        <rFont val="Times New Roman"/>
        <family val="1"/>
        <charset val="186"/>
      </rPr>
      <t>.</t>
    </r>
  </si>
  <si>
    <r>
      <t xml:space="preserve">Izdevumi par atkritumu izvešanu 27 012,56 </t>
    </r>
    <r>
      <rPr>
        <i/>
        <sz val="12"/>
        <color theme="1"/>
        <rFont val="Times New Roman"/>
        <family val="1"/>
        <charset val="186"/>
      </rPr>
      <t>euro</t>
    </r>
    <r>
      <rPr>
        <sz val="12"/>
        <color theme="1"/>
        <rFont val="Times New Roman"/>
        <family val="1"/>
        <charset val="186"/>
      </rPr>
      <t xml:space="preserve"> gadā * 0.4169 (iznomātās platības koeficients) = 11 261,54 </t>
    </r>
    <r>
      <rPr>
        <i/>
        <sz val="12"/>
        <color theme="1"/>
        <rFont val="Times New Roman"/>
        <family val="1"/>
        <charset val="186"/>
      </rPr>
      <t>euro</t>
    </r>
    <r>
      <rPr>
        <sz val="12"/>
        <color theme="1"/>
        <rFont val="Times New Roman"/>
        <family val="1"/>
        <charset val="186"/>
      </rPr>
      <t>.</t>
    </r>
  </si>
  <si>
    <t>Maksas pakalpojuma vienību skaits noteiktā laikposmā (5 stundas gadā)</t>
  </si>
  <si>
    <t>Maksas pakalpojuma vienību skaits noteiktā laikposmā (434 stundas gadā)</t>
  </si>
  <si>
    <t>Maksas pakalpojuma vienību skaits noteiktā laikposmā (51 stundas gadā)</t>
  </si>
  <si>
    <t>Maksas pakalpojuma vienību skaits noteiktā laikposmā (10 stundas gadā)</t>
  </si>
  <si>
    <t>Maksas pakalpojuma vienību skaits noteiktā laikposmā (71 stundas gadā)</t>
  </si>
  <si>
    <t>Maksas pakalpojuma vienību skaits noteiktā laikposmā (32 stundas gadā)</t>
  </si>
  <si>
    <r>
      <t xml:space="preserve">Video novērošanas un apsardzes signalizācijas sistēmas tehniskā apkope, Ugunsdzēsības krānu, ūdensvada, sirēnu iekārtu un citu iekārtu apkope un remonts, evakuācijas plānu izstrāde, avāriju bojājumu novēršanas izdevumi 2 550,98 </t>
    </r>
    <r>
      <rPr>
        <i/>
        <sz val="12"/>
        <color theme="1"/>
        <rFont val="Times New Roman"/>
        <family val="1"/>
        <charset val="186"/>
      </rPr>
      <t>euro</t>
    </r>
    <r>
      <rPr>
        <sz val="12"/>
        <color theme="1"/>
        <rFont val="Times New Roman"/>
        <family val="1"/>
        <charset val="186"/>
      </rPr>
      <t xml:space="preserve"> gadā * 0.0107 (iznomātās platības koeficients) = 27,30 </t>
    </r>
    <r>
      <rPr>
        <i/>
        <sz val="12"/>
        <color theme="1"/>
        <rFont val="Times New Roman"/>
        <family val="1"/>
        <charset val="186"/>
      </rPr>
      <t>euro</t>
    </r>
    <r>
      <rPr>
        <sz val="12"/>
        <color theme="1"/>
        <rFont val="Times New Roman"/>
        <family val="1"/>
        <charset val="186"/>
      </rPr>
      <t>.</t>
    </r>
  </si>
  <si>
    <t>3.2.</t>
  </si>
  <si>
    <t xml:space="preserve">3. Maksas pakalpojuma veids - Zemes un teritorijas izmantošanas pakalpojumi ( noma) </t>
  </si>
  <si>
    <t>3.2. Zemes noma aģentūras pārvaldībā esošajos īpašumos līdz 1000 m2</t>
  </si>
  <si>
    <t>Zemes noma aģentūras pārvaldībā esošajos īpašumos līdz 1000 m2</t>
  </si>
  <si>
    <t>3.</t>
  </si>
  <si>
    <t>Nedzīvojamo telpu un zemes noma Nodrošinājuma valsts aģentūras pārvaldīšanā esošajos nekustamajos īpašumos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</si>
</sst>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 _€_-;\-* #,##0.00\ _€_-;_-* &quot;-&quot;??\ _€_-;_-@_-"/>
    <numFmt numFmtId="164" formatCode="0.000"/>
    <numFmt numFmtId="165" formatCode="0.0000"/>
    <numFmt numFmtId="166" formatCode="#,##0.0000"/>
    <numFmt numFmtId="167" formatCode="#,##0.000"/>
    <numFmt numFmtId="168" formatCode="0.00000"/>
    <numFmt numFmtId="169" formatCode="#,##0.00000"/>
    <numFmt numFmtId="170" formatCode="0.000000"/>
    <numFmt numFmtId="171" formatCode="#,##0.000000"/>
  </numFmts>
  <fonts count="27" x14ac:knownFonts="1">
    <font>
      <sz val="11"/>
      <color theme="1"/>
      <name val="Calibri"/>
      <family val="2"/>
      <charset val="186"/>
      <scheme val="minor"/>
    </font>
    <font>
      <sz val="12"/>
      <color theme="1"/>
      <name val="Times New Roman"/>
      <family val="1"/>
      <charset val="186"/>
    </font>
    <font>
      <sz val="14"/>
      <color theme="1"/>
      <name val="Times New Roman"/>
      <family val="1"/>
      <charset val="186"/>
    </font>
    <font>
      <b/>
      <u/>
      <sz val="14"/>
      <color theme="1"/>
      <name val="Times New Roman"/>
      <family val="1"/>
      <charset val="186"/>
    </font>
    <font>
      <b/>
      <sz val="14"/>
      <color theme="1"/>
      <name val="Times New Roman"/>
      <family val="1"/>
      <charset val="186"/>
    </font>
    <font>
      <b/>
      <sz val="12"/>
      <color theme="1"/>
      <name val="Times New Roman"/>
      <family val="1"/>
      <charset val="186"/>
    </font>
    <font>
      <i/>
      <sz val="12"/>
      <color theme="1"/>
      <name val="Times New Roman"/>
      <family val="1"/>
      <charset val="186"/>
    </font>
    <font>
      <sz val="12"/>
      <color rgb="FF000000"/>
      <name val="Times New Roman"/>
      <family val="1"/>
      <charset val="186"/>
    </font>
    <font>
      <sz val="11"/>
      <color theme="1"/>
      <name val="Times New Roman"/>
      <family val="1"/>
      <charset val="186"/>
    </font>
    <font>
      <b/>
      <sz val="12"/>
      <color rgb="FF000000"/>
      <name val="Times New Roman"/>
      <family val="1"/>
      <charset val="186"/>
    </font>
    <font>
      <sz val="12"/>
      <name val="Times New Roman"/>
      <family val="1"/>
      <charset val="186"/>
    </font>
    <font>
      <b/>
      <i/>
      <sz val="12"/>
      <color rgb="FF000000"/>
      <name val="Times New Roman"/>
      <family val="1"/>
      <charset val="186"/>
    </font>
    <font>
      <sz val="12"/>
      <color rgb="FFFF0000"/>
      <name val="Times New Roman"/>
      <family val="1"/>
      <charset val="186"/>
    </font>
    <font>
      <sz val="11"/>
      <color rgb="FFFF0000"/>
      <name val="Calibri"/>
      <family val="2"/>
      <charset val="186"/>
      <scheme val="minor"/>
    </font>
    <font>
      <b/>
      <sz val="11"/>
      <color theme="1"/>
      <name val="Calibri"/>
      <family val="2"/>
      <charset val="186"/>
      <scheme val="minor"/>
    </font>
    <font>
      <b/>
      <sz val="12"/>
      <color theme="1"/>
      <name val="Calibri"/>
      <family val="2"/>
      <charset val="186"/>
      <scheme val="minor"/>
    </font>
    <font>
      <b/>
      <sz val="11"/>
      <color rgb="FFFF0000"/>
      <name val="Calibri"/>
      <family val="2"/>
      <charset val="186"/>
      <scheme val="minor"/>
    </font>
    <font>
      <sz val="14"/>
      <color theme="1"/>
      <name val="Calibri"/>
      <family val="2"/>
      <charset val="186"/>
      <scheme val="minor"/>
    </font>
    <font>
      <b/>
      <sz val="11"/>
      <color theme="1"/>
      <name val="Times New Roman"/>
      <family val="1"/>
      <charset val="186"/>
    </font>
    <font>
      <b/>
      <sz val="12"/>
      <color rgb="FF414142"/>
      <name val="Times New Roman"/>
      <family val="1"/>
      <charset val="186"/>
    </font>
    <font>
      <sz val="12"/>
      <color rgb="FF414142"/>
      <name val="Times New Roman"/>
      <family val="1"/>
      <charset val="186"/>
    </font>
    <font>
      <i/>
      <sz val="12"/>
      <name val="Times New Roman"/>
      <family val="1"/>
      <charset val="186"/>
    </font>
    <font>
      <b/>
      <i/>
      <sz val="12"/>
      <color theme="1"/>
      <name val="Times New Roman"/>
      <family val="1"/>
      <charset val="186"/>
    </font>
    <font>
      <b/>
      <i/>
      <sz val="11"/>
      <color theme="1"/>
      <name val="Times New Roman"/>
      <family val="1"/>
      <charset val="186"/>
    </font>
    <font>
      <b/>
      <sz val="12"/>
      <color rgb="FFFF0000"/>
      <name val="Times New Roman"/>
      <family val="1"/>
      <charset val="186"/>
    </font>
    <font>
      <sz val="11"/>
      <name val="Calibri"/>
      <family val="2"/>
      <charset val="186"/>
      <scheme val="minor"/>
    </font>
    <font>
      <sz val="11"/>
      <color theme="1"/>
      <name val="Calibri"/>
      <family val="2"/>
      <charset val="186"/>
      <scheme val="minor"/>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43" fontId="26" fillId="0" borderId="0" applyFont="0" applyFill="0" applyBorder="0" applyAlignment="0" applyProtection="0"/>
  </cellStyleXfs>
  <cellXfs count="422">
    <xf numFmtId="0" fontId="0" fillId="0" borderId="0" xfId="0"/>
    <xf numFmtId="0" fontId="1" fillId="0" borderId="0" xfId="0" applyFont="1"/>
    <xf numFmtId="0" fontId="2" fillId="0" borderId="0" xfId="0" applyFont="1"/>
    <xf numFmtId="0" fontId="4" fillId="0" borderId="0" xfId="0" applyFont="1" applyAlignment="1">
      <alignment horizontal="left" vertical="center"/>
    </xf>
    <xf numFmtId="0" fontId="1" fillId="0" borderId="1" xfId="0" applyFont="1" applyBorder="1"/>
    <xf numFmtId="0" fontId="1" fillId="0" borderId="1" xfId="0" applyFont="1" applyBorder="1" applyAlignment="1">
      <alignment wrapText="1"/>
    </xf>
    <xf numFmtId="0" fontId="1" fillId="0" borderId="2" xfId="0" applyFont="1" applyBorder="1"/>
    <xf numFmtId="0" fontId="5" fillId="0" borderId="1" xfId="0" applyFont="1" applyBorder="1"/>
    <xf numFmtId="0" fontId="5" fillId="0" borderId="1" xfId="0" applyFont="1" applyBorder="1" applyAlignment="1">
      <alignment horizontal="center"/>
    </xf>
    <xf numFmtId="0" fontId="5" fillId="0" borderId="1" xfId="0" applyFont="1" applyBorder="1" applyAlignment="1">
      <alignment vertical="center" wrapText="1"/>
    </xf>
    <xf numFmtId="0" fontId="5" fillId="0" borderId="1" xfId="0" applyFont="1" applyBorder="1" applyAlignment="1">
      <alignment horizontal="left"/>
    </xf>
    <xf numFmtId="0" fontId="5" fillId="0" borderId="1" xfId="0" applyFont="1" applyBorder="1" applyAlignment="1">
      <alignment horizontal="justify" vertical="center" wrapText="1"/>
    </xf>
    <xf numFmtId="0" fontId="7" fillId="0" borderId="1" xfId="0" applyFont="1" applyBorder="1" applyAlignment="1">
      <alignment horizontal="center" vertical="center" wrapText="1"/>
    </xf>
    <xf numFmtId="0" fontId="9" fillId="2" borderId="1" xfId="0" applyFont="1" applyFill="1" applyBorder="1" applyAlignment="1">
      <alignment vertical="top"/>
    </xf>
    <xf numFmtId="4" fontId="0" fillId="0" borderId="0" xfId="0" applyNumberFormat="1"/>
    <xf numFmtId="0" fontId="0" fillId="0" borderId="0" xfId="0" applyAlignment="1">
      <alignment vertical="top"/>
    </xf>
    <xf numFmtId="0" fontId="1" fillId="0" borderId="1" xfId="0" applyFont="1" applyBorder="1" applyAlignment="1">
      <alignment vertical="top"/>
    </xf>
    <xf numFmtId="0" fontId="1" fillId="0" borderId="1" xfId="0" applyFont="1" applyBorder="1" applyAlignment="1">
      <alignment horizontal="center"/>
    </xf>
    <xf numFmtId="0" fontId="1" fillId="0" borderId="1" xfId="0" applyFont="1" applyBorder="1" applyAlignment="1">
      <alignment horizontal="right"/>
    </xf>
    <xf numFmtId="49" fontId="12" fillId="0" borderId="0" xfId="0" applyNumberFormat="1" applyFont="1" applyBorder="1" applyAlignment="1">
      <alignment horizontal="left" wrapText="1"/>
    </xf>
    <xf numFmtId="0" fontId="1" fillId="0" borderId="0" xfId="0" applyFont="1" applyBorder="1"/>
    <xf numFmtId="0" fontId="9" fillId="2" borderId="1" xfId="0" applyFont="1" applyFill="1" applyBorder="1" applyAlignment="1">
      <alignment vertical="top" wrapText="1"/>
    </xf>
    <xf numFmtId="0" fontId="0" fillId="0" borderId="1" xfId="0" applyBorder="1"/>
    <xf numFmtId="0" fontId="14" fillId="0" borderId="1" xfId="0" applyFont="1" applyBorder="1"/>
    <xf numFmtId="2" fontId="0" fillId="0" borderId="1" xfId="0" applyNumberFormat="1" applyBorder="1"/>
    <xf numFmtId="2" fontId="14" fillId="0" borderId="1" xfId="0" applyNumberFormat="1" applyFont="1" applyBorder="1"/>
    <xf numFmtId="2" fontId="15" fillId="0" borderId="1" xfId="0" applyNumberFormat="1" applyFont="1" applyBorder="1"/>
    <xf numFmtId="0" fontId="0" fillId="0" borderId="1" xfId="0" applyBorder="1" applyAlignment="1">
      <alignment horizontal="center"/>
    </xf>
    <xf numFmtId="0" fontId="1" fillId="0" borderId="1" xfId="0" applyFont="1" applyBorder="1" applyAlignment="1">
      <alignment horizontal="center" wrapText="1"/>
    </xf>
    <xf numFmtId="0" fontId="1" fillId="0" borderId="1" xfId="0" applyFont="1" applyBorder="1" applyAlignment="1">
      <alignment horizontal="center"/>
    </xf>
    <xf numFmtId="0" fontId="6" fillId="0" borderId="1" xfId="0" applyFont="1" applyBorder="1" applyAlignment="1">
      <alignment horizontal="center"/>
    </xf>
    <xf numFmtId="0" fontId="1" fillId="0" borderId="1" xfId="0" applyFont="1" applyBorder="1" applyAlignment="1">
      <alignment horizontal="left" wrapText="1"/>
    </xf>
    <xf numFmtId="0" fontId="1" fillId="0" borderId="1" xfId="0" applyFont="1" applyBorder="1" applyAlignment="1">
      <alignment vertical="top" wrapText="1"/>
    </xf>
    <xf numFmtId="0" fontId="1" fillId="0" borderId="1" xfId="0" applyFont="1" applyBorder="1" applyAlignment="1">
      <alignment horizontal="center"/>
    </xf>
    <xf numFmtId="0" fontId="6" fillId="0" borderId="1" xfId="0" applyFont="1" applyBorder="1" applyAlignment="1">
      <alignment horizontal="center"/>
    </xf>
    <xf numFmtId="0" fontId="1" fillId="0" borderId="1" xfId="0" applyFont="1" applyBorder="1" applyAlignment="1">
      <alignment horizontal="center" wrapText="1"/>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1" fillId="0" borderId="1" xfId="0" applyFont="1" applyBorder="1" applyAlignment="1">
      <alignment horizontal="left" vertical="top" wrapText="1"/>
    </xf>
    <xf numFmtId="2" fontId="0" fillId="0" borderId="0" xfId="0" applyNumberFormat="1"/>
    <xf numFmtId="4" fontId="14" fillId="0" borderId="1" xfId="0" applyNumberFormat="1" applyFont="1" applyBorder="1" applyAlignment="1"/>
    <xf numFmtId="4" fontId="15" fillId="0" borderId="1" xfId="0" applyNumberFormat="1" applyFont="1" applyBorder="1" applyAlignment="1"/>
    <xf numFmtId="4" fontId="0" fillId="0" borderId="1" xfId="0" applyNumberFormat="1" applyBorder="1"/>
    <xf numFmtId="4" fontId="14" fillId="0" borderId="1" xfId="0" applyNumberFormat="1" applyFont="1" applyBorder="1"/>
    <xf numFmtId="4" fontId="0" fillId="0" borderId="1" xfId="0" applyNumberFormat="1" applyBorder="1" applyAlignment="1">
      <alignment horizontal="center"/>
    </xf>
    <xf numFmtId="2" fontId="0" fillId="0" borderId="1" xfId="0" applyNumberFormat="1" applyBorder="1" applyAlignment="1">
      <alignment horizontal="center"/>
    </xf>
    <xf numFmtId="0" fontId="0" fillId="0" borderId="1" xfId="0" applyFont="1" applyBorder="1" applyAlignment="1">
      <alignment horizontal="center"/>
    </xf>
    <xf numFmtId="0" fontId="1"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164" fontId="0" fillId="0" borderId="0" xfId="0" applyNumberFormat="1"/>
    <xf numFmtId="0" fontId="0" fillId="0" borderId="0" xfId="0" applyBorder="1"/>
    <xf numFmtId="0" fontId="7" fillId="0" borderId="1" xfId="0" applyFont="1" applyBorder="1" applyAlignment="1">
      <alignment horizontal="center" vertical="top" wrapText="1"/>
    </xf>
    <xf numFmtId="0" fontId="4" fillId="0" borderId="0" xfId="0" applyFont="1" applyAlignment="1"/>
    <xf numFmtId="0" fontId="3" fillId="0" borderId="0" xfId="0" applyFont="1"/>
    <xf numFmtId="0" fontId="1" fillId="0" borderId="1" xfId="0" applyFont="1" applyBorder="1" applyAlignment="1">
      <alignment horizontal="center"/>
    </xf>
    <xf numFmtId="0" fontId="6" fillId="0" borderId="1" xfId="0" applyFont="1" applyBorder="1" applyAlignment="1">
      <alignment horizontal="center"/>
    </xf>
    <xf numFmtId="0" fontId="1" fillId="0" borderId="1" xfId="0" applyFont="1" applyBorder="1" applyAlignment="1">
      <alignment horizontal="left" wrapText="1"/>
    </xf>
    <xf numFmtId="2" fontId="0" fillId="0" borderId="1" xfId="0" applyNumberFormat="1" applyFont="1" applyBorder="1" applyAlignment="1">
      <alignment horizontal="center"/>
    </xf>
    <xf numFmtId="0" fontId="5" fillId="0" borderId="0" xfId="0" applyFont="1"/>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1" fillId="0" borderId="1" xfId="0" applyFont="1" applyBorder="1" applyAlignment="1">
      <alignment horizontal="left" vertical="top" wrapText="1"/>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14" fillId="0" borderId="0" xfId="0" applyFont="1"/>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165" fontId="0" fillId="0" borderId="0" xfId="0" applyNumberFormat="1"/>
    <xf numFmtId="2" fontId="14" fillId="0" borderId="1" xfId="0" applyNumberFormat="1" applyFont="1" applyBorder="1" applyAlignment="1">
      <alignment horizontal="right"/>
    </xf>
    <xf numFmtId="0" fontId="1" fillId="0" borderId="1" xfId="0" applyFont="1" applyFill="1" applyBorder="1" applyAlignment="1">
      <alignment horizontal="left" wrapText="1"/>
    </xf>
    <xf numFmtId="4" fontId="7" fillId="0" borderId="1" xfId="0" applyNumberFormat="1" applyFont="1" applyBorder="1" applyAlignment="1">
      <alignment horizontal="center" vertical="top" wrapText="1"/>
    </xf>
    <xf numFmtId="4" fontId="14" fillId="0" borderId="1" xfId="0" applyNumberFormat="1" applyFont="1" applyBorder="1" applyAlignment="1">
      <alignment horizontal="right"/>
    </xf>
    <xf numFmtId="4" fontId="15" fillId="0" borderId="1" xfId="0" applyNumberFormat="1" applyFont="1" applyBorder="1"/>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1" fillId="0" borderId="1" xfId="0" applyFont="1" applyBorder="1" applyAlignment="1">
      <alignment horizontal="left" vertical="top" wrapText="1"/>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vertical="top" wrapText="1"/>
    </xf>
    <xf numFmtId="0" fontId="1" fillId="0" borderId="1" xfId="0" applyFont="1" applyBorder="1" applyAlignment="1">
      <alignment horizontal="left" wrapText="1"/>
    </xf>
    <xf numFmtId="0" fontId="3" fillId="0" borderId="0" xfId="0" applyFont="1" applyAlignment="1">
      <alignment horizontal="left" vertical="center"/>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1" fillId="0" borderId="1" xfId="0" applyFont="1" applyBorder="1" applyAlignment="1">
      <alignment horizontal="left" wrapText="1"/>
    </xf>
    <xf numFmtId="0" fontId="4" fillId="0" borderId="0" xfId="0" applyFont="1" applyAlignment="1">
      <alignment horizontal="left" vertical="center"/>
    </xf>
    <xf numFmtId="4" fontId="0" fillId="0" borderId="1" xfId="0" applyNumberFormat="1" applyFont="1" applyBorder="1" applyAlignment="1">
      <alignment horizontal="center"/>
    </xf>
    <xf numFmtId="0" fontId="1" fillId="0" borderId="1" xfId="0" applyFont="1" applyBorder="1" applyAlignment="1">
      <alignment horizontal="center"/>
    </xf>
    <xf numFmtId="0" fontId="6" fillId="0" borderId="1" xfId="0" applyFont="1" applyBorder="1" applyAlignment="1">
      <alignment horizontal="center"/>
    </xf>
    <xf numFmtId="0" fontId="3" fillId="0" borderId="0" xfId="0" applyFont="1" applyAlignment="1">
      <alignment horizontal="left" vertical="center"/>
    </xf>
    <xf numFmtId="0" fontId="1" fillId="0" borderId="1" xfId="0" applyFont="1" applyBorder="1" applyAlignment="1">
      <alignment horizontal="center" wrapText="1"/>
    </xf>
    <xf numFmtId="49" fontId="1" fillId="0" borderId="1" xfId="0" applyNumberFormat="1" applyFont="1" applyBorder="1" applyAlignment="1">
      <alignment horizontal="left" wrapText="1"/>
    </xf>
    <xf numFmtId="0" fontId="1" fillId="0" borderId="1" xfId="0" applyFont="1" applyBorder="1" applyAlignment="1">
      <alignment horizontal="left" vertical="top" wrapText="1"/>
    </xf>
    <xf numFmtId="0" fontId="1" fillId="0" borderId="1" xfId="0" applyFont="1" applyBorder="1" applyAlignment="1">
      <alignment horizontal="left" wrapText="1"/>
    </xf>
    <xf numFmtId="0" fontId="10" fillId="0" borderId="1" xfId="0" applyFont="1" applyBorder="1" applyAlignment="1">
      <alignment horizontal="left" wrapText="1"/>
    </xf>
    <xf numFmtId="0" fontId="1" fillId="0" borderId="1" xfId="0" applyFont="1" applyFill="1" applyBorder="1" applyAlignment="1">
      <alignment horizontal="left" vertical="top" wrapText="1"/>
    </xf>
    <xf numFmtId="0" fontId="1" fillId="0" borderId="1" xfId="0" applyFont="1" applyFill="1" applyBorder="1" applyAlignment="1">
      <alignment wrapText="1"/>
    </xf>
    <xf numFmtId="0" fontId="9" fillId="0" borderId="1" xfId="0" applyFont="1" applyBorder="1"/>
    <xf numFmtId="49" fontId="10" fillId="0" borderId="1" xfId="0" applyNumberFormat="1" applyFont="1" applyBorder="1" applyAlignment="1">
      <alignment horizontal="left" wrapText="1"/>
    </xf>
    <xf numFmtId="49" fontId="1" fillId="0" borderId="1" xfId="0" applyNumberFormat="1" applyFont="1" applyBorder="1" applyAlignment="1">
      <alignment horizontal="left" wrapText="1"/>
    </xf>
    <xf numFmtId="0" fontId="1" fillId="0" borderId="1" xfId="0" applyFont="1" applyBorder="1" applyAlignment="1"/>
    <xf numFmtId="49" fontId="1" fillId="0" borderId="1" xfId="0" applyNumberFormat="1" applyFont="1" applyBorder="1" applyAlignment="1">
      <alignment wrapText="1"/>
    </xf>
    <xf numFmtId="0" fontId="1" fillId="0" borderId="4" xfId="0" applyFont="1" applyBorder="1" applyAlignment="1">
      <alignment horizontal="left" wrapText="1"/>
    </xf>
    <xf numFmtId="0" fontId="1" fillId="0" borderId="4" xfId="0" applyFont="1" applyBorder="1" applyAlignment="1">
      <alignment wrapText="1"/>
    </xf>
    <xf numFmtId="0" fontId="1" fillId="0" borderId="7" xfId="0" applyFont="1" applyBorder="1" applyAlignment="1">
      <alignment vertical="top"/>
    </xf>
    <xf numFmtId="0" fontId="1" fillId="0" borderId="9" xfId="0" applyFont="1" applyBorder="1" applyAlignment="1">
      <alignment vertical="top"/>
    </xf>
    <xf numFmtId="0" fontId="1" fillId="0" borderId="11" xfId="0" applyFont="1" applyBorder="1" applyAlignment="1">
      <alignment vertical="top"/>
    </xf>
    <xf numFmtId="0" fontId="1" fillId="0" borderId="8" xfId="0" applyFont="1" applyBorder="1" applyAlignment="1">
      <alignment vertical="top"/>
    </xf>
    <xf numFmtId="0" fontId="1" fillId="0" borderId="10" xfId="0" applyFont="1" applyBorder="1" applyAlignment="1">
      <alignment vertical="top"/>
    </xf>
    <xf numFmtId="0" fontId="1" fillId="0" borderId="12" xfId="0" applyFont="1" applyBorder="1" applyAlignment="1">
      <alignment vertical="top"/>
    </xf>
    <xf numFmtId="0" fontId="1" fillId="0" borderId="8" xfId="0" applyFont="1" applyBorder="1" applyAlignment="1">
      <alignment horizontal="center"/>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49" fontId="1" fillId="0" borderId="1" xfId="0" applyNumberFormat="1" applyFont="1" applyBorder="1" applyAlignment="1">
      <alignment horizontal="left" vertical="top" wrapText="1"/>
    </xf>
    <xf numFmtId="0" fontId="1" fillId="0" borderId="1" xfId="0" applyFont="1" applyBorder="1" applyAlignment="1">
      <alignment horizontal="left"/>
    </xf>
    <xf numFmtId="4" fontId="0" fillId="0" borderId="1" xfId="0" applyNumberFormat="1" applyBorder="1" applyAlignment="1">
      <alignment horizontal="center" wrapText="1"/>
    </xf>
    <xf numFmtId="0" fontId="1" fillId="0" borderId="1" xfId="0" applyFont="1" applyBorder="1" applyAlignment="1">
      <alignment horizontal="center" wrapText="1"/>
    </xf>
    <xf numFmtId="0" fontId="1" fillId="0" borderId="1" xfId="0" applyFont="1" applyBorder="1" applyAlignment="1">
      <alignment horizontal="center"/>
    </xf>
    <xf numFmtId="0" fontId="6" fillId="0" borderId="1" xfId="0" applyFont="1" applyBorder="1" applyAlignment="1">
      <alignment horizontal="center"/>
    </xf>
    <xf numFmtId="49" fontId="1" fillId="0" borderId="1" xfId="0" applyNumberFormat="1" applyFont="1" applyBorder="1" applyAlignment="1">
      <alignment horizontal="left" wrapText="1"/>
    </xf>
    <xf numFmtId="0" fontId="0" fillId="0" borderId="9" xfId="0" applyBorder="1"/>
    <xf numFmtId="0" fontId="0" fillId="0" borderId="10" xfId="0" applyBorder="1"/>
    <xf numFmtId="0" fontId="0" fillId="0" borderId="0" xfId="0" applyFont="1"/>
    <xf numFmtId="0" fontId="0" fillId="0" borderId="9" xfId="0" applyBorder="1" applyAlignment="1">
      <alignment vertical="top"/>
    </xf>
    <xf numFmtId="0" fontId="0" fillId="0" borderId="10" xfId="0" applyBorder="1" applyAlignment="1">
      <alignment vertical="top"/>
    </xf>
    <xf numFmtId="0" fontId="4" fillId="0" borderId="0" xfId="0" applyFont="1"/>
    <xf numFmtId="4" fontId="0" fillId="0" borderId="1" xfId="0" applyNumberFormat="1" applyFont="1" applyFill="1" applyBorder="1" applyAlignment="1">
      <alignment horizontal="center"/>
    </xf>
    <xf numFmtId="4" fontId="14" fillId="0" borderId="1" xfId="0" applyNumberFormat="1" applyFont="1" applyFill="1" applyBorder="1"/>
    <xf numFmtId="4" fontId="16" fillId="0" borderId="1" xfId="0" applyNumberFormat="1" applyFont="1" applyFill="1" applyBorder="1"/>
    <xf numFmtId="0" fontId="7" fillId="0" borderId="1" xfId="0" applyFont="1" applyBorder="1" applyAlignment="1">
      <alignment horizontal="center" wrapText="1"/>
    </xf>
    <xf numFmtId="0" fontId="10" fillId="0" borderId="1" xfId="0" applyFont="1" applyBorder="1" applyAlignment="1">
      <alignment wrapText="1"/>
    </xf>
    <xf numFmtId="0" fontId="0" fillId="0" borderId="1" xfId="0" applyFill="1" applyBorder="1" applyAlignment="1">
      <alignment horizontal="center"/>
    </xf>
    <xf numFmtId="0" fontId="9" fillId="0" borderId="1" xfId="0" applyFont="1" applyBorder="1" applyAlignment="1">
      <alignment horizontal="center"/>
    </xf>
    <xf numFmtId="0" fontId="5" fillId="0" borderId="1" xfId="0" applyFont="1" applyBorder="1" applyAlignment="1">
      <alignment wrapText="1"/>
    </xf>
    <xf numFmtId="0" fontId="5" fillId="0" borderId="1" xfId="0" applyFont="1" applyBorder="1" applyAlignment="1"/>
    <xf numFmtId="4" fontId="7" fillId="0" borderId="1" xfId="0" applyNumberFormat="1" applyFont="1" applyBorder="1" applyAlignment="1">
      <alignment horizontal="center" wrapText="1"/>
    </xf>
    <xf numFmtId="4" fontId="0" fillId="0" borderId="1" xfId="0" applyNumberFormat="1" applyFill="1" applyBorder="1" applyAlignment="1">
      <alignment horizontal="center"/>
    </xf>
    <xf numFmtId="4" fontId="5" fillId="0" borderId="5" xfId="0" applyNumberFormat="1" applyFont="1" applyBorder="1" applyAlignment="1">
      <alignment horizontal="center"/>
    </xf>
    <xf numFmtId="0" fontId="1" fillId="0" borderId="3" xfId="0" applyFont="1" applyBorder="1"/>
    <xf numFmtId="0" fontId="1" fillId="0" borderId="6" xfId="0" applyFont="1" applyBorder="1"/>
    <xf numFmtId="2" fontId="0" fillId="0" borderId="1" xfId="0" applyNumberFormat="1" applyFill="1" applyBorder="1" applyAlignment="1">
      <alignment horizontal="center"/>
    </xf>
    <xf numFmtId="0" fontId="1" fillId="0" borderId="4" xfId="0" applyFont="1" applyBorder="1"/>
    <xf numFmtId="0" fontId="17" fillId="0" borderId="0" xfId="0" applyFont="1"/>
    <xf numFmtId="0" fontId="1" fillId="0" borderId="1" xfId="0" applyFont="1" applyBorder="1" applyAlignment="1">
      <alignment horizontal="left" wrapText="1"/>
    </xf>
    <xf numFmtId="0" fontId="0" fillId="0" borderId="0" xfId="0" applyAlignment="1">
      <alignment horizontal="left"/>
    </xf>
    <xf numFmtId="49" fontId="0" fillId="0" borderId="0" xfId="0" applyNumberFormat="1" applyAlignment="1"/>
    <xf numFmtId="0" fontId="9" fillId="2" borderId="3" xfId="0" applyFont="1" applyFill="1" applyBorder="1" applyAlignment="1">
      <alignment vertical="top" wrapText="1"/>
    </xf>
    <xf numFmtId="0" fontId="1" fillId="0" borderId="3" xfId="0" applyFont="1" applyBorder="1" applyAlignment="1">
      <alignment horizontal="center"/>
    </xf>
    <xf numFmtId="2" fontId="15" fillId="0" borderId="3" xfId="0" applyNumberFormat="1" applyFont="1" applyBorder="1"/>
    <xf numFmtId="4" fontId="15" fillId="0" borderId="3" xfId="0" applyNumberFormat="1" applyFont="1" applyBorder="1" applyAlignment="1"/>
    <xf numFmtId="0" fontId="1" fillId="0" borderId="1" xfId="0" applyFont="1" applyFill="1" applyBorder="1"/>
    <xf numFmtId="0" fontId="1" fillId="0" borderId="3" xfId="0" applyFont="1" applyBorder="1" applyAlignment="1">
      <alignment wrapText="1"/>
    </xf>
    <xf numFmtId="0" fontId="1" fillId="0" borderId="1" xfId="0" applyFont="1" applyBorder="1" applyAlignment="1">
      <alignment horizontal="justify" wrapText="1"/>
    </xf>
    <xf numFmtId="4" fontId="15" fillId="0" borderId="3" xfId="0" applyNumberFormat="1" applyFont="1" applyBorder="1"/>
    <xf numFmtId="4" fontId="5" fillId="0" borderId="1" xfId="0" applyNumberFormat="1" applyFont="1" applyBorder="1" applyAlignment="1">
      <alignment wrapText="1"/>
    </xf>
    <xf numFmtId="4" fontId="5" fillId="0" borderId="5" xfId="0" applyNumberFormat="1" applyFont="1" applyBorder="1" applyAlignment="1">
      <alignment horizontal="center" vertical="center"/>
    </xf>
    <xf numFmtId="4" fontId="5" fillId="0" borderId="1" xfId="0" applyNumberFormat="1" applyFont="1" applyBorder="1" applyAlignment="1">
      <alignment horizontal="center"/>
    </xf>
    <xf numFmtId="0" fontId="5" fillId="0" borderId="4" xfId="0" applyFont="1" applyBorder="1"/>
    <xf numFmtId="0" fontId="5" fillId="0" borderId="13" xfId="0" applyFont="1" applyBorder="1"/>
    <xf numFmtId="4" fontId="5" fillId="0" borderId="13" xfId="0" applyNumberFormat="1" applyFont="1" applyBorder="1" applyAlignment="1"/>
    <xf numFmtId="3" fontId="5" fillId="0" borderId="1" xfId="0" applyNumberFormat="1" applyFont="1" applyBorder="1" applyAlignment="1">
      <alignment horizontal="center"/>
    </xf>
    <xf numFmtId="3" fontId="5" fillId="0" borderId="1" xfId="0" applyNumberFormat="1" applyFont="1" applyBorder="1" applyAlignment="1">
      <alignment horizontal="center" vertical="center"/>
    </xf>
    <xf numFmtId="4" fontId="5" fillId="0" borderId="1" xfId="0" applyNumberFormat="1" applyFont="1" applyBorder="1" applyAlignment="1">
      <alignment horizontal="center" vertical="center"/>
    </xf>
    <xf numFmtId="4" fontId="5" fillId="0" borderId="0" xfId="0" applyNumberFormat="1" applyFont="1"/>
    <xf numFmtId="4" fontId="0" fillId="0" borderId="5" xfId="0" applyNumberFormat="1" applyBorder="1" applyAlignment="1">
      <alignment horizontal="center"/>
    </xf>
    <xf numFmtId="0" fontId="18" fillId="0" borderId="1" xfId="0" applyFont="1" applyBorder="1" applyAlignment="1">
      <alignment horizontal="center"/>
    </xf>
    <xf numFmtId="166" fontId="0" fillId="0" borderId="0" xfId="0" applyNumberFormat="1"/>
    <xf numFmtId="2" fontId="18" fillId="0" borderId="1" xfId="0" applyNumberFormat="1" applyFont="1" applyBorder="1" applyAlignment="1">
      <alignment horizontal="center"/>
    </xf>
    <xf numFmtId="4" fontId="5" fillId="0" borderId="1" xfId="0" applyNumberFormat="1" applyFont="1" applyBorder="1" applyAlignment="1">
      <alignment horizontal="center" wrapText="1"/>
    </xf>
    <xf numFmtId="4" fontId="5" fillId="0" borderId="13" xfId="0" applyNumberFormat="1" applyFont="1" applyBorder="1"/>
    <xf numFmtId="4" fontId="5" fillId="0" borderId="13" xfId="0" applyNumberFormat="1" applyFont="1" applyBorder="1" applyAlignment="1">
      <alignment horizontal="center"/>
    </xf>
    <xf numFmtId="0" fontId="18" fillId="0" borderId="1" xfId="0" applyFont="1" applyBorder="1" applyAlignment="1">
      <alignment horizontal="center" wrapText="1"/>
    </xf>
    <xf numFmtId="0" fontId="18" fillId="0" borderId="13" xfId="0" applyFont="1" applyBorder="1" applyAlignment="1">
      <alignment horizontal="center"/>
    </xf>
    <xf numFmtId="0" fontId="18" fillId="0" borderId="5" xfId="0" applyFont="1" applyBorder="1" applyAlignment="1">
      <alignment horizontal="center"/>
    </xf>
    <xf numFmtId="4" fontId="9" fillId="0" borderId="1" xfId="0" applyNumberFormat="1" applyFont="1" applyBorder="1" applyAlignment="1">
      <alignment horizontal="center"/>
    </xf>
    <xf numFmtId="4" fontId="5" fillId="0" borderId="5" xfId="0" applyNumberFormat="1" applyFont="1" applyBorder="1"/>
    <xf numFmtId="0" fontId="5" fillId="0" borderId="1" xfId="0" applyFont="1" applyBorder="1" applyAlignment="1">
      <alignment horizontal="center" wrapText="1"/>
    </xf>
    <xf numFmtId="4" fontId="5" fillId="0" borderId="0" xfId="0" applyNumberFormat="1" applyFont="1" applyAlignment="1"/>
    <xf numFmtId="4" fontId="1" fillId="0" borderId="0" xfId="0" applyNumberFormat="1" applyFont="1" applyAlignment="1"/>
    <xf numFmtId="0" fontId="5" fillId="0" borderId="0" xfId="0" applyFont="1" applyAlignment="1">
      <alignment horizontal="left"/>
    </xf>
    <xf numFmtId="0" fontId="19" fillId="0" borderId="1" xfId="0" applyFont="1" applyBorder="1" applyAlignment="1">
      <alignment horizontal="left"/>
    </xf>
    <xf numFmtId="0" fontId="20" fillId="3" borderId="1" xfId="0" applyFont="1" applyFill="1" applyBorder="1" applyAlignment="1">
      <alignment horizontal="left" vertical="top" wrapText="1"/>
    </xf>
    <xf numFmtId="0" fontId="20" fillId="3" borderId="1" xfId="0" applyFont="1" applyFill="1" applyBorder="1" applyAlignment="1">
      <alignment vertical="top" wrapText="1"/>
    </xf>
    <xf numFmtId="49" fontId="20" fillId="3" borderId="1" xfId="0" applyNumberFormat="1" applyFont="1" applyFill="1" applyBorder="1" applyAlignment="1">
      <alignment wrapText="1"/>
    </xf>
    <xf numFmtId="0" fontId="20" fillId="3" borderId="1" xfId="0" applyFont="1" applyFill="1" applyBorder="1" applyAlignment="1">
      <alignment wrapText="1"/>
    </xf>
    <xf numFmtId="49" fontId="20" fillId="3" borderId="1" xfId="0" applyNumberFormat="1" applyFont="1" applyFill="1" applyBorder="1" applyAlignment="1">
      <alignment horizontal="left" wrapText="1"/>
    </xf>
    <xf numFmtId="0" fontId="1" fillId="3" borderId="1" xfId="0" applyFont="1" applyFill="1" applyBorder="1" applyAlignment="1">
      <alignment vertical="top" wrapText="1"/>
    </xf>
    <xf numFmtId="49" fontId="1" fillId="3" borderId="1" xfId="0" applyNumberFormat="1" applyFont="1" applyFill="1" applyBorder="1" applyAlignment="1">
      <alignment vertical="top"/>
    </xf>
    <xf numFmtId="49" fontId="20" fillId="3" borderId="1" xfId="0" applyNumberFormat="1" applyFont="1" applyFill="1" applyBorder="1" applyAlignment="1">
      <alignment vertical="top"/>
    </xf>
    <xf numFmtId="167" fontId="0" fillId="0" borderId="0" xfId="0" applyNumberFormat="1"/>
    <xf numFmtId="166" fontId="13" fillId="0" borderId="0" xfId="0" applyNumberFormat="1" applyFont="1"/>
    <xf numFmtId="0" fontId="5" fillId="0" borderId="1" xfId="0" applyFont="1" applyBorder="1" applyAlignment="1">
      <alignment horizontal="left" wrapText="1"/>
    </xf>
    <xf numFmtId="0" fontId="1" fillId="0" borderId="1" xfId="0" applyFont="1" applyBorder="1" applyAlignment="1">
      <alignment horizontal="center"/>
    </xf>
    <xf numFmtId="0" fontId="0" fillId="0" borderId="7" xfId="0" applyBorder="1"/>
    <xf numFmtId="0" fontId="0" fillId="0" borderId="8" xfId="0" applyBorder="1"/>
    <xf numFmtId="0" fontId="1" fillId="0" borderId="9" xfId="0" applyFont="1" applyBorder="1" applyAlignment="1"/>
    <xf numFmtId="0" fontId="1" fillId="0" borderId="10" xfId="0" applyFont="1" applyBorder="1" applyAlignment="1"/>
    <xf numFmtId="0" fontId="1" fillId="0" borderId="11" xfId="0" applyFont="1" applyBorder="1" applyAlignment="1"/>
    <xf numFmtId="0" fontId="1" fillId="0" borderId="12" xfId="0" applyFont="1" applyBorder="1" applyAlignment="1"/>
    <xf numFmtId="0" fontId="1" fillId="0" borderId="7" xfId="0" applyFont="1" applyBorder="1"/>
    <xf numFmtId="0" fontId="1" fillId="0" borderId="8" xfId="0" applyFont="1" applyBorder="1"/>
    <xf numFmtId="0" fontId="0" fillId="0" borderId="11" xfId="0" applyBorder="1"/>
    <xf numFmtId="0" fontId="0" fillId="0" borderId="12" xfId="0" applyBorder="1"/>
    <xf numFmtId="0" fontId="0" fillId="0" borderId="3" xfId="0" applyBorder="1" applyAlignment="1">
      <alignment horizontal="center"/>
    </xf>
    <xf numFmtId="0" fontId="1" fillId="0" borderId="9" xfId="0" applyFont="1" applyBorder="1"/>
    <xf numFmtId="0" fontId="1" fillId="0" borderId="10" xfId="0" applyFont="1" applyBorder="1"/>
    <xf numFmtId="2" fontId="14" fillId="0" borderId="1" xfId="0" applyNumberFormat="1" applyFont="1" applyBorder="1" applyAlignment="1"/>
    <xf numFmtId="0" fontId="0" fillId="0" borderId="9" xfId="0" applyBorder="1" applyAlignment="1"/>
    <xf numFmtId="0" fontId="0" fillId="0" borderId="10" xfId="0" applyBorder="1" applyAlignment="1"/>
    <xf numFmtId="2" fontId="18" fillId="0" borderId="1" xfId="0" applyNumberFormat="1" applyFont="1" applyBorder="1" applyAlignment="1">
      <alignment horizontal="right"/>
    </xf>
    <xf numFmtId="0" fontId="1" fillId="0" borderId="7" xfId="0" applyFont="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4" fontId="17" fillId="0" borderId="0" xfId="0" applyNumberFormat="1" applyFont="1"/>
    <xf numFmtId="0" fontId="5" fillId="0" borderId="1" xfId="0" applyFont="1" applyBorder="1" applyAlignment="1">
      <alignment horizontal="justify" wrapText="1"/>
    </xf>
    <xf numFmtId="3" fontId="0" fillId="0" borderId="1" xfId="0" applyNumberFormat="1" applyBorder="1" applyAlignment="1">
      <alignment horizontal="center"/>
    </xf>
    <xf numFmtId="0" fontId="1" fillId="0" borderId="2" xfId="0" applyFont="1" applyBorder="1" applyAlignment="1"/>
    <xf numFmtId="0" fontId="0" fillId="0" borderId="0" xfId="0" applyAlignment="1"/>
    <xf numFmtId="4" fontId="5" fillId="0" borderId="0" xfId="0" applyNumberFormat="1" applyFont="1" applyAlignment="1">
      <alignment horizontal="center"/>
    </xf>
    <xf numFmtId="4" fontId="1" fillId="0" borderId="0" xfId="0" applyNumberFormat="1" applyFont="1" applyAlignment="1">
      <alignment horizontal="center"/>
    </xf>
    <xf numFmtId="0" fontId="13" fillId="0" borderId="0" xfId="0" applyFont="1"/>
    <xf numFmtId="0" fontId="1" fillId="0" borderId="1" xfId="0" applyFont="1" applyBorder="1" applyAlignment="1">
      <alignment horizontal="center"/>
    </xf>
    <xf numFmtId="3" fontId="5" fillId="0" borderId="5" xfId="0" applyNumberFormat="1" applyFont="1" applyBorder="1" applyAlignment="1">
      <alignment horizontal="center"/>
    </xf>
    <xf numFmtId="0" fontId="9" fillId="2" borderId="3" xfId="0" applyFont="1" applyFill="1" applyBorder="1" applyAlignment="1">
      <alignment wrapText="1"/>
    </xf>
    <xf numFmtId="0" fontId="1" fillId="0" borderId="8" xfId="0" applyFont="1" applyBorder="1" applyAlignment="1">
      <alignment horizontal="left"/>
    </xf>
    <xf numFmtId="2" fontId="0" fillId="0" borderId="0" xfId="0" applyNumberFormat="1" applyAlignment="1"/>
    <xf numFmtId="0" fontId="1" fillId="0" borderId="1" xfId="0" applyFont="1" applyBorder="1" applyAlignment="1">
      <alignment horizontal="center"/>
    </xf>
    <xf numFmtId="0" fontId="1" fillId="0" borderId="12" xfId="0" applyFont="1" applyBorder="1" applyAlignment="1">
      <alignment vertical="top" wrapText="1"/>
    </xf>
    <xf numFmtId="4" fontId="14" fillId="0" borderId="1" xfId="0" applyNumberFormat="1" applyFont="1" applyBorder="1" applyAlignment="1">
      <alignment horizontal="right" wrapText="1"/>
    </xf>
    <xf numFmtId="0" fontId="8" fillId="0" borderId="1" xfId="0" applyFont="1" applyBorder="1"/>
    <xf numFmtId="4" fontId="18" fillId="0" borderId="1" xfId="0" applyNumberFormat="1" applyFont="1" applyBorder="1"/>
    <xf numFmtId="4" fontId="8" fillId="0" borderId="1" xfId="0" applyNumberFormat="1" applyFont="1" applyBorder="1" applyAlignment="1">
      <alignment horizontal="center" wrapText="1"/>
    </xf>
    <xf numFmtId="4" fontId="8" fillId="0" borderId="1" xfId="0" applyNumberFormat="1" applyFont="1" applyBorder="1" applyAlignment="1">
      <alignment horizontal="center"/>
    </xf>
    <xf numFmtId="4" fontId="18" fillId="0" borderId="1" xfId="0" applyNumberFormat="1" applyFont="1" applyBorder="1" applyAlignment="1">
      <alignment horizontal="right" wrapText="1"/>
    </xf>
    <xf numFmtId="4" fontId="18" fillId="0" borderId="1" xfId="0" applyNumberFormat="1" applyFont="1" applyBorder="1" applyAlignment="1">
      <alignment horizontal="right"/>
    </xf>
    <xf numFmtId="4" fontId="8" fillId="0" borderId="1" xfId="0" applyNumberFormat="1" applyFont="1" applyBorder="1"/>
    <xf numFmtId="0" fontId="8" fillId="0" borderId="7" xfId="0" applyFont="1" applyBorder="1"/>
    <xf numFmtId="0" fontId="8" fillId="0" borderId="8" xfId="0" applyFont="1" applyBorder="1"/>
    <xf numFmtId="4" fontId="5" fillId="0" borderId="1" xfId="0" applyNumberFormat="1" applyFont="1" applyBorder="1"/>
    <xf numFmtId="4" fontId="5" fillId="0" borderId="3" xfId="0" applyNumberFormat="1" applyFont="1" applyBorder="1"/>
    <xf numFmtId="0" fontId="1" fillId="0" borderId="4" xfId="0" applyFont="1" applyBorder="1" applyAlignment="1">
      <alignment horizontal="left"/>
    </xf>
    <xf numFmtId="4" fontId="14" fillId="0" borderId="0" xfId="0" applyNumberFormat="1" applyFont="1"/>
    <xf numFmtId="0" fontId="5" fillId="0" borderId="1" xfId="0" applyFont="1" applyBorder="1" applyAlignment="1">
      <alignment vertical="top"/>
    </xf>
    <xf numFmtId="4" fontId="14" fillId="0" borderId="1" xfId="0" applyNumberFormat="1" applyFont="1" applyFill="1" applyBorder="1" applyAlignment="1">
      <alignment horizontal="right"/>
    </xf>
    <xf numFmtId="2" fontId="0" fillId="0" borderId="0" xfId="0" applyNumberFormat="1" applyFont="1"/>
    <xf numFmtId="0" fontId="1" fillId="0" borderId="1" xfId="0" applyFont="1" applyBorder="1" applyAlignment="1">
      <alignment horizontal="center"/>
    </xf>
    <xf numFmtId="0" fontId="1" fillId="0" borderId="1" xfId="0" applyFont="1" applyBorder="1" applyAlignment="1">
      <alignment horizontal="center"/>
    </xf>
    <xf numFmtId="0" fontId="5" fillId="0" borderId="1" xfId="0" applyFont="1" applyBorder="1" applyAlignment="1">
      <alignment horizontal="left" wrapText="1"/>
    </xf>
    <xf numFmtId="0" fontId="5" fillId="0" borderId="4" xfId="0" applyFont="1" applyBorder="1" applyAlignment="1">
      <alignment vertical="top"/>
    </xf>
    <xf numFmtId="0" fontId="5" fillId="0" borderId="5" xfId="0" applyFont="1" applyBorder="1" applyAlignment="1">
      <alignment vertical="top"/>
    </xf>
    <xf numFmtId="0" fontId="5" fillId="0" borderId="1" xfId="0" applyFont="1" applyBorder="1" applyAlignment="1">
      <alignment horizontal="left" wrapText="1"/>
    </xf>
    <xf numFmtId="0" fontId="5" fillId="0" borderId="1" xfId="0" applyFont="1" applyBorder="1" applyAlignment="1">
      <alignment horizontal="left" wrapText="1"/>
    </xf>
    <xf numFmtId="0" fontId="5" fillId="0" borderId="1" xfId="0" applyFont="1" applyBorder="1" applyAlignment="1">
      <alignment horizontal="left" wrapText="1"/>
    </xf>
    <xf numFmtId="0" fontId="14" fillId="0" borderId="1" xfId="0" applyFont="1" applyBorder="1" applyAlignment="1">
      <alignment horizontal="right"/>
    </xf>
    <xf numFmtId="0" fontId="8" fillId="0" borderId="1" xfId="0" applyFont="1" applyBorder="1" applyAlignment="1">
      <alignment horizontal="center"/>
    </xf>
    <xf numFmtId="168" fontId="0" fillId="0" borderId="0" xfId="0" applyNumberFormat="1"/>
    <xf numFmtId="169" fontId="0" fillId="0" borderId="0" xfId="0" applyNumberFormat="1"/>
    <xf numFmtId="4" fontId="14" fillId="0" borderId="1" xfId="0" applyNumberFormat="1" applyFont="1" applyBorder="1" applyAlignment="1">
      <alignment wrapText="1"/>
    </xf>
    <xf numFmtId="0" fontId="5" fillId="0" borderId="1" xfId="0" applyFont="1" applyBorder="1" applyAlignment="1">
      <alignment horizontal="left" wrapText="1"/>
    </xf>
    <xf numFmtId="0" fontId="5" fillId="0" borderId="1" xfId="0" applyFont="1" applyBorder="1" applyAlignment="1">
      <alignment horizontal="left" wrapText="1"/>
    </xf>
    <xf numFmtId="0" fontId="5" fillId="0" borderId="1" xfId="0" applyFont="1" applyBorder="1" applyAlignment="1">
      <alignment horizontal="left" wrapText="1"/>
    </xf>
    <xf numFmtId="0" fontId="16" fillId="0" borderId="0" xfId="0" applyFont="1"/>
    <xf numFmtId="0" fontId="1" fillId="0" borderId="1" xfId="0" applyFont="1" applyBorder="1" applyAlignment="1">
      <alignment horizontal="left" vertical="top"/>
    </xf>
    <xf numFmtId="0" fontId="5" fillId="0" borderId="1" xfId="0" applyFont="1" applyBorder="1" applyAlignment="1">
      <alignment horizontal="left" wrapText="1"/>
    </xf>
    <xf numFmtId="170" fontId="0" fillId="0" borderId="0" xfId="0" applyNumberFormat="1"/>
    <xf numFmtId="0" fontId="5" fillId="0" borderId="1" xfId="0" applyFont="1" applyBorder="1" applyAlignment="1">
      <alignment horizontal="left" wrapText="1"/>
    </xf>
    <xf numFmtId="0" fontId="5" fillId="0" borderId="1" xfId="0" applyFont="1" applyBorder="1" applyAlignment="1">
      <alignment horizontal="left" wrapText="1"/>
    </xf>
    <xf numFmtId="0" fontId="8" fillId="0" borderId="1" xfId="0" applyNumberFormat="1" applyFont="1" applyBorder="1" applyAlignment="1">
      <alignment horizontal="center"/>
    </xf>
    <xf numFmtId="0" fontId="5" fillId="0" borderId="1" xfId="0" applyFont="1" applyBorder="1" applyAlignment="1">
      <alignment horizontal="left" wrapText="1"/>
    </xf>
    <xf numFmtId="2" fontId="16" fillId="0" borderId="0" xfId="0" applyNumberFormat="1" applyFont="1"/>
    <xf numFmtId="0" fontId="5" fillId="0" borderId="1" xfId="0" applyFont="1" applyBorder="1" applyAlignment="1">
      <alignment horizontal="left" vertical="center"/>
    </xf>
    <xf numFmtId="0" fontId="1" fillId="0" borderId="1" xfId="0" applyFont="1" applyBorder="1" applyAlignment="1">
      <alignment horizontal="center" vertical="center"/>
    </xf>
    <xf numFmtId="4" fontId="14" fillId="0" borderId="1" xfId="0" applyNumberFormat="1" applyFont="1" applyBorder="1" applyAlignment="1">
      <alignment vertical="center"/>
    </xf>
    <xf numFmtId="0" fontId="0" fillId="0" borderId="0" xfId="0" applyAlignment="1">
      <alignment vertical="center"/>
    </xf>
    <xf numFmtId="167" fontId="0" fillId="0" borderId="0" xfId="0" applyNumberFormat="1" applyAlignment="1">
      <alignment vertical="center"/>
    </xf>
    <xf numFmtId="164" fontId="0" fillId="0" borderId="0" xfId="0" applyNumberFormat="1" applyAlignment="1"/>
    <xf numFmtId="164" fontId="0" fillId="0" borderId="0" xfId="0" applyNumberFormat="1" applyAlignment="1">
      <alignment horizontal="center"/>
    </xf>
    <xf numFmtId="2" fontId="14" fillId="0" borderId="1" xfId="0" applyNumberFormat="1" applyFont="1" applyBorder="1" applyAlignment="1">
      <alignment horizontal="center"/>
    </xf>
    <xf numFmtId="4" fontId="14" fillId="0" borderId="1" xfId="0" applyNumberFormat="1" applyFont="1" applyBorder="1" applyAlignment="1">
      <alignment horizontal="center"/>
    </xf>
    <xf numFmtId="0" fontId="5" fillId="0" borderId="1" xfId="0" applyFont="1" applyBorder="1" applyAlignment="1">
      <alignment horizontal="left" wrapText="1"/>
    </xf>
    <xf numFmtId="2" fontId="15" fillId="0" borderId="1" xfId="0" applyNumberFormat="1" applyFont="1" applyFill="1" applyBorder="1"/>
    <xf numFmtId="4" fontId="15" fillId="0" borderId="1" xfId="0" applyNumberFormat="1" applyFont="1" applyFill="1" applyBorder="1" applyAlignment="1"/>
    <xf numFmtId="0" fontId="0" fillId="0" borderId="0" xfId="0" applyFill="1"/>
    <xf numFmtId="0" fontId="5" fillId="0" borderId="1" xfId="0" applyFont="1" applyBorder="1" applyAlignment="1">
      <alignment horizontal="right"/>
    </xf>
    <xf numFmtId="0" fontId="5" fillId="0" borderId="1" xfId="0" applyFont="1" applyBorder="1" applyAlignment="1">
      <alignment vertical="top" wrapText="1"/>
    </xf>
    <xf numFmtId="0" fontId="5" fillId="0" borderId="1" xfId="0" applyFont="1" applyBorder="1" applyAlignment="1">
      <alignment horizontal="right" wrapText="1"/>
    </xf>
    <xf numFmtId="0" fontId="0" fillId="0" borderId="1" xfId="0" applyNumberFormat="1" applyFont="1" applyBorder="1" applyAlignment="1">
      <alignment horizontal="center"/>
    </xf>
    <xf numFmtId="0" fontId="5" fillId="0" borderId="1" xfId="0" applyFont="1" applyBorder="1" applyAlignment="1">
      <alignment horizontal="left" wrapText="1"/>
    </xf>
    <xf numFmtId="165" fontId="0" fillId="0" borderId="0" xfId="0" applyNumberFormat="1" applyFill="1"/>
    <xf numFmtId="0" fontId="0" fillId="0" borderId="0" xfId="0" applyFill="1" applyAlignment="1">
      <alignment wrapText="1"/>
    </xf>
    <xf numFmtId="2" fontId="0" fillId="0" borderId="0" xfId="0" applyNumberFormat="1" applyFill="1" applyAlignment="1">
      <alignment horizontal="center"/>
    </xf>
    <xf numFmtId="0" fontId="0" fillId="0" borderId="0" xfId="0" applyFill="1" applyAlignment="1">
      <alignment horizontal="center"/>
    </xf>
    <xf numFmtId="0" fontId="0" fillId="0" borderId="0" xfId="0" applyFill="1" applyAlignment="1">
      <alignment vertical="top"/>
    </xf>
    <xf numFmtId="2" fontId="13" fillId="0" borderId="0" xfId="0" applyNumberFormat="1" applyFont="1" applyFill="1" applyAlignment="1">
      <alignment horizontal="center"/>
    </xf>
    <xf numFmtId="164" fontId="0" fillId="0" borderId="0" xfId="0" applyNumberFormat="1" applyFill="1" applyAlignment="1">
      <alignment vertical="top"/>
    </xf>
    <xf numFmtId="165" fontId="0" fillId="0" borderId="0" xfId="0" applyNumberFormat="1" applyFill="1" applyAlignment="1">
      <alignment horizontal="right"/>
    </xf>
    <xf numFmtId="2" fontId="0" fillId="0" borderId="0" xfId="0" applyNumberFormat="1" applyFill="1"/>
    <xf numFmtId="49" fontId="1" fillId="0" borderId="3" xfId="0" applyNumberFormat="1" applyFont="1" applyBorder="1" applyAlignment="1">
      <alignment wrapText="1"/>
    </xf>
    <xf numFmtId="4" fontId="0" fillId="0" borderId="3" xfId="0" applyNumberFormat="1" applyFont="1" applyBorder="1" applyAlignment="1">
      <alignment horizontal="center"/>
    </xf>
    <xf numFmtId="49" fontId="1" fillId="0" borderId="2" xfId="0" applyNumberFormat="1" applyFont="1" applyBorder="1" applyAlignment="1">
      <alignment wrapText="1"/>
    </xf>
    <xf numFmtId="4" fontId="0" fillId="0" borderId="2" xfId="0" applyNumberFormat="1" applyFont="1" applyBorder="1" applyAlignment="1">
      <alignment horizontal="center"/>
    </xf>
    <xf numFmtId="0" fontId="1" fillId="0" borderId="4" xfId="0" applyFont="1" applyBorder="1" applyAlignment="1"/>
    <xf numFmtId="165" fontId="0" fillId="0" borderId="0" xfId="0" applyNumberFormat="1" applyAlignment="1"/>
    <xf numFmtId="4" fontId="1" fillId="0" borderId="1" xfId="0" applyNumberFormat="1" applyFont="1" applyBorder="1" applyAlignment="1">
      <alignment horizontal="center"/>
    </xf>
    <xf numFmtId="4" fontId="10" fillId="0" borderId="1" xfId="0" applyNumberFormat="1" applyFont="1" applyBorder="1" applyAlignment="1">
      <alignment horizontal="center"/>
    </xf>
    <xf numFmtId="4" fontId="5" fillId="0" borderId="1" xfId="0" applyNumberFormat="1" applyFont="1" applyBorder="1" applyAlignment="1">
      <alignment horizontal="right"/>
    </xf>
    <xf numFmtId="4" fontId="1" fillId="0" borderId="1" xfId="0" applyNumberFormat="1" applyFont="1" applyBorder="1"/>
    <xf numFmtId="2" fontId="1" fillId="0" borderId="1" xfId="0" applyNumberFormat="1" applyFont="1" applyBorder="1" applyAlignment="1">
      <alignment horizontal="center"/>
    </xf>
    <xf numFmtId="164" fontId="0" fillId="0" borderId="0" xfId="0" applyNumberFormat="1" applyFill="1"/>
    <xf numFmtId="0" fontId="1" fillId="0" borderId="3" xfId="0" applyFont="1" applyBorder="1" applyAlignment="1">
      <alignment horizontal="right"/>
    </xf>
    <xf numFmtId="0" fontId="5" fillId="0" borderId="1" xfId="0" applyFont="1" applyBorder="1" applyAlignment="1">
      <alignment horizontal="left" wrapText="1"/>
    </xf>
    <xf numFmtId="0" fontId="5" fillId="0" borderId="3" xfId="0" applyFont="1" applyBorder="1" applyAlignment="1">
      <alignment horizontal="center"/>
    </xf>
    <xf numFmtId="0" fontId="1" fillId="0" borderId="3" xfId="0" applyFont="1" applyBorder="1" applyAlignment="1">
      <alignment vertical="top" wrapText="1"/>
    </xf>
    <xf numFmtId="0" fontId="1" fillId="0" borderId="1" xfId="0" applyFont="1" applyBorder="1" applyAlignment="1">
      <alignment horizontal="justify" vertical="top" wrapText="1"/>
    </xf>
    <xf numFmtId="2" fontId="25" fillId="0" borderId="0" xfId="0" applyNumberFormat="1" applyFont="1" applyFill="1"/>
    <xf numFmtId="0" fontId="1" fillId="0" borderId="6" xfId="0" applyFont="1" applyFill="1" applyBorder="1" applyAlignment="1">
      <alignment horizontal="left" wrapText="1"/>
    </xf>
    <xf numFmtId="0" fontId="1" fillId="0" borderId="1" xfId="0" applyFont="1" applyFill="1" applyBorder="1" applyAlignment="1">
      <alignment vertical="center" wrapText="1"/>
    </xf>
    <xf numFmtId="0" fontId="1" fillId="0" borderId="1" xfId="0" applyFont="1" applyFill="1" applyBorder="1" applyAlignment="1">
      <alignment vertical="top" wrapText="1"/>
    </xf>
    <xf numFmtId="0" fontId="1" fillId="0" borderId="1" xfId="0" applyFont="1" applyFill="1" applyBorder="1" applyAlignment="1">
      <alignment vertical="top"/>
    </xf>
    <xf numFmtId="49" fontId="1" fillId="0" borderId="1" xfId="0" applyNumberFormat="1" applyFont="1" applyFill="1" applyBorder="1" applyAlignment="1">
      <alignment horizontal="left" wrapText="1"/>
    </xf>
    <xf numFmtId="0" fontId="1" fillId="0" borderId="3" xfId="0" applyFont="1" applyFill="1" applyBorder="1" applyAlignment="1">
      <alignment wrapText="1"/>
    </xf>
    <xf numFmtId="0" fontId="8" fillId="0" borderId="1" xfId="0" applyFont="1" applyFill="1" applyBorder="1" applyAlignment="1">
      <alignment wrapText="1"/>
    </xf>
    <xf numFmtId="0" fontId="5" fillId="0" borderId="1" xfId="0" applyFont="1" applyFill="1" applyBorder="1" applyAlignment="1">
      <alignment wrapText="1"/>
    </xf>
    <xf numFmtId="0" fontId="1" fillId="0" borderId="6" xfId="0" applyFont="1" applyFill="1" applyBorder="1" applyAlignment="1">
      <alignment wrapText="1"/>
    </xf>
    <xf numFmtId="0" fontId="5" fillId="0" borderId="1" xfId="0" applyFont="1" applyFill="1" applyBorder="1"/>
    <xf numFmtId="0" fontId="5" fillId="0" borderId="1" xfId="0" applyFont="1" applyFill="1" applyBorder="1" applyAlignment="1">
      <alignment vertical="center" wrapText="1"/>
    </xf>
    <xf numFmtId="2" fontId="0" fillId="0" borderId="0" xfId="0" applyNumberFormat="1" applyFill="1" applyAlignment="1">
      <alignment vertical="top"/>
    </xf>
    <xf numFmtId="2" fontId="5" fillId="0" borderId="1" xfId="0" applyNumberFormat="1" applyFont="1" applyBorder="1" applyAlignment="1">
      <alignment horizontal="center"/>
    </xf>
    <xf numFmtId="43" fontId="0" fillId="0" borderId="0" xfId="1" applyFont="1"/>
    <xf numFmtId="2" fontId="0" fillId="0" borderId="0" xfId="0" applyNumberFormat="1" applyAlignment="1">
      <alignment horizontal="center"/>
    </xf>
    <xf numFmtId="4" fontId="1" fillId="0" borderId="1" xfId="0" applyNumberFormat="1" applyFont="1" applyFill="1" applyBorder="1" applyAlignment="1">
      <alignment horizontal="center"/>
    </xf>
    <xf numFmtId="0" fontId="0" fillId="0" borderId="0" xfId="0" applyAlignment="1">
      <alignment horizontal="right"/>
    </xf>
    <xf numFmtId="2" fontId="5" fillId="0" borderId="1" xfId="0" applyNumberFormat="1" applyFont="1" applyFill="1" applyBorder="1" applyAlignment="1">
      <alignment horizontal="center"/>
    </xf>
    <xf numFmtId="0" fontId="5" fillId="0" borderId="1" xfId="0" applyFont="1" applyBorder="1" applyAlignment="1">
      <alignment horizontal="left" wrapText="1"/>
    </xf>
    <xf numFmtId="2" fontId="0" fillId="0" borderId="0" xfId="0" applyNumberFormat="1" applyFont="1" applyFill="1" applyAlignment="1">
      <alignment horizontal="center"/>
    </xf>
    <xf numFmtId="0" fontId="7" fillId="0" borderId="0" xfId="0" applyFont="1" applyBorder="1" applyAlignment="1">
      <alignment horizontal="center" vertical="center" wrapText="1"/>
    </xf>
    <xf numFmtId="0" fontId="0" fillId="0" borderId="0" xfId="0" applyBorder="1" applyAlignment="1">
      <alignment horizontal="center"/>
    </xf>
    <xf numFmtId="4" fontId="14" fillId="0" borderId="0" xfId="0" applyNumberFormat="1" applyFont="1" applyBorder="1"/>
    <xf numFmtId="4" fontId="0" fillId="0" borderId="0" xfId="0" applyNumberFormat="1" applyFont="1" applyBorder="1" applyAlignment="1">
      <alignment horizontal="center"/>
    </xf>
    <xf numFmtId="0" fontId="0" fillId="0" borderId="10" xfId="0" applyFont="1" applyBorder="1" applyAlignment="1">
      <alignment vertical="top"/>
    </xf>
    <xf numFmtId="4" fontId="14" fillId="0" borderId="0" xfId="0" applyNumberFormat="1" applyFont="1" applyBorder="1" applyAlignment="1">
      <alignment horizontal="right"/>
    </xf>
    <xf numFmtId="4" fontId="0" fillId="0" borderId="0" xfId="0" applyNumberFormat="1" applyBorder="1"/>
    <xf numFmtId="0" fontId="12" fillId="0" borderId="8" xfId="0" applyFont="1" applyBorder="1"/>
    <xf numFmtId="171" fontId="0" fillId="0" borderId="0" xfId="0" applyNumberFormat="1" applyFont="1" applyBorder="1" applyAlignment="1">
      <alignment horizontal="center"/>
    </xf>
    <xf numFmtId="166" fontId="0" fillId="0" borderId="0" xfId="0" applyNumberFormat="1" applyFont="1" applyBorder="1" applyAlignment="1">
      <alignment horizontal="center"/>
    </xf>
    <xf numFmtId="0" fontId="20" fillId="0" borderId="0" xfId="0" applyFont="1" applyAlignment="1">
      <alignment wrapText="1"/>
    </xf>
    <xf numFmtId="4" fontId="15" fillId="0" borderId="0" xfId="0" applyNumberFormat="1" applyFont="1" applyBorder="1"/>
    <xf numFmtId="4" fontId="24" fillId="0" borderId="0" xfId="0" applyNumberFormat="1" applyFont="1" applyBorder="1" applyAlignment="1">
      <alignment horizontal="center"/>
    </xf>
    <xf numFmtId="4" fontId="24" fillId="0" borderId="0" xfId="0" applyNumberFormat="1" applyFont="1" applyBorder="1" applyAlignment="1">
      <alignment horizontal="center" wrapText="1"/>
    </xf>
    <xf numFmtId="0" fontId="12" fillId="0" borderId="0" xfId="0" applyFont="1"/>
    <xf numFmtId="4" fontId="12" fillId="0" borderId="0" xfId="0" applyNumberFormat="1" applyFont="1" applyAlignment="1"/>
    <xf numFmtId="4" fontId="12" fillId="0" borderId="0" xfId="0" applyNumberFormat="1" applyFont="1" applyAlignment="1">
      <alignment horizontal="center"/>
    </xf>
    <xf numFmtId="4" fontId="5" fillId="0" borderId="1" xfId="0" applyNumberFormat="1" applyFont="1" applyBorder="1" applyAlignment="1"/>
    <xf numFmtId="2" fontId="1" fillId="0" borderId="1" xfId="0" applyNumberFormat="1" applyFont="1" applyBorder="1"/>
    <xf numFmtId="164" fontId="0" fillId="0" borderId="0" xfId="0" applyNumberFormat="1" applyFill="1" applyAlignment="1">
      <alignment horizontal="center"/>
    </xf>
    <xf numFmtId="167" fontId="14" fillId="0" borderId="1" xfId="0" applyNumberFormat="1" applyFont="1" applyBorder="1"/>
    <xf numFmtId="167" fontId="14" fillId="0" borderId="1" xfId="0" applyNumberFormat="1" applyFont="1" applyBorder="1" applyAlignment="1">
      <alignment horizontal="right"/>
    </xf>
    <xf numFmtId="0" fontId="8" fillId="0" borderId="0" xfId="0" applyFont="1" applyFill="1" applyAlignment="1">
      <alignment horizontal="left"/>
    </xf>
    <xf numFmtId="0" fontId="8" fillId="0" borderId="0" xfId="0" applyFont="1" applyFill="1" applyAlignment="1">
      <alignment horizontal="left" vertical="top"/>
    </xf>
    <xf numFmtId="0" fontId="0" fillId="0" borderId="1" xfId="0" applyBorder="1" applyAlignment="1">
      <alignment horizontal="left"/>
    </xf>
    <xf numFmtId="49" fontId="0" fillId="0" borderId="1" xfId="0" applyNumberFormat="1" applyBorder="1" applyAlignment="1"/>
    <xf numFmtId="49" fontId="20" fillId="3" borderId="1" xfId="0" applyNumberFormat="1" applyFont="1" applyFill="1" applyBorder="1" applyAlignment="1"/>
    <xf numFmtId="0" fontId="0" fillId="0" borderId="1" xfId="0" applyBorder="1" applyAlignment="1"/>
    <xf numFmtId="4" fontId="1" fillId="0" borderId="0" xfId="0" applyNumberFormat="1" applyFont="1"/>
    <xf numFmtId="43" fontId="13" fillId="0" borderId="0" xfId="1" applyFont="1"/>
    <xf numFmtId="1" fontId="18" fillId="0" borderId="1" xfId="0" applyNumberFormat="1" applyFont="1" applyBorder="1" applyAlignment="1">
      <alignment horizontal="center"/>
    </xf>
    <xf numFmtId="16" fontId="20" fillId="3" borderId="1" xfId="0" applyNumberFormat="1" applyFont="1" applyFill="1" applyBorder="1" applyAlignment="1">
      <alignment horizontal="left" vertical="top" wrapText="1"/>
    </xf>
    <xf numFmtId="0" fontId="0" fillId="0" borderId="1" xfId="0" applyFont="1" applyBorder="1" applyAlignment="1"/>
    <xf numFmtId="49" fontId="20" fillId="3" borderId="1" xfId="0" applyNumberFormat="1" applyFont="1" applyFill="1" applyBorder="1" applyAlignment="1">
      <alignment horizontal="left" wrapText="1"/>
    </xf>
    <xf numFmtId="0" fontId="5" fillId="0" borderId="1" xfId="0" applyFont="1" applyBorder="1" applyAlignment="1">
      <alignment horizontal="left"/>
    </xf>
    <xf numFmtId="0" fontId="20" fillId="3" borderId="1" xfId="0" applyFont="1" applyFill="1" applyBorder="1" applyAlignment="1">
      <alignment horizontal="left" vertical="top" wrapText="1"/>
    </xf>
    <xf numFmtId="0" fontId="1" fillId="0" borderId="1" xfId="0" applyFont="1" applyBorder="1" applyAlignment="1">
      <alignment horizontal="left"/>
    </xf>
    <xf numFmtId="0" fontId="20" fillId="3" borderId="1" xfId="0" applyFont="1" applyFill="1" applyBorder="1" applyAlignment="1">
      <alignment horizontal="left" wrapText="1"/>
    </xf>
    <xf numFmtId="0" fontId="20" fillId="3" borderId="1" xfId="0" applyFont="1" applyFill="1" applyBorder="1" applyAlignment="1">
      <alignment vertical="top" wrapText="1"/>
    </xf>
    <xf numFmtId="0" fontId="9" fillId="0" borderId="1" xfId="0" applyFont="1" applyBorder="1" applyAlignment="1">
      <alignment horizontal="left" wrapText="1"/>
    </xf>
    <xf numFmtId="0" fontId="4" fillId="0" borderId="0" xfId="0" applyFont="1" applyAlignment="1">
      <alignment horizontal="left" vertical="center"/>
    </xf>
    <xf numFmtId="0" fontId="1" fillId="0" borderId="10"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1" fillId="0" borderId="11" xfId="0" applyFont="1" applyBorder="1" applyAlignment="1">
      <alignment horizontal="center"/>
    </xf>
    <xf numFmtId="0" fontId="2" fillId="0" borderId="0" xfId="0" applyFont="1" applyAlignment="1">
      <alignment horizontal="left"/>
    </xf>
    <xf numFmtId="0" fontId="4" fillId="0" borderId="0" xfId="0" applyFont="1" applyAlignment="1">
      <alignment horizontal="left"/>
    </xf>
    <xf numFmtId="0" fontId="5" fillId="0" borderId="0" xfId="0" applyFont="1" applyBorder="1" applyAlignment="1">
      <alignment horizontal="left" vertical="center"/>
    </xf>
    <xf numFmtId="0" fontId="9" fillId="0" borderId="1" xfId="0" applyFont="1" applyBorder="1" applyAlignment="1">
      <alignment horizontal="left"/>
    </xf>
    <xf numFmtId="49" fontId="4" fillId="0" borderId="0" xfId="0" applyNumberFormat="1" applyFont="1" applyAlignment="1">
      <alignment horizontal="left" vertical="top" wrapText="1"/>
    </xf>
    <xf numFmtId="49" fontId="9" fillId="0" borderId="1" xfId="0" applyNumberFormat="1" applyFont="1" applyBorder="1" applyAlignment="1">
      <alignment horizontal="left" wrapText="1"/>
    </xf>
    <xf numFmtId="0" fontId="9" fillId="0" borderId="1" xfId="0" applyFont="1" applyBorder="1" applyAlignment="1">
      <alignment horizontal="left" vertical="center" wrapText="1"/>
    </xf>
    <xf numFmtId="0" fontId="4" fillId="0" borderId="0" xfId="0" applyFont="1" applyAlignment="1">
      <alignment horizontal="left" vertical="center" wrapText="1"/>
    </xf>
    <xf numFmtId="0" fontId="5" fillId="0" borderId="1" xfId="0" applyFont="1" applyBorder="1" applyAlignment="1">
      <alignment horizontal="left" wrapText="1"/>
    </xf>
    <xf numFmtId="0" fontId="1" fillId="0" borderId="10" xfId="0" applyFont="1" applyFill="1" applyBorder="1" applyAlignment="1">
      <alignment horizontal="center"/>
    </xf>
    <xf numFmtId="0" fontId="1" fillId="0" borderId="12" xfId="0" applyFont="1" applyFill="1" applyBorder="1" applyAlignment="1">
      <alignment horizontal="center"/>
    </xf>
    <xf numFmtId="2" fontId="4" fillId="0" borderId="0" xfId="0" applyNumberFormat="1" applyFont="1" applyAlignment="1">
      <alignment horizontal="left" wrapText="1"/>
    </xf>
    <xf numFmtId="0" fontId="3" fillId="0" borderId="0" xfId="0" applyFont="1" applyAlignment="1">
      <alignment horizontal="left" vertical="center"/>
    </xf>
    <xf numFmtId="0" fontId="4" fillId="0" borderId="0" xfId="0" applyFont="1" applyAlignment="1">
      <alignment horizontal="left" wrapText="1"/>
    </xf>
    <xf numFmtId="0" fontId="12" fillId="0" borderId="10" xfId="0" applyFont="1" applyBorder="1" applyAlignment="1">
      <alignment horizontal="center"/>
    </xf>
    <xf numFmtId="0" fontId="12" fillId="0" borderId="12" xfId="0" applyFont="1" applyBorder="1" applyAlignment="1">
      <alignment horizontal="center"/>
    </xf>
    <xf numFmtId="0" fontId="4" fillId="0" borderId="0" xfId="0" applyFont="1" applyBorder="1" applyAlignment="1">
      <alignment horizontal="left" vertical="center"/>
    </xf>
    <xf numFmtId="0" fontId="5" fillId="0" borderId="4" xfId="0" applyFont="1" applyBorder="1" applyAlignment="1">
      <alignment horizontal="left" wrapText="1"/>
    </xf>
    <xf numFmtId="0" fontId="5" fillId="0" borderId="5" xfId="0" applyFont="1" applyBorder="1" applyAlignment="1">
      <alignment horizontal="left" wrapText="1"/>
    </xf>
  </cellXfs>
  <cellStyles count="2">
    <cellStyle name="Comma" xfId="1" builtinId="3"/>
    <cellStyle name="Normal" xfId="0" builtinId="0"/>
  </cellStyles>
  <dxfs count="0"/>
  <tableStyles count="0" defaultTableStyle="TableStyleMedium2" defaultPivotStyle="PivotStyleLight16"/>
  <colors>
    <mruColors>
      <color rgb="FFE3F18D"/>
      <color rgb="FF00FF99"/>
      <color rgb="FF33ED37"/>
      <color rgb="FFFFFFCC"/>
      <color rgb="FF66FFFF"/>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0" Type="http://schemas.openxmlformats.org/officeDocument/2006/relationships/worksheet" Target="worksheets/sheet20.xml"/><Relationship Id="rId41" Type="http://schemas.openxmlformats.org/officeDocument/2006/relationships/worksheet" Target="worksheets/sheet41.xml"/></Relationships>
</file>

<file path=xl/theme/theme1.xml><?xml version="1.0" encoding="utf-8"?>
<a:theme xmlns:a="http://schemas.openxmlformats.org/drawingml/2006/main" name="Office Theme">
  <a:themeElements>
    <a:clrScheme name="Orange Red">
      <a:dk1>
        <a:sysClr val="windowText" lastClr="000000"/>
      </a:dk1>
      <a:lt1>
        <a:sysClr val="window" lastClr="FFFFFF"/>
      </a:lt1>
      <a:dk2>
        <a:srgbClr val="696464"/>
      </a:dk2>
      <a:lt2>
        <a:srgbClr val="E9E5DC"/>
      </a:lt2>
      <a:accent1>
        <a:srgbClr val="D34817"/>
      </a:accent1>
      <a:accent2>
        <a:srgbClr val="9B2D1F"/>
      </a:accent2>
      <a:accent3>
        <a:srgbClr val="A28E6A"/>
      </a:accent3>
      <a:accent4>
        <a:srgbClr val="956251"/>
      </a:accent4>
      <a:accent5>
        <a:srgbClr val="918485"/>
      </a:accent5>
      <a:accent6>
        <a:srgbClr val="855D5D"/>
      </a:accent6>
      <a:hlink>
        <a:srgbClr val="CC9900"/>
      </a:hlink>
      <a:folHlink>
        <a:srgbClr val="96A9A9"/>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C2835-90C4-4A79-A23A-D20F23425550}">
  <dimension ref="A1:C59"/>
  <sheetViews>
    <sheetView tabSelected="1" topLeftCell="A40" zoomScaleNormal="100" workbookViewId="0">
      <selection activeCell="B57" sqref="B57:C57"/>
    </sheetView>
  </sheetViews>
  <sheetFormatPr defaultRowHeight="15" x14ac:dyDescent="0.25"/>
  <cols>
    <col min="1" max="1" width="7.28515625" customWidth="1"/>
    <col min="2" max="2" width="29" customWidth="1"/>
    <col min="3" max="3" width="75.85546875" customWidth="1"/>
  </cols>
  <sheetData>
    <row r="1" spans="1:3" x14ac:dyDescent="0.25">
      <c r="C1" s="380" t="s">
        <v>1560</v>
      </c>
    </row>
    <row r="2" spans="1:3" x14ac:dyDescent="0.25">
      <c r="C2" s="380" t="s">
        <v>1558</v>
      </c>
    </row>
    <row r="3" spans="1:3" x14ac:dyDescent="0.25">
      <c r="C3" s="381" t="s">
        <v>1559</v>
      </c>
    </row>
    <row r="5" spans="1:3" ht="15.75" x14ac:dyDescent="0.25">
      <c r="A5" s="202" t="s">
        <v>70</v>
      </c>
      <c r="B5" s="1"/>
    </row>
    <row r="6" spans="1:3" ht="15.75" x14ac:dyDescent="0.25">
      <c r="A6" s="203">
        <v>1</v>
      </c>
      <c r="B6" s="392" t="s">
        <v>73</v>
      </c>
      <c r="C6" s="392"/>
    </row>
    <row r="7" spans="1:3" ht="15.75" x14ac:dyDescent="0.25">
      <c r="A7" s="204" t="s">
        <v>71</v>
      </c>
      <c r="B7" s="393" t="s">
        <v>72</v>
      </c>
      <c r="C7" s="393"/>
    </row>
    <row r="8" spans="1:3" ht="15.75" x14ac:dyDescent="0.25">
      <c r="A8" s="206" t="s">
        <v>76</v>
      </c>
      <c r="B8" s="391" t="s">
        <v>74</v>
      </c>
      <c r="C8" s="391"/>
    </row>
    <row r="9" spans="1:3" ht="15.75" x14ac:dyDescent="0.25">
      <c r="A9" s="206" t="s">
        <v>77</v>
      </c>
      <c r="B9" s="391" t="s">
        <v>75</v>
      </c>
      <c r="C9" s="391"/>
    </row>
    <row r="10" spans="1:3" ht="15.75" x14ac:dyDescent="0.25">
      <c r="A10" s="205" t="s">
        <v>78</v>
      </c>
      <c r="B10" s="394" t="s">
        <v>81</v>
      </c>
      <c r="C10" s="394"/>
    </row>
    <row r="11" spans="1:3" ht="15.75" x14ac:dyDescent="0.25">
      <c r="A11" s="205" t="s">
        <v>79</v>
      </c>
      <c r="B11" s="391" t="s">
        <v>74</v>
      </c>
      <c r="C11" s="391"/>
    </row>
    <row r="12" spans="1:3" ht="15.75" x14ac:dyDescent="0.25">
      <c r="A12" s="205" t="s">
        <v>80</v>
      </c>
      <c r="B12" s="391" t="s">
        <v>75</v>
      </c>
      <c r="C12" s="391"/>
    </row>
    <row r="13" spans="1:3" ht="15.75" x14ac:dyDescent="0.25">
      <c r="A13" s="207" t="s">
        <v>82</v>
      </c>
      <c r="B13" s="395" t="s">
        <v>83</v>
      </c>
      <c r="C13" s="395"/>
    </row>
    <row r="14" spans="1:3" ht="15.75" x14ac:dyDescent="0.25">
      <c r="A14" s="205" t="s">
        <v>84</v>
      </c>
      <c r="B14" s="391" t="s">
        <v>224</v>
      </c>
      <c r="C14" s="391"/>
    </row>
    <row r="15" spans="1:3" ht="15.75" x14ac:dyDescent="0.25">
      <c r="A15" s="205" t="s">
        <v>85</v>
      </c>
      <c r="B15" s="393" t="s">
        <v>87</v>
      </c>
      <c r="C15" s="393"/>
    </row>
    <row r="16" spans="1:3" ht="15.75" x14ac:dyDescent="0.25">
      <c r="A16" s="205" t="s">
        <v>86</v>
      </c>
      <c r="B16" s="393" t="s">
        <v>88</v>
      </c>
      <c r="C16" s="393"/>
    </row>
    <row r="17" spans="1:3" ht="15.75" x14ac:dyDescent="0.25">
      <c r="A17" s="205" t="s">
        <v>89</v>
      </c>
      <c r="B17" s="394" t="s">
        <v>94</v>
      </c>
      <c r="C17" s="394"/>
    </row>
    <row r="18" spans="1:3" ht="15.75" x14ac:dyDescent="0.25">
      <c r="A18" s="205" t="s">
        <v>90</v>
      </c>
      <c r="B18" s="4" t="s">
        <v>95</v>
      </c>
      <c r="C18" s="22"/>
    </row>
    <row r="19" spans="1:3" s="167" customFormat="1" ht="15.75" customHeight="1" x14ac:dyDescent="0.25">
      <c r="A19" s="208" t="s">
        <v>93</v>
      </c>
      <c r="B19" s="391" t="s">
        <v>91</v>
      </c>
      <c r="C19" s="391"/>
    </row>
    <row r="20" spans="1:3" ht="15.75" x14ac:dyDescent="0.25">
      <c r="A20" s="205" t="s">
        <v>169</v>
      </c>
      <c r="B20" s="394" t="s">
        <v>92</v>
      </c>
      <c r="C20" s="394"/>
    </row>
    <row r="21" spans="1:3" ht="15.75" x14ac:dyDescent="0.25">
      <c r="A21" s="205" t="s">
        <v>170</v>
      </c>
      <c r="B21" s="394" t="s">
        <v>87</v>
      </c>
      <c r="C21" s="394"/>
    </row>
    <row r="22" spans="1:3" ht="15.75" x14ac:dyDescent="0.25">
      <c r="A22" s="10">
        <v>2</v>
      </c>
      <c r="B22" s="10" t="s">
        <v>102</v>
      </c>
      <c r="C22" s="382"/>
    </row>
    <row r="23" spans="1:3" ht="15.75" x14ac:dyDescent="0.25">
      <c r="A23" s="205" t="s">
        <v>96</v>
      </c>
      <c r="B23" s="137" t="s">
        <v>152</v>
      </c>
      <c r="C23" s="382"/>
    </row>
    <row r="24" spans="1:3" ht="15.75" x14ac:dyDescent="0.25">
      <c r="A24" s="205" t="s">
        <v>97</v>
      </c>
      <c r="B24" s="137" t="s">
        <v>103</v>
      </c>
      <c r="C24" s="382"/>
    </row>
    <row r="25" spans="1:3" ht="15.75" x14ac:dyDescent="0.25">
      <c r="A25" s="205" t="s">
        <v>98</v>
      </c>
      <c r="B25" s="137" t="s">
        <v>104</v>
      </c>
      <c r="C25" s="382"/>
    </row>
    <row r="26" spans="1:3" ht="15.75" x14ac:dyDescent="0.25">
      <c r="A26" s="205" t="s">
        <v>99</v>
      </c>
      <c r="B26" s="137" t="s">
        <v>105</v>
      </c>
      <c r="C26" s="382"/>
    </row>
    <row r="27" spans="1:3" ht="15.75" x14ac:dyDescent="0.25">
      <c r="A27" s="205" t="s">
        <v>100</v>
      </c>
      <c r="B27" s="137" t="s">
        <v>106</v>
      </c>
      <c r="C27" s="382"/>
    </row>
    <row r="28" spans="1:3" ht="15.75" x14ac:dyDescent="0.25">
      <c r="A28" s="205" t="s">
        <v>101</v>
      </c>
      <c r="B28" s="137" t="s">
        <v>107</v>
      </c>
      <c r="C28" s="382"/>
    </row>
    <row r="29" spans="1:3" ht="15.75" x14ac:dyDescent="0.25">
      <c r="A29" s="205" t="s">
        <v>108</v>
      </c>
      <c r="B29" s="137" t="s">
        <v>151</v>
      </c>
      <c r="C29" s="382"/>
    </row>
    <row r="30" spans="1:3" ht="15.75" x14ac:dyDescent="0.25">
      <c r="A30" s="205" t="s">
        <v>109</v>
      </c>
      <c r="B30" s="137" t="s">
        <v>112</v>
      </c>
      <c r="C30" s="382"/>
    </row>
    <row r="31" spans="1:3" ht="15.75" x14ac:dyDescent="0.25">
      <c r="A31" s="205" t="s">
        <v>110</v>
      </c>
      <c r="B31" s="393" t="s">
        <v>113</v>
      </c>
      <c r="C31" s="393"/>
    </row>
    <row r="32" spans="1:3" ht="15.75" x14ac:dyDescent="0.25">
      <c r="A32" s="205" t="s">
        <v>111</v>
      </c>
      <c r="B32" s="393" t="s">
        <v>114</v>
      </c>
      <c r="C32" s="393"/>
    </row>
    <row r="33" spans="1:3" ht="15.75" x14ac:dyDescent="0.25">
      <c r="A33" s="205" t="s">
        <v>115</v>
      </c>
      <c r="B33" s="137" t="s">
        <v>164</v>
      </c>
      <c r="C33" s="382"/>
    </row>
    <row r="34" spans="1:3" ht="15.75" x14ac:dyDescent="0.25">
      <c r="A34" s="205" t="s">
        <v>116</v>
      </c>
      <c r="B34" s="393" t="s">
        <v>119</v>
      </c>
      <c r="C34" s="393"/>
    </row>
    <row r="35" spans="1:3" ht="15.75" x14ac:dyDescent="0.25">
      <c r="A35" s="205" t="s">
        <v>117</v>
      </c>
      <c r="B35" s="393" t="s">
        <v>120</v>
      </c>
      <c r="C35" s="393"/>
    </row>
    <row r="36" spans="1:3" ht="15.75" x14ac:dyDescent="0.25">
      <c r="A36" s="205" t="s">
        <v>118</v>
      </c>
      <c r="B36" s="393" t="s">
        <v>121</v>
      </c>
      <c r="C36" s="393"/>
    </row>
    <row r="37" spans="1:3" ht="15.75" x14ac:dyDescent="0.25">
      <c r="A37" s="209" t="s">
        <v>122</v>
      </c>
      <c r="B37" s="393" t="s">
        <v>150</v>
      </c>
      <c r="C37" s="393"/>
    </row>
    <row r="38" spans="1:3" ht="15.75" x14ac:dyDescent="0.25">
      <c r="A38" s="209" t="s">
        <v>123</v>
      </c>
      <c r="B38" s="393" t="s">
        <v>125</v>
      </c>
      <c r="C38" s="393"/>
    </row>
    <row r="39" spans="1:3" ht="15.75" x14ac:dyDescent="0.25">
      <c r="A39" s="209" t="s">
        <v>124</v>
      </c>
      <c r="B39" s="393" t="s">
        <v>126</v>
      </c>
      <c r="C39" s="393"/>
    </row>
    <row r="40" spans="1:3" ht="15.75" x14ac:dyDescent="0.25">
      <c r="A40" s="209" t="s">
        <v>127</v>
      </c>
      <c r="B40" s="393" t="s">
        <v>265</v>
      </c>
      <c r="C40" s="393"/>
    </row>
    <row r="41" spans="1:3" ht="15.75" x14ac:dyDescent="0.25">
      <c r="A41" s="205" t="s">
        <v>128</v>
      </c>
      <c r="B41" s="393" t="s">
        <v>165</v>
      </c>
      <c r="C41" s="393"/>
    </row>
    <row r="42" spans="1:3" ht="15.75" x14ac:dyDescent="0.25">
      <c r="A42" s="205" t="s">
        <v>131</v>
      </c>
      <c r="B42" s="137" t="s">
        <v>136</v>
      </c>
      <c r="C42" s="382"/>
    </row>
    <row r="43" spans="1:3" ht="15.75" x14ac:dyDescent="0.25">
      <c r="A43" s="205" t="s">
        <v>132</v>
      </c>
      <c r="B43" s="393" t="s">
        <v>137</v>
      </c>
      <c r="C43" s="393"/>
    </row>
    <row r="44" spans="1:3" ht="15.75" x14ac:dyDescent="0.25">
      <c r="A44" s="205" t="s">
        <v>133</v>
      </c>
      <c r="B44" s="393" t="s">
        <v>138</v>
      </c>
      <c r="C44" s="393"/>
    </row>
    <row r="45" spans="1:3" ht="15.75" x14ac:dyDescent="0.25">
      <c r="A45" s="205" t="s">
        <v>134</v>
      </c>
      <c r="B45" s="393" t="s">
        <v>139</v>
      </c>
      <c r="C45" s="393"/>
    </row>
    <row r="46" spans="1:3" ht="15.75" x14ac:dyDescent="0.25">
      <c r="A46" s="205" t="s">
        <v>135</v>
      </c>
      <c r="B46" s="393" t="s">
        <v>140</v>
      </c>
      <c r="C46" s="393"/>
    </row>
    <row r="47" spans="1:3" ht="15.75" x14ac:dyDescent="0.25">
      <c r="A47" s="205" t="s">
        <v>142</v>
      </c>
      <c r="B47" s="393" t="s">
        <v>146</v>
      </c>
      <c r="C47" s="393"/>
    </row>
    <row r="48" spans="1:3" ht="15.75" x14ac:dyDescent="0.25">
      <c r="A48" s="4" t="s">
        <v>143</v>
      </c>
      <c r="B48" s="393" t="s">
        <v>147</v>
      </c>
      <c r="C48" s="393"/>
    </row>
    <row r="49" spans="1:3" ht="15.75" x14ac:dyDescent="0.25">
      <c r="A49" s="4" t="s">
        <v>144</v>
      </c>
      <c r="B49" s="393" t="s">
        <v>148</v>
      </c>
      <c r="C49" s="393"/>
    </row>
    <row r="50" spans="1:3" ht="15.75" x14ac:dyDescent="0.25">
      <c r="A50" s="4" t="s">
        <v>145</v>
      </c>
      <c r="B50" s="393" t="s">
        <v>149</v>
      </c>
      <c r="C50" s="393"/>
    </row>
    <row r="51" spans="1:3" s="168" customFormat="1" ht="15.75" x14ac:dyDescent="0.25">
      <c r="A51" s="209" t="s">
        <v>141</v>
      </c>
      <c r="B51" s="384" t="s">
        <v>153</v>
      </c>
      <c r="C51" s="383"/>
    </row>
    <row r="52" spans="1:3" ht="15.75" x14ac:dyDescent="0.25">
      <c r="A52" s="205" t="s">
        <v>129</v>
      </c>
      <c r="B52" s="396" t="s">
        <v>154</v>
      </c>
      <c r="C52" s="396"/>
    </row>
    <row r="53" spans="1:3" ht="15.75" x14ac:dyDescent="0.25">
      <c r="A53" s="205" t="s">
        <v>130</v>
      </c>
      <c r="B53" s="396" t="s">
        <v>155</v>
      </c>
      <c r="C53" s="396"/>
    </row>
    <row r="54" spans="1:3" ht="15.75" x14ac:dyDescent="0.25">
      <c r="A54" s="210" t="s">
        <v>156</v>
      </c>
      <c r="B54" s="211" t="s">
        <v>157</v>
      </c>
      <c r="C54" s="385"/>
    </row>
    <row r="55" spans="1:3" ht="15.75" x14ac:dyDescent="0.25">
      <c r="A55" s="205" t="s">
        <v>158</v>
      </c>
      <c r="B55" s="396" t="s">
        <v>258</v>
      </c>
      <c r="C55" s="396"/>
    </row>
    <row r="56" spans="1:3" ht="15.75" x14ac:dyDescent="0.25">
      <c r="A56" s="205" t="s">
        <v>159</v>
      </c>
      <c r="B56" s="396" t="s">
        <v>257</v>
      </c>
      <c r="C56" s="396"/>
    </row>
    <row r="57" spans="1:3" ht="15.75" x14ac:dyDescent="0.25">
      <c r="A57" s="10" t="s">
        <v>1631</v>
      </c>
      <c r="B57" s="420" t="s">
        <v>1632</v>
      </c>
      <c r="C57" s="421"/>
    </row>
    <row r="58" spans="1:3" ht="15.75" x14ac:dyDescent="0.25">
      <c r="A58" s="205" t="s">
        <v>778</v>
      </c>
      <c r="B58" s="122" t="s">
        <v>1590</v>
      </c>
      <c r="C58" s="385"/>
    </row>
    <row r="59" spans="1:3" ht="15.75" x14ac:dyDescent="0.25">
      <c r="A59" s="389" t="s">
        <v>1627</v>
      </c>
      <c r="B59" s="122" t="s">
        <v>1630</v>
      </c>
      <c r="C59" s="390"/>
    </row>
  </sheetData>
  <mergeCells count="38">
    <mergeCell ref="B57:C57"/>
    <mergeCell ref="B56:C56"/>
    <mergeCell ref="B48:C48"/>
    <mergeCell ref="B49:C49"/>
    <mergeCell ref="B50:C50"/>
    <mergeCell ref="B52:C52"/>
    <mergeCell ref="B53:C53"/>
    <mergeCell ref="B55:C55"/>
    <mergeCell ref="B47:C47"/>
    <mergeCell ref="B35:C35"/>
    <mergeCell ref="B36:C36"/>
    <mergeCell ref="B37:C37"/>
    <mergeCell ref="B38:C38"/>
    <mergeCell ref="B39:C39"/>
    <mergeCell ref="B40:C40"/>
    <mergeCell ref="B41:C41"/>
    <mergeCell ref="B43:C43"/>
    <mergeCell ref="B44:C44"/>
    <mergeCell ref="B45:C45"/>
    <mergeCell ref="B46:C46"/>
    <mergeCell ref="B34:C34"/>
    <mergeCell ref="B12:C12"/>
    <mergeCell ref="B13:C13"/>
    <mergeCell ref="B14:C14"/>
    <mergeCell ref="B15:C15"/>
    <mergeCell ref="B16:C16"/>
    <mergeCell ref="B17:C17"/>
    <mergeCell ref="B19:C19"/>
    <mergeCell ref="B20:C20"/>
    <mergeCell ref="B21:C21"/>
    <mergeCell ref="B31:C31"/>
    <mergeCell ref="B32:C32"/>
    <mergeCell ref="B11:C11"/>
    <mergeCell ref="B6:C6"/>
    <mergeCell ref="B7:C7"/>
    <mergeCell ref="B8:C8"/>
    <mergeCell ref="B9:C9"/>
    <mergeCell ref="B10:C10"/>
  </mergeCells>
  <pageMargins left="0.7" right="0.7" top="0.75" bottom="0.75" header="0.3" footer="0.3"/>
  <pageSetup paperSize="9" orientation="landscape" r:id="rId1"/>
  <rowBreaks count="1" manualBreakCount="1">
    <brk id="31" max="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FFDC72-BA3A-489B-B8A3-3E74D05B4212}">
  <dimension ref="A1:O69"/>
  <sheetViews>
    <sheetView topLeftCell="A7" zoomScaleNormal="100" workbookViewId="0">
      <selection activeCell="D66" sqref="D66"/>
    </sheetView>
  </sheetViews>
  <sheetFormatPr defaultRowHeight="15" x14ac:dyDescent="0.25"/>
  <cols>
    <col min="1" max="1" width="12" customWidth="1"/>
    <col min="2" max="2" width="27" customWidth="1"/>
    <col min="3" max="3" width="65.28515625" customWidth="1"/>
    <col min="4" max="4" width="9.28515625" customWidth="1"/>
    <col min="5" max="5" width="17.5703125" customWidth="1"/>
    <col min="6" max="6" width="6.7109375" style="305" customWidth="1"/>
    <col min="7" max="7" width="16.28515625" style="305" customWidth="1"/>
    <col min="8" max="9" width="9.140625" style="305"/>
    <col min="10" max="10" width="10.140625" style="305" customWidth="1"/>
    <col min="11" max="11" width="16" style="305" customWidth="1"/>
    <col min="12" max="15" width="9.140625" style="305"/>
  </cols>
  <sheetData>
    <row r="1" spans="1:15" ht="18.75" x14ac:dyDescent="0.3">
      <c r="A1" s="2"/>
      <c r="B1" s="3" t="s">
        <v>6</v>
      </c>
      <c r="C1" s="2"/>
    </row>
    <row r="2" spans="1:15" ht="16.5" customHeight="1" x14ac:dyDescent="0.3">
      <c r="A2" s="2"/>
      <c r="B2" s="2"/>
      <c r="C2" s="2"/>
    </row>
    <row r="3" spans="1:15" ht="18.75" x14ac:dyDescent="0.3">
      <c r="A3" s="403" t="s">
        <v>5</v>
      </c>
      <c r="B3" s="403"/>
      <c r="C3" s="403"/>
    </row>
    <row r="4" spans="1:15" ht="13.5" customHeight="1" x14ac:dyDescent="0.3">
      <c r="A4" s="2"/>
      <c r="B4" s="2"/>
      <c r="C4" s="2"/>
    </row>
    <row r="5" spans="1:15" ht="18.75" x14ac:dyDescent="0.3">
      <c r="A5" s="404" t="s">
        <v>168</v>
      </c>
      <c r="B5" s="404"/>
      <c r="C5" s="404"/>
    </row>
    <row r="6" spans="1:15" ht="18.75" x14ac:dyDescent="0.3">
      <c r="A6" s="404" t="s">
        <v>4</v>
      </c>
      <c r="B6" s="404"/>
      <c r="C6" s="404"/>
    </row>
    <row r="7" spans="1:15" ht="18.75" x14ac:dyDescent="0.25">
      <c r="A7" s="398" t="s">
        <v>3</v>
      </c>
      <c r="B7" s="398"/>
      <c r="C7" s="398"/>
    </row>
    <row r="8" spans="1:15" ht="15.75" x14ac:dyDescent="0.25">
      <c r="A8" s="405" t="s">
        <v>64</v>
      </c>
      <c r="B8" s="405"/>
    </row>
    <row r="10" spans="1:15" ht="78.75" x14ac:dyDescent="0.25">
      <c r="A10" s="139" t="s">
        <v>0</v>
      </c>
      <c r="B10" s="139" t="s">
        <v>1</v>
      </c>
      <c r="C10" s="28" t="s">
        <v>2</v>
      </c>
      <c r="D10" s="152" t="s">
        <v>26</v>
      </c>
      <c r="E10" s="12" t="s">
        <v>27</v>
      </c>
    </row>
    <row r="11" spans="1:15" ht="15.75" x14ac:dyDescent="0.25">
      <c r="A11" s="17">
        <v>1</v>
      </c>
      <c r="B11" s="17">
        <v>2</v>
      </c>
      <c r="C11" s="29">
        <v>3</v>
      </c>
      <c r="D11" s="27">
        <v>4</v>
      </c>
      <c r="E11" s="27">
        <v>5</v>
      </c>
    </row>
    <row r="12" spans="1:15" ht="15.75" x14ac:dyDescent="0.25">
      <c r="A12" s="4"/>
      <c r="B12" s="7" t="s">
        <v>7</v>
      </c>
      <c r="C12" s="29" t="s">
        <v>8</v>
      </c>
      <c r="D12" s="24"/>
      <c r="E12" s="22"/>
    </row>
    <row r="13" spans="1:15" ht="15.75" x14ac:dyDescent="0.25">
      <c r="A13" s="8">
        <v>1000</v>
      </c>
      <c r="B13" s="7" t="s">
        <v>9</v>
      </c>
      <c r="C13" s="29"/>
      <c r="D13" s="43">
        <f>ROUND((D14+D20),2)</f>
        <v>5.96</v>
      </c>
      <c r="E13" s="43">
        <f>E14+E20</f>
        <v>5313.8604540000006</v>
      </c>
      <c r="K13" s="312"/>
    </row>
    <row r="14" spans="1:15" ht="15.75" x14ac:dyDescent="0.25">
      <c r="A14" s="271">
        <v>1100</v>
      </c>
      <c r="B14" s="272" t="s">
        <v>10</v>
      </c>
      <c r="C14" s="132"/>
      <c r="D14" s="378">
        <f>D15+D19</f>
        <v>4.6491659192825114</v>
      </c>
      <c r="E14" s="43">
        <f>E15+E19</f>
        <v>4147.0560000000005</v>
      </c>
    </row>
    <row r="15" spans="1:15" ht="15.75" x14ac:dyDescent="0.25">
      <c r="A15" s="16">
        <v>1110</v>
      </c>
      <c r="B15" s="16" t="s">
        <v>217</v>
      </c>
      <c r="C15" s="247" t="s">
        <v>218</v>
      </c>
      <c r="D15" s="108">
        <f>D16+D17+D18</f>
        <v>4.2265246636771305</v>
      </c>
      <c r="E15" s="108">
        <f>E16+E17+E18</f>
        <v>3770.0600000000004</v>
      </c>
    </row>
    <row r="16" spans="1:15" s="15" customFormat="1" ht="94.5" x14ac:dyDescent="0.25">
      <c r="A16" s="146"/>
      <c r="B16" s="147"/>
      <c r="C16" s="142" t="s">
        <v>779</v>
      </c>
      <c r="D16" s="44">
        <f>E16/892</f>
        <v>0.19856502242152466</v>
      </c>
      <c r="E16" s="44">
        <f>ROUND((32.8*12*0.45),2)</f>
        <v>177.12</v>
      </c>
      <c r="F16" s="313"/>
      <c r="G16" s="313"/>
      <c r="H16" s="313"/>
      <c r="I16" s="315"/>
      <c r="J16" s="314"/>
      <c r="K16" s="315"/>
      <c r="L16" s="315"/>
      <c r="M16" s="315"/>
      <c r="N16" s="315"/>
      <c r="O16" s="315"/>
    </row>
    <row r="17" spans="1:15" s="15" customFormat="1" ht="79.5" customHeight="1" x14ac:dyDescent="0.25">
      <c r="A17" s="127"/>
      <c r="B17" s="130"/>
      <c r="C17" s="166" t="s">
        <v>780</v>
      </c>
      <c r="D17" s="44">
        <f>E17/892</f>
        <v>0.26248878923766816</v>
      </c>
      <c r="E17" s="44">
        <f>ROUND((43.36*12*0.45),2)</f>
        <v>234.14</v>
      </c>
      <c r="F17" s="313"/>
      <c r="G17" s="313"/>
      <c r="H17" s="314"/>
      <c r="I17" s="315"/>
      <c r="J17" s="314"/>
      <c r="K17" s="315"/>
      <c r="L17" s="315"/>
      <c r="M17" s="315"/>
      <c r="N17" s="315"/>
      <c r="O17" s="315"/>
    </row>
    <row r="18" spans="1:15" s="15" customFormat="1" ht="83.25" customHeight="1" x14ac:dyDescent="0.25">
      <c r="A18" s="128"/>
      <c r="B18" s="131"/>
      <c r="C18" s="142" t="s">
        <v>781</v>
      </c>
      <c r="D18" s="44">
        <f t="shared" ref="D18:D22" si="0">E18/892</f>
        <v>3.7654708520179376</v>
      </c>
      <c r="E18" s="44">
        <f>ROUND((622*12*0.45),2)</f>
        <v>3358.8</v>
      </c>
      <c r="F18" s="314"/>
      <c r="G18" s="313"/>
      <c r="H18" s="316"/>
      <c r="I18" s="314"/>
      <c r="J18" s="314"/>
      <c r="K18" s="315"/>
      <c r="L18" s="315"/>
      <c r="M18" s="315"/>
      <c r="N18" s="315"/>
      <c r="O18" s="315"/>
    </row>
    <row r="19" spans="1:15" s="15" customFormat="1" ht="62.25" customHeight="1" x14ac:dyDescent="0.25">
      <c r="A19" s="122">
        <v>1140</v>
      </c>
      <c r="B19" s="5" t="s">
        <v>214</v>
      </c>
      <c r="C19" s="142" t="s">
        <v>783</v>
      </c>
      <c r="D19" s="108">
        <f t="shared" si="0"/>
        <v>0.42264125560538129</v>
      </c>
      <c r="E19" s="108">
        <f>(177.12*0.1)+(234.14*0.1)+(3358.8*0.1-0.01)</f>
        <v>376.99600000000009</v>
      </c>
      <c r="F19" s="315"/>
      <c r="G19" s="349"/>
      <c r="H19" s="315"/>
      <c r="I19" s="315"/>
      <c r="J19" s="314"/>
      <c r="K19" s="315"/>
      <c r="L19" s="315"/>
      <c r="M19" s="315"/>
      <c r="N19" s="315"/>
      <c r="O19" s="315"/>
    </row>
    <row r="20" spans="1:15" ht="63" customHeight="1" x14ac:dyDescent="0.25">
      <c r="A20" s="7">
        <v>1200</v>
      </c>
      <c r="B20" s="156" t="s">
        <v>11</v>
      </c>
      <c r="C20" s="166" t="s">
        <v>1556</v>
      </c>
      <c r="D20" s="379">
        <f>D21+D22</f>
        <v>1.3080767421524664</v>
      </c>
      <c r="E20" s="86">
        <f>E21+E22</f>
        <v>1166.8044540000001</v>
      </c>
      <c r="J20" s="314"/>
    </row>
    <row r="21" spans="1:15" ht="47.25" x14ac:dyDescent="0.25">
      <c r="A21" s="4">
        <v>1210</v>
      </c>
      <c r="B21" s="5" t="s">
        <v>216</v>
      </c>
      <c r="C21" s="166" t="s">
        <v>782</v>
      </c>
      <c r="D21" s="44">
        <f t="shared" si="0"/>
        <v>1.096739298206278</v>
      </c>
      <c r="E21" s="44">
        <f>4147.06*0.2359</f>
        <v>978.29145400000004</v>
      </c>
      <c r="J21" s="314"/>
    </row>
    <row r="22" spans="1:15" ht="62.25" customHeight="1" x14ac:dyDescent="0.25">
      <c r="A22" s="4">
        <v>1227</v>
      </c>
      <c r="B22" s="5" t="s">
        <v>215</v>
      </c>
      <c r="C22" s="166" t="s">
        <v>784</v>
      </c>
      <c r="D22" s="44">
        <f t="shared" si="0"/>
        <v>0.21133744394618839</v>
      </c>
      <c r="E22" s="44">
        <f>(177.12*0.05)+(234.14*0.05)+(3358.8*0.05+0.01)</f>
        <v>188.51300000000003</v>
      </c>
      <c r="G22" s="319"/>
      <c r="J22" s="314"/>
    </row>
    <row r="23" spans="1:15" ht="15.75" x14ac:dyDescent="0.25">
      <c r="A23" s="8">
        <v>2000</v>
      </c>
      <c r="B23" s="7" t="s">
        <v>12</v>
      </c>
      <c r="C23" s="29"/>
      <c r="D23" s="43">
        <f>D24</f>
        <v>1.78</v>
      </c>
      <c r="E23" s="43">
        <f>E24</f>
        <v>1587.76</v>
      </c>
      <c r="J23" s="314"/>
    </row>
    <row r="24" spans="1:15" ht="33" customHeight="1" x14ac:dyDescent="0.25">
      <c r="A24" s="4">
        <v>2222</v>
      </c>
      <c r="B24" s="118" t="s">
        <v>55</v>
      </c>
      <c r="C24" s="166" t="s">
        <v>1596</v>
      </c>
      <c r="D24" s="44">
        <f>ROUND(E24/892,2)</f>
        <v>1.78</v>
      </c>
      <c r="E24" s="44">
        <f>ROUND((1.78*892),2)</f>
        <v>1587.76</v>
      </c>
      <c r="J24" s="314"/>
    </row>
    <row r="25" spans="1:15" ht="15.75" x14ac:dyDescent="0.25">
      <c r="A25" s="4"/>
      <c r="B25" s="9" t="s">
        <v>14</v>
      </c>
      <c r="C25" s="30" t="s">
        <v>16</v>
      </c>
      <c r="D25" s="43">
        <f>SUM(D13+D23)</f>
        <v>7.74</v>
      </c>
      <c r="E25" s="43">
        <f>SUM(E13+E23)</f>
        <v>6901.6204540000008</v>
      </c>
      <c r="J25" s="317"/>
    </row>
    <row r="26" spans="1:15" ht="15.75" x14ac:dyDescent="0.25">
      <c r="A26" s="4"/>
      <c r="B26" s="9" t="s">
        <v>15</v>
      </c>
      <c r="C26" s="29" t="s">
        <v>8</v>
      </c>
      <c r="D26" s="42"/>
      <c r="E26" s="42"/>
      <c r="J26" s="317"/>
    </row>
    <row r="27" spans="1:15" ht="15.75" x14ac:dyDescent="0.25">
      <c r="A27" s="8">
        <v>1000</v>
      </c>
      <c r="B27" s="7" t="s">
        <v>9</v>
      </c>
      <c r="C27" s="29"/>
      <c r="D27" s="43">
        <f>SUM(D28+D39)</f>
        <v>3.6599999999999993</v>
      </c>
      <c r="E27" s="43">
        <f>SUM(E28+E39)</f>
        <v>3263.3200000000006</v>
      </c>
      <c r="J27" s="317"/>
    </row>
    <row r="28" spans="1:15" ht="15.75" x14ac:dyDescent="0.25">
      <c r="A28" s="4">
        <v>1100</v>
      </c>
      <c r="B28" s="4" t="s">
        <v>10</v>
      </c>
      <c r="C28" s="137" t="s">
        <v>219</v>
      </c>
      <c r="D28" s="43">
        <f>SUM(D29:D38)</f>
        <v>2.9599999999999995</v>
      </c>
      <c r="E28" s="43">
        <f>SUM(E29:E38)</f>
        <v>2640.4400000000005</v>
      </c>
      <c r="J28" s="317"/>
    </row>
    <row r="29" spans="1:15" ht="94.5" x14ac:dyDescent="0.25">
      <c r="A29" s="216"/>
      <c r="B29" s="217"/>
      <c r="C29" s="142" t="s">
        <v>1554</v>
      </c>
      <c r="D29" s="44">
        <f>ROUND((E29/892),2)</f>
        <v>0.02</v>
      </c>
      <c r="E29" s="44">
        <f>ROUND((3.79*12*0.45),2)</f>
        <v>20.47</v>
      </c>
      <c r="F29" s="314"/>
      <c r="G29" s="313"/>
      <c r="I29" s="318"/>
      <c r="J29" s="377"/>
    </row>
    <row r="30" spans="1:15" ht="79.5" customHeight="1" x14ac:dyDescent="0.25">
      <c r="A30" s="401"/>
      <c r="B30" s="399"/>
      <c r="C30" s="121" t="s">
        <v>785</v>
      </c>
      <c r="D30" s="44">
        <f>ROUND((E30/892-0.01),2)</f>
        <v>0.01</v>
      </c>
      <c r="E30" s="44">
        <f>ROUND((2.52*12*0.45),2)</f>
        <v>13.61</v>
      </c>
      <c r="F30" s="314"/>
      <c r="G30" s="313"/>
      <c r="H30" s="319"/>
      <c r="I30" s="318"/>
      <c r="J30" s="377"/>
    </row>
    <row r="31" spans="1:15" ht="77.25" customHeight="1" x14ac:dyDescent="0.25">
      <c r="A31" s="401"/>
      <c r="B31" s="399"/>
      <c r="C31" s="142" t="s">
        <v>1555</v>
      </c>
      <c r="D31" s="44">
        <f t="shared" ref="D31:D38" si="1">ROUND((E31/892),2)</f>
        <v>0.02</v>
      </c>
      <c r="E31" s="44">
        <f>ROUND((3.79*12*0.45),2)</f>
        <v>20.47</v>
      </c>
      <c r="F31" s="314"/>
      <c r="G31" s="319"/>
      <c r="H31" s="319"/>
      <c r="I31" s="318"/>
      <c r="J31" s="377"/>
    </row>
    <row r="32" spans="1:15" ht="78.599999999999994" customHeight="1" x14ac:dyDescent="0.25">
      <c r="A32" s="401"/>
      <c r="B32" s="399"/>
      <c r="C32" s="121" t="s">
        <v>786</v>
      </c>
      <c r="D32" s="44">
        <f t="shared" si="1"/>
        <v>0.03</v>
      </c>
      <c r="E32" s="44">
        <f>ROUND((5*12*0.45),2)</f>
        <v>27</v>
      </c>
      <c r="F32" s="314"/>
      <c r="G32" s="319"/>
      <c r="H32" s="319"/>
      <c r="I32" s="318"/>
      <c r="J32" s="377"/>
    </row>
    <row r="33" spans="1:10" ht="94.5" x14ac:dyDescent="0.25">
      <c r="A33" s="401"/>
      <c r="B33" s="399"/>
      <c r="C33" s="121" t="s">
        <v>803</v>
      </c>
      <c r="D33" s="44">
        <f t="shared" si="1"/>
        <v>0.02</v>
      </c>
      <c r="E33" s="44">
        <f>ROUND((2.68*12*0.45),2)</f>
        <v>14.47</v>
      </c>
      <c r="F33" s="314"/>
      <c r="G33" s="319"/>
      <c r="I33" s="318"/>
      <c r="J33" s="377"/>
    </row>
    <row r="34" spans="1:10" ht="77.45" customHeight="1" x14ac:dyDescent="0.25">
      <c r="A34" s="401"/>
      <c r="B34" s="399"/>
      <c r="C34" s="121" t="s">
        <v>787</v>
      </c>
      <c r="D34" s="44">
        <f t="shared" si="1"/>
        <v>0.46</v>
      </c>
      <c r="E34" s="44">
        <f>ROUND((76.43*12*0.45),2)</f>
        <v>412.72</v>
      </c>
      <c r="F34" s="314"/>
      <c r="G34" s="319"/>
      <c r="I34" s="318"/>
      <c r="J34" s="377"/>
    </row>
    <row r="35" spans="1:10" ht="94.5" x14ac:dyDescent="0.25">
      <c r="A35" s="401"/>
      <c r="B35" s="399"/>
      <c r="C35" s="121" t="s">
        <v>788</v>
      </c>
      <c r="D35" s="44">
        <f t="shared" si="1"/>
        <v>0.86</v>
      </c>
      <c r="E35" s="44">
        <f>ROUND((142.24*12*0.45),2)</f>
        <v>768.1</v>
      </c>
      <c r="F35" s="314"/>
      <c r="G35" s="319"/>
      <c r="I35" s="318"/>
      <c r="J35" s="377"/>
    </row>
    <row r="36" spans="1:10" ht="94.5" x14ac:dyDescent="0.25">
      <c r="A36" s="401"/>
      <c r="B36" s="399"/>
      <c r="C36" s="142" t="s">
        <v>789</v>
      </c>
      <c r="D36" s="44">
        <f t="shared" si="1"/>
        <v>1.3</v>
      </c>
      <c r="E36" s="44">
        <f>ROUND((214.3*12*0.45),2)</f>
        <v>1157.22</v>
      </c>
      <c r="F36" s="314"/>
      <c r="H36" s="319"/>
      <c r="I36" s="318"/>
      <c r="J36" s="377"/>
    </row>
    <row r="37" spans="1:10" ht="94.5" x14ac:dyDescent="0.25">
      <c r="A37" s="401"/>
      <c r="B37" s="399"/>
      <c r="C37" s="142" t="s">
        <v>1557</v>
      </c>
      <c r="D37" s="44">
        <f t="shared" si="1"/>
        <v>0.19</v>
      </c>
      <c r="E37" s="44">
        <f>ROUND((30.61*12*0.45),2)</f>
        <v>165.29</v>
      </c>
      <c r="F37" s="314"/>
      <c r="I37" s="318"/>
      <c r="J37" s="377"/>
    </row>
    <row r="38" spans="1:10" ht="78.75" customHeight="1" x14ac:dyDescent="0.25">
      <c r="A38" s="402"/>
      <c r="B38" s="400"/>
      <c r="C38" s="121" t="s">
        <v>790</v>
      </c>
      <c r="D38" s="44">
        <f t="shared" si="1"/>
        <v>0.05</v>
      </c>
      <c r="E38" s="44">
        <f>ROUND((7.61*12*0.45),2)</f>
        <v>41.09</v>
      </c>
      <c r="F38" s="314"/>
      <c r="G38" s="319"/>
      <c r="I38" s="318"/>
      <c r="J38" s="377"/>
    </row>
    <row r="39" spans="1:10" ht="63.75" customHeight="1" x14ac:dyDescent="0.25">
      <c r="A39" s="7">
        <v>1200</v>
      </c>
      <c r="B39" s="156" t="s">
        <v>11</v>
      </c>
      <c r="C39" s="37" t="s">
        <v>791</v>
      </c>
      <c r="D39" s="86">
        <f>ROUND((E39/892),2)</f>
        <v>0.7</v>
      </c>
      <c r="E39" s="86">
        <f>ROUND((2640.44*0.2359),2)</f>
        <v>622.88</v>
      </c>
      <c r="I39" s="318"/>
      <c r="J39" s="377"/>
    </row>
    <row r="40" spans="1:10" ht="15.75" x14ac:dyDescent="0.25">
      <c r="A40" s="8">
        <v>2000</v>
      </c>
      <c r="B40" s="7" t="s">
        <v>12</v>
      </c>
      <c r="C40" s="29"/>
      <c r="D40" s="43">
        <f>SUM(D41:D51)</f>
        <v>12.41</v>
      </c>
      <c r="E40" s="43">
        <f>SUM(E41:E51)</f>
        <v>11071.289999999999</v>
      </c>
      <c r="I40" s="318"/>
      <c r="J40" s="377"/>
    </row>
    <row r="41" spans="1:10" ht="30" customHeight="1" x14ac:dyDescent="0.25">
      <c r="A41" s="4">
        <v>2221</v>
      </c>
      <c r="B41" s="118" t="s">
        <v>54</v>
      </c>
      <c r="C41" s="166" t="s">
        <v>271</v>
      </c>
      <c r="D41" s="44">
        <f>ROUND((E41/892),2)</f>
        <v>3.95</v>
      </c>
      <c r="E41" s="44">
        <f>ROUND((7834.49*0.45),2)</f>
        <v>3525.52</v>
      </c>
      <c r="H41" s="319"/>
      <c r="I41" s="318"/>
      <c r="J41" s="377"/>
    </row>
    <row r="42" spans="1:10" ht="32.1" customHeight="1" x14ac:dyDescent="0.25">
      <c r="A42" s="4">
        <v>2223</v>
      </c>
      <c r="B42" s="173" t="s">
        <v>19</v>
      </c>
      <c r="C42" s="166" t="s">
        <v>272</v>
      </c>
      <c r="D42" s="44">
        <f t="shared" ref="D42:D51" si="2">ROUND((E42/892),2)</f>
        <v>3.59</v>
      </c>
      <c r="E42" s="44">
        <f>ROUND((7114.6*0.45),2)</f>
        <v>3201.57</v>
      </c>
      <c r="H42" s="319"/>
      <c r="I42" s="318"/>
      <c r="J42" s="377"/>
    </row>
    <row r="43" spans="1:10" ht="78.75" x14ac:dyDescent="0.25">
      <c r="A43" s="18">
        <v>2224</v>
      </c>
      <c r="B43" s="84" t="s">
        <v>56</v>
      </c>
      <c r="C43" s="114" t="s">
        <v>273</v>
      </c>
      <c r="D43" s="44">
        <f t="shared" si="2"/>
        <v>0.2</v>
      </c>
      <c r="E43" s="44">
        <f>ROUND((397.19*0.45),2)</f>
        <v>178.74</v>
      </c>
      <c r="H43" s="319"/>
      <c r="I43" s="318"/>
      <c r="J43" s="377"/>
    </row>
    <row r="44" spans="1:10" ht="46.5" customHeight="1" x14ac:dyDescent="0.25">
      <c r="A44" s="18">
        <v>2232</v>
      </c>
      <c r="B44" s="84" t="s">
        <v>626</v>
      </c>
      <c r="C44" s="114" t="s">
        <v>627</v>
      </c>
      <c r="D44" s="44">
        <f>ROUND((E44/892-0.01),2)</f>
        <v>0.04</v>
      </c>
      <c r="E44" s="44">
        <f>ROUND((90.09*0.45),2)</f>
        <v>40.54</v>
      </c>
      <c r="H44" s="319"/>
      <c r="I44" s="318"/>
      <c r="J44" s="377"/>
    </row>
    <row r="45" spans="1:10" ht="45.75" customHeight="1" x14ac:dyDescent="0.25">
      <c r="A45" s="18">
        <v>2241</v>
      </c>
      <c r="B45" s="117" t="s">
        <v>58</v>
      </c>
      <c r="C45" s="114" t="s">
        <v>1598</v>
      </c>
      <c r="D45" s="44">
        <f t="shared" si="2"/>
        <v>0.17</v>
      </c>
      <c r="E45" s="44">
        <f>ROUND((329.19*0.45),2)</f>
        <v>148.13999999999999</v>
      </c>
      <c r="H45" s="319"/>
      <c r="I45" s="318"/>
      <c r="J45" s="377"/>
    </row>
    <row r="46" spans="1:10" ht="63" customHeight="1" x14ac:dyDescent="0.25">
      <c r="A46" s="4">
        <v>2243</v>
      </c>
      <c r="B46" s="118" t="s">
        <v>21</v>
      </c>
      <c r="C46" s="5" t="s">
        <v>274</v>
      </c>
      <c r="D46" s="44">
        <f t="shared" si="2"/>
        <v>0.75</v>
      </c>
      <c r="E46" s="44">
        <f>ROUND((1492.24*0.45),2)</f>
        <v>671.51</v>
      </c>
      <c r="H46" s="319"/>
      <c r="I46" s="318"/>
      <c r="J46" s="377"/>
    </row>
    <row r="47" spans="1:10" ht="47.1" customHeight="1" x14ac:dyDescent="0.25">
      <c r="A47" s="4">
        <v>2244</v>
      </c>
      <c r="B47" s="118" t="s">
        <v>22</v>
      </c>
      <c r="C47" s="31" t="s">
        <v>275</v>
      </c>
      <c r="D47" s="44">
        <f>ROUND((E47/892),2)</f>
        <v>3.48</v>
      </c>
      <c r="E47" s="44">
        <f>ROUND((6888.83*0.45),2)</f>
        <v>3099.97</v>
      </c>
      <c r="I47" s="318"/>
      <c r="J47" s="377"/>
    </row>
    <row r="48" spans="1:10" ht="47.1" customHeight="1" x14ac:dyDescent="0.25">
      <c r="A48" s="4">
        <v>2249</v>
      </c>
      <c r="B48" s="118" t="s">
        <v>45</v>
      </c>
      <c r="C48" s="166" t="s">
        <v>628</v>
      </c>
      <c r="D48" s="44">
        <f t="shared" si="2"/>
        <v>0.03</v>
      </c>
      <c r="E48" s="44">
        <f>ROUND((64.73*0.45),2)</f>
        <v>29.13</v>
      </c>
      <c r="I48" s="318"/>
      <c r="J48" s="377"/>
    </row>
    <row r="49" spans="1:10" ht="30" customHeight="1" x14ac:dyDescent="0.25">
      <c r="A49" s="4">
        <v>2312</v>
      </c>
      <c r="B49" s="173" t="s">
        <v>13</v>
      </c>
      <c r="C49" s="31" t="s">
        <v>276</v>
      </c>
      <c r="D49" s="44">
        <f t="shared" si="2"/>
        <v>0.01</v>
      </c>
      <c r="E49" s="44">
        <f>ROUND((27.01*0.45),2)</f>
        <v>12.15</v>
      </c>
      <c r="I49" s="318"/>
      <c r="J49" s="377"/>
    </row>
    <row r="50" spans="1:10" ht="47.25" x14ac:dyDescent="0.25">
      <c r="A50" s="4">
        <v>2350</v>
      </c>
      <c r="B50" s="118" t="s">
        <v>213</v>
      </c>
      <c r="C50" s="31" t="s">
        <v>277</v>
      </c>
      <c r="D50" s="44">
        <f t="shared" si="2"/>
        <v>0.05</v>
      </c>
      <c r="E50" s="108">
        <f>ROUND((92.79*0.45),2)</f>
        <v>41.76</v>
      </c>
      <c r="I50" s="318"/>
      <c r="J50" s="377"/>
    </row>
    <row r="51" spans="1:10" ht="30.75" customHeight="1" x14ac:dyDescent="0.25">
      <c r="A51" s="4">
        <v>2513</v>
      </c>
      <c r="B51" s="118" t="s">
        <v>57</v>
      </c>
      <c r="C51" s="31" t="s">
        <v>278</v>
      </c>
      <c r="D51" s="44">
        <f t="shared" si="2"/>
        <v>0.14000000000000001</v>
      </c>
      <c r="E51" s="44">
        <f>ROUND((271.68*0.45),2)</f>
        <v>122.26</v>
      </c>
      <c r="I51" s="318"/>
      <c r="J51" s="377"/>
    </row>
    <row r="52" spans="1:10" ht="15.75" x14ac:dyDescent="0.25">
      <c r="A52" s="10">
        <v>5000</v>
      </c>
      <c r="B52" s="9" t="s">
        <v>17</v>
      </c>
      <c r="C52" s="29"/>
      <c r="D52" s="43">
        <f>SUM(D53:D59)</f>
        <v>4.4300000000000006</v>
      </c>
      <c r="E52" s="43">
        <f>SUM(E53:E59)</f>
        <v>3950.1800000000003</v>
      </c>
      <c r="I52" s="318"/>
      <c r="J52" s="377"/>
    </row>
    <row r="53" spans="1:10" ht="32.25" customHeight="1" x14ac:dyDescent="0.25">
      <c r="A53" s="18">
        <v>5212</v>
      </c>
      <c r="B53" s="84" t="s">
        <v>31</v>
      </c>
      <c r="C53" s="31" t="s">
        <v>618</v>
      </c>
      <c r="D53" s="44">
        <f>ROUND((E53/892),2)</f>
        <v>1.65</v>
      </c>
      <c r="E53" s="44">
        <f>ROUND((3278.26*0.45),2)</f>
        <v>1475.22</v>
      </c>
      <c r="I53" s="318"/>
      <c r="J53" s="377"/>
    </row>
    <row r="54" spans="1:10" ht="47.25" x14ac:dyDescent="0.25">
      <c r="A54" s="18">
        <v>5213</v>
      </c>
      <c r="B54" s="84" t="s">
        <v>32</v>
      </c>
      <c r="C54" s="31" t="s">
        <v>619</v>
      </c>
      <c r="D54" s="44">
        <f t="shared" ref="D54:D59" si="3">ROUND((E54/892),2)</f>
        <v>0.32</v>
      </c>
      <c r="E54" s="44">
        <f>ROUND((632.81*0.45),2)</f>
        <v>284.76</v>
      </c>
      <c r="I54" s="318"/>
      <c r="J54" s="377"/>
    </row>
    <row r="55" spans="1:10" ht="30.75" customHeight="1" x14ac:dyDescent="0.25">
      <c r="A55" s="18">
        <v>5218</v>
      </c>
      <c r="B55" s="84" t="s">
        <v>33</v>
      </c>
      <c r="C55" s="31" t="s">
        <v>620</v>
      </c>
      <c r="D55" s="44">
        <f t="shared" si="3"/>
        <v>0.36</v>
      </c>
      <c r="E55" s="44">
        <f>ROUND((706.36*0.45),2)</f>
        <v>317.86</v>
      </c>
      <c r="I55" s="318"/>
      <c r="J55" s="377"/>
    </row>
    <row r="56" spans="1:10" ht="31.5" x14ac:dyDescent="0.25">
      <c r="A56" s="18">
        <v>5219</v>
      </c>
      <c r="B56" s="84" t="s">
        <v>34</v>
      </c>
      <c r="C56" s="31" t="s">
        <v>621</v>
      </c>
      <c r="D56" s="44">
        <f t="shared" si="3"/>
        <v>0.05</v>
      </c>
      <c r="E56" s="44">
        <f>ROUND((106.11*0.45),2)</f>
        <v>47.75</v>
      </c>
      <c r="I56" s="318"/>
      <c r="J56" s="377"/>
    </row>
    <row r="57" spans="1:10" ht="47.25" x14ac:dyDescent="0.25">
      <c r="A57" s="18">
        <v>5239</v>
      </c>
      <c r="B57" s="84" t="s">
        <v>18</v>
      </c>
      <c r="C57" s="31" t="s">
        <v>622</v>
      </c>
      <c r="D57" s="44">
        <f t="shared" si="3"/>
        <v>0.49</v>
      </c>
      <c r="E57" s="44">
        <f>ROUND((968.57*0.45),2)</f>
        <v>435.86</v>
      </c>
      <c r="I57" s="318"/>
      <c r="J57" s="377"/>
    </row>
    <row r="58" spans="1:10" ht="47.25" x14ac:dyDescent="0.25">
      <c r="A58" s="332">
        <v>5240</v>
      </c>
      <c r="B58" s="84" t="s">
        <v>270</v>
      </c>
      <c r="C58" s="114" t="s">
        <v>623</v>
      </c>
      <c r="D58" s="44">
        <f t="shared" si="3"/>
        <v>1.2</v>
      </c>
      <c r="E58" s="44">
        <f>ROUND((2374.69*0.45),2)</f>
        <v>1068.6099999999999</v>
      </c>
      <c r="I58" s="318"/>
      <c r="J58" s="377"/>
    </row>
    <row r="59" spans="1:10" ht="47.25" x14ac:dyDescent="0.25">
      <c r="A59" s="332">
        <v>5250</v>
      </c>
      <c r="B59" s="84" t="s">
        <v>624</v>
      </c>
      <c r="C59" s="114" t="s">
        <v>625</v>
      </c>
      <c r="D59" s="44">
        <f t="shared" si="3"/>
        <v>0.36</v>
      </c>
      <c r="E59" s="44">
        <f>ROUND((711.38*0.45),2)</f>
        <v>320.12</v>
      </c>
      <c r="I59" s="318"/>
      <c r="J59" s="377"/>
    </row>
    <row r="60" spans="1:10" ht="15.75" x14ac:dyDescent="0.25">
      <c r="A60" s="161"/>
      <c r="B60" s="9" t="s">
        <v>23</v>
      </c>
      <c r="C60" s="29"/>
      <c r="D60" s="43">
        <f>SUM(D27+D40+D52)</f>
        <v>20.5</v>
      </c>
      <c r="E60" s="43">
        <f>SUM(E27+E40+E52)</f>
        <v>18284.79</v>
      </c>
      <c r="J60" s="377"/>
    </row>
    <row r="61" spans="1:10" ht="31.5" x14ac:dyDescent="0.25">
      <c r="A61" s="162"/>
      <c r="B61" s="11" t="s">
        <v>28</v>
      </c>
      <c r="C61" s="29"/>
      <c r="D61" s="87">
        <f>D25+D60</f>
        <v>28.240000000000002</v>
      </c>
      <c r="E61" s="87">
        <f>E25+E60</f>
        <v>25186.410454000001</v>
      </c>
      <c r="J61" s="377"/>
    </row>
    <row r="62" spans="1:10" ht="15.75" x14ac:dyDescent="0.25">
      <c r="A62" s="162"/>
      <c r="B62" s="13" t="s">
        <v>29</v>
      </c>
      <c r="C62" s="29"/>
      <c r="D62" s="87">
        <f>D61*0.21</f>
        <v>5.9304000000000006</v>
      </c>
      <c r="E62" s="87">
        <f>E61*0.21</f>
        <v>5289.1461953400003</v>
      </c>
      <c r="J62" s="377"/>
    </row>
    <row r="63" spans="1:10" ht="31.5" x14ac:dyDescent="0.25">
      <c r="A63" s="6"/>
      <c r="B63" s="169" t="s">
        <v>30</v>
      </c>
      <c r="C63" s="170"/>
      <c r="D63" s="176">
        <f>D61*1.21</f>
        <v>34.170400000000001</v>
      </c>
      <c r="E63" s="176">
        <f>E61*1.21-31</f>
        <v>30444.55664934</v>
      </c>
      <c r="J63" s="377"/>
    </row>
    <row r="64" spans="1:10" ht="15.75" x14ac:dyDescent="0.25">
      <c r="A64" s="406" t="s">
        <v>63</v>
      </c>
      <c r="B64" s="406"/>
      <c r="C64" s="406"/>
      <c r="D64" s="8">
        <v>891</v>
      </c>
      <c r="E64" s="8" t="s">
        <v>186</v>
      </c>
    </row>
    <row r="65" spans="1:7" ht="30" customHeight="1" x14ac:dyDescent="0.25">
      <c r="A65" s="397" t="s">
        <v>59</v>
      </c>
      <c r="B65" s="397"/>
      <c r="C65" s="397"/>
      <c r="D65" s="350">
        <f>E63/D64</f>
        <v>34.168974915084178</v>
      </c>
      <c r="E65" s="8" t="s">
        <v>225</v>
      </c>
    </row>
    <row r="66" spans="1:7" ht="15.75" x14ac:dyDescent="0.25">
      <c r="A66" s="1"/>
      <c r="B66" s="1"/>
      <c r="C66" s="1"/>
    </row>
    <row r="67" spans="1:7" ht="15.75" x14ac:dyDescent="0.25">
      <c r="A67" s="1"/>
      <c r="B67" s="1"/>
      <c r="C67" s="1"/>
    </row>
    <row r="68" spans="1:7" ht="15.75" x14ac:dyDescent="0.25">
      <c r="A68" s="1"/>
      <c r="B68" s="1"/>
      <c r="C68" s="1"/>
      <c r="G68" s="319"/>
    </row>
    <row r="69" spans="1:7" ht="15.75" x14ac:dyDescent="0.25">
      <c r="A69" s="1"/>
      <c r="B69" s="1"/>
      <c r="C69" s="1"/>
    </row>
  </sheetData>
  <mergeCells count="9">
    <mergeCell ref="A65:C65"/>
    <mergeCell ref="A7:C7"/>
    <mergeCell ref="B30:B38"/>
    <mergeCell ref="A30:A38"/>
    <mergeCell ref="A3:C3"/>
    <mergeCell ref="A5:C5"/>
    <mergeCell ref="A8:B8"/>
    <mergeCell ref="A6:C6"/>
    <mergeCell ref="A64:C64"/>
  </mergeCells>
  <pageMargins left="0.7" right="0.7" top="0.75" bottom="0.75" header="0.3" footer="0.3"/>
  <pageSetup paperSize="9" orientation="landscape" r:id="rId1"/>
  <rowBreaks count="2" manualBreakCount="2">
    <brk id="25" max="16383" man="1"/>
    <brk id="39" max="16383" man="1"/>
  </rowBreaks>
  <ignoredErrors>
    <ignoredError sqref="D40:E40 D20 D30"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C0677-BDAA-4AF2-8328-CB33FAC13DC6}">
  <dimension ref="A1:J72"/>
  <sheetViews>
    <sheetView topLeftCell="A52" zoomScaleNormal="100" workbookViewId="0">
      <selection activeCell="D62" sqref="D62"/>
    </sheetView>
  </sheetViews>
  <sheetFormatPr defaultRowHeight="15" x14ac:dyDescent="0.25"/>
  <cols>
    <col min="1" max="1" width="11.85546875" customWidth="1"/>
    <col min="2" max="2" width="27.42578125" customWidth="1"/>
    <col min="3" max="3" width="65.85546875" customWidth="1"/>
    <col min="4" max="4" width="9.140625" customWidth="1"/>
    <col min="5" max="5" width="16.85546875" customWidth="1"/>
    <col min="6" max="6" width="7.42578125" style="50" bestFit="1" customWidth="1"/>
    <col min="7" max="7" width="10.28515625" style="50" customWidth="1"/>
    <col min="8" max="8" width="10.5703125" style="50" customWidth="1"/>
    <col min="9" max="9" width="8.85546875" bestFit="1" customWidth="1"/>
  </cols>
  <sheetData>
    <row r="1" spans="1:9" ht="18.75" x14ac:dyDescent="0.3">
      <c r="A1" s="404" t="s">
        <v>168</v>
      </c>
      <c r="B1" s="404"/>
      <c r="C1" s="404"/>
    </row>
    <row r="2" spans="1:9" ht="18.75" x14ac:dyDescent="0.3">
      <c r="A2" s="404" t="s">
        <v>4</v>
      </c>
      <c r="B2" s="404"/>
      <c r="C2" s="404"/>
    </row>
    <row r="3" spans="1:9" ht="18.75" x14ac:dyDescent="0.25">
      <c r="A3" s="398" t="s">
        <v>25</v>
      </c>
      <c r="B3" s="398"/>
      <c r="C3" s="398"/>
    </row>
    <row r="4" spans="1:9" ht="15.75" x14ac:dyDescent="0.25">
      <c r="A4" s="405" t="s">
        <v>64</v>
      </c>
      <c r="B4" s="405"/>
    </row>
    <row r="6" spans="1:9" ht="77.25" customHeight="1" x14ac:dyDescent="0.25">
      <c r="A6" s="139" t="s">
        <v>0</v>
      </c>
      <c r="B6" s="139" t="s">
        <v>1</v>
      </c>
      <c r="C6" s="35" t="s">
        <v>2</v>
      </c>
      <c r="D6" s="152" t="s">
        <v>26</v>
      </c>
      <c r="E6" s="12" t="s">
        <v>27</v>
      </c>
    </row>
    <row r="7" spans="1:9" ht="15.75" x14ac:dyDescent="0.25">
      <c r="A7" s="17">
        <v>1</v>
      </c>
      <c r="B7" s="17">
        <v>2</v>
      </c>
      <c r="C7" s="33">
        <v>3</v>
      </c>
      <c r="D7" s="27">
        <v>4</v>
      </c>
      <c r="E7" s="27">
        <v>5</v>
      </c>
    </row>
    <row r="8" spans="1:9" ht="15.75" x14ac:dyDescent="0.25">
      <c r="A8" s="4"/>
      <c r="B8" s="7" t="s">
        <v>7</v>
      </c>
      <c r="C8" s="33" t="s">
        <v>8</v>
      </c>
      <c r="D8" s="22"/>
      <c r="E8" s="22"/>
    </row>
    <row r="9" spans="1:9" ht="15.75" x14ac:dyDescent="0.25">
      <c r="A9" s="8">
        <v>1000</v>
      </c>
      <c r="B9" s="7" t="s">
        <v>9</v>
      </c>
      <c r="C9" s="33"/>
      <c r="D9" s="43">
        <f>D10+D16</f>
        <v>5.9399999999999995</v>
      </c>
      <c r="E9" s="43">
        <f>E10+E16</f>
        <v>909.27</v>
      </c>
    </row>
    <row r="10" spans="1:9" ht="15.75" x14ac:dyDescent="0.25">
      <c r="A10" s="265">
        <v>1100</v>
      </c>
      <c r="B10" s="265" t="s">
        <v>10</v>
      </c>
      <c r="D10" s="43">
        <f>SUM(D11+D15)</f>
        <v>4.6399999999999997</v>
      </c>
      <c r="E10" s="43">
        <f>SUM(E11+E15)</f>
        <v>709.61</v>
      </c>
    </row>
    <row r="11" spans="1:9" ht="15.75" x14ac:dyDescent="0.25">
      <c r="A11" s="16">
        <v>1110</v>
      </c>
      <c r="B11" s="16" t="s">
        <v>217</v>
      </c>
      <c r="C11" s="137" t="s">
        <v>218</v>
      </c>
      <c r="D11" s="108">
        <f>SUM(D12:D14)</f>
        <v>4.22</v>
      </c>
      <c r="E11" s="108">
        <f>SUM(E12:E14)</f>
        <v>645.1</v>
      </c>
    </row>
    <row r="12" spans="1:9" s="15" customFormat="1" ht="94.5" x14ac:dyDescent="0.25">
      <c r="A12" s="126"/>
      <c r="B12" s="129"/>
      <c r="C12" s="142" t="s">
        <v>792</v>
      </c>
      <c r="D12" s="44">
        <f>ROUND((E12/153),2)</f>
        <v>0.2</v>
      </c>
      <c r="E12" s="44">
        <f>ROUND((32.8*12*0.077),2)</f>
        <v>30.31</v>
      </c>
      <c r="F12" s="298"/>
      <c r="G12" s="298"/>
      <c r="H12" s="298"/>
      <c r="I12" s="240"/>
    </row>
    <row r="13" spans="1:9" s="15" customFormat="1" ht="78.75" customHeight="1" x14ac:dyDescent="0.25">
      <c r="A13" s="127"/>
      <c r="B13" s="130"/>
      <c r="C13" s="166" t="s">
        <v>793</v>
      </c>
      <c r="D13" s="44">
        <f t="shared" ref="D13" si="0">ROUND((E13/153),2)</f>
        <v>0.26</v>
      </c>
      <c r="E13" s="44">
        <f>ROUND((43.36*12*0.077),2)</f>
        <v>40.06</v>
      </c>
      <c r="F13" s="298"/>
      <c r="G13" s="298"/>
      <c r="H13" s="248"/>
      <c r="I13" s="240"/>
    </row>
    <row r="14" spans="1:9" s="15" customFormat="1" ht="94.5" x14ac:dyDescent="0.25">
      <c r="A14" s="128"/>
      <c r="B14" s="131"/>
      <c r="C14" s="142" t="s">
        <v>794</v>
      </c>
      <c r="D14" s="44">
        <f>ROUND((E14/153),2)</f>
        <v>3.76</v>
      </c>
      <c r="E14" s="44">
        <f>ROUND((622*12*0.077),2)</f>
        <v>574.73</v>
      </c>
      <c r="F14" s="299"/>
      <c r="G14" s="299"/>
      <c r="H14" s="298"/>
      <c r="I14" s="248"/>
    </row>
    <row r="15" spans="1:9" s="15" customFormat="1" ht="63" x14ac:dyDescent="0.25">
      <c r="A15" s="122">
        <v>1140</v>
      </c>
      <c r="B15" s="5" t="s">
        <v>214</v>
      </c>
      <c r="C15" s="142" t="s">
        <v>795</v>
      </c>
      <c r="D15" s="108">
        <f t="shared" ref="D15:D18" si="1">ROUND((E15/153),2)</f>
        <v>0.42</v>
      </c>
      <c r="E15" s="108">
        <f>30.31*0.1+40.06*0.1+574.73*0.1</f>
        <v>64.510000000000005</v>
      </c>
      <c r="F15" s="299"/>
      <c r="G15" s="299"/>
      <c r="H15" s="298"/>
      <c r="I15" s="248"/>
    </row>
    <row r="16" spans="1:9" s="15" customFormat="1" ht="63" x14ac:dyDescent="0.25">
      <c r="A16" s="7">
        <v>1200</v>
      </c>
      <c r="B16" s="156" t="s">
        <v>11</v>
      </c>
      <c r="C16" s="166" t="s">
        <v>798</v>
      </c>
      <c r="D16" s="86">
        <f t="shared" si="1"/>
        <v>1.3</v>
      </c>
      <c r="E16" s="86">
        <f>SUM(E17+E18)</f>
        <v>199.66</v>
      </c>
      <c r="F16" s="299"/>
      <c r="G16" s="299"/>
      <c r="H16" s="298"/>
      <c r="I16" s="248"/>
    </row>
    <row r="17" spans="1:10" s="15" customFormat="1" ht="47.25" x14ac:dyDescent="0.25">
      <c r="A17" s="4">
        <v>1210</v>
      </c>
      <c r="B17" s="5" t="s">
        <v>216</v>
      </c>
      <c r="C17" s="166" t="s">
        <v>796</v>
      </c>
      <c r="D17" s="108">
        <f t="shared" si="1"/>
        <v>1.0900000000000001</v>
      </c>
      <c r="E17" s="44">
        <f>ROUND((709.61*0.2359),2)</f>
        <v>167.4</v>
      </c>
      <c r="F17" s="299"/>
      <c r="G17" s="299"/>
      <c r="H17" s="298"/>
      <c r="I17" s="248"/>
    </row>
    <row r="18" spans="1:10" ht="63" x14ac:dyDescent="0.25">
      <c r="A18" s="4">
        <v>1227</v>
      </c>
      <c r="B18" s="5" t="s">
        <v>215</v>
      </c>
      <c r="C18" s="166" t="s">
        <v>797</v>
      </c>
      <c r="D18" s="108">
        <f t="shared" si="1"/>
        <v>0.21</v>
      </c>
      <c r="E18" s="44">
        <f>ROUND((30.31*0.05)+(40.06*0.05)+(574.73*0.05),2)</f>
        <v>32.26</v>
      </c>
    </row>
    <row r="19" spans="1:10" ht="15.75" x14ac:dyDescent="0.25">
      <c r="A19" s="8">
        <v>2000</v>
      </c>
      <c r="B19" s="7" t="s">
        <v>12</v>
      </c>
      <c r="C19" s="33"/>
      <c r="D19" s="43">
        <f>D20</f>
        <v>2.71</v>
      </c>
      <c r="E19" s="43">
        <f>E20</f>
        <v>414.63</v>
      </c>
    </row>
    <row r="20" spans="1:10" ht="47.25" customHeight="1" x14ac:dyDescent="0.25">
      <c r="A20" s="4">
        <v>2222</v>
      </c>
      <c r="B20" s="118" t="s">
        <v>55</v>
      </c>
      <c r="C20" s="166" t="s">
        <v>1488</v>
      </c>
      <c r="D20" s="44">
        <f>ROUND(E20/153,2)</f>
        <v>2.71</v>
      </c>
      <c r="E20" s="44">
        <f>ROUND(2.71*153,2)</f>
        <v>414.63</v>
      </c>
    </row>
    <row r="21" spans="1:10" ht="15.75" x14ac:dyDescent="0.25">
      <c r="A21" s="4"/>
      <c r="B21" s="9" t="s">
        <v>14</v>
      </c>
      <c r="C21" s="34" t="s">
        <v>16</v>
      </c>
      <c r="D21" s="43">
        <f>SUM(D9+D19)</f>
        <v>8.6499999999999986</v>
      </c>
      <c r="E21" s="43">
        <f>SUM(E9+E19)</f>
        <v>1323.9</v>
      </c>
    </row>
    <row r="22" spans="1:10" ht="15.75" x14ac:dyDescent="0.25">
      <c r="A22" s="4"/>
      <c r="B22" s="9" t="s">
        <v>15</v>
      </c>
      <c r="C22" s="33" t="s">
        <v>8</v>
      </c>
      <c r="D22" s="42"/>
      <c r="E22" s="42"/>
    </row>
    <row r="23" spans="1:10" ht="15.75" x14ac:dyDescent="0.25">
      <c r="A23" s="8">
        <v>1000</v>
      </c>
      <c r="B23" s="7" t="s">
        <v>9</v>
      </c>
      <c r="C23" s="33"/>
      <c r="D23" s="43">
        <f>SUM(D24+D35)</f>
        <v>3.6500000000000004</v>
      </c>
      <c r="E23" s="43">
        <f>SUM(E24+E35)</f>
        <v>558.38</v>
      </c>
    </row>
    <row r="24" spans="1:10" ht="15.75" x14ac:dyDescent="0.25">
      <c r="A24" s="4">
        <v>1100</v>
      </c>
      <c r="B24" s="4" t="s">
        <v>10</v>
      </c>
      <c r="C24" s="137" t="s">
        <v>220</v>
      </c>
      <c r="D24" s="43">
        <f>SUM(D25:D34)</f>
        <v>2.95</v>
      </c>
      <c r="E24" s="43">
        <f>SUM(E25:E34)</f>
        <v>451.79999999999995</v>
      </c>
    </row>
    <row r="25" spans="1:10" ht="94.5" x14ac:dyDescent="0.25">
      <c r="A25" s="216"/>
      <c r="B25" s="217"/>
      <c r="C25" s="113" t="s">
        <v>799</v>
      </c>
      <c r="D25" s="44">
        <f t="shared" ref="D25:D35" si="2">ROUND((E25/153),2)</f>
        <v>0.02</v>
      </c>
      <c r="E25" s="44">
        <f>ROUND((3.79*12*0.077),2)</f>
        <v>3.5</v>
      </c>
      <c r="G25" s="39"/>
      <c r="J25" s="82"/>
    </row>
    <row r="26" spans="1:10" ht="80.25" customHeight="1" x14ac:dyDescent="0.25">
      <c r="A26" s="401"/>
      <c r="B26" s="399"/>
      <c r="C26" s="113" t="s">
        <v>800</v>
      </c>
      <c r="D26" s="44">
        <f t="shared" si="2"/>
        <v>0.02</v>
      </c>
      <c r="E26" s="44">
        <f>ROUND((2.52*12*0.077),2)</f>
        <v>2.33</v>
      </c>
      <c r="G26" s="39"/>
      <c r="J26" s="82"/>
    </row>
    <row r="27" spans="1:10" ht="78.75" customHeight="1" x14ac:dyDescent="0.25">
      <c r="A27" s="401"/>
      <c r="B27" s="399"/>
      <c r="C27" s="113" t="s">
        <v>801</v>
      </c>
      <c r="D27" s="44">
        <f t="shared" si="2"/>
        <v>0.02</v>
      </c>
      <c r="E27" s="44">
        <f>ROUND((3.79*12*0.077),2)</f>
        <v>3.5</v>
      </c>
      <c r="G27" s="39"/>
      <c r="H27" s="39"/>
      <c r="J27" s="82"/>
    </row>
    <row r="28" spans="1:10" ht="78.75" customHeight="1" x14ac:dyDescent="0.25">
      <c r="A28" s="401"/>
      <c r="B28" s="399"/>
      <c r="C28" s="113" t="s">
        <v>802</v>
      </c>
      <c r="D28" s="44">
        <f t="shared" si="2"/>
        <v>0.03</v>
      </c>
      <c r="E28" s="44">
        <f>ROUND((5*12*0.077),2)</f>
        <v>4.62</v>
      </c>
      <c r="J28" s="82"/>
    </row>
    <row r="29" spans="1:10" ht="94.5" x14ac:dyDescent="0.25">
      <c r="A29" s="401"/>
      <c r="B29" s="399"/>
      <c r="C29" s="36" t="s">
        <v>804</v>
      </c>
      <c r="D29" s="44">
        <f t="shared" si="2"/>
        <v>0.02</v>
      </c>
      <c r="E29" s="44">
        <f>ROUND((2.68*12*0.077),2)</f>
        <v>2.48</v>
      </c>
      <c r="G29" s="39"/>
      <c r="H29" s="39"/>
      <c r="J29" s="82"/>
    </row>
    <row r="30" spans="1:10" ht="78" customHeight="1" x14ac:dyDescent="0.25">
      <c r="A30" s="401"/>
      <c r="B30" s="399"/>
      <c r="C30" s="36" t="s">
        <v>805</v>
      </c>
      <c r="D30" s="44">
        <f t="shared" si="2"/>
        <v>0.46</v>
      </c>
      <c r="E30" s="44">
        <f>ROUND((76.43*12*0.077),2)</f>
        <v>70.62</v>
      </c>
      <c r="G30" s="39"/>
      <c r="H30" s="39"/>
      <c r="I30" s="50"/>
      <c r="J30" s="82"/>
    </row>
    <row r="31" spans="1:10" ht="79.5" customHeight="1" x14ac:dyDescent="0.25">
      <c r="A31" s="401"/>
      <c r="B31" s="399"/>
      <c r="C31" s="142" t="s">
        <v>806</v>
      </c>
      <c r="D31" s="44">
        <f t="shared" si="2"/>
        <v>0.86</v>
      </c>
      <c r="E31" s="44">
        <f>ROUND((142.24*12*0.077),2)</f>
        <v>131.43</v>
      </c>
      <c r="H31" s="39"/>
      <c r="J31" s="82"/>
    </row>
    <row r="32" spans="1:10" ht="79.5" customHeight="1" x14ac:dyDescent="0.25">
      <c r="A32" s="401"/>
      <c r="B32" s="399"/>
      <c r="C32" s="142" t="s">
        <v>807</v>
      </c>
      <c r="D32" s="44">
        <f t="shared" si="2"/>
        <v>1.29</v>
      </c>
      <c r="E32" s="44">
        <f>ROUND((214.3*12*0.077),2)</f>
        <v>198.01</v>
      </c>
      <c r="G32" s="39"/>
      <c r="H32" s="39"/>
      <c r="J32" s="82"/>
    </row>
    <row r="33" spans="1:10" ht="93.75" customHeight="1" x14ac:dyDescent="0.25">
      <c r="A33" s="401"/>
      <c r="B33" s="399"/>
      <c r="C33" s="142" t="s">
        <v>808</v>
      </c>
      <c r="D33" s="44">
        <f t="shared" si="2"/>
        <v>0.18</v>
      </c>
      <c r="E33" s="44">
        <f>ROUND((30.61*12*0.077),2)</f>
        <v>28.28</v>
      </c>
      <c r="F33" s="39"/>
      <c r="J33" s="82"/>
    </row>
    <row r="34" spans="1:10" ht="79.5" customHeight="1" x14ac:dyDescent="0.25">
      <c r="A34" s="402"/>
      <c r="B34" s="400"/>
      <c r="C34" s="142" t="s">
        <v>809</v>
      </c>
      <c r="D34" s="44">
        <f t="shared" si="2"/>
        <v>0.05</v>
      </c>
      <c r="E34" s="44">
        <f>ROUND((7.61*12*0.077),2)</f>
        <v>7.03</v>
      </c>
      <c r="J34" s="82"/>
    </row>
    <row r="35" spans="1:10" ht="63" x14ac:dyDescent="0.25">
      <c r="A35" s="7">
        <v>1200</v>
      </c>
      <c r="B35" s="156" t="s">
        <v>11</v>
      </c>
      <c r="C35" s="37" t="s">
        <v>810</v>
      </c>
      <c r="D35" s="86">
        <f t="shared" si="2"/>
        <v>0.7</v>
      </c>
      <c r="E35" s="86">
        <f>ROUND((451.8*0.2359),2)</f>
        <v>106.58</v>
      </c>
      <c r="J35" s="82"/>
    </row>
    <row r="36" spans="1:10" ht="15.75" x14ac:dyDescent="0.25">
      <c r="A36" s="8">
        <v>2000</v>
      </c>
      <c r="B36" s="7" t="s">
        <v>12</v>
      </c>
      <c r="C36" s="33"/>
      <c r="D36" s="43">
        <f>SUM(D37:D47)</f>
        <v>12.37</v>
      </c>
      <c r="E36" s="43">
        <f>SUM(E37:E47)</f>
        <v>1894.41</v>
      </c>
      <c r="J36" s="82"/>
    </row>
    <row r="37" spans="1:10" ht="30.95" customHeight="1" x14ac:dyDescent="0.25">
      <c r="A37" s="4">
        <v>2221</v>
      </c>
      <c r="B37" s="118" t="s">
        <v>54</v>
      </c>
      <c r="C37" s="166" t="s">
        <v>279</v>
      </c>
      <c r="D37" s="44">
        <f>ROUND((E37/D60),2)</f>
        <v>3.94</v>
      </c>
      <c r="E37" s="44">
        <f>ROUND((7834.49*0.077),2)</f>
        <v>603.26</v>
      </c>
      <c r="J37" s="82"/>
    </row>
    <row r="38" spans="1:10" ht="32.1" customHeight="1" x14ac:dyDescent="0.25">
      <c r="A38" s="4">
        <v>2223</v>
      </c>
      <c r="B38" s="173" t="s">
        <v>19</v>
      </c>
      <c r="C38" s="166" t="s">
        <v>280</v>
      </c>
      <c r="D38" s="44">
        <f>ROUND((E38/D60),2)</f>
        <v>3.58</v>
      </c>
      <c r="E38" s="44">
        <f>ROUND((7114.6*0.077),2)</f>
        <v>547.82000000000005</v>
      </c>
      <c r="J38" s="82"/>
    </row>
    <row r="39" spans="1:10" ht="78.75" customHeight="1" x14ac:dyDescent="0.25">
      <c r="A39" s="4">
        <v>2224</v>
      </c>
      <c r="B39" s="118" t="s">
        <v>56</v>
      </c>
      <c r="C39" s="114" t="s">
        <v>281</v>
      </c>
      <c r="D39" s="44">
        <f>ROUND((E39/D60),2)</f>
        <v>0.2</v>
      </c>
      <c r="E39" s="44">
        <f>ROUND((397.19*0.077),2)</f>
        <v>30.58</v>
      </c>
      <c r="J39" s="82"/>
    </row>
    <row r="40" spans="1:10" ht="53.25" customHeight="1" x14ac:dyDescent="0.25">
      <c r="A40" s="18">
        <v>2232</v>
      </c>
      <c r="B40" s="84" t="s">
        <v>626</v>
      </c>
      <c r="C40" s="114" t="s">
        <v>629</v>
      </c>
      <c r="D40" s="44">
        <f>ROUND((E40/D60),2)</f>
        <v>0.05</v>
      </c>
      <c r="E40" s="44">
        <f>ROUND((90.09*0.077),2)</f>
        <v>6.94</v>
      </c>
      <c r="J40" s="82"/>
    </row>
    <row r="41" spans="1:10" ht="49.5" customHeight="1" x14ac:dyDescent="0.25">
      <c r="A41" s="18">
        <v>2241</v>
      </c>
      <c r="B41" s="84" t="s">
        <v>58</v>
      </c>
      <c r="C41" s="114" t="s">
        <v>1597</v>
      </c>
      <c r="D41" s="44">
        <f>ROUND((E41/D60),2)</f>
        <v>0.17</v>
      </c>
      <c r="E41" s="44">
        <f>ROUND((329.19*0.077),2)</f>
        <v>25.35</v>
      </c>
      <c r="J41" s="82"/>
    </row>
    <row r="42" spans="1:10" ht="63" x14ac:dyDescent="0.25">
      <c r="A42" s="4">
        <v>2243</v>
      </c>
      <c r="B42" s="118" t="s">
        <v>21</v>
      </c>
      <c r="C42" s="38" t="s">
        <v>282</v>
      </c>
      <c r="D42" s="44">
        <f>ROUND((E42/D60),2)</f>
        <v>0.75</v>
      </c>
      <c r="E42" s="44">
        <f>ROUND((1492.24*0.077),2)</f>
        <v>114.9</v>
      </c>
      <c r="J42" s="82"/>
    </row>
    <row r="43" spans="1:10" ht="47.25" customHeight="1" x14ac:dyDescent="0.25">
      <c r="A43" s="4">
        <v>2244</v>
      </c>
      <c r="B43" s="118" t="s">
        <v>22</v>
      </c>
      <c r="C43" s="37" t="s">
        <v>283</v>
      </c>
      <c r="D43" s="44">
        <f>ROUND((E43/D60-0.01),2)</f>
        <v>3.46</v>
      </c>
      <c r="E43" s="44">
        <f>ROUND((6888.83*0.077),2)</f>
        <v>530.44000000000005</v>
      </c>
      <c r="J43" s="82"/>
    </row>
    <row r="44" spans="1:10" ht="47.25" customHeight="1" x14ac:dyDescent="0.25">
      <c r="A44" s="4">
        <v>2249</v>
      </c>
      <c r="B44" s="118" t="s">
        <v>45</v>
      </c>
      <c r="C44" s="166" t="s">
        <v>630</v>
      </c>
      <c r="D44" s="44">
        <f>ROUND((E44/D60-0.01),2)</f>
        <v>0.02</v>
      </c>
      <c r="E44" s="44">
        <f>ROUND((64.73*0.077),2)</f>
        <v>4.9800000000000004</v>
      </c>
      <c r="J44" s="82"/>
    </row>
    <row r="45" spans="1:10" ht="33.75" customHeight="1" x14ac:dyDescent="0.25">
      <c r="A45" s="4">
        <v>2312</v>
      </c>
      <c r="B45" s="173" t="s">
        <v>13</v>
      </c>
      <c r="C45" s="37" t="s">
        <v>284</v>
      </c>
      <c r="D45" s="44">
        <f>ROUND((E45/D60),2)</f>
        <v>0.01</v>
      </c>
      <c r="E45" s="44">
        <f>ROUND((27.01*0.077),2)</f>
        <v>2.08</v>
      </c>
      <c r="J45" s="82"/>
    </row>
    <row r="46" spans="1:10" ht="47.25" x14ac:dyDescent="0.25">
      <c r="A46" s="4">
        <v>2350</v>
      </c>
      <c r="B46" s="118" t="s">
        <v>213</v>
      </c>
      <c r="C46" s="37" t="s">
        <v>285</v>
      </c>
      <c r="D46" s="44">
        <f>ROUND((E46/D60),2)</f>
        <v>0.05</v>
      </c>
      <c r="E46" s="108">
        <f>ROUND((92.79*0.077),2)</f>
        <v>7.14</v>
      </c>
      <c r="J46" s="82"/>
    </row>
    <row r="47" spans="1:10" ht="31.5" customHeight="1" x14ac:dyDescent="0.25">
      <c r="A47" s="4">
        <v>2513</v>
      </c>
      <c r="B47" s="118" t="s">
        <v>57</v>
      </c>
      <c r="C47" s="37" t="s">
        <v>286</v>
      </c>
      <c r="D47" s="44">
        <f>ROUND((E47/D60),2)</f>
        <v>0.14000000000000001</v>
      </c>
      <c r="E47" s="44">
        <f>ROUND((271.68*0.077),2)</f>
        <v>20.92</v>
      </c>
      <c r="J47" s="82"/>
    </row>
    <row r="48" spans="1:10" ht="15.75" x14ac:dyDescent="0.25">
      <c r="A48" s="8">
        <v>5000</v>
      </c>
      <c r="B48" s="9" t="s">
        <v>17</v>
      </c>
      <c r="C48" s="33"/>
      <c r="D48" s="43">
        <f>SUM(D49:D55)</f>
        <v>4.4300000000000006</v>
      </c>
      <c r="E48" s="43">
        <f>SUM(E49:E55)</f>
        <v>675.93</v>
      </c>
      <c r="J48" s="82"/>
    </row>
    <row r="49" spans="1:10" ht="31.5" x14ac:dyDescent="0.25">
      <c r="A49" s="4">
        <v>5212</v>
      </c>
      <c r="B49" s="118" t="s">
        <v>31</v>
      </c>
      <c r="C49" s="37" t="s">
        <v>631</v>
      </c>
      <c r="D49" s="44">
        <f>ROUND((E49/D60),2)</f>
        <v>1.65</v>
      </c>
      <c r="E49" s="44">
        <f>ROUND((3278.26*0.077),2)</f>
        <v>252.43</v>
      </c>
      <c r="J49" s="82"/>
    </row>
    <row r="50" spans="1:10" ht="31.5" customHeight="1" x14ac:dyDescent="0.25">
      <c r="A50" s="4">
        <v>5213</v>
      </c>
      <c r="B50" s="118" t="s">
        <v>32</v>
      </c>
      <c r="C50" s="37" t="s">
        <v>632</v>
      </c>
      <c r="D50" s="44">
        <f>ROUND((E50/D60),2)</f>
        <v>0.32</v>
      </c>
      <c r="E50" s="44">
        <f>ROUND((632.81*0.077),2)</f>
        <v>48.73</v>
      </c>
      <c r="J50" s="82"/>
    </row>
    <row r="51" spans="1:10" ht="31.5" customHeight="1" x14ac:dyDescent="0.25">
      <c r="A51" s="18">
        <v>5218</v>
      </c>
      <c r="B51" s="84" t="s">
        <v>33</v>
      </c>
      <c r="C51" s="37" t="s">
        <v>633</v>
      </c>
      <c r="D51" s="44">
        <f>ROUND((E51/D60),2)</f>
        <v>0.36</v>
      </c>
      <c r="E51" s="44">
        <f>ROUND((706.36*0.077),2)</f>
        <v>54.39</v>
      </c>
      <c r="J51" s="82"/>
    </row>
    <row r="52" spans="1:10" ht="31.5" customHeight="1" x14ac:dyDescent="0.25">
      <c r="A52" s="18">
        <v>5219</v>
      </c>
      <c r="B52" s="84" t="s">
        <v>34</v>
      </c>
      <c r="C52" s="37" t="s">
        <v>634</v>
      </c>
      <c r="D52" s="44">
        <f>ROUND((E52/D60),2)</f>
        <v>0.05</v>
      </c>
      <c r="E52" s="44">
        <f>ROUND((106.11*0.077),2)</f>
        <v>8.17</v>
      </c>
      <c r="J52" s="82"/>
    </row>
    <row r="53" spans="1:10" ht="47.25" customHeight="1" x14ac:dyDescent="0.25">
      <c r="A53" s="4">
        <v>5239</v>
      </c>
      <c r="B53" s="118" t="s">
        <v>18</v>
      </c>
      <c r="C53" s="38" t="s">
        <v>635</v>
      </c>
      <c r="D53" s="44">
        <f>ROUND((E53/D60),2)</f>
        <v>0.49</v>
      </c>
      <c r="E53" s="44">
        <f>ROUND((968.57*0.077),2)</f>
        <v>74.58</v>
      </c>
      <c r="J53" s="82"/>
    </row>
    <row r="54" spans="1:10" ht="47.25" customHeight="1" x14ac:dyDescent="0.25">
      <c r="A54" s="332">
        <v>5240</v>
      </c>
      <c r="B54" s="84" t="s">
        <v>270</v>
      </c>
      <c r="C54" s="114" t="s">
        <v>636</v>
      </c>
      <c r="D54" s="44">
        <f>ROUND((E54/D60),2)</f>
        <v>1.2</v>
      </c>
      <c r="E54" s="44">
        <f>ROUND((2374.69*0.077),2)</f>
        <v>182.85</v>
      </c>
      <c r="J54" s="82"/>
    </row>
    <row r="55" spans="1:10" ht="47.25" customHeight="1" x14ac:dyDescent="0.25">
      <c r="A55" s="332">
        <v>5250</v>
      </c>
      <c r="B55" s="84" t="s">
        <v>624</v>
      </c>
      <c r="C55" s="114" t="s">
        <v>637</v>
      </c>
      <c r="D55" s="44">
        <f>ROUND((E55/D60),2)</f>
        <v>0.36</v>
      </c>
      <c r="E55" s="44">
        <f>ROUND((711.38*0.077),2)</f>
        <v>54.78</v>
      </c>
      <c r="J55" s="82"/>
    </row>
    <row r="56" spans="1:10" ht="15.75" x14ac:dyDescent="0.25">
      <c r="A56" s="4"/>
      <c r="B56" s="9" t="s">
        <v>23</v>
      </c>
      <c r="C56" s="33"/>
      <c r="D56" s="43">
        <f>SUM(D23+D36+D48)</f>
        <v>20.45</v>
      </c>
      <c r="E56" s="43">
        <f>SUM(E23+E36+E48)</f>
        <v>3128.72</v>
      </c>
      <c r="J56" s="82"/>
    </row>
    <row r="57" spans="1:10" ht="31.5" x14ac:dyDescent="0.25">
      <c r="A57" s="4"/>
      <c r="B57" s="11" t="s">
        <v>28</v>
      </c>
      <c r="C57" s="33"/>
      <c r="D57" s="87">
        <f>D21+D56</f>
        <v>29.099999999999998</v>
      </c>
      <c r="E57" s="87">
        <f>E21+E56</f>
        <v>4452.62</v>
      </c>
      <c r="J57" s="82"/>
    </row>
    <row r="58" spans="1:10" ht="15.75" x14ac:dyDescent="0.25">
      <c r="A58" s="20"/>
      <c r="B58" s="13" t="s">
        <v>29</v>
      </c>
      <c r="C58" s="33"/>
      <c r="D58" s="87">
        <f>D57*0.21</f>
        <v>6.1109999999999998</v>
      </c>
      <c r="E58" s="87">
        <f>E57*0.21</f>
        <v>935.0501999999999</v>
      </c>
      <c r="J58" s="82"/>
    </row>
    <row r="59" spans="1:10" ht="31.5" customHeight="1" x14ac:dyDescent="0.25">
      <c r="A59" s="20"/>
      <c r="B59" s="169" t="s">
        <v>30</v>
      </c>
      <c r="C59" s="170"/>
      <c r="D59" s="176">
        <f>D57*1.21</f>
        <v>35.210999999999999</v>
      </c>
      <c r="E59" s="176">
        <f>E57*1.21-1</f>
        <v>5386.6701999999996</v>
      </c>
      <c r="J59" s="82"/>
    </row>
    <row r="60" spans="1:10" ht="15.75" x14ac:dyDescent="0.25">
      <c r="A60" s="406" t="s">
        <v>35</v>
      </c>
      <c r="B60" s="406"/>
      <c r="C60" s="406"/>
      <c r="D60" s="8">
        <v>153</v>
      </c>
      <c r="E60" s="8" t="s">
        <v>186</v>
      </c>
    </row>
    <row r="61" spans="1:10" ht="32.25" customHeight="1" x14ac:dyDescent="0.25">
      <c r="A61" s="397" t="s">
        <v>59</v>
      </c>
      <c r="B61" s="397"/>
      <c r="C61" s="397"/>
      <c r="D61" s="350">
        <f>E59/D60</f>
        <v>35.206994771241824</v>
      </c>
      <c r="E61" s="8" t="s">
        <v>225</v>
      </c>
      <c r="G61" s="39"/>
    </row>
    <row r="62" spans="1:10" ht="15.75" x14ac:dyDescent="0.25">
      <c r="A62" s="1"/>
      <c r="B62" s="1"/>
      <c r="C62" s="1"/>
    </row>
    <row r="63" spans="1:10" ht="15.75" x14ac:dyDescent="0.25">
      <c r="A63" s="1"/>
      <c r="B63" s="1"/>
      <c r="C63" s="1"/>
      <c r="G63" s="39"/>
    </row>
    <row r="64" spans="1:10" ht="15.75" x14ac:dyDescent="0.25">
      <c r="A64" s="1"/>
      <c r="B64" s="1"/>
      <c r="C64" s="1"/>
    </row>
    <row r="65" spans="1:3" ht="15.75" x14ac:dyDescent="0.25">
      <c r="A65" s="1"/>
      <c r="B65" s="1"/>
      <c r="C65" s="1"/>
    </row>
    <row r="66" spans="1:3" ht="15.75" x14ac:dyDescent="0.25">
      <c r="A66" s="1"/>
      <c r="B66" s="1"/>
      <c r="C66" s="1"/>
    </row>
    <row r="67" spans="1:3" ht="15.75" x14ac:dyDescent="0.25">
      <c r="A67" s="1"/>
      <c r="B67" s="1"/>
      <c r="C67" s="1"/>
    </row>
    <row r="68" spans="1:3" ht="15.75" x14ac:dyDescent="0.25">
      <c r="A68" s="1"/>
      <c r="B68" s="1"/>
      <c r="C68" s="1"/>
    </row>
    <row r="69" spans="1:3" ht="15.75" x14ac:dyDescent="0.25">
      <c r="A69" s="1"/>
      <c r="B69" s="1"/>
      <c r="C69" s="1"/>
    </row>
    <row r="70" spans="1:3" ht="15.75" x14ac:dyDescent="0.25">
      <c r="A70" s="1"/>
      <c r="B70" s="1"/>
      <c r="C70" s="1"/>
    </row>
    <row r="71" spans="1:3" ht="15.75" x14ac:dyDescent="0.25">
      <c r="A71" s="1"/>
      <c r="B71" s="1"/>
      <c r="C71" s="1"/>
    </row>
    <row r="72" spans="1:3" ht="15.75" x14ac:dyDescent="0.25">
      <c r="A72" s="1"/>
      <c r="B72" s="1"/>
      <c r="C72" s="1"/>
    </row>
  </sheetData>
  <mergeCells count="8">
    <mergeCell ref="A60:C60"/>
    <mergeCell ref="A61:C61"/>
    <mergeCell ref="A1:C1"/>
    <mergeCell ref="A4:B4"/>
    <mergeCell ref="A2:C2"/>
    <mergeCell ref="A3:C3"/>
    <mergeCell ref="A26:A34"/>
    <mergeCell ref="B26:B34"/>
  </mergeCells>
  <pageMargins left="0.7" right="0.7" top="0.75" bottom="0.75" header="0.3" footer="0.3"/>
  <pageSetup paperSize="9" scale="98" orientation="landscape" r:id="rId1"/>
  <rowBreaks count="2" manualBreakCount="2">
    <brk id="41" max="16383" man="1"/>
    <brk id="5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A5727C-C38E-4957-B260-D5E3CC1341F3}">
  <dimension ref="A1:K55"/>
  <sheetViews>
    <sheetView topLeftCell="A40" zoomScaleNormal="100" workbookViewId="0">
      <selection activeCell="D53" sqref="D53"/>
    </sheetView>
  </sheetViews>
  <sheetFormatPr defaultRowHeight="15" x14ac:dyDescent="0.25"/>
  <cols>
    <col min="1" max="1" width="12.42578125" customWidth="1"/>
    <col min="2" max="2" width="25.42578125" customWidth="1"/>
    <col min="3" max="3" width="65.28515625" customWidth="1"/>
    <col min="4" max="4" width="10.140625" customWidth="1"/>
    <col min="5" max="5" width="17.85546875" customWidth="1"/>
    <col min="7" max="7" width="11" bestFit="1" customWidth="1"/>
  </cols>
  <sheetData>
    <row r="1" spans="1:8" ht="18.75" x14ac:dyDescent="0.3">
      <c r="A1" s="404" t="s">
        <v>168</v>
      </c>
      <c r="B1" s="404"/>
      <c r="C1" s="404"/>
    </row>
    <row r="2" spans="1:8" ht="18.75" x14ac:dyDescent="0.3">
      <c r="A2" s="404" t="s">
        <v>39</v>
      </c>
      <c r="B2" s="404"/>
      <c r="C2" s="404"/>
    </row>
    <row r="3" spans="1:8" ht="18.75" x14ac:dyDescent="0.25">
      <c r="A3" s="398" t="s">
        <v>40</v>
      </c>
      <c r="B3" s="398"/>
      <c r="C3" s="398"/>
    </row>
    <row r="4" spans="1:8" ht="15.75" x14ac:dyDescent="0.25">
      <c r="A4" s="405" t="s">
        <v>64</v>
      </c>
      <c r="B4" s="405"/>
    </row>
    <row r="6" spans="1:8" ht="78.75" x14ac:dyDescent="0.25">
      <c r="A6" s="139" t="s">
        <v>0</v>
      </c>
      <c r="B6" s="139" t="s">
        <v>1</v>
      </c>
      <c r="C6" s="35" t="s">
        <v>2</v>
      </c>
      <c r="D6" s="152" t="s">
        <v>26</v>
      </c>
      <c r="E6" s="12" t="s">
        <v>27</v>
      </c>
    </row>
    <row r="7" spans="1:8" ht="15.75" x14ac:dyDescent="0.25">
      <c r="A7" s="17">
        <v>1</v>
      </c>
      <c r="B7" s="17">
        <v>2</v>
      </c>
      <c r="C7" s="33">
        <v>3</v>
      </c>
      <c r="D7" s="27">
        <v>4</v>
      </c>
      <c r="E7" s="27">
        <v>5</v>
      </c>
    </row>
    <row r="8" spans="1:8" ht="15.75" x14ac:dyDescent="0.25">
      <c r="A8" s="4"/>
      <c r="B8" s="7" t="s">
        <v>7</v>
      </c>
      <c r="C8" s="33" t="s">
        <v>8</v>
      </c>
      <c r="D8" s="22"/>
      <c r="E8" s="22"/>
    </row>
    <row r="9" spans="1:8" ht="15.75" x14ac:dyDescent="0.25">
      <c r="A9" s="8">
        <v>1000</v>
      </c>
      <c r="B9" s="7" t="s">
        <v>9</v>
      </c>
      <c r="C9" s="33"/>
      <c r="D9" s="253">
        <f>D10+D15</f>
        <v>7.9</v>
      </c>
      <c r="E9" s="253">
        <f>E10+E15</f>
        <v>7222.36</v>
      </c>
    </row>
    <row r="10" spans="1:8" ht="15.75" x14ac:dyDescent="0.25">
      <c r="A10" s="265">
        <v>1100</v>
      </c>
      <c r="B10" s="265" t="s">
        <v>10</v>
      </c>
      <c r="C10" s="249"/>
      <c r="D10" s="253">
        <f>D11+D14</f>
        <v>6.16</v>
      </c>
      <c r="E10" s="253">
        <f>E11+E14</f>
        <v>5636.5099999999993</v>
      </c>
    </row>
    <row r="11" spans="1:8" ht="15.75" x14ac:dyDescent="0.25">
      <c r="A11" s="16">
        <v>1110</v>
      </c>
      <c r="B11" s="16" t="s">
        <v>217</v>
      </c>
      <c r="C11" s="252" t="s">
        <v>221</v>
      </c>
      <c r="D11" s="255">
        <f>D12+D13</f>
        <v>5.6000000000000005</v>
      </c>
      <c r="E11" s="255">
        <f>E12+E13</f>
        <v>5124.0999999999995</v>
      </c>
    </row>
    <row r="12" spans="1:8" ht="94.5" customHeight="1" x14ac:dyDescent="0.25">
      <c r="A12" s="126"/>
      <c r="B12" s="129"/>
      <c r="C12" s="142" t="s">
        <v>811</v>
      </c>
      <c r="D12" s="254">
        <f>ROUND((E12/D51),2)</f>
        <v>0.2</v>
      </c>
      <c r="E12" s="255">
        <f>ROUND((16.89*12*0.91),2)</f>
        <v>184.44</v>
      </c>
    </row>
    <row r="13" spans="1:8" ht="78" customHeight="1" x14ac:dyDescent="0.25">
      <c r="A13" s="128"/>
      <c r="B13" s="250"/>
      <c r="C13" s="142" t="s">
        <v>812</v>
      </c>
      <c r="D13" s="254">
        <f>ROUND((E13/D51),2)</f>
        <v>5.4</v>
      </c>
      <c r="E13" s="255">
        <f>ROUND((452.35*12*0.91),2)</f>
        <v>4939.66</v>
      </c>
      <c r="H13" s="39"/>
    </row>
    <row r="14" spans="1:8" ht="47.25" x14ac:dyDescent="0.25">
      <c r="A14" s="122">
        <v>1140</v>
      </c>
      <c r="B14" s="5" t="s">
        <v>214</v>
      </c>
      <c r="C14" s="142" t="s">
        <v>813</v>
      </c>
      <c r="D14" s="254">
        <f>ROUND((E14/D51),2)</f>
        <v>0.56000000000000005</v>
      </c>
      <c r="E14" s="255">
        <f>184.44*0.1+4939.66*0.1</f>
        <v>512.41</v>
      </c>
    </row>
    <row r="15" spans="1:8" ht="62.25" customHeight="1" x14ac:dyDescent="0.25">
      <c r="A15" s="156">
        <v>1200</v>
      </c>
      <c r="B15" s="156" t="s">
        <v>11</v>
      </c>
      <c r="C15" s="166" t="s">
        <v>1491</v>
      </c>
      <c r="D15" s="256">
        <f>ROUND((E15/D51),2)</f>
        <v>1.74</v>
      </c>
      <c r="E15" s="257">
        <f>E16+E17</f>
        <v>1585.8500000000001</v>
      </c>
    </row>
    <row r="16" spans="1:8" ht="47.25" x14ac:dyDescent="0.25">
      <c r="A16" s="4">
        <v>1210</v>
      </c>
      <c r="B16" s="5" t="s">
        <v>216</v>
      </c>
      <c r="C16" s="166" t="s">
        <v>1489</v>
      </c>
      <c r="D16" s="254">
        <f>ROUND((E16/D51),2)</f>
        <v>1.45</v>
      </c>
      <c r="E16" s="254">
        <f>ROUND((5636.51* 0.2359),2)</f>
        <v>1329.65</v>
      </c>
    </row>
    <row r="17" spans="1:10" ht="63" x14ac:dyDescent="0.25">
      <c r="A17" s="4">
        <v>1227</v>
      </c>
      <c r="B17" s="5" t="s">
        <v>215</v>
      </c>
      <c r="C17" s="166" t="s">
        <v>1490</v>
      </c>
      <c r="D17" s="254">
        <f>ROUND((E17/D51),2)</f>
        <v>0.28000000000000003</v>
      </c>
      <c r="E17" s="254">
        <f>ROUND((184.44*0.05)+(4939.66* 0.05-0.01),2)</f>
        <v>256.2</v>
      </c>
    </row>
    <row r="18" spans="1:10" ht="15.75" x14ac:dyDescent="0.25">
      <c r="A18" s="8">
        <v>2000</v>
      </c>
      <c r="B18" s="7" t="s">
        <v>12</v>
      </c>
      <c r="C18" s="249"/>
      <c r="D18" s="253">
        <f>D19</f>
        <v>3.66</v>
      </c>
      <c r="E18" s="253">
        <f>E19</f>
        <v>3345.24</v>
      </c>
    </row>
    <row r="19" spans="1:10" ht="33" customHeight="1" x14ac:dyDescent="0.25">
      <c r="A19" s="4">
        <v>2222</v>
      </c>
      <c r="B19" s="118" t="s">
        <v>55</v>
      </c>
      <c r="C19" s="166" t="s">
        <v>814</v>
      </c>
      <c r="D19" s="255">
        <f>ROUND((E19/D51),2)</f>
        <v>3.66</v>
      </c>
      <c r="E19" s="258">
        <f>ROUND((3.66*914),2)</f>
        <v>3345.24</v>
      </c>
    </row>
    <row r="20" spans="1:10" ht="15.75" x14ac:dyDescent="0.25">
      <c r="A20" s="4"/>
      <c r="B20" s="9" t="s">
        <v>14</v>
      </c>
      <c r="C20" s="141" t="s">
        <v>16</v>
      </c>
      <c r="D20" s="253">
        <f>SUM(D9+D18)</f>
        <v>11.56</v>
      </c>
      <c r="E20" s="253">
        <f>SUM(E9+E18)</f>
        <v>10567.599999999999</v>
      </c>
    </row>
    <row r="21" spans="1:10" ht="15.75" x14ac:dyDescent="0.25">
      <c r="A21" s="4"/>
      <c r="B21" s="9" t="s">
        <v>15</v>
      </c>
      <c r="C21" s="249" t="s">
        <v>8</v>
      </c>
      <c r="D21" s="258"/>
      <c r="E21" s="258"/>
    </row>
    <row r="22" spans="1:10" ht="15.75" x14ac:dyDescent="0.25">
      <c r="A22" s="8">
        <v>1000</v>
      </c>
      <c r="B22" s="7" t="s">
        <v>9</v>
      </c>
      <c r="C22" s="249"/>
      <c r="D22" s="253">
        <f>SUM(D23+D34)</f>
        <v>4.6100000000000003</v>
      </c>
      <c r="E22" s="253">
        <f>SUM(E23+E34)</f>
        <v>4217.8099999999995</v>
      </c>
    </row>
    <row r="23" spans="1:10" ht="15.75" x14ac:dyDescent="0.25">
      <c r="A23" s="4">
        <v>1100</v>
      </c>
      <c r="B23" s="4" t="s">
        <v>10</v>
      </c>
      <c r="C23" s="263" t="s">
        <v>223</v>
      </c>
      <c r="D23" s="253">
        <f>SUM(D24:D33)</f>
        <v>3.73</v>
      </c>
      <c r="E23" s="253">
        <f>SUM(E24:E33)</f>
        <v>3412.74</v>
      </c>
    </row>
    <row r="24" spans="1:10" ht="94.5" x14ac:dyDescent="0.25">
      <c r="A24" s="259"/>
      <c r="B24" s="260"/>
      <c r="C24" s="142" t="s">
        <v>815</v>
      </c>
      <c r="D24" s="255">
        <f>ROUND((E24/D51-0.01),2)</f>
        <v>0.04</v>
      </c>
      <c r="E24" s="255">
        <f>ROUND((3.79*12*0.91),2)</f>
        <v>41.39</v>
      </c>
      <c r="G24" s="14"/>
      <c r="H24" s="39"/>
      <c r="J24" s="82"/>
    </row>
    <row r="25" spans="1:10" ht="80.25" customHeight="1" x14ac:dyDescent="0.25">
      <c r="A25" s="401"/>
      <c r="B25" s="399"/>
      <c r="C25" s="142" t="s">
        <v>816</v>
      </c>
      <c r="D25" s="255">
        <f>ROUND((E25/D51),2)</f>
        <v>0.03</v>
      </c>
      <c r="E25" s="255">
        <f>ROUND((2.52*12*0.91),2)</f>
        <v>27.52</v>
      </c>
      <c r="G25" s="14"/>
    </row>
    <row r="26" spans="1:10" ht="78.75" x14ac:dyDescent="0.25">
      <c r="A26" s="401"/>
      <c r="B26" s="399"/>
      <c r="C26" s="142" t="s">
        <v>817</v>
      </c>
      <c r="D26" s="255">
        <f>ROUND((E26/D51),2)</f>
        <v>0.05</v>
      </c>
      <c r="E26" s="255">
        <f>ROUND((3.79*12*0.91),2)</f>
        <v>41.39</v>
      </c>
      <c r="G26" s="14"/>
    </row>
    <row r="27" spans="1:10" ht="77.25" customHeight="1" x14ac:dyDescent="0.25">
      <c r="A27" s="401"/>
      <c r="B27" s="399"/>
      <c r="C27" s="142" t="s">
        <v>818</v>
      </c>
      <c r="D27" s="255">
        <f>ROUND((E27/D51),2)</f>
        <v>0.06</v>
      </c>
      <c r="E27" s="255">
        <f>ROUND((5*12*0.91),2)</f>
        <v>54.6</v>
      </c>
      <c r="G27" s="189"/>
    </row>
    <row r="28" spans="1:10" ht="93.75" customHeight="1" x14ac:dyDescent="0.25">
      <c r="A28" s="401"/>
      <c r="B28" s="399"/>
      <c r="C28" s="142" t="s">
        <v>819</v>
      </c>
      <c r="D28" s="255">
        <f>ROUND((E28/D51),2)</f>
        <v>0.03</v>
      </c>
      <c r="E28" s="255">
        <f>ROUND((2.68*12*0.91),2)</f>
        <v>29.27</v>
      </c>
      <c r="G28" s="14"/>
      <c r="H28" s="39"/>
    </row>
    <row r="29" spans="1:10" ht="77.45" customHeight="1" x14ac:dyDescent="0.25">
      <c r="A29" s="401"/>
      <c r="B29" s="399"/>
      <c r="C29" s="142" t="s">
        <v>820</v>
      </c>
      <c r="D29" s="255">
        <f>ROUND((E29/D51),2)</f>
        <v>0.91</v>
      </c>
      <c r="E29" s="255">
        <f>ROUND((76.43*12*0.91),2)</f>
        <v>834.62</v>
      </c>
      <c r="G29" s="14"/>
    </row>
    <row r="30" spans="1:10" ht="78.75" customHeight="1" x14ac:dyDescent="0.25">
      <c r="A30" s="401"/>
      <c r="B30" s="399"/>
      <c r="C30" s="142" t="s">
        <v>821</v>
      </c>
      <c r="D30" s="255">
        <f>ROUND((E30/D51),2)</f>
        <v>0.84</v>
      </c>
      <c r="E30" s="255">
        <f>ROUND((70.27*12*0.91),2)</f>
        <v>767.35</v>
      </c>
      <c r="G30" s="189"/>
    </row>
    <row r="31" spans="1:10" ht="78.599999999999994" customHeight="1" x14ac:dyDescent="0.25">
      <c r="A31" s="401"/>
      <c r="B31" s="399"/>
      <c r="C31" s="142" t="s">
        <v>822</v>
      </c>
      <c r="D31" s="255">
        <f>ROUND((E31/D51),2)</f>
        <v>1.29</v>
      </c>
      <c r="E31" s="255">
        <f>ROUND((107.77*12*0.91),2)</f>
        <v>1176.8499999999999</v>
      </c>
      <c r="G31" s="189"/>
    </row>
    <row r="32" spans="1:10" ht="94.5" x14ac:dyDescent="0.25">
      <c r="A32" s="401"/>
      <c r="B32" s="399"/>
      <c r="C32" s="142" t="s">
        <v>823</v>
      </c>
      <c r="D32" s="255">
        <f>ROUND((E32/D51),2)</f>
        <v>0.38</v>
      </c>
      <c r="E32" s="255">
        <f>ROUND((32.12*12*0.91),2)</f>
        <v>350.75</v>
      </c>
      <c r="G32" s="14"/>
    </row>
    <row r="33" spans="1:11" ht="77.45" customHeight="1" x14ac:dyDescent="0.25">
      <c r="A33" s="402"/>
      <c r="B33" s="400"/>
      <c r="C33" s="142" t="s">
        <v>824</v>
      </c>
      <c r="D33" s="255">
        <f>ROUND((E33/D51),2)</f>
        <v>0.1</v>
      </c>
      <c r="E33" s="255">
        <f>ROUND((8.15*12*0.91),2)</f>
        <v>89</v>
      </c>
      <c r="G33" s="189"/>
    </row>
    <row r="34" spans="1:11" ht="78.75" x14ac:dyDescent="0.25">
      <c r="A34" s="306">
        <v>1200</v>
      </c>
      <c r="B34" s="156" t="s">
        <v>11</v>
      </c>
      <c r="C34" s="166" t="s">
        <v>825</v>
      </c>
      <c r="D34" s="257">
        <f>ROUND((E34/D51),2)</f>
        <v>0.88</v>
      </c>
      <c r="E34" s="257">
        <f>ROUND((3412.74*0.2359),2)</f>
        <v>805.07</v>
      </c>
      <c r="G34" s="189"/>
    </row>
    <row r="35" spans="1:11" ht="15.75" x14ac:dyDescent="0.25">
      <c r="A35" s="8">
        <v>2000</v>
      </c>
      <c r="B35" s="7" t="s">
        <v>12</v>
      </c>
      <c r="C35" s="249"/>
      <c r="D35" s="253">
        <f>SUM(D36:D43)</f>
        <v>16.71</v>
      </c>
      <c r="E35" s="253">
        <f>SUM(E36:E43)</f>
        <v>15270.739999999998</v>
      </c>
      <c r="G35" s="189"/>
      <c r="K35" s="39"/>
    </row>
    <row r="36" spans="1:11" ht="30" customHeight="1" x14ac:dyDescent="0.25">
      <c r="A36" s="4">
        <v>2221</v>
      </c>
      <c r="B36" s="118" t="s">
        <v>54</v>
      </c>
      <c r="C36" s="166" t="s">
        <v>826</v>
      </c>
      <c r="D36" s="255">
        <f>ROUND((E36/D51),2)</f>
        <v>8.77</v>
      </c>
      <c r="E36" s="255">
        <f>ROUND((8809.19*0.91),2)</f>
        <v>8016.36</v>
      </c>
      <c r="G36" s="189"/>
    </row>
    <row r="37" spans="1:11" ht="30.75" customHeight="1" x14ac:dyDescent="0.25">
      <c r="A37" s="4">
        <v>2222</v>
      </c>
      <c r="B37" s="118" t="s">
        <v>55</v>
      </c>
      <c r="C37" s="166" t="s">
        <v>827</v>
      </c>
      <c r="D37" s="255">
        <f>ROUND((E37/D51),2)</f>
        <v>1.36</v>
      </c>
      <c r="E37" s="255">
        <f>ROUND((1364.17*0.91),2)</f>
        <v>1241.3900000000001</v>
      </c>
      <c r="G37" s="189"/>
    </row>
    <row r="38" spans="1:11" ht="31.5" customHeight="1" x14ac:dyDescent="0.25">
      <c r="A38" s="4">
        <v>2223</v>
      </c>
      <c r="B38" s="173" t="s">
        <v>19</v>
      </c>
      <c r="C38" s="166" t="s">
        <v>828</v>
      </c>
      <c r="D38" s="255">
        <f>ROUND((E38/D51),2)</f>
        <v>5.98</v>
      </c>
      <c r="E38" s="255">
        <f>ROUND((6006.23*0.91),2)</f>
        <v>5465.67</v>
      </c>
      <c r="G38" s="189"/>
    </row>
    <row r="39" spans="1:11" ht="94.5" x14ac:dyDescent="0.25">
      <c r="A39" s="4">
        <v>2224</v>
      </c>
      <c r="B39" s="118" t="s">
        <v>56</v>
      </c>
      <c r="C39" s="114" t="s">
        <v>829</v>
      </c>
      <c r="D39" s="255">
        <f>ROUND((E39/D51),2)</f>
        <v>0.42</v>
      </c>
      <c r="E39" s="255">
        <f>ROUND((417.81*0.91),2)</f>
        <v>380.21</v>
      </c>
      <c r="G39" s="189"/>
    </row>
    <row r="40" spans="1:11" ht="63" x14ac:dyDescent="0.25">
      <c r="A40" s="161">
        <v>2243</v>
      </c>
      <c r="B40" s="340" t="s">
        <v>21</v>
      </c>
      <c r="C40" s="114" t="s">
        <v>830</v>
      </c>
      <c r="D40" s="255">
        <f>ROUND((E40/D51),2)</f>
        <v>0</v>
      </c>
      <c r="E40" s="255">
        <f>ROUND((0.88*0.91),2)</f>
        <v>0.8</v>
      </c>
      <c r="G40" s="189"/>
    </row>
    <row r="41" spans="1:11" ht="47.25" x14ac:dyDescent="0.25">
      <c r="A41" s="161">
        <v>2244</v>
      </c>
      <c r="B41" s="340" t="s">
        <v>22</v>
      </c>
      <c r="C41" s="114" t="s">
        <v>831</v>
      </c>
      <c r="D41" s="255">
        <f>ROUND((E41/D51),2)</f>
        <v>0.02</v>
      </c>
      <c r="E41" s="255">
        <f>ROUND((20.61*0.91),2)</f>
        <v>18.760000000000002</v>
      </c>
      <c r="G41" s="189"/>
    </row>
    <row r="42" spans="1:11" ht="31.5" x14ac:dyDescent="0.25">
      <c r="A42" s="161">
        <v>2312</v>
      </c>
      <c r="B42" s="341" t="s">
        <v>13</v>
      </c>
      <c r="C42" s="166" t="s">
        <v>832</v>
      </c>
      <c r="D42" s="255">
        <f>ROUND((E42/D51),2)</f>
        <v>0.15</v>
      </c>
      <c r="E42" s="255">
        <f>ROUND((148.41*0.91),2)</f>
        <v>135.05000000000001</v>
      </c>
      <c r="G42" s="189"/>
    </row>
    <row r="43" spans="1:11" ht="47.25" x14ac:dyDescent="0.25">
      <c r="A43" s="161">
        <v>2350</v>
      </c>
      <c r="B43" s="340" t="s">
        <v>213</v>
      </c>
      <c r="C43" s="166" t="s">
        <v>833</v>
      </c>
      <c r="D43" s="255">
        <f>ROUND((E43/D51),2)</f>
        <v>0.01</v>
      </c>
      <c r="E43" s="255">
        <f>ROUND((13.74*0.91),2)</f>
        <v>12.5</v>
      </c>
      <c r="G43" s="189"/>
    </row>
    <row r="44" spans="1:11" ht="15.75" x14ac:dyDescent="0.25">
      <c r="A44" s="334">
        <v>5000</v>
      </c>
      <c r="B44" s="9" t="s">
        <v>17</v>
      </c>
      <c r="C44" s="166"/>
      <c r="D44" s="257">
        <f>D46+D45</f>
        <v>7.0000000000000007E-2</v>
      </c>
      <c r="E44" s="257">
        <f>E46+E45</f>
        <v>61.75</v>
      </c>
      <c r="G44" s="189"/>
    </row>
    <row r="45" spans="1:11" ht="31.5" x14ac:dyDescent="0.25">
      <c r="A45" s="332">
        <v>5231</v>
      </c>
      <c r="B45" s="339" t="s">
        <v>638</v>
      </c>
      <c r="C45" s="166" t="s">
        <v>834</v>
      </c>
      <c r="D45" s="255">
        <f>ROUND((E45/D51),2)</f>
        <v>0.03</v>
      </c>
      <c r="E45" s="255">
        <f>ROUND((32.64*0.91),2)</f>
        <v>29.7</v>
      </c>
      <c r="G45" s="189"/>
    </row>
    <row r="46" spans="1:11" ht="47.25" x14ac:dyDescent="0.25">
      <c r="A46" s="332">
        <v>5239</v>
      </c>
      <c r="B46" s="118" t="s">
        <v>18</v>
      </c>
      <c r="C46" s="114" t="s">
        <v>835</v>
      </c>
      <c r="D46" s="255">
        <f>ROUND((E46/D51),2)</f>
        <v>0.04</v>
      </c>
      <c r="E46" s="255">
        <f>ROUND((35.22*0.91),2)</f>
        <v>32.049999999999997</v>
      </c>
      <c r="G46" s="189"/>
    </row>
    <row r="47" spans="1:11" ht="15.75" x14ac:dyDescent="0.25">
      <c r="A47" s="161"/>
      <c r="B47" s="9" t="s">
        <v>23</v>
      </c>
      <c r="C47" s="249"/>
      <c r="D47" s="253">
        <f>SUM(D22+D35+D44)</f>
        <v>21.39</v>
      </c>
      <c r="E47" s="253">
        <f>SUM(E22+E35+E44)</f>
        <v>19550.299999999996</v>
      </c>
      <c r="G47" s="189"/>
    </row>
    <row r="48" spans="1:11" ht="31.5" x14ac:dyDescent="0.25">
      <c r="A48" s="162"/>
      <c r="B48" s="11" t="s">
        <v>28</v>
      </c>
      <c r="C48" s="249"/>
      <c r="D48" s="261">
        <f>D20+D47</f>
        <v>32.950000000000003</v>
      </c>
      <c r="E48" s="261">
        <f>E20+E47</f>
        <v>30117.899999999994</v>
      </c>
    </row>
    <row r="49" spans="1:11" ht="15.75" x14ac:dyDescent="0.25">
      <c r="A49" s="162"/>
      <c r="B49" s="13" t="s">
        <v>29</v>
      </c>
      <c r="C49" s="249"/>
      <c r="D49" s="261">
        <f>D48*0.21</f>
        <v>6.9195000000000002</v>
      </c>
      <c r="E49" s="261">
        <f>E48*0.21</f>
        <v>6324.7589999999982</v>
      </c>
    </row>
    <row r="50" spans="1:11" ht="31.5" x14ac:dyDescent="0.25">
      <c r="A50" s="6"/>
      <c r="B50" s="169" t="s">
        <v>30</v>
      </c>
      <c r="C50" s="170"/>
      <c r="D50" s="262">
        <f>D48*1.21</f>
        <v>39.869500000000002</v>
      </c>
      <c r="E50" s="262">
        <f>E48*1.21-1.5</f>
        <v>36441.158999999992</v>
      </c>
      <c r="K50" s="39"/>
    </row>
    <row r="51" spans="1:11" ht="17.100000000000001" customHeight="1" x14ac:dyDescent="0.25">
      <c r="A51" s="406" t="s">
        <v>1492</v>
      </c>
      <c r="B51" s="406"/>
      <c r="C51" s="406"/>
      <c r="D51" s="8">
        <v>914</v>
      </c>
      <c r="E51" s="8" t="s">
        <v>186</v>
      </c>
    </row>
    <row r="52" spans="1:11" ht="31.5" customHeight="1" x14ac:dyDescent="0.25">
      <c r="A52" s="397" t="s">
        <v>59</v>
      </c>
      <c r="B52" s="397"/>
      <c r="C52" s="397"/>
      <c r="D52" s="350">
        <f>E50/D51</f>
        <v>39.86997702407001</v>
      </c>
      <c r="E52" s="8" t="s">
        <v>225</v>
      </c>
      <c r="G52" s="305"/>
    </row>
    <row r="53" spans="1:11" x14ac:dyDescent="0.25">
      <c r="G53" s="305"/>
    </row>
    <row r="54" spans="1:11" x14ac:dyDescent="0.25">
      <c r="E54" s="14"/>
      <c r="G54" s="305"/>
    </row>
    <row r="55" spans="1:11" x14ac:dyDescent="0.25">
      <c r="G55" s="319"/>
    </row>
  </sheetData>
  <mergeCells count="8">
    <mergeCell ref="A51:C51"/>
    <mergeCell ref="A52:C52"/>
    <mergeCell ref="A1:C1"/>
    <mergeCell ref="A4:B4"/>
    <mergeCell ref="A2:C2"/>
    <mergeCell ref="A3:C3"/>
    <mergeCell ref="A25:A33"/>
    <mergeCell ref="B25:B33"/>
  </mergeCells>
  <pageMargins left="0.7" right="0.7" top="0.75" bottom="0.75" header="0.3" footer="0.3"/>
  <pageSetup paperSize="9" orientation="landscape" r:id="rId1"/>
  <rowBreaks count="2" manualBreakCount="2">
    <brk id="24" max="16383" man="1"/>
    <brk id="29" max="16383" man="1"/>
  </rowBreaks>
  <ignoredErrors>
    <ignoredError sqref="D18" formula="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72AC8-DB2C-45D5-9AC2-D3775BA37470}">
  <dimension ref="A1:J55"/>
  <sheetViews>
    <sheetView topLeftCell="A40" zoomScaleNormal="100" workbookViewId="0">
      <selection activeCell="D53" sqref="D53"/>
    </sheetView>
  </sheetViews>
  <sheetFormatPr defaultRowHeight="15" x14ac:dyDescent="0.25"/>
  <cols>
    <col min="1" max="1" width="12.7109375" customWidth="1"/>
    <col min="2" max="2" width="24.42578125" customWidth="1"/>
    <col min="3" max="3" width="67.140625" customWidth="1"/>
    <col min="4" max="4" width="9.42578125" customWidth="1"/>
    <col min="5" max="5" width="17.42578125" customWidth="1"/>
  </cols>
  <sheetData>
    <row r="1" spans="1:8" s="145" customFormat="1" ht="18.75" x14ac:dyDescent="0.3">
      <c r="A1" s="404" t="s">
        <v>168</v>
      </c>
      <c r="B1" s="404"/>
      <c r="C1" s="404"/>
    </row>
    <row r="2" spans="1:8" ht="18.75" x14ac:dyDescent="0.3">
      <c r="A2" s="404" t="s">
        <v>39</v>
      </c>
      <c r="B2" s="404"/>
      <c r="C2" s="404"/>
    </row>
    <row r="3" spans="1:8" ht="18.75" x14ac:dyDescent="0.25">
      <c r="A3" s="398" t="s">
        <v>266</v>
      </c>
      <c r="B3" s="398"/>
      <c r="C3" s="398"/>
    </row>
    <row r="4" spans="1:8" ht="15.75" x14ac:dyDescent="0.25">
      <c r="A4" s="405" t="s">
        <v>64</v>
      </c>
      <c r="B4" s="405"/>
    </row>
    <row r="6" spans="1:8" ht="77.25" customHeight="1" x14ac:dyDescent="0.25">
      <c r="A6" s="139" t="s">
        <v>0</v>
      </c>
      <c r="B6" s="139" t="s">
        <v>1</v>
      </c>
      <c r="C6" s="139" t="s">
        <v>2</v>
      </c>
      <c r="D6" s="152" t="s">
        <v>26</v>
      </c>
      <c r="E6" s="152" t="s">
        <v>27</v>
      </c>
    </row>
    <row r="7" spans="1:8" ht="15.75" x14ac:dyDescent="0.25">
      <c r="A7" s="33">
        <v>1</v>
      </c>
      <c r="B7" s="33">
        <v>2</v>
      </c>
      <c r="C7" s="33">
        <v>3</v>
      </c>
      <c r="D7" s="27">
        <v>4</v>
      </c>
      <c r="E7" s="27">
        <v>5</v>
      </c>
    </row>
    <row r="8" spans="1:8" ht="15.75" x14ac:dyDescent="0.25">
      <c r="A8" s="4"/>
      <c r="B8" s="7" t="s">
        <v>7</v>
      </c>
      <c r="C8" s="33" t="s">
        <v>8</v>
      </c>
      <c r="D8" s="22"/>
      <c r="E8" s="22"/>
    </row>
    <row r="9" spans="1:8" ht="15.75" x14ac:dyDescent="0.25">
      <c r="A9" s="8">
        <v>1000</v>
      </c>
      <c r="B9" s="7" t="s">
        <v>9</v>
      </c>
      <c r="C9" s="33"/>
      <c r="D9" s="43">
        <f>D10+D15</f>
        <v>8.2100000000000009</v>
      </c>
      <c r="E9" s="43">
        <f>E10+E15</f>
        <v>238.113</v>
      </c>
    </row>
    <row r="10" spans="1:8" ht="15.75" x14ac:dyDescent="0.25">
      <c r="A10" s="265">
        <v>1100</v>
      </c>
      <c r="B10" s="265" t="s">
        <v>10</v>
      </c>
      <c r="C10" s="137"/>
      <c r="D10" s="264">
        <f>D11+D14</f>
        <v>6.41</v>
      </c>
      <c r="E10" s="264">
        <f>E11+E14</f>
        <v>185.833</v>
      </c>
    </row>
    <row r="11" spans="1:8" ht="15.75" x14ac:dyDescent="0.25">
      <c r="A11" s="16">
        <v>1110</v>
      </c>
      <c r="B11" s="16" t="s">
        <v>217</v>
      </c>
      <c r="C11" s="137" t="s">
        <v>221</v>
      </c>
      <c r="D11" s="108">
        <f>D12+D13</f>
        <v>5.83</v>
      </c>
      <c r="E11" s="108">
        <f>E12+E13</f>
        <v>168.93</v>
      </c>
    </row>
    <row r="12" spans="1:8" ht="78.75" customHeight="1" x14ac:dyDescent="0.25">
      <c r="A12" s="126"/>
      <c r="B12" s="129"/>
      <c r="C12" s="142" t="s">
        <v>846</v>
      </c>
      <c r="D12" s="138">
        <f>ROUND((E12/D51),2)</f>
        <v>0.21</v>
      </c>
      <c r="E12" s="44">
        <f>ROUND((16.89*12*0.03),2)</f>
        <v>6.08</v>
      </c>
    </row>
    <row r="13" spans="1:8" ht="78" customHeight="1" x14ac:dyDescent="0.25">
      <c r="A13" s="224"/>
      <c r="B13" s="225"/>
      <c r="C13" s="142" t="s">
        <v>847</v>
      </c>
      <c r="D13" s="138">
        <f>ROUND((E13/D51),2)</f>
        <v>5.62</v>
      </c>
      <c r="E13" s="44">
        <f>ROUND((452.35*12*0.03),2)</f>
        <v>162.85</v>
      </c>
      <c r="H13" s="39"/>
    </row>
    <row r="14" spans="1:8" ht="47.25" x14ac:dyDescent="0.25">
      <c r="A14" s="122">
        <v>1140</v>
      </c>
      <c r="B14" s="5" t="s">
        <v>214</v>
      </c>
      <c r="C14" s="142" t="s">
        <v>848</v>
      </c>
      <c r="D14" s="138">
        <f>ROUND((E14/D51),2)</f>
        <v>0.57999999999999996</v>
      </c>
      <c r="E14" s="44">
        <f>6.08*0.1+162.85*0.1+0.01</f>
        <v>16.903000000000002</v>
      </c>
      <c r="G14" s="39"/>
    </row>
    <row r="15" spans="1:8" ht="78.75" x14ac:dyDescent="0.25">
      <c r="A15" s="156">
        <v>1200</v>
      </c>
      <c r="B15" s="156" t="s">
        <v>11</v>
      </c>
      <c r="C15" s="166" t="s">
        <v>851</v>
      </c>
      <c r="D15" s="251">
        <f>D16+D17</f>
        <v>1.8</v>
      </c>
      <c r="E15" s="251">
        <f>ROUND((E16+E17),2)</f>
        <v>52.28</v>
      </c>
    </row>
    <row r="16" spans="1:8" ht="47.25" x14ac:dyDescent="0.25">
      <c r="A16" s="4">
        <v>1210</v>
      </c>
      <c r="B16" s="5" t="s">
        <v>216</v>
      </c>
      <c r="C16" s="166" t="s">
        <v>849</v>
      </c>
      <c r="D16" s="138">
        <f>ROUND((E16/D51),2)</f>
        <v>1.51</v>
      </c>
      <c r="E16" s="138">
        <f>ROUND((185.83*0.2359),2)</f>
        <v>43.84</v>
      </c>
    </row>
    <row r="17" spans="1:8" ht="63" x14ac:dyDescent="0.25">
      <c r="A17" s="4">
        <v>1227</v>
      </c>
      <c r="B17" s="5" t="s">
        <v>215</v>
      </c>
      <c r="C17" s="166" t="s">
        <v>850</v>
      </c>
      <c r="D17" s="138">
        <f>ROUND((E17/D51),2)</f>
        <v>0.28999999999999998</v>
      </c>
      <c r="E17" s="138">
        <f>6.08*0.05+162.85*0.05-0.01</f>
        <v>8.4365000000000006</v>
      </c>
    </row>
    <row r="18" spans="1:8" ht="15.75" x14ac:dyDescent="0.25">
      <c r="A18" s="8">
        <v>2000</v>
      </c>
      <c r="B18" s="7" t="s">
        <v>12</v>
      </c>
      <c r="C18" s="33"/>
      <c r="D18" s="43">
        <f>D19</f>
        <v>3.87</v>
      </c>
      <c r="E18" s="43">
        <f>E19</f>
        <v>112.2</v>
      </c>
    </row>
    <row r="19" spans="1:8" ht="47.25" x14ac:dyDescent="0.25">
      <c r="A19" s="4">
        <v>2222</v>
      </c>
      <c r="B19" s="118" t="s">
        <v>55</v>
      </c>
      <c r="C19" s="115" t="s">
        <v>836</v>
      </c>
      <c r="D19" s="44">
        <f>ROUND((E19/D51),2)</f>
        <v>3.87</v>
      </c>
      <c r="E19" s="44">
        <f>ROUND((3.74*30),2)</f>
        <v>112.2</v>
      </c>
    </row>
    <row r="20" spans="1:8" ht="15.75" x14ac:dyDescent="0.25">
      <c r="A20" s="4"/>
      <c r="B20" s="9" t="s">
        <v>14</v>
      </c>
      <c r="C20" s="34" t="s">
        <v>16</v>
      </c>
      <c r="D20" s="43">
        <f>SUM(D9+D18)</f>
        <v>12.080000000000002</v>
      </c>
      <c r="E20" s="43">
        <f>SUM(E9+E18)</f>
        <v>350.31299999999999</v>
      </c>
    </row>
    <row r="21" spans="1:8" ht="15.75" x14ac:dyDescent="0.25">
      <c r="A21" s="4"/>
      <c r="B21" s="9" t="s">
        <v>15</v>
      </c>
      <c r="C21" s="33" t="s">
        <v>8</v>
      </c>
      <c r="D21" s="42"/>
      <c r="E21" s="42"/>
    </row>
    <row r="22" spans="1:8" ht="15.75" x14ac:dyDescent="0.25">
      <c r="A22" s="8">
        <v>1000</v>
      </c>
      <c r="B22" s="7" t="s">
        <v>9</v>
      </c>
      <c r="C22" s="33"/>
      <c r="D22" s="43">
        <f>SUM(D23+D34)</f>
        <v>4.8</v>
      </c>
      <c r="E22" s="43">
        <f>SUM(E23+E34)</f>
        <v>139.03</v>
      </c>
    </row>
    <row r="23" spans="1:8" ht="15.6" customHeight="1" x14ac:dyDescent="0.25">
      <c r="A23" s="4">
        <v>1100</v>
      </c>
      <c r="B23" s="4" t="s">
        <v>10</v>
      </c>
      <c r="C23" s="263" t="s">
        <v>223</v>
      </c>
      <c r="D23" s="43">
        <f>SUM(D24:D33)</f>
        <v>3.88</v>
      </c>
      <c r="E23" s="43">
        <f>SUM(E24:E33)</f>
        <v>112.49000000000001</v>
      </c>
    </row>
    <row r="24" spans="1:8" ht="78" customHeight="1" x14ac:dyDescent="0.25">
      <c r="A24" s="216"/>
      <c r="B24" s="217"/>
      <c r="C24" s="36" t="s">
        <v>852</v>
      </c>
      <c r="D24" s="44">
        <f>ROUND((E24/D51),2)</f>
        <v>0.05</v>
      </c>
      <c r="E24" s="44">
        <f>ROUND((3.79*12*0.03),2)</f>
        <v>1.36</v>
      </c>
      <c r="G24" s="39"/>
    </row>
    <row r="25" spans="1:8" ht="78.75" x14ac:dyDescent="0.25">
      <c r="A25" s="401"/>
      <c r="B25" s="399"/>
      <c r="C25" s="142" t="s">
        <v>853</v>
      </c>
      <c r="D25" s="44">
        <f>ROUND((E25/D51),2)</f>
        <v>0.03</v>
      </c>
      <c r="E25" s="44">
        <f>ROUND((2.52*12*0.03),2)</f>
        <v>0.91</v>
      </c>
      <c r="G25" s="39"/>
    </row>
    <row r="26" spans="1:8" ht="78.599999999999994" customHeight="1" x14ac:dyDescent="0.25">
      <c r="A26" s="401"/>
      <c r="B26" s="399"/>
      <c r="C26" s="142" t="s">
        <v>854</v>
      </c>
      <c r="D26" s="44">
        <f>ROUND((E26/D51),2)</f>
        <v>0.05</v>
      </c>
      <c r="E26" s="44">
        <f>ROUND((3.79*12*0.03),2)</f>
        <v>1.36</v>
      </c>
    </row>
    <row r="27" spans="1:8" ht="78" customHeight="1" x14ac:dyDescent="0.25">
      <c r="A27" s="401"/>
      <c r="B27" s="399"/>
      <c r="C27" s="142" t="s">
        <v>855</v>
      </c>
      <c r="D27" s="44">
        <f>ROUND((E27/D51),2)</f>
        <v>0.06</v>
      </c>
      <c r="E27" s="44">
        <f>ROUND((5*12*0.03),2)</f>
        <v>1.8</v>
      </c>
    </row>
    <row r="28" spans="1:8" ht="77.45" customHeight="1" x14ac:dyDescent="0.25">
      <c r="A28" s="401"/>
      <c r="B28" s="399"/>
      <c r="C28" s="36" t="s">
        <v>856</v>
      </c>
      <c r="D28" s="44">
        <f>ROUND((E28/D51),2)</f>
        <v>0.03</v>
      </c>
      <c r="E28" s="44">
        <f>ROUND((2.66*12*0.03),2)</f>
        <v>0.96</v>
      </c>
      <c r="G28" s="50"/>
      <c r="H28" s="82"/>
    </row>
    <row r="29" spans="1:8" ht="78" customHeight="1" x14ac:dyDescent="0.25">
      <c r="A29" s="401"/>
      <c r="B29" s="399"/>
      <c r="C29" s="36" t="s">
        <v>857</v>
      </c>
      <c r="D29" s="44">
        <f>ROUND((E29/D51),2)</f>
        <v>0.95</v>
      </c>
      <c r="E29" s="44">
        <f>ROUND((76.43*12*0.03),2)</f>
        <v>27.51</v>
      </c>
      <c r="H29" s="351"/>
    </row>
    <row r="30" spans="1:8" ht="78" customHeight="1" x14ac:dyDescent="0.25">
      <c r="A30" s="401"/>
      <c r="B30" s="399"/>
      <c r="C30" s="36" t="s">
        <v>858</v>
      </c>
      <c r="D30" s="44">
        <f>ROUND((E30/D51),2)</f>
        <v>0.87</v>
      </c>
      <c r="E30" s="44">
        <f>ROUND((70.27*12*0.03),2)</f>
        <v>25.3</v>
      </c>
    </row>
    <row r="31" spans="1:8" ht="78" customHeight="1" x14ac:dyDescent="0.25">
      <c r="A31" s="401"/>
      <c r="B31" s="399"/>
      <c r="C31" s="36" t="s">
        <v>859</v>
      </c>
      <c r="D31" s="44">
        <f>ROUND((E31/D51),2)</f>
        <v>1.34</v>
      </c>
      <c r="E31" s="44">
        <f>ROUND((107.77*12*0.03),2)</f>
        <v>38.799999999999997</v>
      </c>
    </row>
    <row r="32" spans="1:8" ht="93.95" customHeight="1" x14ac:dyDescent="0.25">
      <c r="A32" s="401"/>
      <c r="B32" s="399"/>
      <c r="C32" s="142" t="s">
        <v>860</v>
      </c>
      <c r="D32" s="44">
        <f>ROUND((E32/D51),2)</f>
        <v>0.4</v>
      </c>
      <c r="E32" s="44">
        <f>ROUND((32.12*12*0.03),2)</f>
        <v>11.56</v>
      </c>
      <c r="G32" s="50"/>
    </row>
    <row r="33" spans="1:10" ht="78.95" customHeight="1" x14ac:dyDescent="0.25">
      <c r="A33" s="402"/>
      <c r="B33" s="400"/>
      <c r="C33" s="36" t="s">
        <v>861</v>
      </c>
      <c r="D33" s="44">
        <f>ROUND((E33/D51),2)</f>
        <v>0.1</v>
      </c>
      <c r="E33" s="44">
        <f>ROUND((8.15*12*0.03),2)</f>
        <v>2.93</v>
      </c>
      <c r="G33" s="82"/>
      <c r="H33" s="39"/>
    </row>
    <row r="34" spans="1:10" ht="78.75" x14ac:dyDescent="0.25">
      <c r="A34" s="306">
        <v>1200</v>
      </c>
      <c r="B34" s="307" t="s">
        <v>11</v>
      </c>
      <c r="C34" s="115" t="s">
        <v>862</v>
      </c>
      <c r="D34" s="86">
        <f>ROUND((E34/D51),2)</f>
        <v>0.92</v>
      </c>
      <c r="E34" s="86">
        <f>ROUND((112.49*0.2359),2)</f>
        <v>26.54</v>
      </c>
    </row>
    <row r="35" spans="1:10" ht="15.75" x14ac:dyDescent="0.25">
      <c r="A35" s="8">
        <v>2000</v>
      </c>
      <c r="B35" s="7" t="s">
        <v>12</v>
      </c>
      <c r="C35" s="33"/>
      <c r="D35" s="43">
        <f>SUM(D36:D43)</f>
        <v>17.34</v>
      </c>
      <c r="E35" s="43">
        <f>SUM(E36:E43)</f>
        <v>503.43999999999994</v>
      </c>
    </row>
    <row r="36" spans="1:10" ht="31.5" x14ac:dyDescent="0.25">
      <c r="A36" s="4">
        <v>2221</v>
      </c>
      <c r="B36" s="118" t="s">
        <v>54</v>
      </c>
      <c r="C36" s="166" t="s">
        <v>837</v>
      </c>
      <c r="D36" s="44">
        <f>ROUND((E36/D51),2)</f>
        <v>9.11</v>
      </c>
      <c r="E36" s="44">
        <f>ROUND((8809.19*0.03),2)</f>
        <v>264.27999999999997</v>
      </c>
    </row>
    <row r="37" spans="1:10" ht="31.5" x14ac:dyDescent="0.25">
      <c r="A37" s="4">
        <v>2222</v>
      </c>
      <c r="B37" s="118" t="s">
        <v>55</v>
      </c>
      <c r="C37" s="166" t="s">
        <v>1592</v>
      </c>
      <c r="D37" s="44">
        <f>ROUND((E37/D51),2)</f>
        <v>1.41</v>
      </c>
      <c r="E37" s="44">
        <f>ROUND((1364.17*0.03),2)</f>
        <v>40.93</v>
      </c>
    </row>
    <row r="38" spans="1:10" ht="31.5" x14ac:dyDescent="0.25">
      <c r="A38" s="4">
        <v>2223</v>
      </c>
      <c r="B38" s="118" t="s">
        <v>19</v>
      </c>
      <c r="C38" s="166" t="s">
        <v>838</v>
      </c>
      <c r="D38" s="44">
        <f>ROUND((E38/D51),2)</f>
        <v>6.21</v>
      </c>
      <c r="E38" s="44">
        <f>ROUND((6006.23*0.03),2)</f>
        <v>180.19</v>
      </c>
    </row>
    <row r="39" spans="1:10" ht="94.5" x14ac:dyDescent="0.25">
      <c r="A39" s="4">
        <v>2224</v>
      </c>
      <c r="B39" s="118" t="s">
        <v>56</v>
      </c>
      <c r="C39" s="114" t="s">
        <v>839</v>
      </c>
      <c r="D39" s="44">
        <f>ROUND((E39/D51),2)</f>
        <v>0.43</v>
      </c>
      <c r="E39" s="44">
        <f>ROUND((417.81*0.03),2)</f>
        <v>12.53</v>
      </c>
    </row>
    <row r="40" spans="1:10" ht="63" x14ac:dyDescent="0.25">
      <c r="A40" s="161">
        <v>2243</v>
      </c>
      <c r="B40" s="340" t="s">
        <v>21</v>
      </c>
      <c r="C40" s="114" t="s">
        <v>840</v>
      </c>
      <c r="D40" s="44">
        <f>ROUND((E40/D51),2)</f>
        <v>0</v>
      </c>
      <c r="E40" s="44">
        <f>ROUND((0.88*0.03),2)</f>
        <v>0.03</v>
      </c>
    </row>
    <row r="41" spans="1:10" ht="47.25" x14ac:dyDescent="0.25">
      <c r="A41" s="161">
        <v>2244</v>
      </c>
      <c r="B41" s="340" t="s">
        <v>22</v>
      </c>
      <c r="C41" s="114" t="s">
        <v>841</v>
      </c>
      <c r="D41" s="44">
        <f>ROUND((E41/D51),2)</f>
        <v>0.02</v>
      </c>
      <c r="E41" s="44">
        <f>ROUND((20.61*0.03),2)</f>
        <v>0.62</v>
      </c>
    </row>
    <row r="42" spans="1:10" ht="31.5" x14ac:dyDescent="0.25">
      <c r="A42" s="161">
        <v>2312</v>
      </c>
      <c r="B42" s="341" t="s">
        <v>13</v>
      </c>
      <c r="C42" s="166" t="s">
        <v>842</v>
      </c>
      <c r="D42" s="44">
        <f>ROUND((E42/D51),2)</f>
        <v>0.15</v>
      </c>
      <c r="E42" s="44">
        <f>ROUND((148.41*0.03),2)</f>
        <v>4.45</v>
      </c>
    </row>
    <row r="43" spans="1:10" ht="47.25" x14ac:dyDescent="0.25">
      <c r="A43" s="161">
        <v>2350</v>
      </c>
      <c r="B43" s="340" t="s">
        <v>213</v>
      </c>
      <c r="C43" s="114" t="s">
        <v>843</v>
      </c>
      <c r="D43" s="44">
        <f>ROUND((E43/D51),2)</f>
        <v>0.01</v>
      </c>
      <c r="E43" s="44">
        <f>ROUND((13.74*0.03),2)</f>
        <v>0.41</v>
      </c>
    </row>
    <row r="44" spans="1:10" ht="31.5" x14ac:dyDescent="0.25">
      <c r="A44" s="334">
        <v>5000</v>
      </c>
      <c r="B44" s="9" t="s">
        <v>17</v>
      </c>
      <c r="C44" s="166"/>
      <c r="D44" s="86">
        <f>D46+D45</f>
        <v>7.0000000000000007E-2</v>
      </c>
      <c r="E44" s="86">
        <f>E46+E45</f>
        <v>2.04</v>
      </c>
    </row>
    <row r="45" spans="1:10" ht="31.5" x14ac:dyDescent="0.25">
      <c r="A45" s="332">
        <v>5231</v>
      </c>
      <c r="B45" s="339" t="s">
        <v>638</v>
      </c>
      <c r="C45" s="166" t="s">
        <v>844</v>
      </c>
      <c r="D45" s="108">
        <f>ROUND((E45/D51),2)</f>
        <v>0.03</v>
      </c>
      <c r="E45" s="108">
        <f>ROUND((32.64*0.03),2)</f>
        <v>0.98</v>
      </c>
      <c r="J45" s="50"/>
    </row>
    <row r="46" spans="1:10" ht="47.25" x14ac:dyDescent="0.25">
      <c r="A46" s="332">
        <v>5239</v>
      </c>
      <c r="B46" s="118" t="s">
        <v>18</v>
      </c>
      <c r="C46" s="114" t="s">
        <v>845</v>
      </c>
      <c r="D46" s="44">
        <f>ROUND((E46/D51),2)</f>
        <v>0.04</v>
      </c>
      <c r="E46" s="44">
        <f>ROUND((35.22*0.03),2)</f>
        <v>1.06</v>
      </c>
    </row>
    <row r="47" spans="1:10" ht="31.5" x14ac:dyDescent="0.25">
      <c r="A47" s="161"/>
      <c r="B47" s="9" t="s">
        <v>23</v>
      </c>
      <c r="C47" s="33"/>
      <c r="D47" s="43">
        <f>SUM(D22+D35+D44)</f>
        <v>22.21</v>
      </c>
      <c r="E47" s="43">
        <f>SUM(E22+E35+E44)</f>
        <v>644.50999999999988</v>
      </c>
    </row>
    <row r="48" spans="1:10" ht="31.5" x14ac:dyDescent="0.25">
      <c r="A48" s="162"/>
      <c r="B48" s="11" t="s">
        <v>28</v>
      </c>
      <c r="C48" s="33"/>
      <c r="D48" s="87">
        <f>D20+D47-1.13</f>
        <v>33.160000000000004</v>
      </c>
      <c r="E48" s="87">
        <f>E20+E47</f>
        <v>994.82299999999987</v>
      </c>
    </row>
    <row r="49" spans="1:7" ht="15.75" x14ac:dyDescent="0.25">
      <c r="A49" s="162"/>
      <c r="B49" s="13" t="s">
        <v>29</v>
      </c>
      <c r="C49" s="33"/>
      <c r="D49" s="87">
        <f>D48*0.21</f>
        <v>6.9636000000000005</v>
      </c>
      <c r="E49" s="87">
        <f>E48*0.21</f>
        <v>208.91282999999996</v>
      </c>
    </row>
    <row r="50" spans="1:7" ht="15.6" customHeight="1" x14ac:dyDescent="0.25">
      <c r="A50" s="6"/>
      <c r="B50" s="169" t="s">
        <v>30</v>
      </c>
      <c r="C50" s="170"/>
      <c r="D50" s="176">
        <f>D48*1.21</f>
        <v>40.123600000000003</v>
      </c>
      <c r="E50" s="176">
        <f>E48*1.21-40.2</f>
        <v>1163.5358299999998</v>
      </c>
    </row>
    <row r="51" spans="1:7" ht="15.75" x14ac:dyDescent="0.25">
      <c r="A51" s="406" t="s">
        <v>1493</v>
      </c>
      <c r="B51" s="406"/>
      <c r="C51" s="406"/>
      <c r="D51" s="8">
        <v>29</v>
      </c>
      <c r="E51" s="8" t="s">
        <v>186</v>
      </c>
    </row>
    <row r="52" spans="1:7" ht="30.95" customHeight="1" x14ac:dyDescent="0.25">
      <c r="A52" s="397" t="s">
        <v>59</v>
      </c>
      <c r="B52" s="397"/>
      <c r="C52" s="397"/>
      <c r="D52" s="350">
        <f>E50/D51</f>
        <v>40.121925172413789</v>
      </c>
      <c r="E52" s="8" t="s">
        <v>225</v>
      </c>
      <c r="G52" s="305"/>
    </row>
    <row r="53" spans="1:7" x14ac:dyDescent="0.25">
      <c r="G53" s="305"/>
    </row>
    <row r="54" spans="1:7" x14ac:dyDescent="0.25">
      <c r="G54" s="319"/>
    </row>
    <row r="55" spans="1:7" x14ac:dyDescent="0.25">
      <c r="G55" s="305"/>
    </row>
  </sheetData>
  <mergeCells count="8">
    <mergeCell ref="A51:C51"/>
    <mergeCell ref="A52:C52"/>
    <mergeCell ref="A1:C1"/>
    <mergeCell ref="A4:B4"/>
    <mergeCell ref="A2:C2"/>
    <mergeCell ref="A3:C3"/>
    <mergeCell ref="A25:A33"/>
    <mergeCell ref="B25:B33"/>
  </mergeCells>
  <pageMargins left="0.7" right="0.7" top="0.75" bottom="0.75" header="0.3" footer="0.3"/>
  <pageSetup paperSize="9" orientation="landscape" r:id="rId1"/>
  <rowBreaks count="2" manualBreakCount="2">
    <brk id="24" max="16383" man="1"/>
    <brk id="29" max="16383" man="1"/>
  </rowBreaks>
  <ignoredErrors>
    <ignoredError sqref="D15"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793D23-8B3B-4DBB-8362-29151ED22539}">
  <dimension ref="A1:I62"/>
  <sheetViews>
    <sheetView topLeftCell="A46" zoomScaleNormal="100" workbookViewId="0">
      <selection activeCell="D52" sqref="D52"/>
    </sheetView>
  </sheetViews>
  <sheetFormatPr defaultRowHeight="15" x14ac:dyDescent="0.25"/>
  <cols>
    <col min="1" max="1" width="12" customWidth="1"/>
    <col min="2" max="2" width="27.140625" customWidth="1"/>
    <col min="3" max="3" width="64.140625" customWidth="1"/>
    <col min="4" max="4" width="11.42578125" customWidth="1"/>
    <col min="5" max="5" width="18.140625" customWidth="1"/>
    <col min="6" max="6" width="10.85546875" customWidth="1"/>
    <col min="8" max="8" width="10.28515625" customWidth="1"/>
    <col min="9" max="9" width="9.85546875" customWidth="1"/>
  </cols>
  <sheetData>
    <row r="1" spans="1:7" ht="18.75" x14ac:dyDescent="0.3">
      <c r="A1" s="404" t="s">
        <v>168</v>
      </c>
      <c r="B1" s="404"/>
      <c r="C1" s="404"/>
    </row>
    <row r="2" spans="1:7" s="15" customFormat="1" ht="20.100000000000001" customHeight="1" x14ac:dyDescent="0.25">
      <c r="A2" s="407" t="s">
        <v>36</v>
      </c>
      <c r="B2" s="407"/>
      <c r="C2" s="407"/>
      <c r="D2" s="407"/>
    </row>
    <row r="3" spans="1:7" ht="18.75" x14ac:dyDescent="0.3">
      <c r="A3" s="148" t="s">
        <v>43</v>
      </c>
      <c r="B3" s="145"/>
      <c r="C3" s="145"/>
    </row>
    <row r="4" spans="1:7" ht="17.45" customHeight="1" x14ac:dyDescent="0.25">
      <c r="A4" s="405" t="s">
        <v>64</v>
      </c>
      <c r="B4" s="405"/>
    </row>
    <row r="5" spans="1:7" ht="15.75" customHeight="1" x14ac:dyDescent="0.3">
      <c r="A5" s="54"/>
    </row>
    <row r="6" spans="1:7" ht="74.25" customHeight="1" x14ac:dyDescent="0.25">
      <c r="A6" s="5" t="s">
        <v>0</v>
      </c>
      <c r="B6" s="5" t="s">
        <v>1</v>
      </c>
      <c r="C6" s="112" t="s">
        <v>2</v>
      </c>
      <c r="D6" s="152" t="s">
        <v>26</v>
      </c>
      <c r="E6" s="12" t="s">
        <v>27</v>
      </c>
    </row>
    <row r="7" spans="1:7" ht="15.75" x14ac:dyDescent="0.25">
      <c r="A7" s="269">
        <v>1</v>
      </c>
      <c r="B7" s="269">
        <v>2</v>
      </c>
      <c r="C7" s="269">
        <v>3</v>
      </c>
      <c r="D7" s="27">
        <v>4</v>
      </c>
      <c r="E7" s="27">
        <v>5</v>
      </c>
    </row>
    <row r="8" spans="1:7" ht="15.75" x14ac:dyDescent="0.25">
      <c r="A8" s="4"/>
      <c r="B8" s="7" t="s">
        <v>7</v>
      </c>
      <c r="C8" s="269" t="s">
        <v>8</v>
      </c>
      <c r="D8" s="22"/>
      <c r="E8" s="22"/>
    </row>
    <row r="9" spans="1:7" ht="15.75" x14ac:dyDescent="0.25">
      <c r="A9" s="8">
        <v>1000</v>
      </c>
      <c r="B9" s="7" t="s">
        <v>9</v>
      </c>
      <c r="C9" s="269"/>
      <c r="D9" s="43">
        <f>D10+D14</f>
        <v>0.74</v>
      </c>
      <c r="E9" s="43">
        <f>E10+E14</f>
        <v>118.572</v>
      </c>
    </row>
    <row r="10" spans="1:7" ht="15.75" x14ac:dyDescent="0.25">
      <c r="A10" s="265">
        <v>1100</v>
      </c>
      <c r="B10" s="265" t="s">
        <v>10</v>
      </c>
      <c r="C10" s="137"/>
      <c r="D10" s="43">
        <f>D12+D13</f>
        <v>0.67999999999999994</v>
      </c>
      <c r="E10" s="43">
        <f>E12+E13</f>
        <v>108.24</v>
      </c>
    </row>
    <row r="11" spans="1:7" ht="15.75" x14ac:dyDescent="0.25">
      <c r="A11" s="16">
        <v>1110</v>
      </c>
      <c r="B11" s="16" t="s">
        <v>217</v>
      </c>
      <c r="C11" s="137" t="s">
        <v>222</v>
      </c>
      <c r="D11" s="108">
        <f>D12</f>
        <v>0.62</v>
      </c>
      <c r="E11" s="108">
        <f>E12</f>
        <v>98.399999999999991</v>
      </c>
    </row>
    <row r="12" spans="1:7" s="15" customFormat="1" ht="63" customHeight="1" x14ac:dyDescent="0.25">
      <c r="A12" s="18"/>
      <c r="B12" s="137"/>
      <c r="C12" s="142" t="s">
        <v>866</v>
      </c>
      <c r="D12" s="149">
        <f>ROUND((E12/160),2)</f>
        <v>0.62</v>
      </c>
      <c r="E12" s="149">
        <f>8.2*12</f>
        <v>98.399999999999991</v>
      </c>
      <c r="F12" s="240"/>
      <c r="G12" s="1"/>
    </row>
    <row r="13" spans="1:7" s="15" customFormat="1" ht="31.5" customHeight="1" x14ac:dyDescent="0.25">
      <c r="A13" s="122">
        <v>1140</v>
      </c>
      <c r="B13" s="5" t="s">
        <v>214</v>
      </c>
      <c r="C13" s="142" t="s">
        <v>863</v>
      </c>
      <c r="D13" s="149">
        <f>ROUND((E13/160),2)</f>
        <v>0.06</v>
      </c>
      <c r="E13" s="149">
        <f>98.4*0.1</f>
        <v>9.8400000000000016</v>
      </c>
    </row>
    <row r="14" spans="1:7" ht="63" customHeight="1" x14ac:dyDescent="0.25">
      <c r="A14" s="156">
        <v>1200</v>
      </c>
      <c r="B14" s="156" t="s">
        <v>11</v>
      </c>
      <c r="C14" s="166" t="s">
        <v>1494</v>
      </c>
      <c r="D14" s="266">
        <f>D15+D16</f>
        <v>0.06</v>
      </c>
      <c r="E14" s="266">
        <f>E15+E16</f>
        <v>10.332000000000001</v>
      </c>
      <c r="F14" s="82"/>
    </row>
    <row r="15" spans="1:7" ht="46.5" customHeight="1" x14ac:dyDescent="0.25">
      <c r="A15" s="4">
        <v>1210</v>
      </c>
      <c r="B15" s="5" t="s">
        <v>216</v>
      </c>
      <c r="C15" s="166" t="s">
        <v>864</v>
      </c>
      <c r="D15" s="149">
        <f t="shared" ref="D15:D16" si="0">ROUND((E15/160),2)</f>
        <v>0.03</v>
      </c>
      <c r="E15" s="149">
        <f>108.24*0.05</f>
        <v>5.4119999999999999</v>
      </c>
      <c r="F15" s="82"/>
    </row>
    <row r="16" spans="1:7" ht="45.75" customHeight="1" x14ac:dyDescent="0.25">
      <c r="A16" s="4">
        <v>1227</v>
      </c>
      <c r="B16" s="5" t="s">
        <v>215</v>
      </c>
      <c r="C16" s="166" t="s">
        <v>865</v>
      </c>
      <c r="D16" s="149">
        <f t="shared" si="0"/>
        <v>0.03</v>
      </c>
      <c r="E16" s="149">
        <f>98.4*0.05</f>
        <v>4.9200000000000008</v>
      </c>
      <c r="F16" s="82"/>
    </row>
    <row r="17" spans="1:9" ht="15.75" x14ac:dyDescent="0.25">
      <c r="A17" s="4"/>
      <c r="B17" s="9" t="s">
        <v>14</v>
      </c>
      <c r="C17" s="110" t="s">
        <v>16</v>
      </c>
      <c r="D17" s="150">
        <f>SUM(D9)</f>
        <v>0.74</v>
      </c>
      <c r="E17" s="150">
        <f>SUM(E9)</f>
        <v>118.572</v>
      </c>
    </row>
    <row r="18" spans="1:9" ht="15.75" x14ac:dyDescent="0.25">
      <c r="A18" s="4"/>
      <c r="B18" s="9" t="s">
        <v>15</v>
      </c>
      <c r="C18" s="109" t="s">
        <v>8</v>
      </c>
      <c r="D18" s="151"/>
      <c r="E18" s="151"/>
    </row>
    <row r="19" spans="1:9" ht="15.75" x14ac:dyDescent="0.25">
      <c r="A19" s="8">
        <v>1000</v>
      </c>
      <c r="B19" s="7" t="s">
        <v>9</v>
      </c>
      <c r="C19" s="109" t="s">
        <v>8</v>
      </c>
      <c r="D19" s="150">
        <f>SUM(D20+D31)</f>
        <v>5.59</v>
      </c>
      <c r="E19" s="150">
        <f>SUM(E20+E31)</f>
        <v>896.07999999999993</v>
      </c>
    </row>
    <row r="20" spans="1:9" ht="15.75" x14ac:dyDescent="0.25">
      <c r="A20" s="4">
        <v>1100</v>
      </c>
      <c r="B20" s="4" t="s">
        <v>10</v>
      </c>
      <c r="C20" s="137" t="s">
        <v>223</v>
      </c>
      <c r="D20" s="150">
        <f>SUM(D21:D30)</f>
        <v>4.5199999999999996</v>
      </c>
      <c r="E20" s="150">
        <f>SUM(E21:E30)</f>
        <v>725.04</v>
      </c>
    </row>
    <row r="21" spans="1:9" ht="62.25" customHeight="1" x14ac:dyDescent="0.25">
      <c r="A21" s="216"/>
      <c r="B21" s="217"/>
      <c r="C21" s="113" t="s">
        <v>867</v>
      </c>
      <c r="D21" s="149">
        <f>ROUND((E21/160),2)</f>
        <v>0.02</v>
      </c>
      <c r="E21" s="149">
        <f>ROUND(0.29*12,2)</f>
        <v>3.48</v>
      </c>
    </row>
    <row r="22" spans="1:9" ht="61.5" customHeight="1" x14ac:dyDescent="0.25">
      <c r="A22" s="218"/>
      <c r="B22" s="219"/>
      <c r="C22" s="113" t="s">
        <v>868</v>
      </c>
      <c r="D22" s="149">
        <f t="shared" ref="D22:D31" si="1">ROUND((E22/160),2)</f>
        <v>0.01</v>
      </c>
      <c r="E22" s="149">
        <f>ROUND(0.19*12,2)</f>
        <v>2.2799999999999998</v>
      </c>
    </row>
    <row r="23" spans="1:9" ht="61.5" customHeight="1" x14ac:dyDescent="0.25">
      <c r="A23" s="218"/>
      <c r="B23" s="219"/>
      <c r="C23" s="113" t="s">
        <v>869</v>
      </c>
      <c r="D23" s="149">
        <f t="shared" si="1"/>
        <v>0.02</v>
      </c>
      <c r="E23" s="149">
        <f>ROUND(0.29*12,2)</f>
        <v>3.48</v>
      </c>
      <c r="H23" s="19"/>
      <c r="I23" s="19"/>
    </row>
    <row r="24" spans="1:9" ht="63" customHeight="1" x14ac:dyDescent="0.25">
      <c r="A24" s="218"/>
      <c r="B24" s="219"/>
      <c r="C24" s="113" t="s">
        <v>870</v>
      </c>
      <c r="D24" s="149">
        <f t="shared" si="1"/>
        <v>0.03</v>
      </c>
      <c r="E24" s="149">
        <f>ROUND(0.38*12,2)</f>
        <v>4.5599999999999996</v>
      </c>
      <c r="G24" s="39"/>
    </row>
    <row r="25" spans="1:9" ht="63" customHeight="1" x14ac:dyDescent="0.25">
      <c r="A25" s="218"/>
      <c r="B25" s="219"/>
      <c r="C25" s="113" t="s">
        <v>871</v>
      </c>
      <c r="D25" s="149">
        <f t="shared" si="1"/>
        <v>0.01</v>
      </c>
      <c r="E25" s="149">
        <f>ROUND(0.19*12,2)</f>
        <v>2.2799999999999998</v>
      </c>
      <c r="G25" s="39"/>
    </row>
    <row r="26" spans="1:9" ht="63.75" customHeight="1" x14ac:dyDescent="0.25">
      <c r="A26" s="218"/>
      <c r="B26" s="219"/>
      <c r="C26" s="142" t="s">
        <v>872</v>
      </c>
      <c r="D26" s="149">
        <f t="shared" si="1"/>
        <v>1.98</v>
      </c>
      <c r="E26" s="149">
        <f>ROUND(26.36*12,2)</f>
        <v>316.32</v>
      </c>
      <c r="F26" s="267"/>
      <c r="G26" s="145"/>
      <c r="H26" s="243"/>
      <c r="I26" s="243"/>
    </row>
    <row r="27" spans="1:9" ht="63" customHeight="1" x14ac:dyDescent="0.25">
      <c r="A27" s="218"/>
      <c r="B27" s="219"/>
      <c r="C27" s="142" t="s">
        <v>1495</v>
      </c>
      <c r="D27" s="149">
        <f>ROUND((E27/160),2)</f>
        <v>1.36</v>
      </c>
      <c r="E27" s="149">
        <f>ROUND(18.18*12,2)</f>
        <v>218.16</v>
      </c>
      <c r="G27" s="50"/>
    </row>
    <row r="28" spans="1:9" ht="63" customHeight="1" x14ac:dyDescent="0.25">
      <c r="A28" s="218"/>
      <c r="B28" s="219"/>
      <c r="C28" s="142" t="s">
        <v>873</v>
      </c>
      <c r="D28" s="149">
        <f>ROUND((E28/160),2)</f>
        <v>0.89</v>
      </c>
      <c r="E28" s="149">
        <f>ROUND(11.85*12,2)</f>
        <v>142.19999999999999</v>
      </c>
      <c r="G28" s="39"/>
      <c r="I28" s="39"/>
    </row>
    <row r="29" spans="1:9" ht="78" customHeight="1" x14ac:dyDescent="0.25">
      <c r="A29" s="218"/>
      <c r="B29" s="219"/>
      <c r="C29" s="142" t="s">
        <v>874</v>
      </c>
      <c r="D29" s="149">
        <f t="shared" si="1"/>
        <v>0.15</v>
      </c>
      <c r="E29" s="149">
        <f>ROUND(2.01*12,2)</f>
        <v>24.12</v>
      </c>
      <c r="G29" s="39"/>
    </row>
    <row r="30" spans="1:9" ht="63" customHeight="1" x14ac:dyDescent="0.25">
      <c r="A30" s="220"/>
      <c r="B30" s="221"/>
      <c r="C30" s="142" t="s">
        <v>875</v>
      </c>
      <c r="D30" s="149">
        <f t="shared" si="1"/>
        <v>0.05</v>
      </c>
      <c r="E30" s="149">
        <f>ROUND(0.68*12,2)</f>
        <v>8.16</v>
      </c>
    </row>
    <row r="31" spans="1:9" ht="63" x14ac:dyDescent="0.25">
      <c r="A31" s="7">
        <v>1200</v>
      </c>
      <c r="B31" s="156" t="s">
        <v>11</v>
      </c>
      <c r="C31" s="166" t="s">
        <v>1496</v>
      </c>
      <c r="D31" s="266">
        <f t="shared" si="1"/>
        <v>1.07</v>
      </c>
      <c r="E31" s="266">
        <f>ROUND((725.04*0.2359),2)</f>
        <v>171.04</v>
      </c>
    </row>
    <row r="32" spans="1:9" ht="15.75" x14ac:dyDescent="0.25">
      <c r="A32" s="8">
        <v>2000</v>
      </c>
      <c r="B32" s="7" t="s">
        <v>12</v>
      </c>
      <c r="C32" s="244"/>
      <c r="D32" s="150">
        <f>SUM(D33:D40)</f>
        <v>15.709999999999999</v>
      </c>
      <c r="E32" s="150">
        <f>SUM(E33:E40)</f>
        <v>2512.25</v>
      </c>
    </row>
    <row r="33" spans="1:5" ht="32.25" customHeight="1" x14ac:dyDescent="0.25">
      <c r="A33" s="4">
        <v>2221</v>
      </c>
      <c r="B33" s="84" t="s">
        <v>54</v>
      </c>
      <c r="C33" s="166" t="s">
        <v>420</v>
      </c>
      <c r="D33" s="149">
        <f>ROUND((E33/160),2)</f>
        <v>4.37</v>
      </c>
      <c r="E33" s="149">
        <f>ROUND((33283.81*0.021),2)</f>
        <v>698.96</v>
      </c>
    </row>
    <row r="34" spans="1:5" ht="31.5" x14ac:dyDescent="0.25">
      <c r="A34" s="4">
        <v>2222</v>
      </c>
      <c r="B34" s="118" t="s">
        <v>55</v>
      </c>
      <c r="C34" s="124" t="s">
        <v>421</v>
      </c>
      <c r="D34" s="149">
        <f t="shared" ref="D34:D40" si="2">ROUND((E34/160),2)</f>
        <v>3.76</v>
      </c>
      <c r="E34" s="149">
        <f>ROUND((28638.11*0.021),2)</f>
        <v>601.4</v>
      </c>
    </row>
    <row r="35" spans="1:5" ht="32.25" customHeight="1" x14ac:dyDescent="0.25">
      <c r="A35" s="4">
        <v>2223</v>
      </c>
      <c r="B35" s="118" t="s">
        <v>19</v>
      </c>
      <c r="C35" s="5" t="s">
        <v>422</v>
      </c>
      <c r="D35" s="149">
        <f t="shared" si="2"/>
        <v>2.5099999999999998</v>
      </c>
      <c r="E35" s="149">
        <f>ROUND((19105.01*0.021),2)</f>
        <v>401.21</v>
      </c>
    </row>
    <row r="36" spans="1:5" ht="78" customHeight="1" x14ac:dyDescent="0.25">
      <c r="A36" s="4">
        <v>2224</v>
      </c>
      <c r="B36" s="342" t="s">
        <v>56</v>
      </c>
      <c r="C36" s="5" t="s">
        <v>1595</v>
      </c>
      <c r="D36" s="149">
        <f>ROUND((E36/160+0.01),2)</f>
        <v>2.34</v>
      </c>
      <c r="E36" s="149">
        <f>ROUND((17789.99*0.021),2)</f>
        <v>373.59</v>
      </c>
    </row>
    <row r="37" spans="1:5" ht="39.75" customHeight="1" x14ac:dyDescent="0.25">
      <c r="A37" s="4">
        <v>2232</v>
      </c>
      <c r="B37" s="342" t="s">
        <v>42</v>
      </c>
      <c r="C37" s="125" t="s">
        <v>423</v>
      </c>
      <c r="D37" s="149">
        <f t="shared" si="2"/>
        <v>0.01</v>
      </c>
      <c r="E37" s="149">
        <f>ROUND((84.7*0.021),2)</f>
        <v>1.78</v>
      </c>
    </row>
    <row r="38" spans="1:5" ht="63" x14ac:dyDescent="0.25">
      <c r="A38" s="4">
        <v>2243</v>
      </c>
      <c r="B38" s="84" t="s">
        <v>21</v>
      </c>
      <c r="C38" s="166" t="s">
        <v>424</v>
      </c>
      <c r="D38" s="149">
        <f t="shared" si="2"/>
        <v>0.4</v>
      </c>
      <c r="E38" s="149">
        <f>ROUND((3019.67*0.021),2)</f>
        <v>63.41</v>
      </c>
    </row>
    <row r="39" spans="1:5" ht="47.25" x14ac:dyDescent="0.25">
      <c r="A39" s="4">
        <v>2244</v>
      </c>
      <c r="B39" s="84" t="s">
        <v>22</v>
      </c>
      <c r="C39" s="114" t="s">
        <v>425</v>
      </c>
      <c r="D39" s="149">
        <f t="shared" si="2"/>
        <v>1.74</v>
      </c>
      <c r="E39" s="149">
        <f>ROUND((13283.48*0.021),2)</f>
        <v>278.95</v>
      </c>
    </row>
    <row r="40" spans="1:5" ht="30" customHeight="1" x14ac:dyDescent="0.25">
      <c r="A40" s="4">
        <v>2513</v>
      </c>
      <c r="B40" s="118" t="s">
        <v>57</v>
      </c>
      <c r="C40" s="5" t="s">
        <v>249</v>
      </c>
      <c r="D40" s="149">
        <f t="shared" si="2"/>
        <v>0.57999999999999996</v>
      </c>
      <c r="E40" s="149">
        <f>ROUND((4426.37*0.021),2)</f>
        <v>92.95</v>
      </c>
    </row>
    <row r="41" spans="1:5" ht="15.75" x14ac:dyDescent="0.25">
      <c r="A41" s="10">
        <v>5000</v>
      </c>
      <c r="B41" s="9" t="s">
        <v>17</v>
      </c>
      <c r="C41" s="122"/>
      <c r="D41" s="150">
        <f>SUM(D42:D45)</f>
        <v>4.2300000000000004</v>
      </c>
      <c r="E41" s="150">
        <f>SUM(E42:E45)</f>
        <v>676.15000000000009</v>
      </c>
    </row>
    <row r="42" spans="1:5" ht="32.25" customHeight="1" x14ac:dyDescent="0.25">
      <c r="A42" s="4">
        <v>5211</v>
      </c>
      <c r="B42" s="118" t="s">
        <v>61</v>
      </c>
      <c r="C42" s="5" t="s">
        <v>639</v>
      </c>
      <c r="D42" s="149">
        <f>ROUND((E42/160+0.01),2)</f>
        <v>1.58</v>
      </c>
      <c r="E42" s="149">
        <f>ROUND((11995.68*0.021),2)</f>
        <v>251.91</v>
      </c>
    </row>
    <row r="43" spans="1:5" ht="31.5" x14ac:dyDescent="0.25">
      <c r="A43" s="4">
        <v>5213</v>
      </c>
      <c r="B43" s="118" t="s">
        <v>32</v>
      </c>
      <c r="C43" s="5" t="s">
        <v>250</v>
      </c>
      <c r="D43" s="149">
        <f t="shared" ref="D43:D45" si="3">ROUND((E43/160),2)</f>
        <v>0.3</v>
      </c>
      <c r="E43" s="149">
        <f>ROUND((2314.44*0.021),2)</f>
        <v>48.6</v>
      </c>
    </row>
    <row r="44" spans="1:5" ht="30.75" customHeight="1" x14ac:dyDescent="0.25">
      <c r="A44" s="18">
        <v>5218</v>
      </c>
      <c r="B44" s="84" t="s">
        <v>33</v>
      </c>
      <c r="C44" s="5" t="s">
        <v>640</v>
      </c>
      <c r="D44" s="149">
        <f t="shared" si="3"/>
        <v>0.51</v>
      </c>
      <c r="E44" s="149">
        <f>ROUND((3891.96*0.021),2)</f>
        <v>81.73</v>
      </c>
    </row>
    <row r="45" spans="1:5" ht="47.25" customHeight="1" x14ac:dyDescent="0.25">
      <c r="A45" s="4">
        <v>5239</v>
      </c>
      <c r="B45" s="118" t="s">
        <v>18</v>
      </c>
      <c r="C45" s="5" t="s">
        <v>641</v>
      </c>
      <c r="D45" s="149">
        <f t="shared" si="3"/>
        <v>1.84</v>
      </c>
      <c r="E45" s="149">
        <f>ROUND((13995.48*0.021),2)</f>
        <v>293.91000000000003</v>
      </c>
    </row>
    <row r="46" spans="1:5" ht="15.75" x14ac:dyDescent="0.25">
      <c r="A46" s="4"/>
      <c r="B46" s="9" t="s">
        <v>23</v>
      </c>
      <c r="C46" s="109"/>
      <c r="D46" s="43">
        <f>SUM(D19+D32+D41)</f>
        <v>25.529999999999998</v>
      </c>
      <c r="E46" s="43">
        <f>SUM(E19+E32+E41)</f>
        <v>4084.48</v>
      </c>
    </row>
    <row r="47" spans="1:5" ht="31.5" x14ac:dyDescent="0.25">
      <c r="A47" s="4"/>
      <c r="B47" s="11" t="s">
        <v>28</v>
      </c>
      <c r="C47" s="109"/>
      <c r="D47" s="87">
        <f>D17+D46</f>
        <v>26.269999999999996</v>
      </c>
      <c r="E47" s="87">
        <f>E17+E46</f>
        <v>4203.0519999999997</v>
      </c>
    </row>
    <row r="48" spans="1:5" ht="15.75" x14ac:dyDescent="0.25">
      <c r="A48" s="20"/>
      <c r="B48" s="13" t="s">
        <v>29</v>
      </c>
      <c r="C48" s="109"/>
      <c r="D48" s="87">
        <f>D47*0.21</f>
        <v>5.5166999999999993</v>
      </c>
      <c r="E48" s="87">
        <f>E47*0.21</f>
        <v>882.64091999999994</v>
      </c>
    </row>
    <row r="49" spans="1:7" ht="31.5" customHeight="1" x14ac:dyDescent="0.25">
      <c r="A49" s="20"/>
      <c r="B49" s="169" t="s">
        <v>30</v>
      </c>
      <c r="C49" s="170"/>
      <c r="D49" s="176">
        <f>D47*1.21</f>
        <v>31.786699999999993</v>
      </c>
      <c r="E49" s="176">
        <f>E47*1.21</f>
        <v>5085.6929199999995</v>
      </c>
    </row>
    <row r="50" spans="1:7" ht="15.75" x14ac:dyDescent="0.25">
      <c r="A50" s="406" t="s">
        <v>62</v>
      </c>
      <c r="B50" s="406"/>
      <c r="C50" s="406"/>
      <c r="D50" s="8">
        <v>160</v>
      </c>
      <c r="E50" s="8" t="s">
        <v>186</v>
      </c>
    </row>
    <row r="51" spans="1:7" ht="32.25" customHeight="1" x14ac:dyDescent="0.25">
      <c r="A51" s="397" t="s">
        <v>59</v>
      </c>
      <c r="B51" s="397"/>
      <c r="C51" s="397"/>
      <c r="D51" s="350">
        <f>E49/D50</f>
        <v>31.785580749999998</v>
      </c>
      <c r="E51" s="8" t="s">
        <v>225</v>
      </c>
    </row>
    <row r="52" spans="1:7" ht="15.75" x14ac:dyDescent="0.25">
      <c r="A52" s="1"/>
      <c r="B52" s="1"/>
      <c r="C52" s="1"/>
    </row>
    <row r="53" spans="1:7" ht="15.75" x14ac:dyDescent="0.25">
      <c r="A53" s="1"/>
      <c r="B53" s="1"/>
      <c r="C53" s="1"/>
      <c r="G53" s="39"/>
    </row>
    <row r="54" spans="1:7" ht="15.75" x14ac:dyDescent="0.25">
      <c r="A54" s="1"/>
      <c r="B54" s="1"/>
      <c r="C54" s="1"/>
    </row>
    <row r="55" spans="1:7" ht="15.75" x14ac:dyDescent="0.25">
      <c r="A55" s="1"/>
      <c r="B55" s="1"/>
      <c r="C55" s="1"/>
    </row>
    <row r="56" spans="1:7" ht="15.75" x14ac:dyDescent="0.25">
      <c r="A56" s="1"/>
      <c r="B56" s="1"/>
      <c r="C56" s="1"/>
    </row>
    <row r="57" spans="1:7" ht="15.75" x14ac:dyDescent="0.25">
      <c r="A57" s="1"/>
      <c r="B57" s="1"/>
      <c r="C57" s="1"/>
    </row>
    <row r="58" spans="1:7" ht="15.75" x14ac:dyDescent="0.25">
      <c r="A58" s="1"/>
      <c r="B58" s="1"/>
      <c r="C58" s="1"/>
    </row>
    <row r="59" spans="1:7" ht="15.75" x14ac:dyDescent="0.25">
      <c r="A59" s="1"/>
      <c r="B59" s="1"/>
      <c r="C59" s="1"/>
    </row>
    <row r="60" spans="1:7" ht="15.75" x14ac:dyDescent="0.25">
      <c r="A60" s="1"/>
      <c r="B60" s="1"/>
      <c r="C60" s="1"/>
    </row>
    <row r="61" spans="1:7" ht="15.75" x14ac:dyDescent="0.25">
      <c r="A61" s="1"/>
      <c r="B61" s="1"/>
      <c r="C61" s="1"/>
    </row>
    <row r="62" spans="1:7" ht="15.75" x14ac:dyDescent="0.25">
      <c r="A62" s="1"/>
      <c r="B62" s="1"/>
      <c r="C62" s="1"/>
    </row>
  </sheetData>
  <mergeCells count="5">
    <mergeCell ref="A51:C51"/>
    <mergeCell ref="A1:C1"/>
    <mergeCell ref="A4:B4"/>
    <mergeCell ref="A50:C50"/>
    <mergeCell ref="A2:D2"/>
  </mergeCells>
  <pageMargins left="0.7" right="0.7" top="0.75" bottom="0.75" header="0.3" footer="0.3"/>
  <pageSetup paperSize="9" scale="96" orientation="landscape" r:id="rId1"/>
  <rowBreaks count="1" manualBreakCount="1">
    <brk id="26" max="4" man="1"/>
  </rowBreaks>
  <colBreaks count="1" manualBreakCount="1">
    <brk id="5" max="1048575" man="1"/>
  </colBreaks>
  <ignoredErrors>
    <ignoredError sqref="E22" 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C8F69-5A11-4CFD-8654-71EDDBFC4AC1}">
  <dimension ref="A1:N57"/>
  <sheetViews>
    <sheetView topLeftCell="A43" zoomScaleNormal="100" workbookViewId="0">
      <selection activeCell="D56" sqref="D56"/>
    </sheetView>
  </sheetViews>
  <sheetFormatPr defaultRowHeight="15" x14ac:dyDescent="0.25"/>
  <cols>
    <col min="1" max="1" width="12.140625" customWidth="1"/>
    <col min="2" max="2" width="26.85546875" customWidth="1"/>
    <col min="3" max="3" width="64" customWidth="1"/>
    <col min="4" max="4" width="9.5703125" customWidth="1"/>
    <col min="5" max="5" width="17.85546875" customWidth="1"/>
    <col min="6" max="14" width="9.140625" style="305"/>
  </cols>
  <sheetData>
    <row r="1" spans="1:9" ht="18.75" x14ac:dyDescent="0.3">
      <c r="A1" s="404" t="s">
        <v>168</v>
      </c>
      <c r="B1" s="404"/>
      <c r="C1" s="404"/>
    </row>
    <row r="2" spans="1:9" ht="18.75" x14ac:dyDescent="0.3">
      <c r="A2" s="404" t="s">
        <v>37</v>
      </c>
      <c r="B2" s="404"/>
      <c r="C2" s="404"/>
    </row>
    <row r="3" spans="1:9" ht="18.75" x14ac:dyDescent="0.25">
      <c r="A3" s="398" t="s">
        <v>38</v>
      </c>
      <c r="B3" s="398"/>
      <c r="C3" s="398"/>
    </row>
    <row r="4" spans="1:9" ht="15.75" x14ac:dyDescent="0.25">
      <c r="A4" s="405" t="s">
        <v>64</v>
      </c>
      <c r="B4" s="405"/>
    </row>
    <row r="6" spans="1:9" ht="78.75" x14ac:dyDescent="0.25">
      <c r="A6" s="139" t="s">
        <v>0</v>
      </c>
      <c r="B6" s="139" t="s">
        <v>1</v>
      </c>
      <c r="C6" s="28" t="s">
        <v>2</v>
      </c>
      <c r="D6" s="12" t="s">
        <v>26</v>
      </c>
      <c r="E6" s="12" t="s">
        <v>27</v>
      </c>
    </row>
    <row r="7" spans="1:9" ht="15.75" x14ac:dyDescent="0.25">
      <c r="A7" s="29">
        <v>1</v>
      </c>
      <c r="B7" s="29">
        <v>2</v>
      </c>
      <c r="C7" s="29">
        <v>3</v>
      </c>
      <c r="D7" s="27">
        <v>4</v>
      </c>
      <c r="E7" s="27">
        <v>5</v>
      </c>
    </row>
    <row r="8" spans="1:9" ht="15.75" x14ac:dyDescent="0.25">
      <c r="A8" s="4"/>
      <c r="B8" s="7" t="s">
        <v>7</v>
      </c>
      <c r="C8" s="29" t="s">
        <v>8</v>
      </c>
      <c r="D8" s="24"/>
      <c r="E8" s="22"/>
    </row>
    <row r="9" spans="1:9" ht="15.75" x14ac:dyDescent="0.25">
      <c r="A9" s="8">
        <v>1000</v>
      </c>
      <c r="B9" s="7" t="s">
        <v>9</v>
      </c>
      <c r="C9" s="109" t="s">
        <v>8</v>
      </c>
      <c r="D9" s="25">
        <f>D10+D15</f>
        <v>1.7399999999999998</v>
      </c>
      <c r="E9" s="43">
        <f>E10+E15</f>
        <v>2516.37</v>
      </c>
    </row>
    <row r="10" spans="1:9" ht="15.75" x14ac:dyDescent="0.25">
      <c r="A10" s="265">
        <v>1100</v>
      </c>
      <c r="B10" s="265" t="s">
        <v>10</v>
      </c>
      <c r="C10" s="109"/>
      <c r="D10" s="25">
        <f>D11+D14</f>
        <v>1.3599999999999999</v>
      </c>
      <c r="E10" s="43">
        <f>E11+E14</f>
        <v>1963.8300000000002</v>
      </c>
    </row>
    <row r="11" spans="1:9" ht="15.75" x14ac:dyDescent="0.25">
      <c r="A11" s="16">
        <v>1110</v>
      </c>
      <c r="B11" s="16" t="s">
        <v>217</v>
      </c>
      <c r="C11" s="137" t="s">
        <v>221</v>
      </c>
      <c r="D11" s="58">
        <f>D12+D13</f>
        <v>1.24</v>
      </c>
      <c r="E11" s="108">
        <f>E12+E13</f>
        <v>1785.3000000000002</v>
      </c>
    </row>
    <row r="12" spans="1:9" ht="78.75" x14ac:dyDescent="0.25">
      <c r="A12" s="126"/>
      <c r="B12" s="129"/>
      <c r="C12" s="142" t="s">
        <v>876</v>
      </c>
      <c r="D12" s="58">
        <f>ROUND((E12/1440),2)</f>
        <v>0.39</v>
      </c>
      <c r="E12" s="108">
        <f>ROUND((49.2*12*0.944),2)</f>
        <v>557.34</v>
      </c>
      <c r="H12" s="319"/>
      <c r="I12" s="331"/>
    </row>
    <row r="13" spans="1:9" ht="78.75" x14ac:dyDescent="0.25">
      <c r="A13" s="128"/>
      <c r="B13" s="131"/>
      <c r="C13" s="123" t="s">
        <v>877</v>
      </c>
      <c r="D13" s="58">
        <f>ROUND((E13/1440),2)</f>
        <v>0.85</v>
      </c>
      <c r="E13" s="108">
        <f>ROUND((108.4*12*0.944),2)</f>
        <v>1227.96</v>
      </c>
      <c r="I13" s="331"/>
    </row>
    <row r="14" spans="1:9" ht="47.25" x14ac:dyDescent="0.25">
      <c r="A14" s="122">
        <v>1140</v>
      </c>
      <c r="B14" s="5" t="s">
        <v>214</v>
      </c>
      <c r="C14" s="142" t="s">
        <v>878</v>
      </c>
      <c r="D14" s="58">
        <f t="shared" ref="D14:D17" si="0">ROUND((E14/1440),2)</f>
        <v>0.12</v>
      </c>
      <c r="E14" s="108">
        <f>ROUND((557.34*0.1+1227.96*0.1),2)</f>
        <v>178.53</v>
      </c>
      <c r="I14" s="331"/>
    </row>
    <row r="15" spans="1:9" ht="63.75" customHeight="1" x14ac:dyDescent="0.25">
      <c r="A15" s="7">
        <v>1200</v>
      </c>
      <c r="B15" s="156" t="s">
        <v>11</v>
      </c>
      <c r="C15" s="166" t="s">
        <v>881</v>
      </c>
      <c r="D15" s="83">
        <f>D16+D17</f>
        <v>0.38</v>
      </c>
      <c r="E15" s="86">
        <f>ROUND((E16+E17),2)</f>
        <v>552.54</v>
      </c>
      <c r="I15" s="331"/>
    </row>
    <row r="16" spans="1:9" ht="48" customHeight="1" x14ac:dyDescent="0.25">
      <c r="A16" s="4">
        <v>1210</v>
      </c>
      <c r="B16" s="5" t="s">
        <v>216</v>
      </c>
      <c r="C16" s="166" t="s">
        <v>879</v>
      </c>
      <c r="D16" s="58">
        <f t="shared" si="0"/>
        <v>0.32</v>
      </c>
      <c r="E16" s="108">
        <f>ROUND((1963.83*0.2359),2)</f>
        <v>463.27</v>
      </c>
      <c r="I16" s="331"/>
    </row>
    <row r="17" spans="1:9" ht="48.75" customHeight="1" x14ac:dyDescent="0.25">
      <c r="A17" s="4">
        <v>1227</v>
      </c>
      <c r="B17" s="5" t="s">
        <v>215</v>
      </c>
      <c r="C17" s="166" t="s">
        <v>880</v>
      </c>
      <c r="D17" s="58">
        <f t="shared" si="0"/>
        <v>0.06</v>
      </c>
      <c r="E17" s="108">
        <f>ROUND((557.34*0.05+1227.96*0.05),2)</f>
        <v>89.27</v>
      </c>
      <c r="I17" s="331"/>
    </row>
    <row r="18" spans="1:9" ht="15.75" x14ac:dyDescent="0.25">
      <c r="A18" s="4"/>
      <c r="B18" s="9" t="s">
        <v>14</v>
      </c>
      <c r="C18" s="30" t="s">
        <v>16</v>
      </c>
      <c r="D18" s="25">
        <f>D9</f>
        <v>1.7399999999999998</v>
      </c>
      <c r="E18" s="43">
        <f>E9/3.318</f>
        <v>758.39963833634715</v>
      </c>
      <c r="I18" s="331"/>
    </row>
    <row r="19" spans="1:9" ht="15.75" x14ac:dyDescent="0.25">
      <c r="A19" s="4"/>
      <c r="B19" s="9" t="s">
        <v>15</v>
      </c>
      <c r="C19" s="29" t="s">
        <v>8</v>
      </c>
      <c r="D19" s="22"/>
      <c r="E19" s="42"/>
      <c r="I19" s="331"/>
    </row>
    <row r="20" spans="1:9" ht="15.75" x14ac:dyDescent="0.25">
      <c r="A20" s="8">
        <v>1000</v>
      </c>
      <c r="B20" s="7" t="s">
        <v>9</v>
      </c>
      <c r="C20" s="29"/>
      <c r="D20" s="86">
        <f>SUM(D21+D32)</f>
        <v>2.4699999999999998</v>
      </c>
      <c r="E20" s="86">
        <f>SUM(E21+E32)</f>
        <v>3531.7200000000007</v>
      </c>
      <c r="I20" s="331"/>
    </row>
    <row r="21" spans="1:9" ht="15.75" x14ac:dyDescent="0.25">
      <c r="A21" s="4">
        <v>1100</v>
      </c>
      <c r="B21" s="4" t="s">
        <v>10</v>
      </c>
      <c r="C21" s="137" t="s">
        <v>223</v>
      </c>
      <c r="D21" s="86">
        <f>SUM(D22:D31)</f>
        <v>2</v>
      </c>
      <c r="E21" s="86">
        <f>SUM(E22:E31)</f>
        <v>2857.6100000000006</v>
      </c>
      <c r="I21" s="331"/>
    </row>
    <row r="22" spans="1:9" ht="78.75" x14ac:dyDescent="0.25">
      <c r="A22" s="222"/>
      <c r="B22" s="223"/>
      <c r="C22" s="36" t="s">
        <v>882</v>
      </c>
      <c r="D22" s="44">
        <f t="shared" ref="D22:D32" si="1">ROUND((E22/1440),2)</f>
        <v>0.02</v>
      </c>
      <c r="E22" s="44">
        <f>ROUND((2.64*12*0.944),2)</f>
        <v>29.91</v>
      </c>
      <c r="H22" s="319"/>
      <c r="I22" s="331"/>
    </row>
    <row r="23" spans="1:9" ht="78.75" x14ac:dyDescent="0.25">
      <c r="A23" s="401"/>
      <c r="B23" s="399"/>
      <c r="C23" s="113" t="s">
        <v>883</v>
      </c>
      <c r="D23" s="44">
        <f>ROUND((E23/1440+0.01),2)</f>
        <v>0.03</v>
      </c>
      <c r="E23" s="44">
        <f>ROUND((1.91*12*0.944),2)</f>
        <v>21.64</v>
      </c>
      <c r="H23" s="331"/>
      <c r="I23" s="331"/>
    </row>
    <row r="24" spans="1:9" ht="78.75" x14ac:dyDescent="0.25">
      <c r="A24" s="401"/>
      <c r="B24" s="399"/>
      <c r="C24" s="36" t="s">
        <v>884</v>
      </c>
      <c r="D24" s="44">
        <f t="shared" si="1"/>
        <v>0.02</v>
      </c>
      <c r="E24" s="44">
        <f>ROUND((2.87*12*0.944),2)</f>
        <v>32.51</v>
      </c>
      <c r="G24" s="319"/>
      <c r="H24" s="319"/>
      <c r="I24" s="331"/>
    </row>
    <row r="25" spans="1:9" ht="78.75" x14ac:dyDescent="0.25">
      <c r="A25" s="401"/>
      <c r="B25" s="399"/>
      <c r="C25" s="113" t="s">
        <v>885</v>
      </c>
      <c r="D25" s="44">
        <f t="shared" si="1"/>
        <v>0.04</v>
      </c>
      <c r="E25" s="44">
        <f>ROUND((5*12*0.944),2)</f>
        <v>56.64</v>
      </c>
      <c r="I25" s="331"/>
    </row>
    <row r="26" spans="1:9" ht="78.75" x14ac:dyDescent="0.25">
      <c r="A26" s="401"/>
      <c r="B26" s="399"/>
      <c r="C26" s="36" t="s">
        <v>886</v>
      </c>
      <c r="D26" s="44">
        <f t="shared" si="1"/>
        <v>0.02</v>
      </c>
      <c r="E26" s="44">
        <f>ROUND((2.8*12*0.944),2)</f>
        <v>31.72</v>
      </c>
      <c r="I26" s="331"/>
    </row>
    <row r="27" spans="1:9" ht="78.75" x14ac:dyDescent="0.25">
      <c r="A27" s="401"/>
      <c r="B27" s="399"/>
      <c r="C27" s="36" t="s">
        <v>887</v>
      </c>
      <c r="D27" s="44">
        <f t="shared" si="1"/>
        <v>0.6</v>
      </c>
      <c r="E27" s="44">
        <f>ROUND((76.52*12*0.944),2)</f>
        <v>866.82</v>
      </c>
      <c r="H27" s="319"/>
      <c r="I27" s="331"/>
    </row>
    <row r="28" spans="1:9" ht="78.75" x14ac:dyDescent="0.25">
      <c r="A28" s="401"/>
      <c r="B28" s="399"/>
      <c r="C28" s="36" t="s">
        <v>888</v>
      </c>
      <c r="D28" s="44">
        <f t="shared" si="1"/>
        <v>0.33</v>
      </c>
      <c r="E28" s="44">
        <f>ROUND((41.64*12*0.944),2)</f>
        <v>471.7</v>
      </c>
      <c r="H28" s="319"/>
      <c r="I28" s="331"/>
    </row>
    <row r="29" spans="1:9" ht="78.75" customHeight="1" x14ac:dyDescent="0.25">
      <c r="A29" s="401"/>
      <c r="B29" s="399"/>
      <c r="C29" s="36" t="s">
        <v>889</v>
      </c>
      <c r="D29" s="44">
        <f t="shared" si="1"/>
        <v>0.69</v>
      </c>
      <c r="E29" s="44">
        <f>ROUND((87.54*12*0.944),2)</f>
        <v>991.65</v>
      </c>
      <c r="H29" s="319"/>
      <c r="I29" s="331"/>
    </row>
    <row r="30" spans="1:9" ht="94.5" x14ac:dyDescent="0.25">
      <c r="A30" s="401"/>
      <c r="B30" s="399"/>
      <c r="C30" s="113" t="s">
        <v>890</v>
      </c>
      <c r="D30" s="44">
        <f t="shared" si="1"/>
        <v>0.2</v>
      </c>
      <c r="E30" s="44">
        <f>ROUND((25.09*12*0.944),2)</f>
        <v>284.22000000000003</v>
      </c>
      <c r="I30" s="331"/>
    </row>
    <row r="31" spans="1:9" ht="78.75" x14ac:dyDescent="0.25">
      <c r="A31" s="402"/>
      <c r="B31" s="400"/>
      <c r="C31" s="36" t="s">
        <v>891</v>
      </c>
      <c r="D31" s="44">
        <f t="shared" si="1"/>
        <v>0.05</v>
      </c>
      <c r="E31" s="44">
        <f>ROUND((6.25*12*0.944),2)</f>
        <v>70.8</v>
      </c>
      <c r="H31" s="331"/>
      <c r="I31" s="331"/>
    </row>
    <row r="32" spans="1:9" ht="62.25" customHeight="1" x14ac:dyDescent="0.25">
      <c r="A32" s="7">
        <v>1200</v>
      </c>
      <c r="B32" s="156" t="s">
        <v>11</v>
      </c>
      <c r="C32" s="115" t="s">
        <v>892</v>
      </c>
      <c r="D32" s="86">
        <f t="shared" si="1"/>
        <v>0.47</v>
      </c>
      <c r="E32" s="86">
        <f>ROUND((2857.61*0.2359),2)</f>
        <v>674.11</v>
      </c>
      <c r="I32" s="331"/>
    </row>
    <row r="33" spans="1:9" ht="15.75" x14ac:dyDescent="0.25">
      <c r="A33" s="8">
        <v>2000</v>
      </c>
      <c r="B33" s="7" t="s">
        <v>12</v>
      </c>
      <c r="C33" s="33"/>
      <c r="D33" s="23">
        <f>SUM(D34:D44)</f>
        <v>11.46</v>
      </c>
      <c r="E33" s="43">
        <f>SUM(E34:E44)</f>
        <v>16513.57</v>
      </c>
      <c r="I33" s="331"/>
    </row>
    <row r="34" spans="1:9" ht="31.5" customHeight="1" x14ac:dyDescent="0.25">
      <c r="A34" s="4">
        <v>2221</v>
      </c>
      <c r="B34" s="84" t="s">
        <v>54</v>
      </c>
      <c r="C34" s="5" t="s">
        <v>287</v>
      </c>
      <c r="D34" s="46">
        <f t="shared" ref="D34:D44" si="2">ROUND((E34/1440),2)</f>
        <v>3.26</v>
      </c>
      <c r="E34" s="108">
        <f>ROUND((4970.33*0.944),2)</f>
        <v>4691.99</v>
      </c>
      <c r="I34" s="331"/>
    </row>
    <row r="35" spans="1:9" ht="31.5" customHeight="1" x14ac:dyDescent="0.25">
      <c r="A35" s="4">
        <v>2222</v>
      </c>
      <c r="B35" s="118" t="s">
        <v>55</v>
      </c>
      <c r="C35" s="5" t="s">
        <v>288</v>
      </c>
      <c r="D35" s="45">
        <f t="shared" si="2"/>
        <v>0.37</v>
      </c>
      <c r="E35" s="44">
        <f>ROUND((563.3*0.944),2)</f>
        <v>531.76</v>
      </c>
      <c r="I35" s="331"/>
    </row>
    <row r="36" spans="1:9" ht="32.450000000000003" customHeight="1" x14ac:dyDescent="0.25">
      <c r="A36" s="4">
        <v>2223</v>
      </c>
      <c r="B36" s="118" t="s">
        <v>19</v>
      </c>
      <c r="C36" s="5" t="s">
        <v>289</v>
      </c>
      <c r="D36" s="27">
        <f t="shared" si="2"/>
        <v>1.67</v>
      </c>
      <c r="E36" s="44">
        <f>ROUND((2547.54*0.944),2)</f>
        <v>2404.88</v>
      </c>
      <c r="I36" s="331"/>
    </row>
    <row r="37" spans="1:9" ht="78.75" x14ac:dyDescent="0.25">
      <c r="A37" s="4">
        <v>2224</v>
      </c>
      <c r="B37" s="84" t="s">
        <v>56</v>
      </c>
      <c r="C37" s="32" t="s">
        <v>290</v>
      </c>
      <c r="D37" s="27">
        <f t="shared" si="2"/>
        <v>0.31</v>
      </c>
      <c r="E37" s="27">
        <f>ROUND((474.81*0.944),2)</f>
        <v>448.22</v>
      </c>
      <c r="I37" s="331"/>
    </row>
    <row r="38" spans="1:9" ht="47.25" customHeight="1" x14ac:dyDescent="0.25">
      <c r="A38" s="4">
        <v>2232</v>
      </c>
      <c r="B38" s="84" t="s">
        <v>42</v>
      </c>
      <c r="C38" s="32" t="s">
        <v>646</v>
      </c>
      <c r="D38" s="45">
        <f t="shared" si="2"/>
        <v>0</v>
      </c>
      <c r="E38" s="27">
        <f>ROUND((5.43*0.944),2)</f>
        <v>5.13</v>
      </c>
      <c r="I38" s="331"/>
    </row>
    <row r="39" spans="1:9" ht="31.5" x14ac:dyDescent="0.25">
      <c r="A39" s="4">
        <v>2241</v>
      </c>
      <c r="B39" s="84" t="s">
        <v>58</v>
      </c>
      <c r="C39" s="5" t="s">
        <v>291</v>
      </c>
      <c r="D39" s="27">
        <f t="shared" si="2"/>
        <v>1.05</v>
      </c>
      <c r="E39" s="27">
        <f>ROUND((1608.9*0.944),2)</f>
        <v>1518.8</v>
      </c>
      <c r="I39" s="331"/>
    </row>
    <row r="40" spans="1:9" ht="63" x14ac:dyDescent="0.25">
      <c r="A40" s="4">
        <v>2243</v>
      </c>
      <c r="B40" s="118" t="s">
        <v>21</v>
      </c>
      <c r="C40" s="5" t="s">
        <v>292</v>
      </c>
      <c r="D40" s="45">
        <f t="shared" si="2"/>
        <v>0.19</v>
      </c>
      <c r="E40" s="27">
        <f>ROUND((294.2*0.944),2)</f>
        <v>277.72000000000003</v>
      </c>
      <c r="I40" s="331"/>
    </row>
    <row r="41" spans="1:9" ht="47.25" x14ac:dyDescent="0.25">
      <c r="A41" s="4">
        <v>2244</v>
      </c>
      <c r="B41" s="118" t="s">
        <v>22</v>
      </c>
      <c r="C41" s="166" t="s">
        <v>293</v>
      </c>
      <c r="D41" s="27">
        <f t="shared" si="2"/>
        <v>4.2</v>
      </c>
      <c r="E41" s="44">
        <f>ROUND(6413.5*0.944,2)</f>
        <v>6054.34</v>
      </c>
      <c r="I41" s="331"/>
    </row>
    <row r="42" spans="1:9" ht="31.5" customHeight="1" x14ac:dyDescent="0.25">
      <c r="A42" s="4">
        <v>2312</v>
      </c>
      <c r="B42" s="173" t="s">
        <v>13</v>
      </c>
      <c r="C42" s="166" t="s">
        <v>294</v>
      </c>
      <c r="D42" s="45">
        <f t="shared" si="2"/>
        <v>0</v>
      </c>
      <c r="E42" s="27">
        <f>ROUND((2.42*0.944),2)</f>
        <v>2.2799999999999998</v>
      </c>
      <c r="I42" s="331"/>
    </row>
    <row r="43" spans="1:9" ht="47.25" customHeight="1" x14ac:dyDescent="0.25">
      <c r="A43" s="4">
        <v>2350</v>
      </c>
      <c r="B43" s="118" t="s">
        <v>213</v>
      </c>
      <c r="C43" s="166" t="s">
        <v>296</v>
      </c>
      <c r="D43" s="27">
        <f>ROUND((E43/1440),2)</f>
        <v>0.16</v>
      </c>
      <c r="E43" s="46">
        <f>ROUND((238.35*0.944),2)</f>
        <v>225</v>
      </c>
      <c r="I43" s="331"/>
    </row>
    <row r="44" spans="1:9" ht="31.5" x14ac:dyDescent="0.25">
      <c r="A44" s="4">
        <v>2513</v>
      </c>
      <c r="B44" s="118" t="s">
        <v>57</v>
      </c>
      <c r="C44" s="166" t="s">
        <v>295</v>
      </c>
      <c r="D44" s="45">
        <f t="shared" si="2"/>
        <v>0.25</v>
      </c>
      <c r="E44" s="27">
        <f>ROUND((374.42*0.944),2)</f>
        <v>353.45</v>
      </c>
      <c r="I44" s="331"/>
    </row>
    <row r="45" spans="1:9" ht="15.75" x14ac:dyDescent="0.25">
      <c r="A45" s="10">
        <v>5000</v>
      </c>
      <c r="B45" s="9" t="s">
        <v>17</v>
      </c>
      <c r="C45" s="268"/>
      <c r="D45" s="25">
        <f>SUM(D46:D49)</f>
        <v>1.75</v>
      </c>
      <c r="E45" s="25">
        <f>SUM(E46:E49)</f>
        <v>2529.81</v>
      </c>
      <c r="I45" s="331"/>
    </row>
    <row r="46" spans="1:9" ht="31.5" x14ac:dyDescent="0.25">
      <c r="A46" s="4">
        <v>5212</v>
      </c>
      <c r="B46" s="118" t="s">
        <v>31</v>
      </c>
      <c r="C46" s="166" t="s">
        <v>642</v>
      </c>
      <c r="D46" s="45">
        <f>ROUND((E46/1440),2)</f>
        <v>0.77</v>
      </c>
      <c r="E46" s="45">
        <f>ROUND((1181.38*0.944),2)</f>
        <v>1115.22</v>
      </c>
      <c r="I46" s="331"/>
    </row>
    <row r="47" spans="1:9" ht="31.5" customHeight="1" x14ac:dyDescent="0.25">
      <c r="A47" s="4">
        <v>5213</v>
      </c>
      <c r="B47" s="118" t="s">
        <v>32</v>
      </c>
      <c r="C47" s="166" t="s">
        <v>643</v>
      </c>
      <c r="D47" s="45">
        <f>ROUND((E47/1440),2)</f>
        <v>0</v>
      </c>
      <c r="E47" s="45">
        <f>ROUND((5.31*0.944),2)</f>
        <v>5.01</v>
      </c>
      <c r="I47" s="331"/>
    </row>
    <row r="48" spans="1:9" ht="30.75" customHeight="1" x14ac:dyDescent="0.25">
      <c r="A48" s="18">
        <v>5218</v>
      </c>
      <c r="B48" s="84" t="s">
        <v>33</v>
      </c>
      <c r="C48" s="166" t="s">
        <v>644</v>
      </c>
      <c r="D48" s="45">
        <f>ROUND((E48/1440),2)</f>
        <v>0.04</v>
      </c>
      <c r="E48" s="45">
        <f>ROUND((62.79*0.944),2)</f>
        <v>59.27</v>
      </c>
      <c r="I48" s="331"/>
    </row>
    <row r="49" spans="1:9" ht="46.5" customHeight="1" x14ac:dyDescent="0.25">
      <c r="A49" s="18">
        <v>5239</v>
      </c>
      <c r="B49" s="84" t="s">
        <v>18</v>
      </c>
      <c r="C49" s="166" t="s">
        <v>645</v>
      </c>
      <c r="D49" s="45">
        <f>ROUND((E49/1440),2)</f>
        <v>0.94</v>
      </c>
      <c r="E49" s="45">
        <f>ROUND((1430.41*0.944),2)</f>
        <v>1350.31</v>
      </c>
      <c r="I49" s="331"/>
    </row>
    <row r="50" spans="1:9" ht="15.75" x14ac:dyDescent="0.25">
      <c r="A50" s="161"/>
      <c r="B50" s="9" t="s">
        <v>23</v>
      </c>
      <c r="C50" s="29"/>
      <c r="D50" s="25">
        <f>SUM(D20+D33+D45)</f>
        <v>15.68</v>
      </c>
      <c r="E50" s="40">
        <f>SUM(E20+E33+E45)/3.318</f>
        <v>6803.8276069921649</v>
      </c>
      <c r="I50" s="331"/>
    </row>
    <row r="51" spans="1:9" ht="31.5" x14ac:dyDescent="0.25">
      <c r="A51" s="162"/>
      <c r="B51" s="11" t="s">
        <v>28</v>
      </c>
      <c r="C51" s="29"/>
      <c r="D51" s="26">
        <f>D18+D50</f>
        <v>17.419999999999998</v>
      </c>
      <c r="E51" s="41">
        <f>E18+E50</f>
        <v>7562.2272453285123</v>
      </c>
      <c r="I51" s="331"/>
    </row>
    <row r="52" spans="1:9" ht="15.75" x14ac:dyDescent="0.25">
      <c r="A52" s="162"/>
      <c r="B52" s="13" t="s">
        <v>29</v>
      </c>
      <c r="C52" s="29"/>
      <c r="D52" s="26">
        <f>D51*0.21</f>
        <v>3.6581999999999995</v>
      </c>
      <c r="E52" s="41">
        <f>E51*0.21</f>
        <v>1588.0677215189876</v>
      </c>
      <c r="I52" s="331"/>
    </row>
    <row r="53" spans="1:9" ht="31.5" x14ac:dyDescent="0.25">
      <c r="A53" s="6"/>
      <c r="B53" s="169" t="s">
        <v>30</v>
      </c>
      <c r="C53" s="170"/>
      <c r="D53" s="171">
        <f>D51*1.21</f>
        <v>21.078199999999995</v>
      </c>
      <c r="E53" s="172">
        <f>E51*1.21-1</f>
        <v>9149.2949668474994</v>
      </c>
      <c r="I53" s="331"/>
    </row>
    <row r="54" spans="1:9" ht="15.75" x14ac:dyDescent="0.25">
      <c r="A54" s="406" t="s">
        <v>1621</v>
      </c>
      <c r="B54" s="406"/>
      <c r="C54" s="406"/>
      <c r="D54" s="183">
        <v>434</v>
      </c>
      <c r="E54" s="8" t="s">
        <v>186</v>
      </c>
      <c r="I54" s="331"/>
    </row>
    <row r="55" spans="1:9" ht="33.950000000000003" customHeight="1" x14ac:dyDescent="0.25">
      <c r="A55" s="397" t="s">
        <v>59</v>
      </c>
      <c r="B55" s="397"/>
      <c r="C55" s="397"/>
      <c r="D55" s="350">
        <f>E53/D54</f>
        <v>21.081324808404375</v>
      </c>
      <c r="E55" s="8" t="s">
        <v>225</v>
      </c>
      <c r="I55" s="331"/>
    </row>
    <row r="56" spans="1:9" ht="15.75" x14ac:dyDescent="0.25">
      <c r="A56" s="1"/>
      <c r="B56" s="1"/>
      <c r="C56" s="1"/>
    </row>
    <row r="57" spans="1:9" x14ac:dyDescent="0.25">
      <c r="G57" s="319"/>
    </row>
  </sheetData>
  <mergeCells count="8">
    <mergeCell ref="A54:C54"/>
    <mergeCell ref="A55:C55"/>
    <mergeCell ref="A1:C1"/>
    <mergeCell ref="A23:A31"/>
    <mergeCell ref="B23:B31"/>
    <mergeCell ref="A4:B4"/>
    <mergeCell ref="A2:C2"/>
    <mergeCell ref="A3:C3"/>
  </mergeCells>
  <pageMargins left="0.7" right="0.7" top="0.75" bottom="0.75" header="0.3" footer="0.3"/>
  <pageSetup paperSize="9" orientation="landscape" r:id="rId1"/>
  <ignoredErrors>
    <ignoredError sqref="D23"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1659C-0F38-46CF-9421-4691D90D078B}">
  <dimension ref="A1:I57"/>
  <sheetViews>
    <sheetView topLeftCell="A45" zoomScaleNormal="100" workbookViewId="0">
      <selection activeCell="D55" sqref="D55"/>
    </sheetView>
  </sheetViews>
  <sheetFormatPr defaultRowHeight="15" x14ac:dyDescent="0.25"/>
  <cols>
    <col min="1" max="1" width="12.140625" customWidth="1"/>
    <col min="2" max="2" width="30.7109375" customWidth="1"/>
    <col min="3" max="3" width="60.140625" customWidth="1"/>
    <col min="4" max="4" width="10.5703125" customWidth="1"/>
    <col min="5" max="5" width="17.28515625" customWidth="1"/>
  </cols>
  <sheetData>
    <row r="1" spans="1:9" ht="18.75" x14ac:dyDescent="0.3">
      <c r="A1" s="404" t="s">
        <v>168</v>
      </c>
      <c r="B1" s="404"/>
      <c r="C1" s="404"/>
    </row>
    <row r="2" spans="1:9" ht="18.75" x14ac:dyDescent="0.3">
      <c r="A2" s="404" t="s">
        <v>37</v>
      </c>
      <c r="B2" s="404"/>
      <c r="C2" s="404"/>
    </row>
    <row r="3" spans="1:9" ht="15.75" customHeight="1" x14ac:dyDescent="0.25">
      <c r="A3" s="398" t="s">
        <v>171</v>
      </c>
      <c r="B3" s="398"/>
      <c r="C3" s="398"/>
    </row>
    <row r="4" spans="1:9" ht="18.75" x14ac:dyDescent="0.25">
      <c r="A4" s="405" t="s">
        <v>64</v>
      </c>
      <c r="B4" s="405"/>
      <c r="C4" s="111"/>
    </row>
    <row r="6" spans="1:9" ht="110.25" x14ac:dyDescent="0.25">
      <c r="A6" s="5" t="s">
        <v>0</v>
      </c>
      <c r="B6" s="5" t="s">
        <v>1</v>
      </c>
      <c r="C6" s="35" t="s">
        <v>2</v>
      </c>
      <c r="D6" s="152" t="s">
        <v>26</v>
      </c>
      <c r="E6" s="12" t="s">
        <v>27</v>
      </c>
    </row>
    <row r="7" spans="1:9" ht="15.75" x14ac:dyDescent="0.25">
      <c r="A7" s="33">
        <v>1</v>
      </c>
      <c r="B7" s="33">
        <v>2</v>
      </c>
      <c r="C7" s="33">
        <v>3</v>
      </c>
      <c r="D7" s="27">
        <v>4</v>
      </c>
      <c r="E7" s="27">
        <v>5</v>
      </c>
    </row>
    <row r="8" spans="1:9" ht="15.75" x14ac:dyDescent="0.25">
      <c r="A8" s="4"/>
      <c r="B8" s="7" t="s">
        <v>7</v>
      </c>
      <c r="C8" s="33" t="s">
        <v>8</v>
      </c>
      <c r="D8" s="24"/>
      <c r="E8" s="22"/>
    </row>
    <row r="9" spans="1:9" ht="15.75" x14ac:dyDescent="0.25">
      <c r="A9" s="8">
        <v>1000</v>
      </c>
      <c r="B9" s="7" t="s">
        <v>9</v>
      </c>
      <c r="C9" s="269" t="s">
        <v>8</v>
      </c>
      <c r="D9" s="25">
        <f>D10+D15</f>
        <v>0.31</v>
      </c>
      <c r="E9" s="43">
        <f>E10+E15</f>
        <v>149.26000000000002</v>
      </c>
      <c r="G9" s="1"/>
    </row>
    <row r="10" spans="1:9" ht="15.75" x14ac:dyDescent="0.25">
      <c r="A10" s="265">
        <v>1100</v>
      </c>
      <c r="B10" s="265" t="s">
        <v>10</v>
      </c>
      <c r="C10" s="269"/>
      <c r="D10" s="25">
        <f>D11+D14</f>
        <v>0.24</v>
      </c>
      <c r="E10" s="43">
        <f>E11+E14</f>
        <v>116.49000000000001</v>
      </c>
    </row>
    <row r="11" spans="1:9" ht="15.75" x14ac:dyDescent="0.25">
      <c r="A11" s="16">
        <v>1110</v>
      </c>
      <c r="B11" s="16" t="s">
        <v>217</v>
      </c>
      <c r="C11" s="137" t="s">
        <v>221</v>
      </c>
      <c r="D11" s="58">
        <f>D12+D13</f>
        <v>0.22</v>
      </c>
      <c r="E11" s="108">
        <f>E12+E13</f>
        <v>105.9</v>
      </c>
    </row>
    <row r="12" spans="1:9" ht="77.45" customHeight="1" x14ac:dyDescent="0.25">
      <c r="A12" s="126"/>
      <c r="B12" s="129"/>
      <c r="C12" s="142" t="s">
        <v>893</v>
      </c>
      <c r="D12" s="58">
        <f>ROUND((E12/480),2)</f>
        <v>7.0000000000000007E-2</v>
      </c>
      <c r="E12" s="108">
        <f>ROUND((49.2*12*0.056),2)</f>
        <v>33.06</v>
      </c>
      <c r="I12" s="82"/>
    </row>
    <row r="13" spans="1:9" ht="78.95" customHeight="1" x14ac:dyDescent="0.25">
      <c r="A13" s="128"/>
      <c r="B13" s="131"/>
      <c r="C13" s="123" t="s">
        <v>894</v>
      </c>
      <c r="D13" s="58">
        <f>ROUND((E13/480),2)</f>
        <v>0.15</v>
      </c>
      <c r="E13" s="108">
        <f>ROUND((108.4*12*0.056),2)</f>
        <v>72.84</v>
      </c>
      <c r="H13" s="39"/>
      <c r="I13" s="82"/>
    </row>
    <row r="14" spans="1:9" ht="47.25" x14ac:dyDescent="0.25">
      <c r="A14" s="122">
        <v>1140</v>
      </c>
      <c r="B14" s="5" t="s">
        <v>214</v>
      </c>
      <c r="C14" s="142" t="s">
        <v>895</v>
      </c>
      <c r="D14" s="58">
        <f>ROUND((E14/480),2)</f>
        <v>0.02</v>
      </c>
      <c r="E14" s="108">
        <f>ROUND((33.06*0.1+72.84*0.1),2)</f>
        <v>10.59</v>
      </c>
      <c r="I14" s="82"/>
    </row>
    <row r="15" spans="1:9" ht="61.5" customHeight="1" x14ac:dyDescent="0.25">
      <c r="A15" s="7">
        <v>1200</v>
      </c>
      <c r="B15" s="156" t="s">
        <v>11</v>
      </c>
      <c r="C15" s="166" t="s">
        <v>898</v>
      </c>
      <c r="D15" s="83">
        <f>D16+D17</f>
        <v>6.9999999999999993E-2</v>
      </c>
      <c r="E15" s="86">
        <f>ROUND((E16+E17),2)</f>
        <v>32.770000000000003</v>
      </c>
      <c r="I15" s="82"/>
    </row>
    <row r="16" spans="1:9" ht="31.5" customHeight="1" x14ac:dyDescent="0.25">
      <c r="A16" s="4">
        <v>1210</v>
      </c>
      <c r="B16" s="5" t="s">
        <v>216</v>
      </c>
      <c r="C16" s="166" t="s">
        <v>896</v>
      </c>
      <c r="D16" s="58">
        <f>ROUND((E16/480),2)</f>
        <v>0.06</v>
      </c>
      <c r="E16" s="108">
        <f>ROUND((116.49*0.2359),2)</f>
        <v>27.48</v>
      </c>
      <c r="I16" s="82"/>
    </row>
    <row r="17" spans="1:9" ht="47.25" customHeight="1" x14ac:dyDescent="0.25">
      <c r="A17" s="4">
        <v>1227</v>
      </c>
      <c r="B17" s="5" t="s">
        <v>215</v>
      </c>
      <c r="C17" s="166" t="s">
        <v>897</v>
      </c>
      <c r="D17" s="58">
        <f>ROUND((E17/480),2)</f>
        <v>0.01</v>
      </c>
      <c r="E17" s="108">
        <f>ROUND((33.06*0.05+72.84*0.05-0.01),2)</f>
        <v>5.29</v>
      </c>
      <c r="I17" s="82"/>
    </row>
    <row r="18" spans="1:9" ht="15.75" x14ac:dyDescent="0.25">
      <c r="A18" s="4"/>
      <c r="B18" s="9" t="s">
        <v>14</v>
      </c>
      <c r="C18" s="34" t="s">
        <v>16</v>
      </c>
      <c r="D18" s="25">
        <f>D9</f>
        <v>0.31</v>
      </c>
      <c r="E18" s="43">
        <f>E9/9.4118</f>
        <v>15.858815529441767</v>
      </c>
    </row>
    <row r="19" spans="1:9" ht="15.75" x14ac:dyDescent="0.25">
      <c r="A19" s="4"/>
      <c r="B19" s="9" t="s">
        <v>15</v>
      </c>
      <c r="C19" s="33" t="s">
        <v>8</v>
      </c>
      <c r="D19" s="22"/>
      <c r="E19" s="42"/>
    </row>
    <row r="20" spans="1:9" ht="15.75" x14ac:dyDescent="0.25">
      <c r="A20" s="8">
        <v>1000</v>
      </c>
      <c r="B20" s="7" t="s">
        <v>9</v>
      </c>
      <c r="C20" s="33"/>
      <c r="D20" s="300">
        <f>SUM(D21+D32)</f>
        <v>0.43</v>
      </c>
      <c r="E20" s="300">
        <f>SUM(E21+E32)</f>
        <v>209.5</v>
      </c>
    </row>
    <row r="21" spans="1:9" ht="15.75" x14ac:dyDescent="0.25">
      <c r="A21" s="7">
        <v>1100</v>
      </c>
      <c r="B21" s="7" t="s">
        <v>10</v>
      </c>
      <c r="C21" s="137" t="s">
        <v>223</v>
      </c>
      <c r="D21" s="300">
        <f>SUM(D22:D31)</f>
        <v>0.35</v>
      </c>
      <c r="E21" s="301">
        <f>SUM(E22:E31)</f>
        <v>169.51</v>
      </c>
    </row>
    <row r="22" spans="1:9" ht="77.25" customHeight="1" x14ac:dyDescent="0.25">
      <c r="A22" s="222"/>
      <c r="B22" s="223"/>
      <c r="C22" s="142" t="s">
        <v>899</v>
      </c>
      <c r="D22" s="45">
        <f t="shared" ref="D22:D32" si="0">ROUND((E22/480),2)</f>
        <v>0</v>
      </c>
      <c r="E22" s="27">
        <f>ROUND((2.64*12*0.056),2)</f>
        <v>1.77</v>
      </c>
      <c r="G22" s="82"/>
    </row>
    <row r="23" spans="1:9" ht="78.75" x14ac:dyDescent="0.25">
      <c r="A23" s="401"/>
      <c r="B23" s="399"/>
      <c r="C23" s="142" t="s">
        <v>900</v>
      </c>
      <c r="D23" s="45">
        <f t="shared" si="0"/>
        <v>0</v>
      </c>
      <c r="E23" s="45">
        <f>ROUND((1.91*12*0.056),2)</f>
        <v>1.28</v>
      </c>
      <c r="G23" s="82"/>
    </row>
    <row r="24" spans="1:9" ht="78.75" x14ac:dyDescent="0.25">
      <c r="A24" s="401"/>
      <c r="B24" s="399"/>
      <c r="C24" s="142" t="s">
        <v>901</v>
      </c>
      <c r="D24" s="45">
        <f t="shared" si="0"/>
        <v>0</v>
      </c>
      <c r="E24" s="27">
        <f>ROUND((2.87*12*0.056),2)</f>
        <v>1.93</v>
      </c>
      <c r="G24" s="82"/>
    </row>
    <row r="25" spans="1:9" ht="78.75" x14ac:dyDescent="0.25">
      <c r="A25" s="401"/>
      <c r="B25" s="399"/>
      <c r="C25" s="142" t="s">
        <v>902</v>
      </c>
      <c r="D25" s="45">
        <f t="shared" si="0"/>
        <v>0.01</v>
      </c>
      <c r="E25" s="27">
        <f>ROUND((5*12*0.056),2)</f>
        <v>3.36</v>
      </c>
      <c r="G25" s="50"/>
    </row>
    <row r="26" spans="1:9" ht="78.75" x14ac:dyDescent="0.25">
      <c r="A26" s="401"/>
      <c r="B26" s="399"/>
      <c r="C26" s="142" t="s">
        <v>903</v>
      </c>
      <c r="D26" s="45">
        <f t="shared" si="0"/>
        <v>0</v>
      </c>
      <c r="E26" s="27">
        <f>ROUND((2.8*12*0.056),2)</f>
        <v>1.88</v>
      </c>
      <c r="G26" s="82"/>
    </row>
    <row r="27" spans="1:9" ht="78.75" x14ac:dyDescent="0.25">
      <c r="A27" s="401"/>
      <c r="B27" s="399"/>
      <c r="C27" s="142" t="s">
        <v>904</v>
      </c>
      <c r="D27" s="27">
        <f t="shared" si="0"/>
        <v>0.11</v>
      </c>
      <c r="E27" s="27">
        <f>ROUND((76.52*12*0.056),2)</f>
        <v>51.42</v>
      </c>
      <c r="G27" s="82"/>
    </row>
    <row r="28" spans="1:9" ht="78" customHeight="1" x14ac:dyDescent="0.25">
      <c r="A28" s="401"/>
      <c r="B28" s="399"/>
      <c r="C28" s="142" t="s">
        <v>905</v>
      </c>
      <c r="D28" s="27">
        <f t="shared" si="0"/>
        <v>0.06</v>
      </c>
      <c r="E28" s="27">
        <f>ROUND((41.64*12*0.056),2)</f>
        <v>27.98</v>
      </c>
      <c r="G28" s="39"/>
    </row>
    <row r="29" spans="1:9" ht="78.75" x14ac:dyDescent="0.25">
      <c r="A29" s="401"/>
      <c r="B29" s="399"/>
      <c r="C29" s="142" t="s">
        <v>906</v>
      </c>
      <c r="D29" s="27">
        <f>ROUND((E29/480-0.005),2)</f>
        <v>0.12</v>
      </c>
      <c r="E29" s="27">
        <f>ROUND((87.54*12*0.056),2)</f>
        <v>58.83</v>
      </c>
      <c r="G29" s="82"/>
    </row>
    <row r="30" spans="1:9" ht="94.5" customHeight="1" x14ac:dyDescent="0.25">
      <c r="A30" s="401"/>
      <c r="B30" s="399"/>
      <c r="C30" s="142" t="s">
        <v>907</v>
      </c>
      <c r="D30" s="27">
        <f t="shared" si="0"/>
        <v>0.04</v>
      </c>
      <c r="E30" s="27">
        <f>ROUND((25.09*12*0.056),2)</f>
        <v>16.86</v>
      </c>
      <c r="G30" s="82"/>
    </row>
    <row r="31" spans="1:9" ht="78.75" x14ac:dyDescent="0.25">
      <c r="A31" s="402"/>
      <c r="B31" s="400"/>
      <c r="C31" s="142" t="s">
        <v>908</v>
      </c>
      <c r="D31" s="45">
        <f t="shared" si="0"/>
        <v>0.01</v>
      </c>
      <c r="E31" s="45">
        <f>ROUND((6.25*12*0.056),2)</f>
        <v>4.2</v>
      </c>
      <c r="G31" s="82"/>
    </row>
    <row r="32" spans="1:9" ht="62.1" customHeight="1" x14ac:dyDescent="0.25">
      <c r="A32" s="7">
        <v>1200</v>
      </c>
      <c r="B32" s="156" t="s">
        <v>11</v>
      </c>
      <c r="C32" s="115" t="s">
        <v>909</v>
      </c>
      <c r="D32" s="83">
        <f t="shared" si="0"/>
        <v>0.08</v>
      </c>
      <c r="E32" s="86">
        <f>ROUND((169.51*0.2359),2)</f>
        <v>39.99</v>
      </c>
      <c r="G32" s="82"/>
    </row>
    <row r="33" spans="1:7" ht="15.75" x14ac:dyDescent="0.25">
      <c r="A33" s="8">
        <v>2000</v>
      </c>
      <c r="B33" s="7" t="s">
        <v>12</v>
      </c>
      <c r="C33" s="33"/>
      <c r="D33" s="83">
        <f>SUM(D34:D44)</f>
        <v>2.04</v>
      </c>
      <c r="E33" s="43">
        <f>SUM(E34:E44)</f>
        <v>979.63000000000011</v>
      </c>
      <c r="G33" s="82"/>
    </row>
    <row r="34" spans="1:7" ht="30.75" customHeight="1" x14ac:dyDescent="0.25">
      <c r="A34" s="4">
        <v>2221</v>
      </c>
      <c r="B34" s="84" t="s">
        <v>54</v>
      </c>
      <c r="C34" s="5" t="s">
        <v>297</v>
      </c>
      <c r="D34" s="27">
        <f t="shared" ref="D34:D44" si="1">ROUND((E34/480),2)</f>
        <v>0.57999999999999996</v>
      </c>
      <c r="E34" s="44">
        <f>ROUND((4970.33*0.056),2)</f>
        <v>278.33999999999997</v>
      </c>
      <c r="G34" s="82"/>
    </row>
    <row r="35" spans="1:7" ht="31.5" x14ac:dyDescent="0.25">
      <c r="A35" s="4">
        <v>2222</v>
      </c>
      <c r="B35" s="118" t="s">
        <v>55</v>
      </c>
      <c r="C35" s="5" t="s">
        <v>298</v>
      </c>
      <c r="D35" s="27">
        <f t="shared" si="1"/>
        <v>7.0000000000000007E-2</v>
      </c>
      <c r="E35" s="44">
        <f>ROUND((563.3*0.056),2)</f>
        <v>31.54</v>
      </c>
      <c r="G35" s="82"/>
    </row>
    <row r="36" spans="1:7" ht="31.5" x14ac:dyDescent="0.25">
      <c r="A36" s="4">
        <v>2223</v>
      </c>
      <c r="B36" s="118" t="s">
        <v>19</v>
      </c>
      <c r="C36" s="5" t="s">
        <v>299</v>
      </c>
      <c r="D36" s="27">
        <f t="shared" si="1"/>
        <v>0.3</v>
      </c>
      <c r="E36" s="44">
        <f>ROUND((2547.54* 0.056),2)</f>
        <v>142.66</v>
      </c>
      <c r="G36" s="82"/>
    </row>
    <row r="37" spans="1:7" ht="61.5" customHeight="1" x14ac:dyDescent="0.25">
      <c r="A37" s="4">
        <v>2224</v>
      </c>
      <c r="B37" s="84" t="s">
        <v>56</v>
      </c>
      <c r="C37" s="32" t="s">
        <v>300</v>
      </c>
      <c r="D37" s="27">
        <f>ROUND((E37/480-0.005),2)</f>
        <v>0.05</v>
      </c>
      <c r="E37" s="27">
        <f>ROUND((474.81* 0.056),2)</f>
        <v>26.59</v>
      </c>
      <c r="G37" s="82"/>
    </row>
    <row r="38" spans="1:7" ht="49.5" customHeight="1" x14ac:dyDescent="0.25">
      <c r="A38" s="164">
        <v>2232</v>
      </c>
      <c r="B38" s="84" t="s">
        <v>42</v>
      </c>
      <c r="C38" s="32" t="s">
        <v>647</v>
      </c>
      <c r="D38" s="45">
        <f>ROUND((E38/480),2)</f>
        <v>0</v>
      </c>
      <c r="E38" s="27">
        <f>ROUND((5.43* 0.056),2)</f>
        <v>0.3</v>
      </c>
      <c r="G38" s="82"/>
    </row>
    <row r="39" spans="1:7" ht="31.5" x14ac:dyDescent="0.25">
      <c r="A39" s="164">
        <v>2241</v>
      </c>
      <c r="B39" s="84" t="s">
        <v>58</v>
      </c>
      <c r="C39" s="5" t="s">
        <v>301</v>
      </c>
      <c r="D39" s="27">
        <f t="shared" si="1"/>
        <v>0.19</v>
      </c>
      <c r="E39" s="45">
        <f>ROUND((1608.9*0.056),2)</f>
        <v>90.1</v>
      </c>
      <c r="G39" s="82"/>
    </row>
    <row r="40" spans="1:7" ht="61.5" customHeight="1" x14ac:dyDescent="0.25">
      <c r="A40" s="164">
        <v>2243</v>
      </c>
      <c r="B40" s="118" t="s">
        <v>21</v>
      </c>
      <c r="C40" s="5" t="s">
        <v>302</v>
      </c>
      <c r="D40" s="27">
        <f t="shared" si="1"/>
        <v>0.03</v>
      </c>
      <c r="E40" s="27">
        <f>ROUND((294.2*0.056),2)</f>
        <v>16.48</v>
      </c>
      <c r="G40" s="50"/>
    </row>
    <row r="41" spans="1:7" ht="47.25" x14ac:dyDescent="0.25">
      <c r="A41" s="4">
        <v>2244</v>
      </c>
      <c r="B41" s="173" t="s">
        <v>22</v>
      </c>
      <c r="C41" s="166" t="s">
        <v>303</v>
      </c>
      <c r="D41" s="27">
        <f>ROUND((E41/480),2)</f>
        <v>0.75</v>
      </c>
      <c r="E41" s="44">
        <f>ROUND(6413.5*0.056,2)</f>
        <v>359.16</v>
      </c>
      <c r="G41" s="50"/>
    </row>
    <row r="42" spans="1:7" ht="32.25" customHeight="1" x14ac:dyDescent="0.25">
      <c r="A42" s="4">
        <v>2312</v>
      </c>
      <c r="B42" s="173" t="s">
        <v>13</v>
      </c>
      <c r="C42" s="166" t="s">
        <v>304</v>
      </c>
      <c r="D42" s="45">
        <f t="shared" si="1"/>
        <v>0</v>
      </c>
      <c r="E42" s="45">
        <f>ROUND((2.42*0.056),2)</f>
        <v>0.14000000000000001</v>
      </c>
      <c r="G42" s="82"/>
    </row>
    <row r="43" spans="1:7" ht="45.75" customHeight="1" x14ac:dyDescent="0.25">
      <c r="A43" s="4">
        <v>2350</v>
      </c>
      <c r="B43" s="118" t="s">
        <v>213</v>
      </c>
      <c r="C43" s="166" t="s">
        <v>305</v>
      </c>
      <c r="D43" s="27">
        <f t="shared" si="1"/>
        <v>0.03</v>
      </c>
      <c r="E43" s="46">
        <f>ROUND((238.35*0.056),2)</f>
        <v>13.35</v>
      </c>
      <c r="G43" s="82"/>
    </row>
    <row r="44" spans="1:7" ht="33" customHeight="1" x14ac:dyDescent="0.25">
      <c r="A44" s="4">
        <v>2513</v>
      </c>
      <c r="B44" s="118" t="s">
        <v>57</v>
      </c>
      <c r="C44" s="166" t="s">
        <v>306</v>
      </c>
      <c r="D44" s="45">
        <f t="shared" si="1"/>
        <v>0.04</v>
      </c>
      <c r="E44" s="45">
        <f>ROUND((374.42*0.056),2)</f>
        <v>20.97</v>
      </c>
      <c r="G44" s="82"/>
    </row>
    <row r="45" spans="1:7" ht="15.75" x14ac:dyDescent="0.25">
      <c r="A45" s="10">
        <v>5000</v>
      </c>
      <c r="B45" s="9" t="s">
        <v>17</v>
      </c>
      <c r="C45" s="33"/>
      <c r="D45" s="25">
        <f>SUM(D46:D49)</f>
        <v>0.32000000000000006</v>
      </c>
      <c r="E45" s="25">
        <f>SUM(E46:E49)</f>
        <v>150.07999999999998</v>
      </c>
      <c r="G45" s="82"/>
    </row>
    <row r="46" spans="1:7" ht="31.5" customHeight="1" x14ac:dyDescent="0.25">
      <c r="A46" s="4">
        <v>5212</v>
      </c>
      <c r="B46" s="118" t="s">
        <v>31</v>
      </c>
      <c r="C46" s="166" t="s">
        <v>648</v>
      </c>
      <c r="D46" s="45">
        <f>ROUND((E46/480),2)</f>
        <v>0.14000000000000001</v>
      </c>
      <c r="E46" s="45">
        <f>ROUND((1181.38*0.056),2)</f>
        <v>66.16</v>
      </c>
      <c r="G46" s="82"/>
    </row>
    <row r="47" spans="1:7" ht="30.75" customHeight="1" x14ac:dyDescent="0.25">
      <c r="A47" s="4">
        <v>5213</v>
      </c>
      <c r="B47" s="118" t="s">
        <v>32</v>
      </c>
      <c r="C47" s="166" t="s">
        <v>649</v>
      </c>
      <c r="D47" s="45">
        <f>ROUND((E47/480),2)</f>
        <v>0</v>
      </c>
      <c r="E47" s="45">
        <f>ROUND((5.31*0.056),2)</f>
        <v>0.3</v>
      </c>
      <c r="G47" s="82"/>
    </row>
    <row r="48" spans="1:7" ht="30" customHeight="1" x14ac:dyDescent="0.25">
      <c r="A48" s="18">
        <v>5218</v>
      </c>
      <c r="B48" s="84" t="s">
        <v>33</v>
      </c>
      <c r="C48" s="166" t="s">
        <v>650</v>
      </c>
      <c r="D48" s="45">
        <f>ROUND((E48/480),2)</f>
        <v>0.01</v>
      </c>
      <c r="E48" s="45">
        <f>ROUND((62.79*0.056),2)</f>
        <v>3.52</v>
      </c>
      <c r="G48" s="82"/>
    </row>
    <row r="49" spans="1:7" ht="47.25" x14ac:dyDescent="0.25">
      <c r="A49" s="18">
        <v>5239</v>
      </c>
      <c r="B49" s="84" t="s">
        <v>18</v>
      </c>
      <c r="C49" s="166" t="s">
        <v>651</v>
      </c>
      <c r="D49" s="45">
        <f>ROUND((E49/480),2)</f>
        <v>0.17</v>
      </c>
      <c r="E49" s="45">
        <f>ROUND((1430.41*0.056),2)</f>
        <v>80.099999999999994</v>
      </c>
      <c r="G49" s="82"/>
    </row>
    <row r="50" spans="1:7" ht="15.75" x14ac:dyDescent="0.25">
      <c r="A50" s="4"/>
      <c r="B50" s="9" t="s">
        <v>23</v>
      </c>
      <c r="C50" s="33"/>
      <c r="D50" s="25">
        <f>SUM(D20+D33+D45)</f>
        <v>2.79</v>
      </c>
      <c r="E50" s="40">
        <f>SUM(E20+E33+E45)/9.4118</f>
        <v>142.2905289105166</v>
      </c>
      <c r="G50" s="82"/>
    </row>
    <row r="51" spans="1:7" ht="31.5" x14ac:dyDescent="0.25">
      <c r="A51" s="4"/>
      <c r="B51" s="11" t="s">
        <v>28</v>
      </c>
      <c r="C51" s="33"/>
      <c r="D51" s="26">
        <f>D18+D50</f>
        <v>3.1</v>
      </c>
      <c r="E51" s="41">
        <f>E18+E50</f>
        <v>158.14934443995836</v>
      </c>
      <c r="G51" s="82"/>
    </row>
    <row r="52" spans="1:7" ht="15.75" x14ac:dyDescent="0.25">
      <c r="A52" s="20"/>
      <c r="B52" s="13" t="s">
        <v>29</v>
      </c>
      <c r="C52" s="33"/>
      <c r="D52" s="26">
        <f>D51*0.21</f>
        <v>0.65100000000000002</v>
      </c>
      <c r="E52" s="41">
        <f>E51*0.21</f>
        <v>33.211362332391253</v>
      </c>
      <c r="G52" s="82"/>
    </row>
    <row r="53" spans="1:7" ht="31.5" x14ac:dyDescent="0.25">
      <c r="A53" s="20"/>
      <c r="B53" s="169" t="s">
        <v>30</v>
      </c>
      <c r="C53" s="170"/>
      <c r="D53" s="171">
        <f>D51*1.21</f>
        <v>3.7509999999999999</v>
      </c>
      <c r="E53" s="172">
        <f>E51*1.21</f>
        <v>191.3607067723496</v>
      </c>
      <c r="G53" s="82"/>
    </row>
    <row r="54" spans="1:7" ht="15.75" x14ac:dyDescent="0.25">
      <c r="A54" s="406" t="s">
        <v>1622</v>
      </c>
      <c r="B54" s="406"/>
      <c r="C54" s="406"/>
      <c r="D54" s="8">
        <v>51</v>
      </c>
      <c r="E54" s="8" t="s">
        <v>186</v>
      </c>
    </row>
    <row r="55" spans="1:7" ht="33.950000000000003" customHeight="1" x14ac:dyDescent="0.25">
      <c r="A55" s="397" t="s">
        <v>59</v>
      </c>
      <c r="B55" s="397"/>
      <c r="C55" s="397"/>
      <c r="D55" s="350">
        <f>ROUND((E53/D54),2)</f>
        <v>3.75</v>
      </c>
      <c r="E55" s="8" t="s">
        <v>225</v>
      </c>
    </row>
    <row r="56" spans="1:7" ht="15.75" x14ac:dyDescent="0.25">
      <c r="A56" s="1"/>
      <c r="B56" s="1"/>
      <c r="C56" s="1"/>
    </row>
    <row r="57" spans="1:7" x14ac:dyDescent="0.25">
      <c r="G57" s="39"/>
    </row>
  </sheetData>
  <mergeCells count="8">
    <mergeCell ref="A54:C54"/>
    <mergeCell ref="A55:C55"/>
    <mergeCell ref="A1:C1"/>
    <mergeCell ref="A2:C2"/>
    <mergeCell ref="A3:C3"/>
    <mergeCell ref="A23:A31"/>
    <mergeCell ref="B23:B31"/>
    <mergeCell ref="A4:B4"/>
  </mergeCells>
  <pageMargins left="0.7" right="0.7" top="0.75" bottom="0.75" header="0.3" footer="0.3"/>
  <pageSetup paperSize="9" orientation="landscape" r:id="rId1"/>
  <rowBreaks count="5" manualBreakCount="5">
    <brk id="14" max="4" man="1"/>
    <brk id="23" max="16383" man="1"/>
    <brk id="29" max="16383" man="1"/>
    <brk id="38" max="16383" man="1"/>
    <brk id="48"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0A53B-1DA9-4240-8F54-28F77D259DFF}">
  <dimension ref="A1:H60"/>
  <sheetViews>
    <sheetView topLeftCell="A43" zoomScaleNormal="100" workbookViewId="0">
      <selection activeCell="D58" sqref="D58"/>
    </sheetView>
  </sheetViews>
  <sheetFormatPr defaultRowHeight="15" x14ac:dyDescent="0.25"/>
  <cols>
    <col min="1" max="1" width="13.140625" customWidth="1"/>
    <col min="2" max="2" width="27.42578125" customWidth="1"/>
    <col min="3" max="3" width="65.5703125" customWidth="1"/>
    <col min="4" max="4" width="9.85546875" customWidth="1"/>
    <col min="5" max="5" width="17.5703125" customWidth="1"/>
  </cols>
  <sheetData>
    <row r="1" spans="1:7" ht="18.75" x14ac:dyDescent="0.3">
      <c r="A1" s="404" t="s">
        <v>168</v>
      </c>
      <c r="B1" s="404"/>
      <c r="C1" s="404"/>
    </row>
    <row r="2" spans="1:7" ht="18.75" x14ac:dyDescent="0.25">
      <c r="A2" s="107" t="s">
        <v>189</v>
      </c>
      <c r="B2" s="107"/>
      <c r="C2" s="107"/>
      <c r="D2" s="107"/>
      <c r="E2" s="107"/>
    </row>
    <row r="3" spans="1:7" ht="15.75" x14ac:dyDescent="0.25">
      <c r="A3" s="405" t="s">
        <v>64</v>
      </c>
      <c r="B3" s="405"/>
    </row>
    <row r="5" spans="1:7" ht="78.75" x14ac:dyDescent="0.25">
      <c r="A5" s="139" t="s">
        <v>0</v>
      </c>
      <c r="B5" s="139" t="s">
        <v>1</v>
      </c>
      <c r="C5" s="139" t="s">
        <v>2</v>
      </c>
      <c r="D5" s="152" t="s">
        <v>26</v>
      </c>
      <c r="E5" s="152" t="s">
        <v>27</v>
      </c>
    </row>
    <row r="6" spans="1:7" ht="15.75" x14ac:dyDescent="0.25">
      <c r="A6" s="47">
        <v>1</v>
      </c>
      <c r="B6" s="47">
        <v>2</v>
      </c>
      <c r="C6" s="47">
        <v>3</v>
      </c>
      <c r="D6" s="27">
        <v>4</v>
      </c>
      <c r="E6" s="27">
        <v>5</v>
      </c>
    </row>
    <row r="7" spans="1:7" ht="15.75" x14ac:dyDescent="0.25">
      <c r="A7" s="4"/>
      <c r="B7" s="7" t="s">
        <v>7</v>
      </c>
      <c r="C7" s="47" t="s">
        <v>8</v>
      </c>
      <c r="D7" s="24"/>
      <c r="E7" s="22"/>
    </row>
    <row r="8" spans="1:7" ht="15.75" x14ac:dyDescent="0.25">
      <c r="A8" s="8">
        <v>1000</v>
      </c>
      <c r="B8" s="7" t="s">
        <v>9</v>
      </c>
      <c r="C8" s="47"/>
      <c r="D8" s="43">
        <f>D9+D17</f>
        <v>13.7</v>
      </c>
      <c r="E8" s="43">
        <f>E9+E17</f>
        <v>3422.84</v>
      </c>
      <c r="G8" s="1"/>
    </row>
    <row r="9" spans="1:7" ht="15.75" x14ac:dyDescent="0.25">
      <c r="A9" s="265">
        <v>1100</v>
      </c>
      <c r="B9" s="265" t="s">
        <v>10</v>
      </c>
      <c r="D9" s="43">
        <f>SUM(D10+D16)</f>
        <v>10.69</v>
      </c>
      <c r="E9" s="43">
        <f>SUM(E10+E16)</f>
        <v>2671.27</v>
      </c>
    </row>
    <row r="10" spans="1:7" ht="15.75" x14ac:dyDescent="0.25">
      <c r="A10" s="16">
        <v>1110</v>
      </c>
      <c r="B10" s="16" t="s">
        <v>217</v>
      </c>
      <c r="C10" s="137" t="s">
        <v>218</v>
      </c>
      <c r="D10" s="108">
        <f>SUM(D11:D15)</f>
        <v>9.7199999999999989</v>
      </c>
      <c r="E10" s="108">
        <f>SUM(E11:E15)</f>
        <v>2428.4299999999998</v>
      </c>
    </row>
    <row r="11" spans="1:7" ht="78.75" customHeight="1" x14ac:dyDescent="0.25">
      <c r="A11" s="126"/>
      <c r="B11" s="129"/>
      <c r="C11" s="123" t="s">
        <v>910</v>
      </c>
      <c r="D11" s="108">
        <f t="shared" ref="D11:D15" si="0">ROUND((E11/250),2)</f>
        <v>1.91</v>
      </c>
      <c r="E11" s="108">
        <f>ROUND((489.79*12*0.0813),2)</f>
        <v>477.84</v>
      </c>
    </row>
    <row r="12" spans="1:7" ht="78.75" customHeight="1" x14ac:dyDescent="0.25">
      <c r="A12" s="143"/>
      <c r="B12" s="144"/>
      <c r="C12" s="123" t="s">
        <v>911</v>
      </c>
      <c r="D12" s="108">
        <f t="shared" si="0"/>
        <v>2.42</v>
      </c>
      <c r="E12" s="108">
        <f>ROUND((619.13*12*0.0813),2)</f>
        <v>604.02</v>
      </c>
    </row>
    <row r="13" spans="1:7" ht="79.5" customHeight="1" x14ac:dyDescent="0.25">
      <c r="A13" s="127"/>
      <c r="B13" s="130"/>
      <c r="C13" s="123" t="s">
        <v>912</v>
      </c>
      <c r="D13" s="108">
        <f t="shared" si="0"/>
        <v>2.2599999999999998</v>
      </c>
      <c r="E13" s="108">
        <f>ROUND((579.53*12*0.0813),2)</f>
        <v>565.39</v>
      </c>
      <c r="F13" s="352"/>
    </row>
    <row r="14" spans="1:7" ht="77.25" customHeight="1" x14ac:dyDescent="0.25">
      <c r="A14" s="127"/>
      <c r="B14" s="130"/>
      <c r="C14" s="320" t="s">
        <v>913</v>
      </c>
      <c r="D14" s="321">
        <f t="shared" si="0"/>
        <v>2.04</v>
      </c>
      <c r="E14" s="321">
        <f>ROUND((521.51*12*0.0813),2)</f>
        <v>508.79</v>
      </c>
      <c r="F14" s="39"/>
      <c r="G14" s="39"/>
    </row>
    <row r="15" spans="1:7" ht="79.5" customHeight="1" x14ac:dyDescent="0.25">
      <c r="A15" s="128"/>
      <c r="B15" s="131"/>
      <c r="C15" s="322" t="s">
        <v>914</v>
      </c>
      <c r="D15" s="323">
        <f t="shared" si="0"/>
        <v>1.0900000000000001</v>
      </c>
      <c r="E15" s="323">
        <f>ROUND((279.2*12*0.0813),2)</f>
        <v>272.39</v>
      </c>
      <c r="G15" s="39"/>
    </row>
    <row r="16" spans="1:7" ht="78.95" customHeight="1" x14ac:dyDescent="0.25">
      <c r="A16" s="122">
        <v>1140</v>
      </c>
      <c r="B16" s="5" t="s">
        <v>214</v>
      </c>
      <c r="C16" s="142" t="s">
        <v>915</v>
      </c>
      <c r="D16" s="108">
        <f>ROUND((E16/250),2)</f>
        <v>0.97</v>
      </c>
      <c r="E16" s="108">
        <f>ROUND((477.84*0.1)+(604.02*0.1)+(565.39*0.1)+(508.79*0.1)+(272.39*0.1),2)</f>
        <v>242.84</v>
      </c>
      <c r="G16" s="39"/>
    </row>
    <row r="17" spans="1:7" ht="63.6" customHeight="1" x14ac:dyDescent="0.25">
      <c r="A17" s="7">
        <v>1200</v>
      </c>
      <c r="B17" s="270" t="s">
        <v>11</v>
      </c>
      <c r="C17" s="166" t="s">
        <v>917</v>
      </c>
      <c r="D17" s="86">
        <f>D18+D19</f>
        <v>3.01</v>
      </c>
      <c r="E17" s="86">
        <f>E18+E19</f>
        <v>751.56999999999994</v>
      </c>
    </row>
    <row r="18" spans="1:7" ht="47.25" x14ac:dyDescent="0.25">
      <c r="A18" s="4">
        <v>1210</v>
      </c>
      <c r="B18" s="5" t="s">
        <v>216</v>
      </c>
      <c r="C18" s="166" t="s">
        <v>1497</v>
      </c>
      <c r="D18" s="44">
        <f>ROUND((E18/250),2)</f>
        <v>2.52</v>
      </c>
      <c r="E18" s="44">
        <f>ROUND((2671.27*0.2359),2)</f>
        <v>630.15</v>
      </c>
    </row>
    <row r="19" spans="1:7" ht="94.5" x14ac:dyDescent="0.25">
      <c r="A19" s="4">
        <v>1227</v>
      </c>
      <c r="B19" s="5" t="s">
        <v>215</v>
      </c>
      <c r="C19" s="166" t="s">
        <v>916</v>
      </c>
      <c r="D19" s="44">
        <f>ROUND((E19/250),2)</f>
        <v>0.49</v>
      </c>
      <c r="E19" s="44">
        <f>ROUND((477.84*0.05)+(604.02*0.05)+(565.39*0.05)+(508.79*0.05)+(272.39*0.05),2)</f>
        <v>121.42</v>
      </c>
    </row>
    <row r="20" spans="1:7" ht="15.75" x14ac:dyDescent="0.25">
      <c r="A20" s="4"/>
      <c r="B20" s="9" t="s">
        <v>14</v>
      </c>
      <c r="C20" s="141" t="s">
        <v>16</v>
      </c>
      <c r="D20" s="43">
        <f>D8</f>
        <v>13.7</v>
      </c>
      <c r="E20" s="43">
        <f>E8/25</f>
        <v>136.9136</v>
      </c>
    </row>
    <row r="21" spans="1:7" ht="15.75" x14ac:dyDescent="0.25">
      <c r="A21" s="4"/>
      <c r="B21" s="9" t="s">
        <v>15</v>
      </c>
      <c r="C21" s="269" t="s">
        <v>8</v>
      </c>
      <c r="D21" s="42"/>
      <c r="E21" s="42"/>
    </row>
    <row r="22" spans="1:7" ht="15.75" x14ac:dyDescent="0.25">
      <c r="A22" s="8">
        <v>1000</v>
      </c>
      <c r="B22" s="7" t="s">
        <v>9</v>
      </c>
      <c r="C22" s="122"/>
      <c r="D22" s="86">
        <f>SUM(D23+D34)</f>
        <v>2.2800000000000002</v>
      </c>
      <c r="E22" s="86">
        <f>SUM(E23+E34)</f>
        <v>570.86</v>
      </c>
    </row>
    <row r="23" spans="1:7" ht="15.75" x14ac:dyDescent="0.25">
      <c r="A23" s="4">
        <v>1100</v>
      </c>
      <c r="B23" s="4" t="s">
        <v>10</v>
      </c>
      <c r="C23" s="122" t="s">
        <v>223</v>
      </c>
      <c r="D23" s="86">
        <f>SUM(D24:D33)</f>
        <v>1.84</v>
      </c>
      <c r="E23" s="86">
        <f>SUM(E24:E33)</f>
        <v>461.9</v>
      </c>
    </row>
    <row r="24" spans="1:7" ht="81" customHeight="1" x14ac:dyDescent="0.25">
      <c r="A24" s="222"/>
      <c r="B24" s="223"/>
      <c r="C24" s="123" t="s">
        <v>918</v>
      </c>
      <c r="D24" s="44">
        <f t="shared" ref="D24:D34" si="1">ROUND((E24/250),2)</f>
        <v>0.06</v>
      </c>
      <c r="E24" s="44">
        <f>ROUND((14.34*12*0.0813),2)</f>
        <v>13.99</v>
      </c>
    </row>
    <row r="25" spans="1:7" ht="78" customHeight="1" x14ac:dyDescent="0.25">
      <c r="A25" s="401"/>
      <c r="B25" s="399"/>
      <c r="C25" s="123" t="s">
        <v>919</v>
      </c>
      <c r="D25" s="44">
        <f>ROUND((E25/250),2)</f>
        <v>0.04</v>
      </c>
      <c r="E25" s="44">
        <f>ROUND((9.41*12*0.0813),2)</f>
        <v>9.18</v>
      </c>
    </row>
    <row r="26" spans="1:7" ht="78.75" customHeight="1" x14ac:dyDescent="0.25">
      <c r="A26" s="401"/>
      <c r="B26" s="399"/>
      <c r="C26" s="123" t="s">
        <v>920</v>
      </c>
      <c r="D26" s="44">
        <f t="shared" si="1"/>
        <v>0.05</v>
      </c>
      <c r="E26" s="44">
        <f>ROUND((13.76*12*0.0813),2)</f>
        <v>13.42</v>
      </c>
    </row>
    <row r="27" spans="1:7" ht="78.75" x14ac:dyDescent="0.25">
      <c r="A27" s="401"/>
      <c r="B27" s="399"/>
      <c r="C27" s="123" t="s">
        <v>921</v>
      </c>
      <c r="D27" s="44">
        <f t="shared" si="1"/>
        <v>7.0000000000000007E-2</v>
      </c>
      <c r="E27" s="44">
        <f>ROUND((18.79*12*0.0813),2)</f>
        <v>18.329999999999998</v>
      </c>
    </row>
    <row r="28" spans="1:7" ht="77.45" customHeight="1" x14ac:dyDescent="0.25">
      <c r="A28" s="401"/>
      <c r="B28" s="399"/>
      <c r="C28" s="123" t="s">
        <v>922</v>
      </c>
      <c r="D28" s="44">
        <f t="shared" si="1"/>
        <v>0.05</v>
      </c>
      <c r="E28" s="44">
        <f>ROUND((13.27*12*0.0813),2)</f>
        <v>12.95</v>
      </c>
      <c r="G28" s="39"/>
    </row>
    <row r="29" spans="1:7" ht="78" customHeight="1" x14ac:dyDescent="0.25">
      <c r="A29" s="401"/>
      <c r="B29" s="399"/>
      <c r="C29" s="123" t="s">
        <v>923</v>
      </c>
      <c r="D29" s="44">
        <f t="shared" si="1"/>
        <v>0.3</v>
      </c>
      <c r="E29" s="44">
        <f>ROUND((76.43*12*0.0813),2)</f>
        <v>74.569999999999993</v>
      </c>
    </row>
    <row r="30" spans="1:7" ht="79.5" customHeight="1" x14ac:dyDescent="0.25">
      <c r="A30" s="401"/>
      <c r="B30" s="399"/>
      <c r="C30" s="123" t="s">
        <v>924</v>
      </c>
      <c r="D30" s="44">
        <f>ROUND((E30/250),2)</f>
        <v>0.31</v>
      </c>
      <c r="E30" s="44">
        <f>ROUND((79.88*12*0.0813),2)</f>
        <v>77.930000000000007</v>
      </c>
    </row>
    <row r="31" spans="1:7" ht="80.25" customHeight="1" x14ac:dyDescent="0.25">
      <c r="A31" s="401"/>
      <c r="B31" s="399"/>
      <c r="C31" s="123" t="s">
        <v>925</v>
      </c>
      <c r="D31" s="44">
        <f t="shared" si="1"/>
        <v>0.39</v>
      </c>
      <c r="E31" s="44">
        <f>ROUND((99.81*12*0.0813),2)</f>
        <v>97.37</v>
      </c>
    </row>
    <row r="32" spans="1:7" ht="95.25" customHeight="1" x14ac:dyDescent="0.25">
      <c r="A32" s="401"/>
      <c r="B32" s="399"/>
      <c r="C32" s="123" t="s">
        <v>926</v>
      </c>
      <c r="D32" s="44">
        <f t="shared" si="1"/>
        <v>0.46</v>
      </c>
      <c r="E32" s="44">
        <f>ROUND((118.42*12*0.0813),2)</f>
        <v>115.53</v>
      </c>
      <c r="G32" s="39"/>
    </row>
    <row r="33" spans="1:8" ht="78.75" customHeight="1" x14ac:dyDescent="0.25">
      <c r="A33" s="402"/>
      <c r="B33" s="400"/>
      <c r="C33" s="123" t="s">
        <v>927</v>
      </c>
      <c r="D33" s="44">
        <f t="shared" si="1"/>
        <v>0.11</v>
      </c>
      <c r="E33" s="44">
        <f>ROUND((29.35*12*0.0813),2)</f>
        <v>28.63</v>
      </c>
      <c r="H33" s="50"/>
    </row>
    <row r="34" spans="1:8" ht="63.75" customHeight="1" x14ac:dyDescent="0.25">
      <c r="A34" s="306">
        <v>1200</v>
      </c>
      <c r="B34" s="302" t="s">
        <v>11</v>
      </c>
      <c r="C34" s="5" t="s">
        <v>928</v>
      </c>
      <c r="D34" s="86">
        <f t="shared" si="1"/>
        <v>0.44</v>
      </c>
      <c r="E34" s="86">
        <f>ROUND((461.9*0.2359),2)</f>
        <v>108.96</v>
      </c>
    </row>
    <row r="35" spans="1:8" ht="15.75" x14ac:dyDescent="0.25">
      <c r="A35" s="8">
        <v>2000</v>
      </c>
      <c r="B35" s="7" t="s">
        <v>12</v>
      </c>
      <c r="C35" s="122"/>
      <c r="D35" s="43">
        <f>SUM(D36:D47)</f>
        <v>36.479999999999997</v>
      </c>
      <c r="E35" s="43">
        <f>SUM(E36:E47)</f>
        <v>9123.64</v>
      </c>
    </row>
    <row r="36" spans="1:8" ht="30.75" customHeight="1" x14ac:dyDescent="0.25">
      <c r="A36" s="4">
        <v>2221</v>
      </c>
      <c r="B36" s="84" t="s">
        <v>54</v>
      </c>
      <c r="C36" s="5" t="s">
        <v>426</v>
      </c>
      <c r="D36" s="44">
        <f t="shared" ref="D36:D40" si="2">ROUND((E36/250),2)</f>
        <v>17.79</v>
      </c>
      <c r="E36" s="44">
        <f>ROUND((54700.57*0.0813),2)</f>
        <v>4447.16</v>
      </c>
    </row>
    <row r="37" spans="1:8" ht="30" customHeight="1" x14ac:dyDescent="0.25">
      <c r="A37" s="4">
        <v>2222</v>
      </c>
      <c r="B37" s="118" t="s">
        <v>55</v>
      </c>
      <c r="C37" s="5" t="s">
        <v>427</v>
      </c>
      <c r="D37" s="44">
        <f t="shared" si="2"/>
        <v>2.4700000000000002</v>
      </c>
      <c r="E37" s="44">
        <f>ROUND((7587.77*0.0813),2)</f>
        <v>616.89</v>
      </c>
    </row>
    <row r="38" spans="1:8" ht="31.5" customHeight="1" x14ac:dyDescent="0.25">
      <c r="A38" s="4">
        <v>2223</v>
      </c>
      <c r="B38" s="118" t="s">
        <v>19</v>
      </c>
      <c r="C38" s="5" t="s">
        <v>428</v>
      </c>
      <c r="D38" s="44">
        <f t="shared" si="2"/>
        <v>3.53</v>
      </c>
      <c r="E38" s="44">
        <f>ROUND((10851.74*0.0813),2)</f>
        <v>882.25</v>
      </c>
    </row>
    <row r="39" spans="1:8" ht="76.5" customHeight="1" x14ac:dyDescent="0.25">
      <c r="A39" s="4">
        <v>2224</v>
      </c>
      <c r="B39" s="84" t="s">
        <v>56</v>
      </c>
      <c r="C39" s="5" t="s">
        <v>429</v>
      </c>
      <c r="D39" s="44">
        <f t="shared" si="2"/>
        <v>0.25</v>
      </c>
      <c r="E39" s="44">
        <f>ROUND((761.81*0.0813),2)</f>
        <v>61.94</v>
      </c>
    </row>
    <row r="40" spans="1:8" ht="31.5" x14ac:dyDescent="0.25">
      <c r="A40" s="4">
        <v>2239</v>
      </c>
      <c r="B40" s="338" t="s">
        <v>20</v>
      </c>
      <c r="C40" s="118" t="s">
        <v>430</v>
      </c>
      <c r="D40" s="44">
        <f t="shared" si="2"/>
        <v>7.0000000000000007E-2</v>
      </c>
      <c r="E40" s="44">
        <f>ROUND((224.51*0.0813),2)</f>
        <v>18.25</v>
      </c>
    </row>
    <row r="41" spans="1:8" ht="48" customHeight="1" x14ac:dyDescent="0.25">
      <c r="A41" s="4">
        <v>2243</v>
      </c>
      <c r="B41" s="84" t="s">
        <v>21</v>
      </c>
      <c r="C41" s="118" t="s">
        <v>431</v>
      </c>
      <c r="D41" s="44">
        <f t="shared" ref="D41" si="3">ROUND((E41/250),2)</f>
        <v>0.65</v>
      </c>
      <c r="E41" s="44">
        <f>ROUND((1993.08*0.0813),2)</f>
        <v>162.04</v>
      </c>
    </row>
    <row r="42" spans="1:8" ht="48.75" customHeight="1" x14ac:dyDescent="0.25">
      <c r="A42" s="4">
        <v>2244</v>
      </c>
      <c r="B42" s="84" t="s">
        <v>22</v>
      </c>
      <c r="C42" s="5" t="s">
        <v>432</v>
      </c>
      <c r="D42" s="44">
        <f>ROUND((E42/250),2)</f>
        <v>2.42</v>
      </c>
      <c r="E42" s="44">
        <f>ROUND(7456.84*0.0813,2)</f>
        <v>606.24</v>
      </c>
    </row>
    <row r="43" spans="1:8" ht="30" customHeight="1" x14ac:dyDescent="0.25">
      <c r="A43" s="4">
        <v>2249</v>
      </c>
      <c r="B43" s="84" t="s">
        <v>45</v>
      </c>
      <c r="C43" s="5" t="s">
        <v>433</v>
      </c>
      <c r="D43" s="44">
        <f>ROUND((E43/250),2)-0.01</f>
        <v>3.41</v>
      </c>
      <c r="E43" s="44">
        <f>ROUND(10528.91*0.0813,2)</f>
        <v>856</v>
      </c>
    </row>
    <row r="44" spans="1:8" ht="30" customHeight="1" x14ac:dyDescent="0.25">
      <c r="A44" s="4">
        <v>2312</v>
      </c>
      <c r="B44" s="173" t="s">
        <v>13</v>
      </c>
      <c r="C44" s="5" t="s">
        <v>434</v>
      </c>
      <c r="D44" s="44">
        <f>ROUND((E44/250),2)</f>
        <v>0.24</v>
      </c>
      <c r="E44" s="44">
        <f>ROUND(737.42*0.0813,2)</f>
        <v>59.95</v>
      </c>
    </row>
    <row r="45" spans="1:8" ht="47.25" customHeight="1" x14ac:dyDescent="0.25">
      <c r="A45" s="4">
        <v>2350</v>
      </c>
      <c r="B45" s="118" t="s">
        <v>213</v>
      </c>
      <c r="C45" s="153" t="s">
        <v>435</v>
      </c>
      <c r="D45" s="44">
        <f>ROUND((E45/250),2)</f>
        <v>0.25</v>
      </c>
      <c r="E45" s="108">
        <f>ROUND((780.26*0.0813),2)</f>
        <v>63.44</v>
      </c>
    </row>
    <row r="46" spans="1:8" ht="33" customHeight="1" x14ac:dyDescent="0.25">
      <c r="A46" s="4">
        <v>2513</v>
      </c>
      <c r="B46" s="118" t="s">
        <v>57</v>
      </c>
      <c r="C46" s="5" t="s">
        <v>436</v>
      </c>
      <c r="D46" s="44">
        <f t="shared" ref="D46:D47" si="4">ROUND((E46/250),2)</f>
        <v>4.76</v>
      </c>
      <c r="E46" s="44">
        <f>ROUND((14633.92*0.0813),2)</f>
        <v>1189.74</v>
      </c>
    </row>
    <row r="47" spans="1:8" ht="30.75" customHeight="1" x14ac:dyDescent="0.25">
      <c r="A47" s="4">
        <v>2515</v>
      </c>
      <c r="B47" s="118" t="s">
        <v>44</v>
      </c>
      <c r="C47" s="5" t="s">
        <v>437</v>
      </c>
      <c r="D47" s="44">
        <f t="shared" si="4"/>
        <v>0.64</v>
      </c>
      <c r="E47" s="44">
        <f>ROUND((1964.86*0.0813),2)</f>
        <v>159.74</v>
      </c>
    </row>
    <row r="48" spans="1:8" ht="15.75" x14ac:dyDescent="0.25">
      <c r="A48" s="10">
        <v>5000</v>
      </c>
      <c r="B48" s="9" t="s">
        <v>17</v>
      </c>
      <c r="C48" s="122"/>
      <c r="D48" s="43">
        <f>SUM(D49:D52)</f>
        <v>5.4399999999999995</v>
      </c>
      <c r="E48" s="43">
        <f>SUM(E49:E52)</f>
        <v>1358.89</v>
      </c>
    </row>
    <row r="49" spans="1:7" ht="31.5" customHeight="1" x14ac:dyDescent="0.25">
      <c r="A49" s="4">
        <v>5212</v>
      </c>
      <c r="B49" s="118" t="s">
        <v>31</v>
      </c>
      <c r="C49" s="5" t="s">
        <v>735</v>
      </c>
      <c r="D49" s="44">
        <f>ROUND((E49/250),2)</f>
        <v>2.4900000000000002</v>
      </c>
      <c r="E49" s="44">
        <f>ROUND((7651.82*0.0813),2)</f>
        <v>622.09</v>
      </c>
    </row>
    <row r="50" spans="1:7" ht="30" customHeight="1" x14ac:dyDescent="0.25">
      <c r="A50" s="4">
        <v>5213</v>
      </c>
      <c r="B50" s="118" t="s">
        <v>32</v>
      </c>
      <c r="C50" s="5" t="s">
        <v>652</v>
      </c>
      <c r="D50" s="44">
        <f>ROUND((E50/250),2)</f>
        <v>0.05</v>
      </c>
      <c r="E50" s="44">
        <f>ROUND((158.25*0.0813),2)</f>
        <v>12.87</v>
      </c>
    </row>
    <row r="51" spans="1:7" ht="32.25" customHeight="1" x14ac:dyDescent="0.25">
      <c r="A51" s="18">
        <v>5218</v>
      </c>
      <c r="B51" s="84" t="s">
        <v>33</v>
      </c>
      <c r="C51" s="5" t="s">
        <v>653</v>
      </c>
      <c r="D51" s="44">
        <f>ROUND((E51/250),2)</f>
        <v>1.1499999999999999</v>
      </c>
      <c r="E51" s="44">
        <f>ROUND((3538.2*0.0813),2)</f>
        <v>287.66000000000003</v>
      </c>
    </row>
    <row r="52" spans="1:7" ht="47.25" x14ac:dyDescent="0.25">
      <c r="A52" s="18">
        <v>5239</v>
      </c>
      <c r="B52" s="84" t="s">
        <v>18</v>
      </c>
      <c r="C52" s="5" t="s">
        <v>654</v>
      </c>
      <c r="D52" s="44">
        <f>ROUND((E52/250),2)</f>
        <v>1.75</v>
      </c>
      <c r="E52" s="44">
        <f>ROUND((5366.12*0.0813),2)</f>
        <v>436.27</v>
      </c>
    </row>
    <row r="53" spans="1:7" ht="15.75" x14ac:dyDescent="0.25">
      <c r="A53" s="4"/>
      <c r="B53" s="9" t="s">
        <v>23</v>
      </c>
      <c r="C53" s="47"/>
      <c r="D53" s="25">
        <f>SUM(D22+D35+D48)</f>
        <v>44.199999999999996</v>
      </c>
      <c r="E53" s="40">
        <f>SUM(E22+E35+E48)/25</f>
        <v>442.13559999999995</v>
      </c>
    </row>
    <row r="54" spans="1:7" ht="31.5" x14ac:dyDescent="0.25">
      <c r="A54" s="4"/>
      <c r="B54" s="11" t="s">
        <v>28</v>
      </c>
      <c r="C54" s="47"/>
      <c r="D54" s="26">
        <f>D20+D53</f>
        <v>57.899999999999991</v>
      </c>
      <c r="E54" s="41">
        <f>E20+E53</f>
        <v>579.04919999999993</v>
      </c>
    </row>
    <row r="55" spans="1:7" ht="15.75" x14ac:dyDescent="0.25">
      <c r="A55" s="20"/>
      <c r="B55" s="13" t="s">
        <v>29</v>
      </c>
      <c r="C55" s="47"/>
      <c r="D55" s="26">
        <f>D54*0.21</f>
        <v>12.158999999999997</v>
      </c>
      <c r="E55" s="41">
        <f>E54*0.21</f>
        <v>121.60033199999998</v>
      </c>
    </row>
    <row r="56" spans="1:7" ht="31.5" x14ac:dyDescent="0.25">
      <c r="A56" s="20"/>
      <c r="B56" s="169" t="s">
        <v>30</v>
      </c>
      <c r="C56" s="170"/>
      <c r="D56" s="171">
        <f>D54*1.21</f>
        <v>70.058999999999983</v>
      </c>
      <c r="E56" s="172">
        <f>E54*1.21</f>
        <v>700.64953199999991</v>
      </c>
    </row>
    <row r="57" spans="1:7" ht="18" customHeight="1" x14ac:dyDescent="0.25">
      <c r="A57" s="406" t="s">
        <v>1623</v>
      </c>
      <c r="B57" s="406"/>
      <c r="C57" s="406"/>
      <c r="D57" s="8">
        <v>10</v>
      </c>
      <c r="E57" s="8" t="s">
        <v>186</v>
      </c>
    </row>
    <row r="58" spans="1:7" ht="33.950000000000003" customHeight="1" x14ac:dyDescent="0.25">
      <c r="A58" s="397" t="s">
        <v>59</v>
      </c>
      <c r="B58" s="397"/>
      <c r="C58" s="397"/>
      <c r="D58" s="350">
        <f>E56/D57</f>
        <v>70.064953199999991</v>
      </c>
      <c r="E58" s="8" t="s">
        <v>225</v>
      </c>
    </row>
    <row r="59" spans="1:7" ht="15.75" x14ac:dyDescent="0.25">
      <c r="A59" s="1"/>
      <c r="B59" s="1"/>
      <c r="C59" s="1"/>
    </row>
    <row r="60" spans="1:7" x14ac:dyDescent="0.25">
      <c r="G60" s="319"/>
    </row>
  </sheetData>
  <mergeCells count="6">
    <mergeCell ref="A57:C57"/>
    <mergeCell ref="A58:C58"/>
    <mergeCell ref="A1:C1"/>
    <mergeCell ref="A3:B3"/>
    <mergeCell ref="A25:A33"/>
    <mergeCell ref="B25:B33"/>
  </mergeCells>
  <pageMargins left="0.7" right="0.7" top="0.75" bottom="0.75" header="0.3" footer="0.3"/>
  <pageSetup paperSize="9" scale="96" orientation="landscape" r:id="rId1"/>
  <rowBreaks count="5" manualBreakCount="5">
    <brk id="13" max="4" man="1"/>
    <brk id="20" max="16383" man="1"/>
    <brk id="28" max="16383" man="1"/>
    <brk id="34" max="16383" man="1"/>
    <brk id="43" max="16383" man="1"/>
  </rowBreaks>
  <ignoredErrors>
    <ignoredError sqref="D43 D17" formula="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5BAF01-6AA6-4B49-BB10-B241279F7350}">
  <dimension ref="A1:I59"/>
  <sheetViews>
    <sheetView topLeftCell="A46" zoomScaleNormal="100" workbookViewId="0">
      <selection activeCell="D58" sqref="D58"/>
    </sheetView>
  </sheetViews>
  <sheetFormatPr defaultRowHeight="15" x14ac:dyDescent="0.25"/>
  <cols>
    <col min="1" max="1" width="13.140625" customWidth="1"/>
    <col min="2" max="2" width="27.140625" customWidth="1"/>
    <col min="3" max="3" width="65.5703125" customWidth="1"/>
    <col min="4" max="4" width="9.85546875" customWidth="1"/>
    <col min="5" max="5" width="18" customWidth="1"/>
    <col min="8" max="8" width="9.5703125" bestFit="1" customWidth="1"/>
  </cols>
  <sheetData>
    <row r="1" spans="1:7" ht="18.75" x14ac:dyDescent="0.3">
      <c r="A1" s="404" t="s">
        <v>168</v>
      </c>
      <c r="B1" s="404"/>
      <c r="C1" s="404"/>
    </row>
    <row r="2" spans="1:7" ht="18.75" x14ac:dyDescent="0.25">
      <c r="A2" s="107" t="s">
        <v>1594</v>
      </c>
      <c r="B2" s="107"/>
      <c r="C2" s="107"/>
      <c r="D2" s="107"/>
      <c r="E2" s="107"/>
    </row>
    <row r="3" spans="1:7" ht="15.75" x14ac:dyDescent="0.25">
      <c r="A3" s="405" t="s">
        <v>64</v>
      </c>
      <c r="B3" s="405"/>
    </row>
    <row r="5" spans="1:7" ht="78.75" x14ac:dyDescent="0.25">
      <c r="A5" s="139" t="s">
        <v>0</v>
      </c>
      <c r="B5" s="139" t="s">
        <v>1</v>
      </c>
      <c r="C5" s="139" t="s">
        <v>2</v>
      </c>
      <c r="D5" s="152" t="s">
        <v>26</v>
      </c>
      <c r="E5" s="152" t="s">
        <v>27</v>
      </c>
    </row>
    <row r="6" spans="1:7" ht="15.75" x14ac:dyDescent="0.25">
      <c r="A6" s="103">
        <v>1</v>
      </c>
      <c r="B6" s="103">
        <v>2</v>
      </c>
      <c r="C6" s="103">
        <v>3</v>
      </c>
      <c r="D6" s="27">
        <v>4</v>
      </c>
      <c r="E6" s="27">
        <v>5</v>
      </c>
    </row>
    <row r="7" spans="1:7" ht="15.75" x14ac:dyDescent="0.25">
      <c r="A7" s="4"/>
      <c r="B7" s="7" t="s">
        <v>7</v>
      </c>
      <c r="C7" s="103" t="s">
        <v>8</v>
      </c>
      <c r="D7" s="24"/>
      <c r="E7" s="22"/>
    </row>
    <row r="8" spans="1:7" ht="15.75" x14ac:dyDescent="0.25">
      <c r="A8" s="8">
        <v>1000</v>
      </c>
      <c r="B8" s="7" t="s">
        <v>9</v>
      </c>
      <c r="C8" s="103"/>
      <c r="D8" s="25">
        <f>D9+D17</f>
        <v>7.59</v>
      </c>
      <c r="E8" s="25">
        <f>E9+E17</f>
        <v>378.93034799999998</v>
      </c>
    </row>
    <row r="9" spans="1:7" ht="15.75" x14ac:dyDescent="0.25">
      <c r="A9" s="265">
        <v>1100</v>
      </c>
      <c r="B9" s="265" t="s">
        <v>10</v>
      </c>
      <c r="D9" s="25">
        <f>SUM(D10+D16)</f>
        <v>5.92</v>
      </c>
      <c r="E9" s="25">
        <f>SUM(E10+E16)</f>
        <v>295.71999999999997</v>
      </c>
    </row>
    <row r="10" spans="1:7" ht="15.75" x14ac:dyDescent="0.25">
      <c r="A10" s="16">
        <v>1110</v>
      </c>
      <c r="B10" s="16" t="s">
        <v>217</v>
      </c>
      <c r="C10" s="137" t="s">
        <v>218</v>
      </c>
      <c r="D10" s="58">
        <f>SUM(D11:D15)</f>
        <v>5.38</v>
      </c>
      <c r="E10" s="58">
        <f>SUM(E11:E15)</f>
        <v>268.83</v>
      </c>
    </row>
    <row r="11" spans="1:7" ht="80.25" customHeight="1" x14ac:dyDescent="0.25">
      <c r="A11" s="126"/>
      <c r="B11" s="129"/>
      <c r="C11" s="142" t="s">
        <v>929</v>
      </c>
      <c r="D11" s="58">
        <f t="shared" ref="D11:D16" si="0">ROUND((E11/50),2)</f>
        <v>1.06</v>
      </c>
      <c r="E11" s="108">
        <f>ROUND((489.79*12*0.009),2)</f>
        <v>52.9</v>
      </c>
      <c r="G11" s="39"/>
    </row>
    <row r="12" spans="1:7" ht="79.5" customHeight="1" x14ac:dyDescent="0.25">
      <c r="A12" s="143"/>
      <c r="B12" s="144"/>
      <c r="C12" s="142" t="s">
        <v>930</v>
      </c>
      <c r="D12" s="58">
        <f t="shared" si="0"/>
        <v>1.34</v>
      </c>
      <c r="E12" s="108">
        <f>ROUND((619.13*12*0.009),2)</f>
        <v>66.87</v>
      </c>
    </row>
    <row r="13" spans="1:7" ht="78.75" customHeight="1" x14ac:dyDescent="0.25">
      <c r="A13" s="127"/>
      <c r="B13" s="130"/>
      <c r="C13" s="142" t="s">
        <v>931</v>
      </c>
      <c r="D13" s="58">
        <f t="shared" si="0"/>
        <v>1.25</v>
      </c>
      <c r="E13" s="108">
        <f>ROUND((579.53*12*0.009),2)</f>
        <v>62.59</v>
      </c>
    </row>
    <row r="14" spans="1:7" ht="78.75" x14ac:dyDescent="0.25">
      <c r="A14" s="127"/>
      <c r="B14" s="130"/>
      <c r="C14" s="142" t="s">
        <v>932</v>
      </c>
      <c r="D14" s="58">
        <f t="shared" si="0"/>
        <v>1.1299999999999999</v>
      </c>
      <c r="E14" s="108">
        <f>ROUND((521.51*12*0.009),2)</f>
        <v>56.32</v>
      </c>
      <c r="G14" s="39"/>
    </row>
    <row r="15" spans="1:7" ht="78.75" x14ac:dyDescent="0.25">
      <c r="A15" s="128"/>
      <c r="B15" s="131"/>
      <c r="C15" s="142" t="s">
        <v>933</v>
      </c>
      <c r="D15" s="58">
        <f t="shared" si="0"/>
        <v>0.6</v>
      </c>
      <c r="E15" s="108">
        <f>ROUND((279.2*12*0.009),2)</f>
        <v>30.15</v>
      </c>
    </row>
    <row r="16" spans="1:7" ht="78.75" customHeight="1" x14ac:dyDescent="0.25">
      <c r="A16" s="122">
        <v>1140</v>
      </c>
      <c r="B16" s="5" t="s">
        <v>214</v>
      </c>
      <c r="C16" s="142" t="s">
        <v>934</v>
      </c>
      <c r="D16" s="58">
        <f t="shared" si="0"/>
        <v>0.54</v>
      </c>
      <c r="E16" s="108">
        <f>ROUND((52.9*0.1)+(66.87*0.1)+(62.59*0.1)+(56.32*0.1)+(30.15*0.1+0.01),2)</f>
        <v>26.89</v>
      </c>
    </row>
    <row r="17" spans="1:9" ht="64.5" customHeight="1" x14ac:dyDescent="0.25">
      <c r="A17" s="7">
        <v>1200</v>
      </c>
      <c r="B17" s="270" t="s">
        <v>11</v>
      </c>
      <c r="C17" s="166" t="s">
        <v>946</v>
      </c>
      <c r="D17" s="83">
        <f>D18+D19</f>
        <v>1.67</v>
      </c>
      <c r="E17" s="86">
        <f>E18+E19</f>
        <v>83.21034800000001</v>
      </c>
    </row>
    <row r="18" spans="1:9" ht="50.25" customHeight="1" x14ac:dyDescent="0.25">
      <c r="A18" s="4">
        <v>1210</v>
      </c>
      <c r="B18" s="5" t="s">
        <v>216</v>
      </c>
      <c r="C18" s="166" t="s">
        <v>935</v>
      </c>
      <c r="D18" s="58">
        <f>ROUND((E18/50),2)</f>
        <v>1.4</v>
      </c>
      <c r="E18" s="44">
        <f>295.72*0.2359</f>
        <v>69.760348000000008</v>
      </c>
    </row>
    <row r="19" spans="1:9" ht="81" customHeight="1" x14ac:dyDescent="0.25">
      <c r="A19" s="4">
        <v>1227</v>
      </c>
      <c r="B19" s="5" t="s">
        <v>215</v>
      </c>
      <c r="C19" s="166" t="s">
        <v>936</v>
      </c>
      <c r="D19" s="58">
        <f>ROUND((E19/50),2)</f>
        <v>0.27</v>
      </c>
      <c r="E19" s="108">
        <f>ROUND((52.9*0.05)+(66.87*0.05)+(62.59*0.05)+(56.32*0.05)+(30.15*0.05)+0.01,2)</f>
        <v>13.45</v>
      </c>
      <c r="F19" s="39"/>
    </row>
    <row r="20" spans="1:9" ht="15.75" x14ac:dyDescent="0.25">
      <c r="A20" s="4"/>
      <c r="B20" s="9" t="s">
        <v>14</v>
      </c>
      <c r="C20" s="104" t="s">
        <v>16</v>
      </c>
      <c r="D20" s="25">
        <f>D8</f>
        <v>7.59</v>
      </c>
      <c r="E20" s="43">
        <f>E8/10</f>
        <v>37.893034799999995</v>
      </c>
    </row>
    <row r="21" spans="1:9" ht="15.75" x14ac:dyDescent="0.25">
      <c r="A21" s="4"/>
      <c r="B21" s="9" t="s">
        <v>15</v>
      </c>
      <c r="C21" s="103" t="s">
        <v>8</v>
      </c>
      <c r="D21" s="22"/>
      <c r="E21" s="42"/>
    </row>
    <row r="22" spans="1:9" ht="15.75" x14ac:dyDescent="0.25">
      <c r="A22" s="8">
        <v>1000</v>
      </c>
      <c r="B22" s="7" t="s">
        <v>9</v>
      </c>
      <c r="C22" s="103"/>
      <c r="D22" s="83">
        <f>SUM(D23+D34)</f>
        <v>1.27</v>
      </c>
      <c r="E22" s="83">
        <f>SUM(E23+E34)</f>
        <v>63.28</v>
      </c>
    </row>
    <row r="23" spans="1:9" ht="15.75" x14ac:dyDescent="0.25">
      <c r="A23" s="7">
        <v>1100</v>
      </c>
      <c r="B23" s="7" t="s">
        <v>10</v>
      </c>
      <c r="C23" s="137" t="s">
        <v>223</v>
      </c>
      <c r="D23" s="83">
        <f>SUM(D24:D33)</f>
        <v>1.03</v>
      </c>
      <c r="E23" s="83">
        <f>SUM(E24:E33)</f>
        <v>51.2</v>
      </c>
    </row>
    <row r="24" spans="1:9" ht="80.25" customHeight="1" x14ac:dyDescent="0.25">
      <c r="A24" s="222"/>
      <c r="B24" s="223"/>
      <c r="C24" s="105" t="s">
        <v>937</v>
      </c>
      <c r="D24" s="27">
        <f t="shared" ref="D24:D34" si="1">ROUND((E24/50),2)</f>
        <v>0.03</v>
      </c>
      <c r="E24" s="27">
        <f>ROUND((14.34*12*0.009),2)</f>
        <v>1.55</v>
      </c>
      <c r="I24" s="82"/>
    </row>
    <row r="25" spans="1:9" ht="81" customHeight="1" x14ac:dyDescent="0.25">
      <c r="A25" s="401"/>
      <c r="B25" s="399"/>
      <c r="C25" s="142" t="s">
        <v>938</v>
      </c>
      <c r="D25" s="27">
        <f t="shared" si="1"/>
        <v>0.02</v>
      </c>
      <c r="E25" s="27">
        <f>ROUND((9.41*12*0.009),2)</f>
        <v>1.02</v>
      </c>
      <c r="I25" s="82"/>
    </row>
    <row r="26" spans="1:9" ht="79.5" customHeight="1" x14ac:dyDescent="0.25">
      <c r="A26" s="401"/>
      <c r="B26" s="399"/>
      <c r="C26" s="142" t="s">
        <v>947</v>
      </c>
      <c r="D26" s="27">
        <f t="shared" si="1"/>
        <v>0.03</v>
      </c>
      <c r="E26" s="27">
        <f>ROUND((14.34*12*0.009),2)</f>
        <v>1.55</v>
      </c>
      <c r="I26" s="82"/>
    </row>
    <row r="27" spans="1:9" ht="80.25" customHeight="1" x14ac:dyDescent="0.25">
      <c r="A27" s="401"/>
      <c r="B27" s="399"/>
      <c r="C27" s="142" t="s">
        <v>939</v>
      </c>
      <c r="D27" s="27">
        <f t="shared" si="1"/>
        <v>0.04</v>
      </c>
      <c r="E27" s="27">
        <f>ROUND((18.79*12*0.009),2)</f>
        <v>2.0299999999999998</v>
      </c>
      <c r="I27" s="82"/>
    </row>
    <row r="28" spans="1:9" ht="78" customHeight="1" x14ac:dyDescent="0.25">
      <c r="A28" s="401"/>
      <c r="B28" s="399"/>
      <c r="C28" s="105" t="s">
        <v>940</v>
      </c>
      <c r="D28" s="27">
        <f t="shared" si="1"/>
        <v>0.03</v>
      </c>
      <c r="E28" s="27">
        <f>ROUND((13.27*12*0.009),2)</f>
        <v>1.43</v>
      </c>
      <c r="I28" s="82"/>
    </row>
    <row r="29" spans="1:9" ht="78.75" customHeight="1" x14ac:dyDescent="0.25">
      <c r="A29" s="401"/>
      <c r="B29" s="399"/>
      <c r="C29" s="105" t="s">
        <v>941</v>
      </c>
      <c r="D29" s="27">
        <f t="shared" si="1"/>
        <v>0.17</v>
      </c>
      <c r="E29" s="46">
        <f>ROUND((76.43*12*0.009),2)</f>
        <v>8.25</v>
      </c>
      <c r="I29" s="82"/>
    </row>
    <row r="30" spans="1:9" ht="78.75" customHeight="1" x14ac:dyDescent="0.25">
      <c r="A30" s="401"/>
      <c r="B30" s="399"/>
      <c r="C30" s="105" t="s">
        <v>942</v>
      </c>
      <c r="D30" s="27">
        <f t="shared" si="1"/>
        <v>0.17</v>
      </c>
      <c r="E30" s="27">
        <f>ROUND((79.88*12*0.009),2)</f>
        <v>8.6300000000000008</v>
      </c>
      <c r="I30" s="82"/>
    </row>
    <row r="31" spans="1:9" ht="78.75" x14ac:dyDescent="0.25">
      <c r="A31" s="401"/>
      <c r="B31" s="399"/>
      <c r="C31" s="105" t="s">
        <v>943</v>
      </c>
      <c r="D31" s="163">
        <f t="shared" si="1"/>
        <v>0.22</v>
      </c>
      <c r="E31" s="45">
        <f>ROUND((99.81*12*0.009),2)</f>
        <v>10.78</v>
      </c>
      <c r="I31" s="82"/>
    </row>
    <row r="32" spans="1:9" ht="94.5" x14ac:dyDescent="0.25">
      <c r="A32" s="401"/>
      <c r="B32" s="399"/>
      <c r="C32" s="105" t="s">
        <v>944</v>
      </c>
      <c r="D32" s="27">
        <f t="shared" si="1"/>
        <v>0.26</v>
      </c>
      <c r="E32" s="27">
        <f>ROUND((118.42*12*0.009),2)</f>
        <v>12.79</v>
      </c>
      <c r="I32" s="82"/>
    </row>
    <row r="33" spans="1:8" ht="78.75" customHeight="1" x14ac:dyDescent="0.25">
      <c r="A33" s="402"/>
      <c r="B33" s="400"/>
      <c r="C33" s="105" t="s">
        <v>945</v>
      </c>
      <c r="D33" s="27">
        <f t="shared" si="1"/>
        <v>0.06</v>
      </c>
      <c r="E33" s="27">
        <f>ROUND((29.35*12*0.009),2)</f>
        <v>3.17</v>
      </c>
      <c r="G33" s="39"/>
    </row>
    <row r="34" spans="1:8" ht="64.5" customHeight="1" x14ac:dyDescent="0.25">
      <c r="A34" s="7">
        <v>1200</v>
      </c>
      <c r="B34" s="156" t="s">
        <v>11</v>
      </c>
      <c r="C34" s="106" t="s">
        <v>948</v>
      </c>
      <c r="D34" s="276">
        <f t="shared" si="1"/>
        <v>0.24</v>
      </c>
      <c r="E34" s="86">
        <f>ROUND((51.2*0.2359),2)</f>
        <v>12.08</v>
      </c>
    </row>
    <row r="35" spans="1:8" ht="15.75" x14ac:dyDescent="0.25">
      <c r="A35" s="8">
        <v>2000</v>
      </c>
      <c r="B35" s="7" t="s">
        <v>12</v>
      </c>
      <c r="C35" s="103"/>
      <c r="D35" s="25">
        <f>SUM(D36:D47)</f>
        <v>20.179999999999996</v>
      </c>
      <c r="E35" s="23">
        <f>SUM(E36:E47)</f>
        <v>1010.01</v>
      </c>
    </row>
    <row r="36" spans="1:8" ht="32.25" customHeight="1" x14ac:dyDescent="0.25">
      <c r="A36" s="4">
        <v>2221</v>
      </c>
      <c r="B36" s="84" t="s">
        <v>54</v>
      </c>
      <c r="C36" s="106" t="s">
        <v>438</v>
      </c>
      <c r="D36" s="46">
        <f>ROUND((E36/50),2)</f>
        <v>9.85</v>
      </c>
      <c r="E36" s="108">
        <f>ROUND((54700.57*0.009),2)</f>
        <v>492.31</v>
      </c>
      <c r="H36" s="39"/>
    </row>
    <row r="37" spans="1:8" ht="31.5" customHeight="1" x14ac:dyDescent="0.25">
      <c r="A37" s="4">
        <v>2222</v>
      </c>
      <c r="B37" s="118" t="s">
        <v>55</v>
      </c>
      <c r="C37" s="166" t="s">
        <v>439</v>
      </c>
      <c r="D37" s="46">
        <f>ROUND((E37/50-0.01),2)</f>
        <v>1.36</v>
      </c>
      <c r="E37" s="108">
        <f>ROUND((7587.77*0.009),2)</f>
        <v>68.290000000000006</v>
      </c>
    </row>
    <row r="38" spans="1:8" ht="31.5" customHeight="1" x14ac:dyDescent="0.25">
      <c r="A38" s="4">
        <v>2223</v>
      </c>
      <c r="B38" s="118" t="s">
        <v>19</v>
      </c>
      <c r="C38" s="166" t="s">
        <v>440</v>
      </c>
      <c r="D38" s="46">
        <f>ROUND((E38/50),2)</f>
        <v>1.95</v>
      </c>
      <c r="E38" s="108">
        <f>ROUND((10851.74*0.009),2)</f>
        <v>97.67</v>
      </c>
    </row>
    <row r="39" spans="1:8" ht="78" customHeight="1" x14ac:dyDescent="0.25">
      <c r="A39" s="4">
        <v>2224</v>
      </c>
      <c r="B39" s="84" t="s">
        <v>56</v>
      </c>
      <c r="C39" s="106" t="s">
        <v>441</v>
      </c>
      <c r="D39" s="46">
        <f>ROUND((E39/50),2)</f>
        <v>0.14000000000000001</v>
      </c>
      <c r="E39" s="46">
        <f>ROUND((761.81*0.009),2)</f>
        <v>6.86</v>
      </c>
    </row>
    <row r="40" spans="1:8" ht="31.5" x14ac:dyDescent="0.25">
      <c r="A40" s="4">
        <v>2239</v>
      </c>
      <c r="B40" s="338" t="s">
        <v>20</v>
      </c>
      <c r="C40" s="117" t="s">
        <v>442</v>
      </c>
      <c r="D40" s="46">
        <f>ROUND((E40/50),2)</f>
        <v>0.04</v>
      </c>
      <c r="E40" s="46">
        <f>ROUND((224.51*0.009),2)</f>
        <v>2.02</v>
      </c>
    </row>
    <row r="41" spans="1:8" ht="45.75" customHeight="1" x14ac:dyDescent="0.25">
      <c r="A41" s="4">
        <v>2243</v>
      </c>
      <c r="B41" s="84" t="s">
        <v>21</v>
      </c>
      <c r="C41" s="84" t="s">
        <v>443</v>
      </c>
      <c r="D41" s="46">
        <f>ROUND((E41/50),2)</f>
        <v>0.36</v>
      </c>
      <c r="E41" s="46">
        <f>ROUND((1993.08*0.009),2)</f>
        <v>17.940000000000001</v>
      </c>
    </row>
    <row r="42" spans="1:8" ht="47.25" customHeight="1" x14ac:dyDescent="0.25">
      <c r="A42" s="4">
        <v>2244</v>
      </c>
      <c r="B42" s="84" t="s">
        <v>22</v>
      </c>
      <c r="C42" s="106" t="s">
        <v>444</v>
      </c>
      <c r="D42" s="46">
        <f>ROUND((E42/50),2)</f>
        <v>1.34</v>
      </c>
      <c r="E42" s="108">
        <f>ROUND((7456.84*0.009),2)</f>
        <v>67.11</v>
      </c>
    </row>
    <row r="43" spans="1:8" ht="47.25" x14ac:dyDescent="0.25">
      <c r="A43" s="4">
        <v>2249</v>
      </c>
      <c r="B43" s="84" t="s">
        <v>45</v>
      </c>
      <c r="C43" s="106" t="s">
        <v>445</v>
      </c>
      <c r="D43" s="58">
        <f>ROUND((E43/50-0.01),2)</f>
        <v>1.89</v>
      </c>
      <c r="E43" s="108">
        <f>ROUND(10528.91*0.009,2)</f>
        <v>94.76</v>
      </c>
    </row>
    <row r="44" spans="1:8" ht="31.5" customHeight="1" x14ac:dyDescent="0.25">
      <c r="A44" s="4">
        <v>2312</v>
      </c>
      <c r="B44" s="173" t="s">
        <v>13</v>
      </c>
      <c r="C44" s="106" t="s">
        <v>446</v>
      </c>
      <c r="D44" s="46">
        <f>ROUND((E44/50),2)</f>
        <v>0.13</v>
      </c>
      <c r="E44" s="108">
        <f>ROUND(737.42*0.009,2)</f>
        <v>6.64</v>
      </c>
    </row>
    <row r="45" spans="1:8" ht="47.25" customHeight="1" x14ac:dyDescent="0.25">
      <c r="A45" s="4">
        <v>2350</v>
      </c>
      <c r="B45" s="118" t="s">
        <v>213</v>
      </c>
      <c r="C45" s="116" t="s">
        <v>447</v>
      </c>
      <c r="D45" s="46">
        <f>ROUND((E45/50),2)</f>
        <v>0.14000000000000001</v>
      </c>
      <c r="E45" s="58">
        <f>ROUND((780.26*0.009),2)</f>
        <v>7.02</v>
      </c>
    </row>
    <row r="46" spans="1:8" ht="33.75" customHeight="1" x14ac:dyDescent="0.25">
      <c r="A46" s="4">
        <v>2513</v>
      </c>
      <c r="B46" s="118" t="s">
        <v>57</v>
      </c>
      <c r="C46" s="106" t="s">
        <v>448</v>
      </c>
      <c r="D46" s="46">
        <f>ROUND((E46/50),2)</f>
        <v>2.63</v>
      </c>
      <c r="E46" s="46">
        <f>ROUND((14633.92*0.009),2)</f>
        <v>131.71</v>
      </c>
    </row>
    <row r="47" spans="1:8" ht="35.25" customHeight="1" x14ac:dyDescent="0.25">
      <c r="A47" s="4">
        <v>2515</v>
      </c>
      <c r="B47" s="118" t="s">
        <v>44</v>
      </c>
      <c r="C47" s="106" t="s">
        <v>449</v>
      </c>
      <c r="D47" s="46">
        <f>ROUND((E47/50),2)</f>
        <v>0.35</v>
      </c>
      <c r="E47" s="46">
        <f>ROUND((1964.86*0.009),2)</f>
        <v>17.68</v>
      </c>
    </row>
    <row r="48" spans="1:8" ht="15.75" x14ac:dyDescent="0.25">
      <c r="A48" s="10">
        <v>5000</v>
      </c>
      <c r="B48" s="9" t="s">
        <v>17</v>
      </c>
      <c r="C48" s="103"/>
      <c r="D48" s="25">
        <f>SUM(D49:D51)</f>
        <v>1.6400000000000001</v>
      </c>
      <c r="E48" s="25">
        <f>SUM(E49:E51)</f>
        <v>81.56</v>
      </c>
    </row>
    <row r="49" spans="1:7" ht="30.75" customHeight="1" x14ac:dyDescent="0.25">
      <c r="A49" s="4">
        <v>5213</v>
      </c>
      <c r="B49" s="118" t="s">
        <v>32</v>
      </c>
      <c r="C49" s="106" t="s">
        <v>655</v>
      </c>
      <c r="D49" s="45">
        <f>ROUND((E49/50),2)</f>
        <v>0.03</v>
      </c>
      <c r="E49" s="45">
        <f>ROUND((158.25*0.009),2)</f>
        <v>1.42</v>
      </c>
    </row>
    <row r="50" spans="1:7" ht="30.75" customHeight="1" x14ac:dyDescent="0.25">
      <c r="A50" s="18">
        <v>5218</v>
      </c>
      <c r="B50" s="84" t="s">
        <v>33</v>
      </c>
      <c r="C50" s="106" t="s">
        <v>656</v>
      </c>
      <c r="D50" s="45">
        <f>ROUND((E50/50),2)</f>
        <v>0.64</v>
      </c>
      <c r="E50" s="45">
        <f>ROUND((3538.2*0.009),2)</f>
        <v>31.84</v>
      </c>
    </row>
    <row r="51" spans="1:7" ht="47.25" x14ac:dyDescent="0.25">
      <c r="A51" s="18">
        <v>5239</v>
      </c>
      <c r="B51" s="84" t="s">
        <v>18</v>
      </c>
      <c r="C51" s="106" t="s">
        <v>657</v>
      </c>
      <c r="D51" s="45">
        <f>ROUND((E51/50),2)</f>
        <v>0.97</v>
      </c>
      <c r="E51" s="45">
        <f>ROUND((5366.12*0.009),2)</f>
        <v>48.3</v>
      </c>
    </row>
    <row r="52" spans="1:7" ht="15.75" x14ac:dyDescent="0.25">
      <c r="A52" s="4"/>
      <c r="B52" s="9" t="s">
        <v>23</v>
      </c>
      <c r="C52" s="103"/>
      <c r="D52" s="25">
        <f>SUM(D22+D35+D48)</f>
        <v>23.089999999999996</v>
      </c>
      <c r="E52" s="40">
        <f>SUM(E22+E35+E48)/10</f>
        <v>115.48499999999999</v>
      </c>
    </row>
    <row r="53" spans="1:7" ht="31.5" x14ac:dyDescent="0.25">
      <c r="A53" s="4"/>
      <c r="B53" s="11" t="s">
        <v>28</v>
      </c>
      <c r="C53" s="103"/>
      <c r="D53" s="26">
        <f>D20+D52</f>
        <v>30.679999999999996</v>
      </c>
      <c r="E53" s="41">
        <f>E20+E52</f>
        <v>153.37803479999997</v>
      </c>
    </row>
    <row r="54" spans="1:7" ht="15.75" x14ac:dyDescent="0.25">
      <c r="A54" s="20"/>
      <c r="B54" s="13" t="s">
        <v>29</v>
      </c>
      <c r="C54" s="103"/>
      <c r="D54" s="26">
        <f>D53*0.21</f>
        <v>6.4427999999999992</v>
      </c>
      <c r="E54" s="41">
        <f>E53*0.21</f>
        <v>32.20938730799999</v>
      </c>
    </row>
    <row r="55" spans="1:7" ht="31.5" x14ac:dyDescent="0.25">
      <c r="A55" s="20"/>
      <c r="B55" s="169" t="s">
        <v>30</v>
      </c>
      <c r="C55" s="170"/>
      <c r="D55" s="171">
        <f>D53*1.21</f>
        <v>37.122799999999991</v>
      </c>
      <c r="E55" s="172">
        <f>E53*1.21</f>
        <v>185.58742210799994</v>
      </c>
    </row>
    <row r="56" spans="1:7" ht="18" customHeight="1" x14ac:dyDescent="0.25">
      <c r="A56" s="406" t="s">
        <v>1620</v>
      </c>
      <c r="B56" s="406"/>
      <c r="C56" s="406"/>
      <c r="D56" s="8">
        <v>5</v>
      </c>
      <c r="E56" s="8" t="s">
        <v>186</v>
      </c>
    </row>
    <row r="57" spans="1:7" ht="33.950000000000003" customHeight="1" x14ac:dyDescent="0.25">
      <c r="A57" s="397" t="s">
        <v>59</v>
      </c>
      <c r="B57" s="397"/>
      <c r="C57" s="397"/>
      <c r="D57" s="350">
        <f>E55/D56</f>
        <v>37.11748442159999</v>
      </c>
      <c r="E57" s="8" t="s">
        <v>225</v>
      </c>
      <c r="G57" s="305"/>
    </row>
    <row r="58" spans="1:7" ht="15.75" x14ac:dyDescent="0.25">
      <c r="A58" s="1"/>
      <c r="B58" s="1"/>
      <c r="C58" s="1"/>
      <c r="G58" s="305"/>
    </row>
    <row r="59" spans="1:7" x14ac:dyDescent="0.25">
      <c r="G59" s="319"/>
    </row>
  </sheetData>
  <mergeCells count="6">
    <mergeCell ref="A56:C56"/>
    <mergeCell ref="A57:C57"/>
    <mergeCell ref="A3:B3"/>
    <mergeCell ref="A1:C1"/>
    <mergeCell ref="A25:A33"/>
    <mergeCell ref="B25:B33"/>
  </mergeCells>
  <pageMargins left="0.7" right="0.7" top="0.75" bottom="0.75" header="0.3" footer="0.3"/>
  <pageSetup paperSize="9" orientation="landscape" r:id="rId1"/>
  <rowBreaks count="2" manualBreakCount="2">
    <brk id="20" max="16383" man="1"/>
    <brk id="34"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637EF-E512-4562-A9B1-54A2FE2AA091}">
  <dimension ref="A1:H60"/>
  <sheetViews>
    <sheetView topLeftCell="A46" zoomScaleNormal="100" workbookViewId="0">
      <selection activeCell="D58" sqref="D58"/>
    </sheetView>
  </sheetViews>
  <sheetFormatPr defaultRowHeight="15" x14ac:dyDescent="0.25"/>
  <cols>
    <col min="1" max="1" width="12.140625" customWidth="1"/>
    <col min="2" max="2" width="27" customWidth="1"/>
    <col min="3" max="3" width="63.140625" customWidth="1"/>
    <col min="4" max="4" width="10" customWidth="1"/>
    <col min="5" max="5" width="18.140625" customWidth="1"/>
    <col min="6" max="6" width="7.7109375" customWidth="1"/>
    <col min="7" max="7" width="7.85546875" customWidth="1"/>
    <col min="8" max="8" width="7.7109375" customWidth="1"/>
    <col min="9" max="9" width="5" customWidth="1"/>
  </cols>
  <sheetData>
    <row r="1" spans="1:7" ht="18.75" x14ac:dyDescent="0.3">
      <c r="A1" s="404" t="s">
        <v>167</v>
      </c>
      <c r="B1" s="404"/>
      <c r="C1" s="404"/>
    </row>
    <row r="2" spans="1:7" ht="18.75" x14ac:dyDescent="0.3">
      <c r="A2" s="53" t="s">
        <v>166</v>
      </c>
      <c r="C2" s="2"/>
    </row>
    <row r="3" spans="1:7" ht="18.75" x14ac:dyDescent="0.25">
      <c r="A3" s="398" t="s">
        <v>172</v>
      </c>
      <c r="B3" s="398"/>
      <c r="C3" s="398"/>
    </row>
    <row r="4" spans="1:7" ht="18.75" x14ac:dyDescent="0.25">
      <c r="A4" s="405" t="s">
        <v>64</v>
      </c>
      <c r="B4" s="405"/>
      <c r="C4" s="102"/>
    </row>
    <row r="6" spans="1:7" ht="80.25" customHeight="1" x14ac:dyDescent="0.25">
      <c r="A6" s="139" t="s">
        <v>0</v>
      </c>
      <c r="B6" s="139" t="s">
        <v>1</v>
      </c>
      <c r="C6" s="139" t="s">
        <v>2</v>
      </c>
      <c r="D6" s="152" t="s">
        <v>26</v>
      </c>
      <c r="E6" s="152" t="s">
        <v>27</v>
      </c>
    </row>
    <row r="7" spans="1:7" x14ac:dyDescent="0.25">
      <c r="A7" s="277">
        <v>1</v>
      </c>
      <c r="B7" s="277">
        <v>2</v>
      </c>
      <c r="C7" s="277">
        <v>3</v>
      </c>
      <c r="D7" s="46">
        <v>4</v>
      </c>
      <c r="E7" s="46">
        <v>5</v>
      </c>
    </row>
    <row r="8" spans="1:7" ht="15.75" x14ac:dyDescent="0.25">
      <c r="A8" s="4"/>
      <c r="B8" s="7" t="s">
        <v>7</v>
      </c>
      <c r="C8" s="33" t="s">
        <v>8</v>
      </c>
      <c r="D8" s="24"/>
      <c r="E8" s="22"/>
    </row>
    <row r="9" spans="1:7" ht="15.75" x14ac:dyDescent="0.25">
      <c r="A9" s="8">
        <v>1000</v>
      </c>
      <c r="B9" s="7" t="s">
        <v>9</v>
      </c>
      <c r="C9" s="33"/>
      <c r="D9" s="25">
        <f>D10+D16</f>
        <v>3.58</v>
      </c>
      <c r="E9" s="25">
        <f>E10+E16</f>
        <v>357.76300000000003</v>
      </c>
    </row>
    <row r="10" spans="1:7" ht="15.75" x14ac:dyDescent="0.25">
      <c r="A10" s="265">
        <v>1100</v>
      </c>
      <c r="B10" s="265" t="s">
        <v>10</v>
      </c>
      <c r="C10" s="47"/>
      <c r="D10" s="25">
        <f>SUM(D12:D15)</f>
        <v>2.79</v>
      </c>
      <c r="E10" s="25">
        <f>SUM(E12:E15)</f>
        <v>279.202</v>
      </c>
    </row>
    <row r="11" spans="1:7" ht="15.75" x14ac:dyDescent="0.25">
      <c r="A11" s="16">
        <v>1110</v>
      </c>
      <c r="B11" s="16" t="s">
        <v>217</v>
      </c>
      <c r="C11" s="137" t="s">
        <v>218</v>
      </c>
      <c r="D11" s="58">
        <f>SUM(D12:D14)</f>
        <v>2.54</v>
      </c>
      <c r="E11" s="58">
        <f>SUM(E12:E14)</f>
        <v>253.82</v>
      </c>
    </row>
    <row r="12" spans="1:7" ht="78" customHeight="1" x14ac:dyDescent="0.25">
      <c r="A12" s="126"/>
      <c r="B12" s="129"/>
      <c r="C12" s="142" t="s">
        <v>953</v>
      </c>
      <c r="D12" s="58">
        <f>ROUND((E12/100),2)</f>
        <v>0.59</v>
      </c>
      <c r="E12" s="108">
        <f>ROUND((23.78*12*0.205),2)</f>
        <v>58.5</v>
      </c>
    </row>
    <row r="13" spans="1:7" ht="78.75" customHeight="1" x14ac:dyDescent="0.25">
      <c r="A13" s="143"/>
      <c r="B13" s="144"/>
      <c r="C13" s="142" t="s">
        <v>954</v>
      </c>
      <c r="D13" s="58">
        <f>ROUND((E13/100),2)</f>
        <v>1.18</v>
      </c>
      <c r="E13" s="108">
        <f>ROUND((48.02*12*0.205),2)</f>
        <v>118.13</v>
      </c>
    </row>
    <row r="14" spans="1:7" ht="77.25" customHeight="1" x14ac:dyDescent="0.25">
      <c r="A14" s="127"/>
      <c r="B14" s="130"/>
      <c r="C14" s="142" t="s">
        <v>955</v>
      </c>
      <c r="D14" s="58">
        <f>ROUND((E14/100),2)</f>
        <v>0.77</v>
      </c>
      <c r="E14" s="108">
        <f>ROUND((31.38*12*0.205),2)</f>
        <v>77.19</v>
      </c>
      <c r="G14" s="39"/>
    </row>
    <row r="15" spans="1:7" ht="62.25" customHeight="1" x14ac:dyDescent="0.25">
      <c r="A15" s="122">
        <v>1140</v>
      </c>
      <c r="B15" s="5" t="s">
        <v>214</v>
      </c>
      <c r="C15" s="142" t="s">
        <v>949</v>
      </c>
      <c r="D15" s="58">
        <f>ROUND((E15/100),2)</f>
        <v>0.25</v>
      </c>
      <c r="E15" s="108">
        <f>58.5*0.1+118.13*0.1+77.19*0.1</f>
        <v>25.382000000000001</v>
      </c>
    </row>
    <row r="16" spans="1:7" ht="61.5" customHeight="1" x14ac:dyDescent="0.25">
      <c r="A16" s="7">
        <v>1200</v>
      </c>
      <c r="B16" s="273" t="s">
        <v>11</v>
      </c>
      <c r="C16" s="166" t="s">
        <v>952</v>
      </c>
      <c r="D16" s="83">
        <f>D17+D18</f>
        <v>0.79</v>
      </c>
      <c r="E16" s="83">
        <f>E17+E18</f>
        <v>78.561000000000007</v>
      </c>
    </row>
    <row r="17" spans="1:8" ht="47.25" customHeight="1" x14ac:dyDescent="0.25">
      <c r="A17" s="4">
        <v>1210</v>
      </c>
      <c r="B17" s="5" t="s">
        <v>216</v>
      </c>
      <c r="C17" s="166" t="s">
        <v>950</v>
      </c>
      <c r="D17" s="45">
        <f t="shared" ref="D17" si="0">ROUND((E17/100),2)</f>
        <v>0.66</v>
      </c>
      <c r="E17" s="44">
        <f>ROUND((279.2*0.2359),2)</f>
        <v>65.86</v>
      </c>
    </row>
    <row r="18" spans="1:8" ht="62.25" customHeight="1" x14ac:dyDescent="0.25">
      <c r="A18" s="4">
        <v>1227</v>
      </c>
      <c r="B18" s="5" t="s">
        <v>215</v>
      </c>
      <c r="C18" s="166" t="s">
        <v>951</v>
      </c>
      <c r="D18" s="45">
        <f>ROUND((E18/100),2)</f>
        <v>0.13</v>
      </c>
      <c r="E18" s="108">
        <f>58.5*0.05+118.13*0.05+77.19*0.05+0.01</f>
        <v>12.701000000000001</v>
      </c>
      <c r="F18" s="39"/>
    </row>
    <row r="19" spans="1:8" ht="15.75" x14ac:dyDescent="0.25">
      <c r="A19" s="4"/>
      <c r="B19" s="9" t="s">
        <v>14</v>
      </c>
      <c r="C19" s="34" t="s">
        <v>16</v>
      </c>
      <c r="D19" s="25">
        <f>D9</f>
        <v>3.58</v>
      </c>
      <c r="E19" s="43">
        <f>E9/1.4085</f>
        <v>254.00283990060348</v>
      </c>
    </row>
    <row r="20" spans="1:8" ht="15.75" x14ac:dyDescent="0.25">
      <c r="A20" s="4"/>
      <c r="B20" s="9" t="s">
        <v>15</v>
      </c>
      <c r="C20" s="33" t="s">
        <v>8</v>
      </c>
      <c r="D20" s="22"/>
      <c r="E20" s="42"/>
    </row>
    <row r="21" spans="1:8" ht="15.75" x14ac:dyDescent="0.25">
      <c r="A21" s="8">
        <v>1000</v>
      </c>
      <c r="B21" s="7" t="s">
        <v>9</v>
      </c>
      <c r="C21" s="33"/>
      <c r="D21" s="83">
        <f>SUM(D22+D34)</f>
        <v>3.7099999999999995</v>
      </c>
      <c r="E21" s="83">
        <f>SUM(E22+E34)</f>
        <v>372.05999999999995</v>
      </c>
    </row>
    <row r="22" spans="1:8" ht="15.75" x14ac:dyDescent="0.25">
      <c r="A22" s="4">
        <v>1100</v>
      </c>
      <c r="B22" s="4" t="s">
        <v>10</v>
      </c>
      <c r="C22" s="137" t="s">
        <v>223</v>
      </c>
      <c r="D22" s="83">
        <f>SUM(D23:D33)</f>
        <v>2.9999999999999996</v>
      </c>
      <c r="E22" s="83">
        <f>SUM(E23:E33)</f>
        <v>301.03999999999996</v>
      </c>
    </row>
    <row r="23" spans="1:8" ht="79.5" customHeight="1" x14ac:dyDescent="0.25">
      <c r="A23" s="222"/>
      <c r="B23" s="223"/>
      <c r="C23" s="142" t="s">
        <v>956</v>
      </c>
      <c r="D23" s="27">
        <f>ROUND((E23/100),2)</f>
        <v>0.21</v>
      </c>
      <c r="E23" s="27">
        <f>ROUND((8.44*12*0.205),2)</f>
        <v>20.76</v>
      </c>
      <c r="F23" s="39"/>
      <c r="G23" s="39"/>
      <c r="H23" s="39"/>
    </row>
    <row r="24" spans="1:8" ht="77.25" customHeight="1" x14ac:dyDescent="0.25">
      <c r="A24" s="227"/>
      <c r="B24" s="228"/>
      <c r="C24" s="142" t="s">
        <v>957</v>
      </c>
      <c r="D24" s="27">
        <f>ROUND((E24/100),2)</f>
        <v>0.03</v>
      </c>
      <c r="E24" s="27">
        <f>ROUND((1.15*12*0.205),2)</f>
        <v>2.83</v>
      </c>
      <c r="F24" s="39"/>
      <c r="H24" s="39"/>
    </row>
    <row r="25" spans="1:8" ht="80.25" customHeight="1" x14ac:dyDescent="0.25">
      <c r="A25" s="401"/>
      <c r="B25" s="399"/>
      <c r="C25" s="142" t="s">
        <v>958</v>
      </c>
      <c r="D25" s="27">
        <f>ROUND((E25/100),2)</f>
        <v>0.02</v>
      </c>
      <c r="E25" s="27">
        <f>ROUND((0.77*12*0.205),2)</f>
        <v>1.89</v>
      </c>
    </row>
    <row r="26" spans="1:8" ht="79.5" customHeight="1" x14ac:dyDescent="0.25">
      <c r="A26" s="401"/>
      <c r="B26" s="399"/>
      <c r="C26" s="142" t="s">
        <v>959</v>
      </c>
      <c r="D26" s="27">
        <f t="shared" ref="D26:D31" si="1">ROUND((E26/100),2)</f>
        <v>0.03</v>
      </c>
      <c r="E26" s="45">
        <f>ROUND((1.26*12*0.205),2)</f>
        <v>3.1</v>
      </c>
      <c r="G26" s="39"/>
    </row>
    <row r="27" spans="1:8" ht="78.75" customHeight="1" x14ac:dyDescent="0.25">
      <c r="A27" s="401"/>
      <c r="B27" s="399"/>
      <c r="C27" s="142" t="s">
        <v>960</v>
      </c>
      <c r="D27" s="27">
        <f t="shared" si="1"/>
        <v>0.04</v>
      </c>
      <c r="E27" s="27">
        <f>ROUND((1.52*12*0.205),2)</f>
        <v>3.74</v>
      </c>
      <c r="G27" s="39"/>
      <c r="H27" s="50"/>
    </row>
    <row r="28" spans="1:8" ht="78.75" customHeight="1" x14ac:dyDescent="0.25">
      <c r="A28" s="401"/>
      <c r="B28" s="399"/>
      <c r="C28" s="105" t="s">
        <v>961</v>
      </c>
      <c r="D28" s="27">
        <f t="shared" si="1"/>
        <v>0.03</v>
      </c>
      <c r="E28" s="45">
        <f>ROUND((1.22*12*0.205),2)</f>
        <v>3</v>
      </c>
    </row>
    <row r="29" spans="1:8" ht="79.5" customHeight="1" x14ac:dyDescent="0.25">
      <c r="A29" s="401"/>
      <c r="B29" s="399"/>
      <c r="C29" s="48" t="s">
        <v>962</v>
      </c>
      <c r="D29" s="27">
        <f t="shared" si="1"/>
        <v>0.68</v>
      </c>
      <c r="E29" s="27">
        <f>ROUND((27.77*12*0.205),2)</f>
        <v>68.31</v>
      </c>
    </row>
    <row r="30" spans="1:8" ht="77.25" customHeight="1" x14ac:dyDescent="0.25">
      <c r="A30" s="401"/>
      <c r="B30" s="399"/>
      <c r="C30" s="48" t="s">
        <v>963</v>
      </c>
      <c r="D30" s="27">
        <f t="shared" si="1"/>
        <v>0.71</v>
      </c>
      <c r="E30" s="27">
        <f>ROUND((29.01*12*0.205),2)</f>
        <v>71.36</v>
      </c>
      <c r="H30" s="39"/>
    </row>
    <row r="31" spans="1:8" ht="78" customHeight="1" x14ac:dyDescent="0.25">
      <c r="A31" s="401"/>
      <c r="B31" s="399"/>
      <c r="C31" s="48" t="s">
        <v>964</v>
      </c>
      <c r="D31" s="27">
        <f t="shared" si="1"/>
        <v>0.97</v>
      </c>
      <c r="E31" s="27">
        <f>ROUND((39.54*12*0.205),2)</f>
        <v>97.27</v>
      </c>
    </row>
    <row r="32" spans="1:8" ht="93" customHeight="1" x14ac:dyDescent="0.25">
      <c r="A32" s="401"/>
      <c r="B32" s="399"/>
      <c r="C32" s="142" t="s">
        <v>965</v>
      </c>
      <c r="D32" s="27">
        <f>ROUND((E32/100),2)</f>
        <v>0.23</v>
      </c>
      <c r="E32" s="27">
        <f>ROUND((9.53*12*0.205),2)</f>
        <v>23.44</v>
      </c>
    </row>
    <row r="33" spans="1:8" ht="78" customHeight="1" x14ac:dyDescent="0.25">
      <c r="A33" s="402"/>
      <c r="B33" s="400"/>
      <c r="C33" s="48" t="s">
        <v>966</v>
      </c>
      <c r="D33" s="27">
        <f>ROUND((E33/100),2)</f>
        <v>0.05</v>
      </c>
      <c r="E33" s="27">
        <f>ROUND((2.17*12*0.205),2)</f>
        <v>5.34</v>
      </c>
      <c r="H33" s="39"/>
    </row>
    <row r="34" spans="1:8" ht="62.1" customHeight="1" x14ac:dyDescent="0.25">
      <c r="A34" s="7">
        <v>1200</v>
      </c>
      <c r="B34" s="156" t="s">
        <v>11</v>
      </c>
      <c r="C34" s="166" t="s">
        <v>967</v>
      </c>
      <c r="D34" s="83">
        <f>ROUND((E34/100),2)</f>
        <v>0.71</v>
      </c>
      <c r="E34" s="86">
        <f>ROUND((301.04*0.2359),2)</f>
        <v>71.02</v>
      </c>
    </row>
    <row r="35" spans="1:8" ht="15.75" x14ac:dyDescent="0.25">
      <c r="A35" s="8">
        <v>2000</v>
      </c>
      <c r="B35" s="7" t="s">
        <v>12</v>
      </c>
      <c r="C35" s="33"/>
      <c r="D35" s="23">
        <f>SUM(D36:D47)</f>
        <v>13.129999999999999</v>
      </c>
      <c r="E35" s="43">
        <f>SUM(E36:E47)</f>
        <v>1313.38</v>
      </c>
    </row>
    <row r="36" spans="1:8" ht="31.5" customHeight="1" x14ac:dyDescent="0.25">
      <c r="A36" s="4">
        <v>2221</v>
      </c>
      <c r="B36" s="118" t="s">
        <v>54</v>
      </c>
      <c r="C36" s="166" t="s">
        <v>307</v>
      </c>
      <c r="D36" s="27">
        <f t="shared" ref="D36:D47" si="2">ROUND((E36/100),2)</f>
        <v>2.99</v>
      </c>
      <c r="E36" s="44">
        <f>ROUND((1459.3*0.205),2)</f>
        <v>299.16000000000003</v>
      </c>
    </row>
    <row r="37" spans="1:8" ht="31.5" x14ac:dyDescent="0.25">
      <c r="A37" s="4">
        <v>2222</v>
      </c>
      <c r="B37" s="118" t="s">
        <v>55</v>
      </c>
      <c r="C37" s="166" t="s">
        <v>308</v>
      </c>
      <c r="D37" s="27">
        <f t="shared" si="2"/>
        <v>0.26</v>
      </c>
      <c r="E37" s="44">
        <f>ROUND((128.76*0.205),2)</f>
        <v>26.4</v>
      </c>
    </row>
    <row r="38" spans="1:8" ht="30.75" customHeight="1" x14ac:dyDescent="0.25">
      <c r="A38" s="4">
        <v>2223</v>
      </c>
      <c r="B38" s="118" t="s">
        <v>19</v>
      </c>
      <c r="C38" s="166" t="s">
        <v>309</v>
      </c>
      <c r="D38" s="45">
        <f t="shared" si="2"/>
        <v>1.93</v>
      </c>
      <c r="E38" s="44">
        <f>ROUND((941.09*0.205),2)</f>
        <v>192.92</v>
      </c>
    </row>
    <row r="39" spans="1:8" ht="78" customHeight="1" x14ac:dyDescent="0.25">
      <c r="A39" s="161">
        <v>2224</v>
      </c>
      <c r="B39" s="343" t="s">
        <v>56</v>
      </c>
      <c r="C39" s="335" t="s">
        <v>310</v>
      </c>
      <c r="D39" s="226">
        <f t="shared" si="2"/>
        <v>0.34</v>
      </c>
      <c r="E39" s="226">
        <f>ROUND((166.16*0.205),2)</f>
        <v>34.06</v>
      </c>
    </row>
    <row r="40" spans="1:8" ht="31.5" customHeight="1" x14ac:dyDescent="0.25">
      <c r="A40" s="4">
        <v>2229</v>
      </c>
      <c r="B40" s="118" t="s">
        <v>41</v>
      </c>
      <c r="C40" s="175" t="s">
        <v>311</v>
      </c>
      <c r="D40" s="27">
        <f t="shared" si="2"/>
        <v>0.01</v>
      </c>
      <c r="E40" s="27">
        <f>ROUND((7.15*0.205),2)</f>
        <v>1.47</v>
      </c>
    </row>
    <row r="41" spans="1:8" ht="31.5" x14ac:dyDescent="0.25">
      <c r="A41" s="173">
        <v>2241</v>
      </c>
      <c r="B41" s="344" t="s">
        <v>58</v>
      </c>
      <c r="C41" s="175" t="s">
        <v>1600</v>
      </c>
      <c r="D41" s="27">
        <f>ROUND((E41/100),2)</f>
        <v>4.0199999999999996</v>
      </c>
      <c r="E41" s="45">
        <f>ROUND((1961.47*0.205),2)</f>
        <v>402.1</v>
      </c>
    </row>
    <row r="42" spans="1:8" ht="95.25" customHeight="1" x14ac:dyDescent="0.25">
      <c r="A42" s="4">
        <v>2243</v>
      </c>
      <c r="B42" s="340" t="s">
        <v>21</v>
      </c>
      <c r="C42" s="84" t="s">
        <v>312</v>
      </c>
      <c r="D42" s="27">
        <f t="shared" si="2"/>
        <v>0.15</v>
      </c>
      <c r="E42" s="27">
        <f>ROUND((70.76*0.205),2)</f>
        <v>14.51</v>
      </c>
    </row>
    <row r="43" spans="1:8" ht="46.5" customHeight="1" x14ac:dyDescent="0.25">
      <c r="A43" s="4">
        <v>2244</v>
      </c>
      <c r="B43" s="340" t="s">
        <v>22</v>
      </c>
      <c r="C43" s="37" t="s">
        <v>313</v>
      </c>
      <c r="D43" s="27">
        <f t="shared" si="2"/>
        <v>2.94</v>
      </c>
      <c r="E43" s="44">
        <f>ROUND(1435.92*0.205,2)</f>
        <v>294.36</v>
      </c>
    </row>
    <row r="44" spans="1:8" ht="46.5" customHeight="1" x14ac:dyDescent="0.25">
      <c r="A44" s="4">
        <v>2249</v>
      </c>
      <c r="B44" s="340" t="s">
        <v>45</v>
      </c>
      <c r="C44" s="336" t="s">
        <v>314</v>
      </c>
      <c r="D44" s="27">
        <f t="shared" si="2"/>
        <v>0.18</v>
      </c>
      <c r="E44" s="44">
        <f>ROUND(86.7*0.205,2)</f>
        <v>17.77</v>
      </c>
    </row>
    <row r="45" spans="1:8" ht="46.5" customHeight="1" x14ac:dyDescent="0.25">
      <c r="A45" s="4">
        <v>2312</v>
      </c>
      <c r="B45" s="340" t="s">
        <v>13</v>
      </c>
      <c r="C45" s="114" t="s">
        <v>315</v>
      </c>
      <c r="D45" s="27">
        <f t="shared" si="2"/>
        <v>0.01</v>
      </c>
      <c r="E45" s="44">
        <f>ROUND(4.77*0.205,2)</f>
        <v>0.98</v>
      </c>
    </row>
    <row r="46" spans="1:8" ht="47.25" customHeight="1" x14ac:dyDescent="0.25">
      <c r="A46" s="4">
        <v>2350</v>
      </c>
      <c r="B46" s="118" t="s">
        <v>213</v>
      </c>
      <c r="C46" s="37" t="s">
        <v>316</v>
      </c>
      <c r="D46" s="45">
        <f t="shared" si="2"/>
        <v>0.09</v>
      </c>
      <c r="E46" s="46">
        <f>ROUND((43.38*0.205),2)</f>
        <v>8.89</v>
      </c>
    </row>
    <row r="47" spans="1:8" ht="30.75" customHeight="1" x14ac:dyDescent="0.25">
      <c r="A47" s="4">
        <v>2513</v>
      </c>
      <c r="B47" s="118" t="s">
        <v>57</v>
      </c>
      <c r="C47" s="37" t="s">
        <v>317</v>
      </c>
      <c r="D47" s="45">
        <f t="shared" si="2"/>
        <v>0.21</v>
      </c>
      <c r="E47" s="27">
        <f>ROUND((101.27*0.205),2)</f>
        <v>20.76</v>
      </c>
    </row>
    <row r="48" spans="1:8" ht="18" customHeight="1" x14ac:dyDescent="0.25">
      <c r="A48" s="10">
        <v>5000</v>
      </c>
      <c r="B48" s="156" t="s">
        <v>17</v>
      </c>
      <c r="C48" s="269"/>
      <c r="D48" s="229">
        <f>SUM(D49:D52)</f>
        <v>3.64</v>
      </c>
      <c r="E48" s="229">
        <f>SUM(E49:E52)</f>
        <v>362.78999999999996</v>
      </c>
    </row>
    <row r="49" spans="1:7" ht="33" customHeight="1" x14ac:dyDescent="0.25">
      <c r="A49" s="4">
        <v>5212</v>
      </c>
      <c r="B49" s="118" t="s">
        <v>31</v>
      </c>
      <c r="C49" s="37" t="s">
        <v>658</v>
      </c>
      <c r="D49" s="45">
        <f>ROUND((E49/100),2)</f>
        <v>1.3</v>
      </c>
      <c r="E49" s="45">
        <f>ROUND((633.07*0.205),2)</f>
        <v>129.78</v>
      </c>
    </row>
    <row r="50" spans="1:7" ht="31.5" customHeight="1" x14ac:dyDescent="0.25">
      <c r="A50" s="4">
        <v>5213</v>
      </c>
      <c r="B50" s="118" t="s">
        <v>32</v>
      </c>
      <c r="C50" s="37" t="s">
        <v>659</v>
      </c>
      <c r="D50" s="45">
        <f>ROUND((E50/100),2)</f>
        <v>0.93</v>
      </c>
      <c r="E50" s="45">
        <f>ROUND((452.66*0.205),2)</f>
        <v>92.8</v>
      </c>
    </row>
    <row r="51" spans="1:7" ht="32.25" customHeight="1" x14ac:dyDescent="0.25">
      <c r="A51" s="18">
        <v>5218</v>
      </c>
      <c r="B51" s="84" t="s">
        <v>33</v>
      </c>
      <c r="C51" s="37" t="s">
        <v>660</v>
      </c>
      <c r="D51" s="45">
        <f>ROUND((E51/100),2)</f>
        <v>0.62</v>
      </c>
      <c r="E51" s="45">
        <f>ROUND((301.17*0.205),2)</f>
        <v>61.74</v>
      </c>
    </row>
    <row r="52" spans="1:7" ht="46.5" customHeight="1" x14ac:dyDescent="0.25">
      <c r="A52" s="18">
        <v>5239</v>
      </c>
      <c r="B52" s="84" t="s">
        <v>18</v>
      </c>
      <c r="C52" s="37" t="s">
        <v>661</v>
      </c>
      <c r="D52" s="45">
        <f>ROUND((E52/100+0.01),2)</f>
        <v>0.79</v>
      </c>
      <c r="E52" s="45">
        <f>ROUND((382.77*0.205),2)</f>
        <v>78.47</v>
      </c>
    </row>
    <row r="53" spans="1:7" ht="15.75" x14ac:dyDescent="0.25">
      <c r="A53" s="4"/>
      <c r="B53" s="9" t="s">
        <v>23</v>
      </c>
      <c r="C53" s="33"/>
      <c r="D53" s="25">
        <f>SUM(D21+D35+D48)</f>
        <v>20.48</v>
      </c>
      <c r="E53" s="40">
        <f>SUM(E21+E35+E48)/1.4085</f>
        <v>1454.1924032658856</v>
      </c>
    </row>
    <row r="54" spans="1:7" ht="31.5" x14ac:dyDescent="0.25">
      <c r="A54" s="4"/>
      <c r="B54" s="11" t="s">
        <v>28</v>
      </c>
      <c r="C54" s="33"/>
      <c r="D54" s="26">
        <f>D19+D53</f>
        <v>24.060000000000002</v>
      </c>
      <c r="E54" s="41">
        <f>E19+E53</f>
        <v>1708.195243166489</v>
      </c>
    </row>
    <row r="55" spans="1:7" ht="15.75" x14ac:dyDescent="0.25">
      <c r="A55" s="161"/>
      <c r="B55" s="13" t="s">
        <v>29</v>
      </c>
      <c r="C55" s="33"/>
      <c r="D55" s="26">
        <f>D54*0.21</f>
        <v>5.0526</v>
      </c>
      <c r="E55" s="41">
        <f>E54*0.21</f>
        <v>358.72100106496271</v>
      </c>
    </row>
    <row r="56" spans="1:7" ht="31.5" x14ac:dyDescent="0.25">
      <c r="A56" s="6"/>
      <c r="B56" s="169" t="s">
        <v>30</v>
      </c>
      <c r="C56" s="170"/>
      <c r="D56" s="171">
        <f>D54*1.21</f>
        <v>29.1126</v>
      </c>
      <c r="E56" s="172">
        <f>E54*1.21</f>
        <v>2066.9162442314519</v>
      </c>
    </row>
    <row r="57" spans="1:7" ht="15.75" x14ac:dyDescent="0.25">
      <c r="A57" s="406" t="s">
        <v>1624</v>
      </c>
      <c r="B57" s="406"/>
      <c r="C57" s="406"/>
      <c r="D57" s="8">
        <v>71</v>
      </c>
      <c r="E57" s="8" t="s">
        <v>186</v>
      </c>
    </row>
    <row r="58" spans="1:7" ht="33.950000000000003" customHeight="1" x14ac:dyDescent="0.25">
      <c r="A58" s="397" t="s">
        <v>59</v>
      </c>
      <c r="B58" s="397"/>
      <c r="C58" s="397"/>
      <c r="D58" s="350">
        <f>ROUND((E56/D57),2)</f>
        <v>29.11</v>
      </c>
      <c r="E58" s="8" t="s">
        <v>225</v>
      </c>
    </row>
    <row r="59" spans="1:7" ht="15.75" x14ac:dyDescent="0.25">
      <c r="A59" s="1"/>
      <c r="B59" s="1"/>
      <c r="C59" s="1"/>
      <c r="F59" s="14"/>
    </row>
    <row r="60" spans="1:7" x14ac:dyDescent="0.25">
      <c r="G60" s="319"/>
    </row>
  </sheetData>
  <mergeCells count="7">
    <mergeCell ref="A57:C57"/>
    <mergeCell ref="A58:C58"/>
    <mergeCell ref="A1:C1"/>
    <mergeCell ref="A4:B4"/>
    <mergeCell ref="A25:A33"/>
    <mergeCell ref="B25:B33"/>
    <mergeCell ref="A3:C3"/>
  </mergeCells>
  <pageMargins left="0.70866141732283472" right="0.70866141732283472" top="0.74803149606299213" bottom="0.74803149606299213" header="0.31496062992125984" footer="0.31496062992125984"/>
  <pageSetup paperSize="9" orientation="landscape" r:id="rId1"/>
  <rowBreaks count="4" manualBreakCount="4">
    <brk id="24" max="4" man="1"/>
    <brk id="30" max="4" man="1"/>
    <brk id="39" max="16383" man="1"/>
    <brk id="51" max="16383" man="1"/>
  </rowBreaks>
  <ignoredErrors>
    <ignoredError sqref="D16" 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12860-9BC2-4A91-A4AC-830F8BE9B1FC}">
  <dimension ref="A1:J60"/>
  <sheetViews>
    <sheetView topLeftCell="A52" zoomScaleNormal="100" workbookViewId="0">
      <selection activeCell="D59" sqref="D59"/>
    </sheetView>
  </sheetViews>
  <sheetFormatPr defaultRowHeight="15" x14ac:dyDescent="0.25"/>
  <cols>
    <col min="1" max="1" width="12" customWidth="1"/>
    <col min="2" max="2" width="27.28515625" customWidth="1"/>
    <col min="3" max="3" width="61" customWidth="1"/>
    <col min="4" max="4" width="11.28515625" customWidth="1"/>
    <col min="5" max="5" width="17.85546875" customWidth="1"/>
  </cols>
  <sheetData>
    <row r="1" spans="1:8" ht="17.25" customHeight="1" x14ac:dyDescent="0.3">
      <c r="A1" s="404" t="s">
        <v>168</v>
      </c>
      <c r="B1" s="404"/>
      <c r="C1" s="404"/>
    </row>
    <row r="2" spans="1:8" ht="18.75" x14ac:dyDescent="0.3">
      <c r="A2" s="53" t="s">
        <v>166</v>
      </c>
    </row>
    <row r="3" spans="1:8" ht="18.75" x14ac:dyDescent="0.25">
      <c r="A3" s="398" t="s">
        <v>173</v>
      </c>
      <c r="B3" s="398"/>
      <c r="C3" s="398"/>
    </row>
    <row r="4" spans="1:8" ht="18.75" x14ac:dyDescent="0.3">
      <c r="A4" s="405" t="s">
        <v>64</v>
      </c>
      <c r="B4" s="405"/>
      <c r="C4" s="53"/>
    </row>
    <row r="6" spans="1:8" ht="78.75" x14ac:dyDescent="0.25">
      <c r="A6" s="139" t="s">
        <v>0</v>
      </c>
      <c r="B6" s="139" t="s">
        <v>1</v>
      </c>
      <c r="C6" s="139" t="s">
        <v>2</v>
      </c>
      <c r="D6" s="152" t="s">
        <v>26</v>
      </c>
      <c r="E6" s="52" t="s">
        <v>27</v>
      </c>
    </row>
    <row r="7" spans="1:8" x14ac:dyDescent="0.25">
      <c r="A7" s="277">
        <v>1</v>
      </c>
      <c r="B7" s="277">
        <v>2</v>
      </c>
      <c r="C7" s="277">
        <v>3</v>
      </c>
      <c r="D7" s="27">
        <v>4</v>
      </c>
      <c r="E7" s="27">
        <v>5</v>
      </c>
    </row>
    <row r="8" spans="1:8" ht="15.75" x14ac:dyDescent="0.25">
      <c r="A8" s="4"/>
      <c r="B8" s="7" t="s">
        <v>7</v>
      </c>
      <c r="C8" s="33" t="s">
        <v>8</v>
      </c>
      <c r="D8" s="24"/>
      <c r="E8" s="22"/>
    </row>
    <row r="9" spans="1:8" ht="15.75" x14ac:dyDescent="0.25">
      <c r="A9" s="8">
        <v>1000</v>
      </c>
      <c r="B9" s="7" t="s">
        <v>9</v>
      </c>
      <c r="C9" s="269"/>
      <c r="D9" s="43">
        <f>D10+D16</f>
        <v>4.6100000000000003</v>
      </c>
      <c r="E9" s="43">
        <f>E10+E16</f>
        <v>1379.51</v>
      </c>
    </row>
    <row r="10" spans="1:8" ht="15.75" x14ac:dyDescent="0.25">
      <c r="A10" s="265">
        <v>1100</v>
      </c>
      <c r="B10" s="265" t="s">
        <v>10</v>
      </c>
      <c r="C10" s="269"/>
      <c r="D10" s="43">
        <f>SUM(D12:D15)</f>
        <v>3.6</v>
      </c>
      <c r="E10" s="43">
        <f>SUM(E12:E15)</f>
        <v>1076.5999999999999</v>
      </c>
    </row>
    <row r="11" spans="1:8" ht="15.75" x14ac:dyDescent="0.25">
      <c r="A11" s="16">
        <v>1110</v>
      </c>
      <c r="B11" s="16" t="s">
        <v>217</v>
      </c>
      <c r="C11" s="137" t="s">
        <v>218</v>
      </c>
      <c r="D11" s="326">
        <f>SUM(D12:D14)</f>
        <v>3.27</v>
      </c>
      <c r="E11" s="326">
        <f>SUM(E12:E14)</f>
        <v>978.72</v>
      </c>
    </row>
    <row r="12" spans="1:8" ht="78.75" customHeight="1" x14ac:dyDescent="0.25">
      <c r="A12" s="126"/>
      <c r="B12" s="129"/>
      <c r="C12" s="142" t="s">
        <v>968</v>
      </c>
      <c r="D12" s="326">
        <f>ROUND((E12/300),2)</f>
        <v>0.76</v>
      </c>
      <c r="E12" s="326">
        <f>ROUND((23.78*12*0.794),2)</f>
        <v>226.58</v>
      </c>
      <c r="H12" s="39"/>
    </row>
    <row r="13" spans="1:8" ht="79.5" customHeight="1" x14ac:dyDescent="0.25">
      <c r="A13" s="227"/>
      <c r="B13" s="228"/>
      <c r="C13" s="142" t="s">
        <v>969</v>
      </c>
      <c r="D13" s="326">
        <f>ROUND((E13/300),2)</f>
        <v>1.51</v>
      </c>
      <c r="E13" s="326">
        <f>ROUND((47.56*12*0.794),2)</f>
        <v>453.15</v>
      </c>
      <c r="H13" s="50"/>
    </row>
    <row r="14" spans="1:8" ht="80.25" customHeight="1" x14ac:dyDescent="0.25">
      <c r="A14" s="127"/>
      <c r="B14" s="130"/>
      <c r="C14" s="120" t="s">
        <v>970</v>
      </c>
      <c r="D14" s="327">
        <f>ROUND((E14/300),2)</f>
        <v>1</v>
      </c>
      <c r="E14" s="327">
        <f>ROUND((31.38*12*0.794),2)</f>
        <v>298.99</v>
      </c>
    </row>
    <row r="15" spans="1:8" ht="63.75" customHeight="1" x14ac:dyDescent="0.25">
      <c r="A15" s="122">
        <v>1140</v>
      </c>
      <c r="B15" s="5" t="s">
        <v>214</v>
      </c>
      <c r="C15" s="142" t="s">
        <v>971</v>
      </c>
      <c r="D15" s="327">
        <f>ROUND((E15/300),2)</f>
        <v>0.33</v>
      </c>
      <c r="E15" s="327">
        <f>ROUND((226.58*0.1+453.15*0.1+298.99*0.1+0.01),2)</f>
        <v>97.88</v>
      </c>
    </row>
    <row r="16" spans="1:8" ht="63" customHeight="1" x14ac:dyDescent="0.25">
      <c r="A16" s="7">
        <v>1200</v>
      </c>
      <c r="B16" s="310" t="s">
        <v>11</v>
      </c>
      <c r="C16" s="166" t="s">
        <v>974</v>
      </c>
      <c r="D16" s="328">
        <f>ROUND((D17+D18),2)</f>
        <v>1.01</v>
      </c>
      <c r="E16" s="328">
        <f>ROUND((E17+E18),2)</f>
        <v>302.91000000000003</v>
      </c>
    </row>
    <row r="17" spans="1:10" ht="47.25" customHeight="1" x14ac:dyDescent="0.25">
      <c r="A17" s="4">
        <v>1210</v>
      </c>
      <c r="B17" s="5" t="s">
        <v>216</v>
      </c>
      <c r="C17" s="166" t="s">
        <v>972</v>
      </c>
      <c r="D17" s="326">
        <f t="shared" ref="D17:D18" si="0">ROUND((E17/300),2)</f>
        <v>0.85</v>
      </c>
      <c r="E17" s="326">
        <f>1076.6*0.2359</f>
        <v>253.96993999999998</v>
      </c>
    </row>
    <row r="18" spans="1:10" ht="78.75" x14ac:dyDescent="0.25">
      <c r="A18" s="4">
        <v>1227</v>
      </c>
      <c r="B18" s="5" t="s">
        <v>215</v>
      </c>
      <c r="C18" s="166" t="s">
        <v>973</v>
      </c>
      <c r="D18" s="326">
        <f t="shared" si="0"/>
        <v>0.16</v>
      </c>
      <c r="E18" s="327">
        <f>ROUND((226.58*0.05+453.15*0.05+298.99*0.05),2)</f>
        <v>48.94</v>
      </c>
    </row>
    <row r="19" spans="1:10" ht="15.75" x14ac:dyDescent="0.25">
      <c r="A19" s="4"/>
      <c r="B19" s="9" t="s">
        <v>14</v>
      </c>
      <c r="C19" s="141" t="s">
        <v>16</v>
      </c>
      <c r="D19" s="261">
        <f>D9</f>
        <v>4.6100000000000003</v>
      </c>
      <c r="E19" s="261">
        <f>E9/9.375</f>
        <v>147.14773333333332</v>
      </c>
    </row>
    <row r="20" spans="1:10" ht="15.75" x14ac:dyDescent="0.25">
      <c r="A20" s="4"/>
      <c r="B20" s="9" t="s">
        <v>15</v>
      </c>
      <c r="C20" s="269" t="s">
        <v>8</v>
      </c>
      <c r="D20" s="329"/>
      <c r="E20" s="329"/>
    </row>
    <row r="21" spans="1:10" ht="15.75" x14ac:dyDescent="0.25">
      <c r="A21" s="8">
        <v>1000</v>
      </c>
      <c r="B21" s="7" t="s">
        <v>9</v>
      </c>
      <c r="C21" s="269"/>
      <c r="D21" s="328">
        <f>SUM(D22+D34)</f>
        <v>4.8</v>
      </c>
      <c r="E21" s="328">
        <f>SUM(E22+E34)</f>
        <v>1440.1799999999998</v>
      </c>
    </row>
    <row r="22" spans="1:10" ht="15.75" x14ac:dyDescent="0.25">
      <c r="A22" s="4">
        <v>1100</v>
      </c>
      <c r="B22" s="4" t="s">
        <v>10</v>
      </c>
      <c r="C22" s="137" t="s">
        <v>223</v>
      </c>
      <c r="D22" s="328">
        <f>SUM(D23:D33)</f>
        <v>3.8799999999999994</v>
      </c>
      <c r="E22" s="328">
        <f>SUM(E23:E33)</f>
        <v>1165.29</v>
      </c>
    </row>
    <row r="23" spans="1:10" ht="94.5" x14ac:dyDescent="0.25">
      <c r="A23" s="222"/>
      <c r="B23" s="223"/>
      <c r="C23" s="142" t="s">
        <v>975</v>
      </c>
      <c r="D23" s="326">
        <f t="shared" ref="D23:D34" si="1">ROUND((E23/300),2)</f>
        <v>0.27</v>
      </c>
      <c r="E23" s="326">
        <f>ROUND((8.44*12*0.794),2)</f>
        <v>80.42</v>
      </c>
      <c r="I23" s="82"/>
      <c r="J23" s="82"/>
    </row>
    <row r="24" spans="1:10" ht="79.5" customHeight="1" x14ac:dyDescent="0.25">
      <c r="A24" s="227"/>
      <c r="B24" s="228"/>
      <c r="C24" s="142" t="s">
        <v>976</v>
      </c>
      <c r="D24" s="353">
        <f t="shared" si="1"/>
        <v>0.04</v>
      </c>
      <c r="E24" s="326">
        <f>ROUND((1.15*12*0.794),2)</f>
        <v>10.96</v>
      </c>
      <c r="I24" s="82"/>
      <c r="J24" s="82"/>
    </row>
    <row r="25" spans="1:10" ht="80.25" customHeight="1" x14ac:dyDescent="0.25">
      <c r="A25" s="401"/>
      <c r="B25" s="399"/>
      <c r="C25" s="142" t="s">
        <v>977</v>
      </c>
      <c r="D25" s="326">
        <f t="shared" si="1"/>
        <v>0.02</v>
      </c>
      <c r="E25" s="326">
        <f>ROUND((0.77*12*0.794),2)</f>
        <v>7.34</v>
      </c>
      <c r="I25" s="82"/>
      <c r="J25" s="82"/>
    </row>
    <row r="26" spans="1:10" ht="81" customHeight="1" x14ac:dyDescent="0.25">
      <c r="A26" s="401"/>
      <c r="B26" s="399"/>
      <c r="C26" s="142" t="s">
        <v>978</v>
      </c>
      <c r="D26" s="326">
        <f t="shared" si="1"/>
        <v>0.04</v>
      </c>
      <c r="E26" s="326">
        <f>ROUND((1.26*12*0.794),2)</f>
        <v>12.01</v>
      </c>
      <c r="I26" s="82"/>
      <c r="J26" s="82"/>
    </row>
    <row r="27" spans="1:10" ht="78.75" customHeight="1" x14ac:dyDescent="0.25">
      <c r="A27" s="401"/>
      <c r="B27" s="399"/>
      <c r="C27" s="142" t="s">
        <v>979</v>
      </c>
      <c r="D27" s="326">
        <f t="shared" si="1"/>
        <v>0.05</v>
      </c>
      <c r="E27" s="326">
        <f>ROUND((1.52*12*0.794),2)</f>
        <v>14.48</v>
      </c>
      <c r="I27" s="82"/>
      <c r="J27" s="82"/>
    </row>
    <row r="28" spans="1:10" ht="79.5" customHeight="1" x14ac:dyDescent="0.25">
      <c r="A28" s="401"/>
      <c r="B28" s="399"/>
      <c r="C28" s="142" t="s">
        <v>980</v>
      </c>
      <c r="D28" s="326">
        <f t="shared" si="1"/>
        <v>0.04</v>
      </c>
      <c r="E28" s="326">
        <f>ROUND((1.22*12*0.794),2)</f>
        <v>11.62</v>
      </c>
      <c r="I28" s="82"/>
      <c r="J28" s="82"/>
    </row>
    <row r="29" spans="1:10" ht="78.75" x14ac:dyDescent="0.25">
      <c r="A29" s="401"/>
      <c r="B29" s="399"/>
      <c r="C29" s="142" t="s">
        <v>981</v>
      </c>
      <c r="D29" s="326">
        <f t="shared" si="1"/>
        <v>0.88</v>
      </c>
      <c r="E29" s="326">
        <f>ROUND((27.69*12*0.794),2)</f>
        <v>263.83</v>
      </c>
      <c r="F29" s="82"/>
      <c r="I29" s="82"/>
      <c r="J29" s="82"/>
    </row>
    <row r="30" spans="1:10" ht="80.25" customHeight="1" x14ac:dyDescent="0.25">
      <c r="A30" s="401"/>
      <c r="B30" s="399"/>
      <c r="C30" s="142" t="s">
        <v>982</v>
      </c>
      <c r="D30" s="326">
        <f t="shared" si="1"/>
        <v>0.92</v>
      </c>
      <c r="E30" s="326">
        <f>ROUND((29.01*12*0.794),2)</f>
        <v>276.41000000000003</v>
      </c>
      <c r="I30" s="82"/>
      <c r="J30" s="82"/>
    </row>
    <row r="31" spans="1:10" ht="80.25" customHeight="1" x14ac:dyDescent="0.25">
      <c r="A31" s="401"/>
      <c r="B31" s="399"/>
      <c r="C31" s="142" t="s">
        <v>983</v>
      </c>
      <c r="D31" s="353">
        <f>ROUND((E31/300-0.01),2)</f>
        <v>1.25</v>
      </c>
      <c r="E31" s="326">
        <f>ROUND((39.54*12*0.794),2)</f>
        <v>376.74</v>
      </c>
      <c r="I31" s="82"/>
      <c r="J31" s="82"/>
    </row>
    <row r="32" spans="1:10" ht="94.5" customHeight="1" x14ac:dyDescent="0.25">
      <c r="A32" s="401"/>
      <c r="B32" s="399"/>
      <c r="C32" s="123" t="s">
        <v>984</v>
      </c>
      <c r="D32" s="326">
        <f t="shared" si="1"/>
        <v>0.3</v>
      </c>
      <c r="E32" s="326">
        <f>ROUND((9.53*12*0.794),2)</f>
        <v>90.8</v>
      </c>
      <c r="I32" s="82"/>
      <c r="J32" s="82"/>
    </row>
    <row r="33" spans="1:10" ht="80.25" customHeight="1" x14ac:dyDescent="0.25">
      <c r="A33" s="402"/>
      <c r="B33" s="400"/>
      <c r="C33" s="142" t="s">
        <v>985</v>
      </c>
      <c r="D33" s="326">
        <f t="shared" si="1"/>
        <v>7.0000000000000007E-2</v>
      </c>
      <c r="E33" s="326">
        <f>ROUND((2.17*12*0.794),2)</f>
        <v>20.68</v>
      </c>
      <c r="I33" s="82"/>
      <c r="J33" s="82"/>
    </row>
    <row r="34" spans="1:10" ht="63.75" customHeight="1" x14ac:dyDescent="0.25">
      <c r="A34" s="7">
        <v>1200</v>
      </c>
      <c r="B34" s="156" t="s">
        <v>11</v>
      </c>
      <c r="C34" s="166" t="s">
        <v>986</v>
      </c>
      <c r="D34" s="328">
        <f t="shared" si="1"/>
        <v>0.92</v>
      </c>
      <c r="E34" s="328">
        <f>ROUND((1165.29*0.2359),2)</f>
        <v>274.89</v>
      </c>
      <c r="I34" s="82"/>
      <c r="J34" s="82"/>
    </row>
    <row r="35" spans="1:10" ht="15.75" x14ac:dyDescent="0.25">
      <c r="A35" s="8">
        <v>2000</v>
      </c>
      <c r="B35" s="7" t="s">
        <v>12</v>
      </c>
      <c r="C35" s="269"/>
      <c r="D35" s="261">
        <f>SUM(D36:D47)</f>
        <v>16.95</v>
      </c>
      <c r="E35" s="261">
        <f>SUM(E36:E47)</f>
        <v>5086.9499999999989</v>
      </c>
      <c r="I35" s="82"/>
      <c r="J35" s="82"/>
    </row>
    <row r="36" spans="1:10" ht="31.5" x14ac:dyDescent="0.25">
      <c r="A36" s="4">
        <v>2221</v>
      </c>
      <c r="B36" s="118" t="s">
        <v>54</v>
      </c>
      <c r="C36" s="114" t="s">
        <v>318</v>
      </c>
      <c r="D36" s="326">
        <f t="shared" ref="D36:D47" si="2">ROUND((E36/300),2)</f>
        <v>3.86</v>
      </c>
      <c r="E36" s="326">
        <f>ROUND((1459.3*0.794),2)</f>
        <v>1158.68</v>
      </c>
      <c r="I36" s="82"/>
      <c r="J36" s="82"/>
    </row>
    <row r="37" spans="1:10" ht="31.5" x14ac:dyDescent="0.25">
      <c r="A37" s="4">
        <v>2222</v>
      </c>
      <c r="B37" s="118" t="s">
        <v>55</v>
      </c>
      <c r="C37" s="114" t="s">
        <v>319</v>
      </c>
      <c r="D37" s="326">
        <f t="shared" si="2"/>
        <v>0.34</v>
      </c>
      <c r="E37" s="326">
        <f>ROUND((128.76*0.794),2)</f>
        <v>102.24</v>
      </c>
      <c r="I37" s="82"/>
      <c r="J37" s="82"/>
    </row>
    <row r="38" spans="1:10" ht="31.5" x14ac:dyDescent="0.25">
      <c r="A38" s="4">
        <v>2223</v>
      </c>
      <c r="B38" s="118" t="s">
        <v>19</v>
      </c>
      <c r="C38" s="114" t="s">
        <v>320</v>
      </c>
      <c r="D38" s="326">
        <f t="shared" si="2"/>
        <v>2.4900000000000002</v>
      </c>
      <c r="E38" s="326">
        <f>ROUND((941.09*0.794),2)</f>
        <v>747.23</v>
      </c>
      <c r="I38" s="82"/>
      <c r="J38" s="82"/>
    </row>
    <row r="39" spans="1:10" s="240" customFormat="1" ht="78.75" x14ac:dyDescent="0.25">
      <c r="A39" s="324">
        <v>2224</v>
      </c>
      <c r="B39" s="84" t="s">
        <v>56</v>
      </c>
      <c r="C39" s="114" t="s">
        <v>321</v>
      </c>
      <c r="D39" s="326">
        <f t="shared" si="2"/>
        <v>0.44</v>
      </c>
      <c r="E39" s="326">
        <f>ROUND((166.16*0.794),2)</f>
        <v>131.93</v>
      </c>
      <c r="I39" s="325"/>
      <c r="J39" s="82"/>
    </row>
    <row r="40" spans="1:10" ht="33" customHeight="1" x14ac:dyDescent="0.25">
      <c r="A40" s="164">
        <v>2229</v>
      </c>
      <c r="B40" s="118" t="s">
        <v>41</v>
      </c>
      <c r="C40" s="175" t="s">
        <v>322</v>
      </c>
      <c r="D40" s="326">
        <f t="shared" si="2"/>
        <v>0.02</v>
      </c>
      <c r="E40" s="326">
        <f>ROUND((7.15*0.794),2)</f>
        <v>5.68</v>
      </c>
      <c r="I40" s="82"/>
      <c r="J40" s="82"/>
    </row>
    <row r="41" spans="1:10" ht="31.5" x14ac:dyDescent="0.25">
      <c r="A41" s="173">
        <v>2241</v>
      </c>
      <c r="B41" s="344" t="s">
        <v>58</v>
      </c>
      <c r="C41" s="175" t="s">
        <v>1599</v>
      </c>
      <c r="D41" s="326">
        <f t="shared" si="2"/>
        <v>5.19</v>
      </c>
      <c r="E41" s="326">
        <f>ROUND((1961.47*0.794),2)</f>
        <v>1557.41</v>
      </c>
      <c r="I41" s="82"/>
      <c r="J41" s="82"/>
    </row>
    <row r="42" spans="1:10" ht="96" customHeight="1" x14ac:dyDescent="0.25">
      <c r="A42" s="4">
        <v>2243</v>
      </c>
      <c r="B42" s="340" t="s">
        <v>21</v>
      </c>
      <c r="C42" s="84" t="s">
        <v>323</v>
      </c>
      <c r="D42" s="326">
        <f t="shared" si="2"/>
        <v>0.19</v>
      </c>
      <c r="E42" s="326">
        <f>ROUND((70.76*0.794),2)</f>
        <v>56.18</v>
      </c>
      <c r="I42" s="82"/>
      <c r="J42" s="82"/>
    </row>
    <row r="43" spans="1:10" ht="47.25" x14ac:dyDescent="0.25">
      <c r="A43" s="4">
        <v>2244</v>
      </c>
      <c r="B43" s="118" t="s">
        <v>22</v>
      </c>
      <c r="C43" s="166" t="s">
        <v>324</v>
      </c>
      <c r="D43" s="326">
        <f t="shared" si="2"/>
        <v>3.8</v>
      </c>
      <c r="E43" s="326">
        <f>ROUND(1435.92*0.794,2)</f>
        <v>1140.1199999999999</v>
      </c>
      <c r="I43" s="82"/>
      <c r="J43" s="82"/>
    </row>
    <row r="44" spans="1:10" ht="47.25" x14ac:dyDescent="0.25">
      <c r="A44" s="4">
        <v>2249</v>
      </c>
      <c r="B44" s="340" t="s">
        <v>45</v>
      </c>
      <c r="C44" s="336" t="s">
        <v>325</v>
      </c>
      <c r="D44" s="326">
        <f t="shared" si="2"/>
        <v>0.23</v>
      </c>
      <c r="E44" s="326">
        <f>ROUND(86.7*0.794,2)</f>
        <v>68.84</v>
      </c>
      <c r="I44" s="82"/>
      <c r="J44" s="82"/>
    </row>
    <row r="45" spans="1:10" ht="31.5" x14ac:dyDescent="0.25">
      <c r="A45" s="4">
        <v>2312</v>
      </c>
      <c r="B45" s="340" t="s">
        <v>13</v>
      </c>
      <c r="C45" s="114" t="s">
        <v>326</v>
      </c>
      <c r="D45" s="326">
        <f t="shared" si="2"/>
        <v>0.01</v>
      </c>
      <c r="E45" s="326">
        <f>ROUND(4.77*0.794,2)</f>
        <v>3.79</v>
      </c>
      <c r="I45" s="82"/>
      <c r="J45" s="82"/>
    </row>
    <row r="46" spans="1:10" ht="48.75" customHeight="1" x14ac:dyDescent="0.25">
      <c r="A46" s="4">
        <v>2350</v>
      </c>
      <c r="B46" s="118" t="s">
        <v>213</v>
      </c>
      <c r="C46" s="166" t="s">
        <v>327</v>
      </c>
      <c r="D46" s="326">
        <f t="shared" si="2"/>
        <v>0.11</v>
      </c>
      <c r="E46" s="326">
        <f>ROUND((43.38*0.794),2)</f>
        <v>34.44</v>
      </c>
      <c r="I46" s="82"/>
      <c r="J46" s="82"/>
    </row>
    <row r="47" spans="1:10" ht="31.5" x14ac:dyDescent="0.25">
      <c r="A47" s="4">
        <v>2513</v>
      </c>
      <c r="B47" s="118" t="s">
        <v>57</v>
      </c>
      <c r="C47" s="166" t="s">
        <v>328</v>
      </c>
      <c r="D47" s="326">
        <f t="shared" si="2"/>
        <v>0.27</v>
      </c>
      <c r="E47" s="326">
        <f>ROUND((101.27*0.794),2)</f>
        <v>80.41</v>
      </c>
      <c r="I47" s="82"/>
      <c r="J47" s="82"/>
    </row>
    <row r="48" spans="1:10" ht="15.75" x14ac:dyDescent="0.25">
      <c r="A48" s="10">
        <v>5000</v>
      </c>
      <c r="B48" s="9" t="s">
        <v>17</v>
      </c>
      <c r="C48" s="47"/>
      <c r="D48" s="43">
        <f>SUM(D49:D52)</f>
        <v>4.68</v>
      </c>
      <c r="E48" s="43">
        <f>SUM(E49:E52)</f>
        <v>1405.1200000000001</v>
      </c>
      <c r="I48" s="82"/>
      <c r="J48" s="82"/>
    </row>
    <row r="49" spans="1:10" ht="31.5" customHeight="1" x14ac:dyDescent="0.25">
      <c r="A49" s="4">
        <v>5212</v>
      </c>
      <c r="B49" s="118" t="s">
        <v>31</v>
      </c>
      <c r="C49" s="49" t="s">
        <v>662</v>
      </c>
      <c r="D49" s="44">
        <f>ROUND((E49/300-0.01),2)</f>
        <v>1.67</v>
      </c>
      <c r="E49" s="44">
        <f>ROUND((633.07*0.794),2)</f>
        <v>502.66</v>
      </c>
      <c r="I49" s="82"/>
      <c r="J49" s="82"/>
    </row>
    <row r="50" spans="1:10" ht="33.75" customHeight="1" x14ac:dyDescent="0.25">
      <c r="A50" s="4">
        <v>5213</v>
      </c>
      <c r="B50" s="118" t="s">
        <v>32</v>
      </c>
      <c r="C50" s="49" t="s">
        <v>663</v>
      </c>
      <c r="D50" s="44">
        <f>ROUND((E50/300),2)</f>
        <v>1.2</v>
      </c>
      <c r="E50" s="44">
        <f>ROUND((452.66*0.794),2)</f>
        <v>359.41</v>
      </c>
      <c r="I50" s="82"/>
      <c r="J50" s="82"/>
    </row>
    <row r="51" spans="1:10" ht="33" customHeight="1" x14ac:dyDescent="0.25">
      <c r="A51" s="18">
        <v>5218</v>
      </c>
      <c r="B51" s="84" t="s">
        <v>33</v>
      </c>
      <c r="C51" s="49" t="s">
        <v>664</v>
      </c>
      <c r="D51" s="44">
        <f>ROUND((E51/300),2)</f>
        <v>0.8</v>
      </c>
      <c r="E51" s="44">
        <f>ROUND((301.17*0.794),2)</f>
        <v>239.13</v>
      </c>
      <c r="I51" s="82"/>
      <c r="J51" s="82"/>
    </row>
    <row r="52" spans="1:10" ht="47.25" x14ac:dyDescent="0.25">
      <c r="A52" s="18">
        <v>5239</v>
      </c>
      <c r="B52" s="84" t="s">
        <v>18</v>
      </c>
      <c r="C52" s="49" t="s">
        <v>665</v>
      </c>
      <c r="D52" s="44">
        <f>ROUND((E52/300),2)</f>
        <v>1.01</v>
      </c>
      <c r="E52" s="44">
        <f>ROUND((382.77*0.794),2)</f>
        <v>303.92</v>
      </c>
      <c r="I52" s="82"/>
      <c r="J52" s="82"/>
    </row>
    <row r="53" spans="1:10" ht="15.75" x14ac:dyDescent="0.25">
      <c r="A53" s="4"/>
      <c r="B53" s="9" t="s">
        <v>23</v>
      </c>
      <c r="C53" s="47"/>
      <c r="D53" s="43">
        <f>SUM(D21+D35+D48)</f>
        <v>26.43</v>
      </c>
      <c r="E53" s="40">
        <f>SUM(E21+E35+E48)/9.375</f>
        <v>846.10666666666657</v>
      </c>
      <c r="I53" s="82"/>
      <c r="J53" s="82"/>
    </row>
    <row r="54" spans="1:10" ht="31.5" x14ac:dyDescent="0.25">
      <c r="A54" s="4"/>
      <c r="B54" s="11" t="s">
        <v>28</v>
      </c>
      <c r="C54" s="47"/>
      <c r="D54" s="87">
        <f>D19+D53</f>
        <v>31.04</v>
      </c>
      <c r="E54" s="41">
        <f>E19+E53</f>
        <v>993.25439999999992</v>
      </c>
      <c r="I54" s="82"/>
      <c r="J54" s="82"/>
    </row>
    <row r="55" spans="1:10" ht="15.75" x14ac:dyDescent="0.25">
      <c r="A55" s="20"/>
      <c r="B55" s="13" t="s">
        <v>29</v>
      </c>
      <c r="C55" s="47"/>
      <c r="D55" s="87">
        <f>D54*0.21</f>
        <v>6.5183999999999997</v>
      </c>
      <c r="E55" s="41">
        <f>E54*0.21</f>
        <v>208.58342399999998</v>
      </c>
      <c r="I55" s="82"/>
      <c r="J55" s="82"/>
    </row>
    <row r="56" spans="1:10" ht="31.5" x14ac:dyDescent="0.25">
      <c r="A56" s="20"/>
      <c r="B56" s="169" t="s">
        <v>30</v>
      </c>
      <c r="C56" s="170"/>
      <c r="D56" s="176">
        <f>D54*1.21</f>
        <v>37.558399999999999</v>
      </c>
      <c r="E56" s="172">
        <f>E54*1.21</f>
        <v>1201.837824</v>
      </c>
      <c r="I56" s="82"/>
      <c r="J56" s="82"/>
    </row>
    <row r="57" spans="1:10" ht="15.75" x14ac:dyDescent="0.25">
      <c r="A57" s="406" t="s">
        <v>1625</v>
      </c>
      <c r="B57" s="406"/>
      <c r="C57" s="406"/>
      <c r="D57" s="8">
        <v>32</v>
      </c>
      <c r="E57" s="8" t="s">
        <v>186</v>
      </c>
      <c r="J57" s="82"/>
    </row>
    <row r="58" spans="1:10" ht="30" customHeight="1" x14ac:dyDescent="0.25">
      <c r="A58" s="397" t="s">
        <v>59</v>
      </c>
      <c r="B58" s="397"/>
      <c r="C58" s="397"/>
      <c r="D58" s="350">
        <f>E56/D57</f>
        <v>37.557431999999999</v>
      </c>
      <c r="E58" s="8" t="s">
        <v>187</v>
      </c>
      <c r="J58" s="82"/>
    </row>
    <row r="60" spans="1:10" x14ac:dyDescent="0.25">
      <c r="G60" s="337"/>
    </row>
  </sheetData>
  <mergeCells count="7">
    <mergeCell ref="A57:C57"/>
    <mergeCell ref="A58:C58"/>
    <mergeCell ref="A1:C1"/>
    <mergeCell ref="A4:B4"/>
    <mergeCell ref="A3:C3"/>
    <mergeCell ref="A25:A33"/>
    <mergeCell ref="B25:B33"/>
  </mergeCells>
  <pageMargins left="0.7" right="0.7" top="0.75" bottom="0.75" header="0.3" footer="0.3"/>
  <pageSetup paperSize="9" orientation="landscape" r:id="rId1"/>
  <rowBreaks count="3" manualBreakCount="3">
    <brk id="23" max="16383" man="1"/>
    <brk id="28" max="16383" man="1"/>
    <brk id="33" max="16383" man="1"/>
  </rowBreaks>
  <ignoredErrors>
    <ignoredError sqref="D31" formula="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E35569-BE0E-4317-8443-A9C62AC4A18D}">
  <dimension ref="A1:J61"/>
  <sheetViews>
    <sheetView topLeftCell="A49" zoomScaleNormal="100" workbookViewId="0">
      <selection activeCell="D60" sqref="D60"/>
    </sheetView>
  </sheetViews>
  <sheetFormatPr defaultRowHeight="15" x14ac:dyDescent="0.25"/>
  <cols>
    <col min="1" max="1" width="12.28515625" customWidth="1"/>
    <col min="2" max="2" width="27" customWidth="1"/>
    <col min="3" max="3" width="62.5703125" customWidth="1"/>
    <col min="4" max="4" width="9.42578125" customWidth="1"/>
    <col min="5" max="5" width="17.28515625" customWidth="1"/>
  </cols>
  <sheetData>
    <row r="1" spans="1:5" ht="18.75" x14ac:dyDescent="0.3">
      <c r="A1" s="148" t="s">
        <v>46</v>
      </c>
    </row>
    <row r="2" spans="1:5" ht="18.75" x14ac:dyDescent="0.3">
      <c r="A2" s="404" t="s">
        <v>47</v>
      </c>
      <c r="B2" s="404"/>
      <c r="C2" s="404"/>
    </row>
    <row r="3" spans="1:5" ht="18.75" x14ac:dyDescent="0.25">
      <c r="A3" s="398" t="s">
        <v>268</v>
      </c>
      <c r="B3" s="398"/>
      <c r="C3" s="398"/>
      <c r="D3" s="398"/>
      <c r="E3" s="398"/>
    </row>
    <row r="4" spans="1:5" ht="15.75" x14ac:dyDescent="0.25">
      <c r="A4" s="405" t="s">
        <v>64</v>
      </c>
      <c r="B4" s="405"/>
    </row>
    <row r="6" spans="1:5" ht="78.599999999999994" customHeight="1" x14ac:dyDescent="0.25">
      <c r="A6" s="139" t="s">
        <v>0</v>
      </c>
      <c r="B6" s="139" t="s">
        <v>1</v>
      </c>
      <c r="C6" s="139" t="s">
        <v>2</v>
      </c>
      <c r="D6" s="152" t="s">
        <v>26</v>
      </c>
      <c r="E6" s="152" t="s">
        <v>27</v>
      </c>
    </row>
    <row r="7" spans="1:5" x14ac:dyDescent="0.25">
      <c r="A7" s="277">
        <v>1</v>
      </c>
      <c r="B7" s="277">
        <v>2</v>
      </c>
      <c r="C7" s="277">
        <v>3</v>
      </c>
      <c r="D7" s="277">
        <v>4</v>
      </c>
      <c r="E7" s="277">
        <v>5</v>
      </c>
    </row>
    <row r="8" spans="1:5" ht="15.75" x14ac:dyDescent="0.25">
      <c r="A8" s="4"/>
      <c r="B8" s="7" t="s">
        <v>7</v>
      </c>
      <c r="C8" s="55" t="s">
        <v>8</v>
      </c>
      <c r="D8" s="24"/>
      <c r="E8" s="22"/>
    </row>
    <row r="9" spans="1:5" ht="15.75" x14ac:dyDescent="0.25">
      <c r="A9" s="8">
        <v>1000</v>
      </c>
      <c r="B9" s="7" t="s">
        <v>9</v>
      </c>
      <c r="C9" s="269"/>
      <c r="D9" s="43">
        <f>D10+D18</f>
        <v>14.920000000000002</v>
      </c>
      <c r="E9" s="43">
        <f>E10+E18</f>
        <v>2147.1800000000003</v>
      </c>
    </row>
    <row r="10" spans="1:5" ht="15.75" x14ac:dyDescent="0.25">
      <c r="A10" s="265">
        <v>1100</v>
      </c>
      <c r="B10" s="265" t="s">
        <v>10</v>
      </c>
      <c r="D10" s="43">
        <f>SUM(D12:D17)</f>
        <v>11.64</v>
      </c>
      <c r="E10" s="43">
        <f>SUM(E12:E17)</f>
        <v>1675.71</v>
      </c>
    </row>
    <row r="11" spans="1:5" ht="15.75" x14ac:dyDescent="0.25">
      <c r="A11" s="16">
        <v>1110</v>
      </c>
      <c r="B11" s="16" t="s">
        <v>217</v>
      </c>
      <c r="C11" s="137" t="s">
        <v>218</v>
      </c>
      <c r="D11" s="108">
        <f>SUM(D12:D16)</f>
        <v>10.58</v>
      </c>
      <c r="E11" s="108">
        <f>SUM(E12:E16)</f>
        <v>1523.3600000000001</v>
      </c>
    </row>
    <row r="12" spans="1:5" ht="80.25" customHeight="1" x14ac:dyDescent="0.25">
      <c r="A12" s="126"/>
      <c r="B12" s="129"/>
      <c r="C12" s="142" t="s">
        <v>987</v>
      </c>
      <c r="D12" s="58">
        <f>ROUND((E12/D58),2)</f>
        <v>2.08</v>
      </c>
      <c r="E12" s="108">
        <f>ROUND((489.79*12*0.051),2)</f>
        <v>299.75</v>
      </c>
    </row>
    <row r="13" spans="1:5" ht="79.5" customHeight="1" x14ac:dyDescent="0.25">
      <c r="A13" s="143"/>
      <c r="B13" s="144"/>
      <c r="C13" s="142" t="s">
        <v>988</v>
      </c>
      <c r="D13" s="58">
        <f>ROUND((E13/D58),2)</f>
        <v>2.63</v>
      </c>
      <c r="E13" s="108">
        <f>ROUND((619.13*12*0.051),2)</f>
        <v>378.91</v>
      </c>
    </row>
    <row r="14" spans="1:5" ht="80.25" customHeight="1" x14ac:dyDescent="0.25">
      <c r="A14" s="127"/>
      <c r="B14" s="130"/>
      <c r="C14" s="142" t="s">
        <v>989</v>
      </c>
      <c r="D14" s="58">
        <f>ROUND((E14/D58),2)</f>
        <v>2.46</v>
      </c>
      <c r="E14" s="108">
        <f>ROUND((579.53*12*0.051),2)</f>
        <v>354.67</v>
      </c>
    </row>
    <row r="15" spans="1:5" ht="77.25" customHeight="1" x14ac:dyDescent="0.25">
      <c r="A15" s="127"/>
      <c r="B15" s="130"/>
      <c r="C15" s="142" t="s">
        <v>990</v>
      </c>
      <c r="D15" s="58">
        <f>ROUND((E15/D58),2)</f>
        <v>2.2200000000000002</v>
      </c>
      <c r="E15" s="108">
        <f>ROUND((521.51*12*0.051),2)</f>
        <v>319.16000000000003</v>
      </c>
    </row>
    <row r="16" spans="1:5" ht="81.75" customHeight="1" x14ac:dyDescent="0.25">
      <c r="A16" s="128"/>
      <c r="B16" s="131"/>
      <c r="C16" s="142" t="s">
        <v>991</v>
      </c>
      <c r="D16" s="58">
        <f>ROUND((E16/D58),2)</f>
        <v>1.19</v>
      </c>
      <c r="E16" s="108">
        <f>ROUND((279.2*12*0.051),2)</f>
        <v>170.87</v>
      </c>
    </row>
    <row r="17" spans="1:10" ht="95.25" customHeight="1" x14ac:dyDescent="0.25">
      <c r="A17" s="122">
        <v>1140</v>
      </c>
      <c r="B17" s="5" t="s">
        <v>214</v>
      </c>
      <c r="C17" s="142" t="s">
        <v>992</v>
      </c>
      <c r="D17" s="58">
        <f>ROUND((E17/D58),2)</f>
        <v>1.06</v>
      </c>
      <c r="E17" s="108">
        <f>ROUND((299.75*0.1+378.91*0.1+354.67*0.1+319.16*0.1+170.87*0.1+0.01),2)</f>
        <v>152.35</v>
      </c>
    </row>
    <row r="18" spans="1:10" ht="63" x14ac:dyDescent="0.25">
      <c r="A18" s="7">
        <v>1200</v>
      </c>
      <c r="B18" s="274" t="s">
        <v>11</v>
      </c>
      <c r="C18" s="166" t="s">
        <v>997</v>
      </c>
      <c r="D18" s="276">
        <f>D19+D20</f>
        <v>3.2800000000000002</v>
      </c>
      <c r="E18" s="86">
        <f>E19+E20</f>
        <v>471.47</v>
      </c>
    </row>
    <row r="19" spans="1:10" ht="47.25" customHeight="1" x14ac:dyDescent="0.25">
      <c r="A19" s="4">
        <v>1210</v>
      </c>
      <c r="B19" s="5" t="s">
        <v>216</v>
      </c>
      <c r="C19" s="166" t="s">
        <v>993</v>
      </c>
      <c r="D19" s="46">
        <f>ROUND((E19/D58),2)</f>
        <v>2.75</v>
      </c>
      <c r="E19" s="108">
        <f>ROUND((1675.71*0.2359),2)</f>
        <v>395.3</v>
      </c>
    </row>
    <row r="20" spans="1:10" ht="93" customHeight="1" x14ac:dyDescent="0.25">
      <c r="A20" s="4">
        <v>1227</v>
      </c>
      <c r="B20" s="5" t="s">
        <v>215</v>
      </c>
      <c r="C20" s="166" t="s">
        <v>994</v>
      </c>
      <c r="D20" s="58">
        <f>ROUND((E20/D58),2)</f>
        <v>0.53</v>
      </c>
      <c r="E20" s="108">
        <f>ROUND((299.75*0.05+378.91*0.05+354.67*0.05+319.16*0.05+170.87*0.05),2)</f>
        <v>76.17</v>
      </c>
    </row>
    <row r="21" spans="1:10" ht="15.75" x14ac:dyDescent="0.25">
      <c r="A21" s="4"/>
      <c r="B21" s="9" t="s">
        <v>14</v>
      </c>
      <c r="C21" s="56" t="s">
        <v>16</v>
      </c>
      <c r="D21" s="25">
        <f>D9</f>
        <v>14.920000000000002</v>
      </c>
      <c r="E21" s="43">
        <f>E9</f>
        <v>2147.1800000000003</v>
      </c>
    </row>
    <row r="22" spans="1:10" ht="15.75" x14ac:dyDescent="0.25">
      <c r="A22" s="4"/>
      <c r="B22" s="9" t="s">
        <v>15</v>
      </c>
      <c r="C22" s="55" t="s">
        <v>8</v>
      </c>
      <c r="D22" s="22"/>
      <c r="E22" s="42"/>
    </row>
    <row r="23" spans="1:10" ht="15.75" x14ac:dyDescent="0.25">
      <c r="A23" s="8">
        <v>1000</v>
      </c>
      <c r="B23" s="7" t="s">
        <v>9</v>
      </c>
      <c r="C23" s="55"/>
      <c r="D23" s="232">
        <f>SUM(D24+D35)</f>
        <v>2.4699999999999998</v>
      </c>
      <c r="E23" s="232">
        <f>SUM(E24+E35)</f>
        <v>357.6699999999999</v>
      </c>
    </row>
    <row r="24" spans="1:10" ht="15.75" x14ac:dyDescent="0.25">
      <c r="A24" s="7">
        <v>1100</v>
      </c>
      <c r="B24" s="7" t="s">
        <v>10</v>
      </c>
      <c r="C24" s="137" t="s">
        <v>223</v>
      </c>
      <c r="D24" s="232">
        <f>SUM(D25:D34)</f>
        <v>2</v>
      </c>
      <c r="E24" s="232">
        <f>SUM(E25:E34)</f>
        <v>289.39999999999992</v>
      </c>
    </row>
    <row r="25" spans="1:10" ht="80.25" customHeight="1" x14ac:dyDescent="0.25">
      <c r="A25" s="222"/>
      <c r="B25" s="223"/>
      <c r="C25" s="142" t="s">
        <v>998</v>
      </c>
      <c r="D25" s="27">
        <f>ROUND((E25/D58),2)</f>
        <v>0.06</v>
      </c>
      <c r="E25" s="45">
        <f>ROUND((13.76*12*0.051),2)</f>
        <v>8.42</v>
      </c>
    </row>
    <row r="26" spans="1:10" ht="79.5" customHeight="1" x14ac:dyDescent="0.25">
      <c r="A26" s="401"/>
      <c r="B26" s="399"/>
      <c r="C26" s="142" t="s">
        <v>996</v>
      </c>
      <c r="D26" s="27">
        <f>ROUND((E26/D58),2)</f>
        <v>0.04</v>
      </c>
      <c r="E26" s="45">
        <f>ROUND((9.41*12*0.051),2)</f>
        <v>5.76</v>
      </c>
    </row>
    <row r="27" spans="1:10" ht="78" customHeight="1" x14ac:dyDescent="0.25">
      <c r="A27" s="401"/>
      <c r="B27" s="399"/>
      <c r="C27" s="123" t="s">
        <v>995</v>
      </c>
      <c r="D27" s="27">
        <f>ROUND((E27/D58),2)</f>
        <v>0.06</v>
      </c>
      <c r="E27" s="45">
        <f>ROUND((13.76*12*0.051),2)</f>
        <v>8.42</v>
      </c>
      <c r="J27" s="82"/>
    </row>
    <row r="28" spans="1:10" ht="78" customHeight="1" x14ac:dyDescent="0.25">
      <c r="A28" s="401"/>
      <c r="B28" s="399"/>
      <c r="C28" s="123" t="s">
        <v>999</v>
      </c>
      <c r="D28" s="27">
        <f>ROUND((E28/D58),2)</f>
        <v>0.08</v>
      </c>
      <c r="E28" s="45">
        <f>ROUND((18.79*12*0.051),2)</f>
        <v>11.5</v>
      </c>
    </row>
    <row r="29" spans="1:10" ht="78" customHeight="1" x14ac:dyDescent="0.25">
      <c r="A29" s="401"/>
      <c r="B29" s="399"/>
      <c r="C29" s="123" t="s">
        <v>1000</v>
      </c>
      <c r="D29" s="27">
        <f>ROUND((E29/D58),2)</f>
        <v>0.06</v>
      </c>
      <c r="E29" s="27">
        <f>ROUND((13.27*12*0.051),2)</f>
        <v>8.1199999999999992</v>
      </c>
    </row>
    <row r="30" spans="1:10" ht="78.75" customHeight="1" x14ac:dyDescent="0.25">
      <c r="A30" s="401"/>
      <c r="B30" s="399"/>
      <c r="C30" s="123" t="s">
        <v>1001</v>
      </c>
      <c r="D30" s="27">
        <f>ROUND((E30/D58),2)</f>
        <v>0.32</v>
      </c>
      <c r="E30" s="27">
        <f>ROUND((76.43*12*0.051),2)</f>
        <v>46.78</v>
      </c>
    </row>
    <row r="31" spans="1:10" ht="80.25" customHeight="1" x14ac:dyDescent="0.25">
      <c r="A31" s="401"/>
      <c r="B31" s="399"/>
      <c r="C31" s="123" t="s">
        <v>1002</v>
      </c>
      <c r="D31" s="27">
        <f>ROUND((E31/D58),2)</f>
        <v>0.34</v>
      </c>
      <c r="E31" s="27">
        <f>ROUND((79.88*12*0.051),2)</f>
        <v>48.89</v>
      </c>
    </row>
    <row r="32" spans="1:10" ht="78.75" customHeight="1" x14ac:dyDescent="0.25">
      <c r="A32" s="401"/>
      <c r="B32" s="399"/>
      <c r="C32" s="123" t="s">
        <v>1003</v>
      </c>
      <c r="D32" s="45">
        <f>ROUND((E32/D58),2)</f>
        <v>0.42</v>
      </c>
      <c r="E32" s="27">
        <f>ROUND((99.81*12*0.051),2)</f>
        <v>61.08</v>
      </c>
      <c r="H32" s="82"/>
    </row>
    <row r="33" spans="1:10" ht="93.75" customHeight="1" x14ac:dyDescent="0.25">
      <c r="A33" s="401"/>
      <c r="B33" s="399"/>
      <c r="C33" s="123" t="s">
        <v>1004</v>
      </c>
      <c r="D33" s="27">
        <f>ROUND((E33/D58),2)</f>
        <v>0.5</v>
      </c>
      <c r="E33" s="27">
        <f>ROUND((118.42*12*0.051),2)</f>
        <v>72.47</v>
      </c>
      <c r="H33" s="82"/>
    </row>
    <row r="34" spans="1:10" ht="77.25" customHeight="1" x14ac:dyDescent="0.25">
      <c r="A34" s="402"/>
      <c r="B34" s="400"/>
      <c r="C34" s="123" t="s">
        <v>1005</v>
      </c>
      <c r="D34" s="27">
        <f>ROUND((E34/D58),2)</f>
        <v>0.12</v>
      </c>
      <c r="E34" s="27">
        <f>ROUND((29.35*12*0.051),2)</f>
        <v>17.96</v>
      </c>
      <c r="H34" s="82"/>
    </row>
    <row r="35" spans="1:10" ht="65.25" customHeight="1" x14ac:dyDescent="0.25">
      <c r="A35" s="7">
        <v>1200</v>
      </c>
      <c r="B35" s="156" t="s">
        <v>11</v>
      </c>
      <c r="C35" s="5" t="s">
        <v>1498</v>
      </c>
      <c r="D35" s="276">
        <f>ROUND((E35/D58),2)</f>
        <v>0.47</v>
      </c>
      <c r="E35" s="86">
        <f>ROUND((289.4*0.2359),2)</f>
        <v>68.27</v>
      </c>
      <c r="H35" s="82"/>
    </row>
    <row r="36" spans="1:10" ht="15.75" x14ac:dyDescent="0.25">
      <c r="A36" s="8">
        <v>2000</v>
      </c>
      <c r="B36" s="7" t="s">
        <v>12</v>
      </c>
      <c r="C36" s="122"/>
      <c r="D36" s="23">
        <f>SUM(D37:D48)</f>
        <v>39.74</v>
      </c>
      <c r="E36" s="23">
        <f>SUM(E37:E48)</f>
        <v>5723.3099999999995</v>
      </c>
      <c r="H36" s="82"/>
    </row>
    <row r="37" spans="1:10" ht="31.5" x14ac:dyDescent="0.25">
      <c r="A37" s="4">
        <v>2221</v>
      </c>
      <c r="B37" s="84" t="s">
        <v>54</v>
      </c>
      <c r="C37" s="166" t="s">
        <v>450</v>
      </c>
      <c r="D37" s="45">
        <f>ROUND((E37/D58),2)</f>
        <v>19.37</v>
      </c>
      <c r="E37" s="44">
        <f>ROUND((54700.57*0.051),2)</f>
        <v>2789.73</v>
      </c>
      <c r="H37" s="82"/>
    </row>
    <row r="38" spans="1:10" ht="31.5" x14ac:dyDescent="0.25">
      <c r="A38" s="4">
        <v>2222</v>
      </c>
      <c r="B38" s="118" t="s">
        <v>55</v>
      </c>
      <c r="C38" s="5" t="s">
        <v>451</v>
      </c>
      <c r="D38" s="27">
        <f>ROUND((E38/D58),2)</f>
        <v>2.69</v>
      </c>
      <c r="E38" s="44">
        <f>ROUND((7587.77*0.051),2)</f>
        <v>386.98</v>
      </c>
      <c r="H38" s="82"/>
    </row>
    <row r="39" spans="1:10" ht="31.5" customHeight="1" x14ac:dyDescent="0.25">
      <c r="A39" s="4">
        <v>2223</v>
      </c>
      <c r="B39" s="118" t="s">
        <v>19</v>
      </c>
      <c r="C39" s="5" t="s">
        <v>452</v>
      </c>
      <c r="D39" s="27">
        <f>ROUND((E39/D58),2)</f>
        <v>3.84</v>
      </c>
      <c r="E39" s="44">
        <f>ROUND((10851.74*0.051),2)</f>
        <v>553.44000000000005</v>
      </c>
      <c r="H39" s="82"/>
      <c r="J39" s="50"/>
    </row>
    <row r="40" spans="1:10" ht="78" customHeight="1" x14ac:dyDescent="0.25">
      <c r="A40" s="4">
        <v>2224</v>
      </c>
      <c r="B40" s="84" t="s">
        <v>56</v>
      </c>
      <c r="C40" s="5" t="s">
        <v>453</v>
      </c>
      <c r="D40" s="27">
        <f>ROUND((E40/D58),2)</f>
        <v>0.27</v>
      </c>
      <c r="E40" s="27">
        <f>ROUND((761.81*0.051),2)</f>
        <v>38.85</v>
      </c>
      <c r="H40" s="82"/>
    </row>
    <row r="41" spans="1:10" ht="31.5" x14ac:dyDescent="0.25">
      <c r="A41" s="4">
        <v>2239</v>
      </c>
      <c r="B41" s="338" t="s">
        <v>20</v>
      </c>
      <c r="C41" s="118" t="s">
        <v>454</v>
      </c>
      <c r="D41" s="27">
        <f>ROUND((E41/D58),2)</f>
        <v>0.08</v>
      </c>
      <c r="E41" s="27">
        <f>ROUND((224.51*0.051),2)</f>
        <v>11.45</v>
      </c>
      <c r="H41" s="82"/>
    </row>
    <row r="42" spans="1:10" ht="47.25" x14ac:dyDescent="0.25">
      <c r="A42" s="4">
        <v>2243</v>
      </c>
      <c r="B42" s="84" t="s">
        <v>21</v>
      </c>
      <c r="C42" s="118" t="s">
        <v>455</v>
      </c>
      <c r="D42" s="58">
        <f>ROUND((E42/D58),2)</f>
        <v>0.71</v>
      </c>
      <c r="E42" s="27">
        <f>ROUND((1993.08*0.051),2)</f>
        <v>101.65</v>
      </c>
      <c r="H42" s="82"/>
    </row>
    <row r="43" spans="1:10" ht="47.25" x14ac:dyDescent="0.25">
      <c r="A43" s="4">
        <v>2244</v>
      </c>
      <c r="B43" s="84" t="s">
        <v>22</v>
      </c>
      <c r="C43" s="5" t="s">
        <v>456</v>
      </c>
      <c r="D43" s="27">
        <f>ROUND((E43/D58),2)</f>
        <v>2.64</v>
      </c>
      <c r="E43" s="44">
        <f>ROUND((7456.84*0.051),2)</f>
        <v>380.3</v>
      </c>
      <c r="H43" s="82"/>
    </row>
    <row r="44" spans="1:10" ht="47.25" x14ac:dyDescent="0.25">
      <c r="A44" s="4">
        <v>2249</v>
      </c>
      <c r="B44" s="84" t="s">
        <v>45</v>
      </c>
      <c r="C44" s="57" t="s">
        <v>457</v>
      </c>
      <c r="D44" s="27">
        <f>ROUND((E44/D58),2)</f>
        <v>3.73</v>
      </c>
      <c r="E44" s="44">
        <f>ROUND((10528.91*0.051),2)</f>
        <v>536.97</v>
      </c>
      <c r="H44" s="82"/>
    </row>
    <row r="45" spans="1:10" ht="31.5" x14ac:dyDescent="0.25">
      <c r="A45" s="4">
        <v>2312</v>
      </c>
      <c r="B45" s="173" t="s">
        <v>13</v>
      </c>
      <c r="C45" s="57" t="s">
        <v>458</v>
      </c>
      <c r="D45" s="27">
        <f>ROUND((E45/D58),2)</f>
        <v>0.26</v>
      </c>
      <c r="E45" s="44">
        <f>ROUND((737.42*0.051),2)</f>
        <v>37.61</v>
      </c>
      <c r="H45" s="82"/>
    </row>
    <row r="46" spans="1:10" ht="46.5" customHeight="1" x14ac:dyDescent="0.25">
      <c r="A46" s="4">
        <v>2350</v>
      </c>
      <c r="B46" s="118" t="s">
        <v>213</v>
      </c>
      <c r="C46" s="63" t="s">
        <v>459</v>
      </c>
      <c r="D46" s="45">
        <f>ROUND((E46/D58-0.01),2)</f>
        <v>0.27</v>
      </c>
      <c r="E46" s="58">
        <f>ROUND((780.26*0.051),2)</f>
        <v>39.79</v>
      </c>
      <c r="H46" s="82"/>
    </row>
    <row r="47" spans="1:10" ht="33" customHeight="1" x14ac:dyDescent="0.25">
      <c r="A47" s="4">
        <v>2513</v>
      </c>
      <c r="B47" s="118" t="s">
        <v>57</v>
      </c>
      <c r="C47" s="57" t="s">
        <v>460</v>
      </c>
      <c r="D47" s="45">
        <f>ROUND((E47/D58),2)</f>
        <v>5.18</v>
      </c>
      <c r="E47" s="45">
        <f>ROUND((14633.92*0.051),2)</f>
        <v>746.33</v>
      </c>
      <c r="H47" s="82"/>
    </row>
    <row r="48" spans="1:10" ht="30" customHeight="1" x14ac:dyDescent="0.25">
      <c r="A48" s="4">
        <v>2515</v>
      </c>
      <c r="B48" s="118" t="s">
        <v>44</v>
      </c>
      <c r="C48" s="57" t="s">
        <v>461</v>
      </c>
      <c r="D48" s="45">
        <f>ROUND((E48/D58),2)</f>
        <v>0.7</v>
      </c>
      <c r="E48" s="27">
        <f>ROUND((1964.86*0.051),2)</f>
        <v>100.21</v>
      </c>
      <c r="H48" s="82"/>
    </row>
    <row r="49" spans="1:8" ht="15.75" x14ac:dyDescent="0.25">
      <c r="A49" s="157">
        <v>5000</v>
      </c>
      <c r="B49" s="345" t="s">
        <v>17</v>
      </c>
      <c r="C49" s="122"/>
      <c r="D49" s="229">
        <f>SUM(D50:D53)</f>
        <v>5.93</v>
      </c>
      <c r="E49" s="229">
        <f>SUM(E50:E53)</f>
        <v>852.43000000000006</v>
      </c>
      <c r="H49" s="82"/>
    </row>
    <row r="50" spans="1:8" ht="30.75" customHeight="1" x14ac:dyDescent="0.25">
      <c r="A50" s="4">
        <v>5212</v>
      </c>
      <c r="B50" s="118" t="s">
        <v>31</v>
      </c>
      <c r="C50" s="57" t="s">
        <v>736</v>
      </c>
      <c r="D50" s="45">
        <f>ROUND((E50/D58),2)</f>
        <v>2.71</v>
      </c>
      <c r="E50" s="45">
        <f>ROUND((7651.82*0.051),2)</f>
        <v>390.24</v>
      </c>
      <c r="H50" s="82"/>
    </row>
    <row r="51" spans="1:8" ht="31.5" customHeight="1" x14ac:dyDescent="0.25">
      <c r="A51" s="4">
        <v>5213</v>
      </c>
      <c r="B51" s="118" t="s">
        <v>32</v>
      </c>
      <c r="C51" s="57" t="s">
        <v>666</v>
      </c>
      <c r="D51" s="45">
        <f>ROUND((E51/D58+0.01),2)</f>
        <v>7.0000000000000007E-2</v>
      </c>
      <c r="E51" s="45">
        <f>ROUND((158.25*0.051),2)</f>
        <v>8.07</v>
      </c>
      <c r="H51" s="50"/>
    </row>
    <row r="52" spans="1:8" ht="31.5" customHeight="1" x14ac:dyDescent="0.25">
      <c r="A52" s="18">
        <v>5218</v>
      </c>
      <c r="B52" s="84" t="s">
        <v>33</v>
      </c>
      <c r="C52" s="57" t="s">
        <v>667</v>
      </c>
      <c r="D52" s="45">
        <f>ROUND((E52/D58),2)</f>
        <v>1.25</v>
      </c>
      <c r="E52" s="45">
        <f>ROUND((3538.2*0.051),2)</f>
        <v>180.45</v>
      </c>
      <c r="H52" s="82"/>
    </row>
    <row r="53" spans="1:8" ht="47.25" customHeight="1" x14ac:dyDescent="0.25">
      <c r="A53" s="18">
        <v>5239</v>
      </c>
      <c r="B53" s="117" t="s">
        <v>18</v>
      </c>
      <c r="C53" s="166" t="s">
        <v>668</v>
      </c>
      <c r="D53" s="45">
        <f>ROUND((E53/D58),2)</f>
        <v>1.9</v>
      </c>
      <c r="E53" s="45">
        <f>ROUND((5366.12*0.051),2)</f>
        <v>273.67</v>
      </c>
      <c r="H53" s="82"/>
    </row>
    <row r="54" spans="1:8" ht="15.75" x14ac:dyDescent="0.25">
      <c r="A54" s="161"/>
      <c r="B54" s="9" t="s">
        <v>23</v>
      </c>
      <c r="C54" s="55"/>
      <c r="D54" s="25">
        <f>SUM(D23+D36+D49)</f>
        <v>48.14</v>
      </c>
      <c r="E54" s="40">
        <f>SUM(E23+E36+E49)</f>
        <v>6933.41</v>
      </c>
    </row>
    <row r="55" spans="1:8" ht="31.5" x14ac:dyDescent="0.25">
      <c r="A55" s="162"/>
      <c r="B55" s="11" t="s">
        <v>28</v>
      </c>
      <c r="C55" s="55"/>
      <c r="D55" s="26">
        <f>D21+D54</f>
        <v>63.06</v>
      </c>
      <c r="E55" s="41">
        <f>E21+E54</f>
        <v>9080.59</v>
      </c>
    </row>
    <row r="56" spans="1:8" ht="15.75" x14ac:dyDescent="0.25">
      <c r="A56" s="162"/>
      <c r="B56" s="13" t="s">
        <v>212</v>
      </c>
      <c r="C56" s="55"/>
      <c r="D56" s="26">
        <f>D55*0.12</f>
        <v>7.5671999999999997</v>
      </c>
      <c r="E56" s="41">
        <f>E55*0.12</f>
        <v>1089.6707999999999</v>
      </c>
    </row>
    <row r="57" spans="1:8" ht="31.5" x14ac:dyDescent="0.25">
      <c r="A57" s="6"/>
      <c r="B57" s="169" t="s">
        <v>30</v>
      </c>
      <c r="C57" s="170"/>
      <c r="D57" s="171">
        <f>D55*1.12</f>
        <v>70.627200000000016</v>
      </c>
      <c r="E57" s="172">
        <f>E55*1.12+0.5</f>
        <v>10170.760800000002</v>
      </c>
    </row>
    <row r="58" spans="1:8" ht="16.5" customHeight="1" x14ac:dyDescent="0.25">
      <c r="A58" s="397" t="s">
        <v>1499</v>
      </c>
      <c r="B58" s="397"/>
      <c r="C58" s="397"/>
      <c r="D58" s="8">
        <v>144</v>
      </c>
      <c r="E58" s="155" t="s">
        <v>65</v>
      </c>
    </row>
    <row r="59" spans="1:8" ht="32.25" customHeight="1" x14ac:dyDescent="0.25">
      <c r="A59" s="408" t="s">
        <v>226</v>
      </c>
      <c r="B59" s="408"/>
      <c r="C59" s="408"/>
      <c r="D59" s="350">
        <f>ROUND((E57/D58),2)</f>
        <v>70.63</v>
      </c>
      <c r="E59" s="191" t="s">
        <v>227</v>
      </c>
    </row>
    <row r="60" spans="1:8" ht="15.75" x14ac:dyDescent="0.25">
      <c r="A60" s="1"/>
      <c r="B60" s="1"/>
      <c r="C60" s="1"/>
    </row>
    <row r="61" spans="1:8" x14ac:dyDescent="0.25">
      <c r="G61" s="305"/>
    </row>
  </sheetData>
  <mergeCells count="7">
    <mergeCell ref="A59:C59"/>
    <mergeCell ref="A2:C2"/>
    <mergeCell ref="A4:B4"/>
    <mergeCell ref="A3:E3"/>
    <mergeCell ref="A26:A34"/>
    <mergeCell ref="B26:B34"/>
    <mergeCell ref="A58:C58"/>
  </mergeCells>
  <pageMargins left="0.7" right="0.7" top="0.75" bottom="0.75" header="0.3" footer="0.3"/>
  <pageSetup paperSize="9" orientation="landscape" r:id="rId1"/>
  <rowBreaks count="1" manualBreakCount="1">
    <brk id="45" max="9" man="1"/>
  </rowBreaks>
  <ignoredErrors>
    <ignoredError sqref="D49 D18 E26" formula="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89260-9596-41C9-B91B-A0DAD2F8B597}">
  <dimension ref="A1:I64"/>
  <sheetViews>
    <sheetView topLeftCell="A49" zoomScaleNormal="100" workbookViewId="0">
      <selection activeCell="D59" sqref="D59"/>
    </sheetView>
  </sheetViews>
  <sheetFormatPr defaultRowHeight="15" x14ac:dyDescent="0.25"/>
  <cols>
    <col min="1" max="1" width="12.5703125" customWidth="1"/>
    <col min="2" max="2" width="25.5703125" customWidth="1"/>
    <col min="3" max="3" width="61.7109375" customWidth="1"/>
    <col min="4" max="4" width="11" customWidth="1"/>
    <col min="5" max="5" width="18.28515625" customWidth="1"/>
  </cols>
  <sheetData>
    <row r="1" spans="1:9" ht="18.75" x14ac:dyDescent="0.3">
      <c r="A1" s="148" t="s">
        <v>46</v>
      </c>
    </row>
    <row r="2" spans="1:9" ht="18.75" x14ac:dyDescent="0.3">
      <c r="A2" s="404" t="s">
        <v>47</v>
      </c>
      <c r="B2" s="404"/>
      <c r="C2" s="404"/>
    </row>
    <row r="3" spans="1:9" ht="18.75" x14ac:dyDescent="0.25">
      <c r="A3" s="398" t="s">
        <v>267</v>
      </c>
      <c r="B3" s="398"/>
      <c r="C3" s="398"/>
      <c r="D3" s="398"/>
      <c r="E3" s="398"/>
    </row>
    <row r="4" spans="1:9" ht="15.75" x14ac:dyDescent="0.25">
      <c r="A4" s="405" t="s">
        <v>64</v>
      </c>
      <c r="B4" s="405"/>
    </row>
    <row r="6" spans="1:9" ht="78.75" x14ac:dyDescent="0.25">
      <c r="A6" s="139" t="s">
        <v>0</v>
      </c>
      <c r="B6" s="139" t="s">
        <v>1</v>
      </c>
      <c r="C6" s="139" t="s">
        <v>2</v>
      </c>
      <c r="D6" s="152" t="s">
        <v>26</v>
      </c>
      <c r="E6" s="152" t="s">
        <v>27</v>
      </c>
    </row>
    <row r="7" spans="1:9" x14ac:dyDescent="0.25">
      <c r="A7" s="277">
        <v>1</v>
      </c>
      <c r="B7" s="277">
        <v>2</v>
      </c>
      <c r="C7" s="277">
        <v>3</v>
      </c>
      <c r="D7" s="277">
        <v>4</v>
      </c>
      <c r="E7" s="277">
        <v>5</v>
      </c>
    </row>
    <row r="8" spans="1:9" ht="15.75" x14ac:dyDescent="0.25">
      <c r="A8" s="4"/>
      <c r="B8" s="7" t="s">
        <v>7</v>
      </c>
      <c r="C8" s="55" t="s">
        <v>8</v>
      </c>
      <c r="D8" s="24"/>
      <c r="E8" s="22"/>
    </row>
    <row r="9" spans="1:9" ht="15.75" x14ac:dyDescent="0.25">
      <c r="A9" s="8">
        <v>1000</v>
      </c>
      <c r="B9" s="7" t="s">
        <v>9</v>
      </c>
      <c r="C9" s="269"/>
      <c r="D9" s="25">
        <f>D10+D18</f>
        <v>8.89</v>
      </c>
      <c r="E9" s="25">
        <f>E10+E18</f>
        <v>320.47999999999996</v>
      </c>
    </row>
    <row r="10" spans="1:9" ht="15.75" x14ac:dyDescent="0.25">
      <c r="A10" s="265">
        <v>1100</v>
      </c>
      <c r="B10" s="265" t="s">
        <v>10</v>
      </c>
      <c r="D10" s="25">
        <f>SUM(D12:D17)</f>
        <v>7.75</v>
      </c>
      <c r="E10" s="25">
        <f>SUM(E12:E17)</f>
        <v>279.28999999999996</v>
      </c>
    </row>
    <row r="11" spans="1:9" ht="15.75" x14ac:dyDescent="0.25">
      <c r="A11" s="16">
        <v>1110</v>
      </c>
      <c r="B11" s="16" t="s">
        <v>217</v>
      </c>
      <c r="C11" s="137" t="s">
        <v>218</v>
      </c>
      <c r="D11" s="58">
        <f>SUM(D12:D16)</f>
        <v>7.04</v>
      </c>
      <c r="E11" s="58">
        <f>SUM(E12:E16)</f>
        <v>253.89</v>
      </c>
    </row>
    <row r="12" spans="1:9" ht="78" customHeight="1" x14ac:dyDescent="0.25">
      <c r="A12" s="126"/>
      <c r="B12" s="129"/>
      <c r="C12" s="142" t="s">
        <v>1011</v>
      </c>
      <c r="D12" s="58">
        <f>ROUND((E12/D58),2)</f>
        <v>1.39</v>
      </c>
      <c r="E12" s="108">
        <f>ROUND((489.79*12*0.0085),2)</f>
        <v>49.96</v>
      </c>
      <c r="G12" s="50"/>
      <c r="I12" s="82"/>
    </row>
    <row r="13" spans="1:9" ht="77.25" customHeight="1" x14ac:dyDescent="0.25">
      <c r="A13" s="230"/>
      <c r="B13" s="231"/>
      <c r="C13" s="142" t="s">
        <v>1012</v>
      </c>
      <c r="D13" s="58">
        <f>ROUND((E13/D58),2)</f>
        <v>1.75</v>
      </c>
      <c r="E13" s="108">
        <f>ROUND((619.13*12*0.0085),2)</f>
        <v>63.15</v>
      </c>
      <c r="G13" s="50"/>
      <c r="I13" s="82"/>
    </row>
    <row r="14" spans="1:9" ht="78.75" x14ac:dyDescent="0.25">
      <c r="A14" s="127"/>
      <c r="B14" s="130"/>
      <c r="C14" s="136" t="s">
        <v>1013</v>
      </c>
      <c r="D14" s="58">
        <f>ROUND((E14/D58),2)-0.01</f>
        <v>1.63</v>
      </c>
      <c r="E14" s="108">
        <f>ROUND((579.53*12*0.0085),2)</f>
        <v>59.11</v>
      </c>
      <c r="I14" s="82"/>
    </row>
    <row r="15" spans="1:9" ht="78.75" customHeight="1" x14ac:dyDescent="0.25">
      <c r="A15" s="127"/>
      <c r="B15" s="130"/>
      <c r="C15" s="142" t="s">
        <v>1014</v>
      </c>
      <c r="D15" s="58">
        <f>ROUND((E15/D58),2)</f>
        <v>1.48</v>
      </c>
      <c r="E15" s="108">
        <f>ROUND((521.51*12*0.0085),2)</f>
        <v>53.19</v>
      </c>
      <c r="I15" s="82"/>
    </row>
    <row r="16" spans="1:9" ht="79.5" customHeight="1" x14ac:dyDescent="0.25">
      <c r="A16" s="128"/>
      <c r="B16" s="131"/>
      <c r="C16" s="142" t="s">
        <v>1015</v>
      </c>
      <c r="D16" s="58">
        <f>ROUND((E16/D58),2)</f>
        <v>0.79</v>
      </c>
      <c r="E16" s="108">
        <f>ROUND((279.2*12*0.0085),2)</f>
        <v>28.48</v>
      </c>
      <c r="I16" s="82"/>
    </row>
    <row r="17" spans="1:9" ht="94.5" x14ac:dyDescent="0.25">
      <c r="A17" s="122">
        <v>1140</v>
      </c>
      <c r="B17" s="5" t="s">
        <v>214</v>
      </c>
      <c r="C17" s="142" t="s">
        <v>1006</v>
      </c>
      <c r="D17" s="58">
        <f>ROUND((E17/D58),2)</f>
        <v>0.71</v>
      </c>
      <c r="E17" s="108">
        <f>ROUND((49.96*0.1+63.15*0.1+59.11*0.1+53.19*0.1+28.48*0.1+0.01),2)</f>
        <v>25.4</v>
      </c>
      <c r="F17" s="39"/>
      <c r="I17" s="82"/>
    </row>
    <row r="18" spans="1:9" ht="61.5" customHeight="1" x14ac:dyDescent="0.25">
      <c r="A18" s="7">
        <v>1200</v>
      </c>
      <c r="B18" s="274" t="s">
        <v>11</v>
      </c>
      <c r="C18" s="166" t="s">
        <v>1009</v>
      </c>
      <c r="D18" s="86">
        <f>ROUND((D19+D20),2)</f>
        <v>1.1399999999999999</v>
      </c>
      <c r="E18" s="86">
        <f>ROUND((E19+E20),2)</f>
        <v>41.19</v>
      </c>
      <c r="I18" s="82"/>
    </row>
    <row r="19" spans="1:9" ht="51" customHeight="1" x14ac:dyDescent="0.25">
      <c r="A19" s="4">
        <v>1210</v>
      </c>
      <c r="B19" s="5" t="s">
        <v>216</v>
      </c>
      <c r="C19" s="166" t="s">
        <v>1007</v>
      </c>
      <c r="D19" s="27">
        <f>ROUND((E19/D58),2)</f>
        <v>0.79</v>
      </c>
      <c r="E19" s="108">
        <f>ROUND((279.29*12*0.0085),2)</f>
        <v>28.49</v>
      </c>
      <c r="I19" s="82"/>
    </row>
    <row r="20" spans="1:9" ht="94.5" x14ac:dyDescent="0.25">
      <c r="A20" s="4">
        <v>1227</v>
      </c>
      <c r="B20" s="5" t="s">
        <v>215</v>
      </c>
      <c r="C20" s="166" t="s">
        <v>1008</v>
      </c>
      <c r="D20" s="45">
        <f>ROUND((E20/D58),2)</f>
        <v>0.35</v>
      </c>
      <c r="E20" s="108">
        <f>ROUND((49.96*0.05+63.15*0.05+59.11*0.05+53.19*0.05+28.48*0.05+0.01),2)</f>
        <v>12.7</v>
      </c>
      <c r="I20" s="82"/>
    </row>
    <row r="21" spans="1:9" ht="15.75" x14ac:dyDescent="0.25">
      <c r="A21" s="4"/>
      <c r="B21" s="9" t="s">
        <v>14</v>
      </c>
      <c r="C21" s="56" t="s">
        <v>16</v>
      </c>
      <c r="D21" s="25">
        <f>D9</f>
        <v>8.89</v>
      </c>
      <c r="E21" s="43">
        <f>E9</f>
        <v>320.47999999999996</v>
      </c>
      <c r="I21" s="82"/>
    </row>
    <row r="22" spans="1:9" ht="15.75" x14ac:dyDescent="0.25">
      <c r="A22" s="4"/>
      <c r="B22" s="9" t="s">
        <v>15</v>
      </c>
      <c r="C22" s="55" t="s">
        <v>8</v>
      </c>
      <c r="D22" s="22"/>
      <c r="E22" s="42"/>
      <c r="I22" s="82"/>
    </row>
    <row r="23" spans="1:9" ht="15.75" x14ac:dyDescent="0.25">
      <c r="A23" s="8">
        <v>1000</v>
      </c>
      <c r="B23" s="7" t="s">
        <v>9</v>
      </c>
      <c r="C23" s="55"/>
      <c r="D23" s="83">
        <f>SUM(D24+D35)</f>
        <v>1.6500000000000001</v>
      </c>
      <c r="E23" s="83">
        <f>SUM(E24+E35)</f>
        <v>59.68</v>
      </c>
      <c r="I23" s="82"/>
    </row>
    <row r="24" spans="1:9" ht="15.75" x14ac:dyDescent="0.25">
      <c r="A24" s="4">
        <v>1100</v>
      </c>
      <c r="B24" s="4" t="s">
        <v>10</v>
      </c>
      <c r="C24" s="137" t="s">
        <v>223</v>
      </c>
      <c r="D24" s="83">
        <f>SUM(D25:D34)</f>
        <v>1.33</v>
      </c>
      <c r="E24" s="83">
        <f>SUM(E25:E34)</f>
        <v>48.29</v>
      </c>
      <c r="I24" s="82"/>
    </row>
    <row r="25" spans="1:9" ht="77.25" customHeight="1" x14ac:dyDescent="0.25">
      <c r="A25" s="222"/>
      <c r="B25" s="223"/>
      <c r="C25" s="142" t="s">
        <v>1016</v>
      </c>
      <c r="D25" s="27">
        <f>ROUND((E25/D58),2)</f>
        <v>0.04</v>
      </c>
      <c r="E25" s="27">
        <f>ROUND((14.34*12*0.0085),2)</f>
        <v>1.46</v>
      </c>
      <c r="I25" s="82"/>
    </row>
    <row r="26" spans="1:9" ht="78.75" customHeight="1" x14ac:dyDescent="0.25">
      <c r="A26" s="401"/>
      <c r="B26" s="399"/>
      <c r="C26" s="142" t="s">
        <v>1017</v>
      </c>
      <c r="D26" s="27">
        <f>ROUND((E26/D58-0.01),2)</f>
        <v>0.02</v>
      </c>
      <c r="E26" s="27">
        <f>ROUND((9.41*12*0.0085),2)</f>
        <v>0.96</v>
      </c>
      <c r="I26" s="82"/>
    </row>
    <row r="27" spans="1:9" ht="78.75" x14ac:dyDescent="0.25">
      <c r="A27" s="401"/>
      <c r="B27" s="399"/>
      <c r="C27" s="142" t="s">
        <v>1018</v>
      </c>
      <c r="D27" s="27">
        <f>ROUND((E27/D58),2)</f>
        <v>0.04</v>
      </c>
      <c r="E27" s="45">
        <f>ROUND((13.76*12*0.0085),2)</f>
        <v>1.4</v>
      </c>
      <c r="I27" s="82"/>
    </row>
    <row r="28" spans="1:9" ht="75.95" customHeight="1" x14ac:dyDescent="0.25">
      <c r="A28" s="401"/>
      <c r="B28" s="399"/>
      <c r="C28" s="142" t="s">
        <v>1019</v>
      </c>
      <c r="D28" s="27">
        <f>ROUND((E28/D58),2)</f>
        <v>0.05</v>
      </c>
      <c r="E28" s="45">
        <f>ROUND((18.79*12*0.0085),2)</f>
        <v>1.92</v>
      </c>
      <c r="I28" s="82"/>
    </row>
    <row r="29" spans="1:9" ht="79.5" customHeight="1" x14ac:dyDescent="0.25">
      <c r="A29" s="401"/>
      <c r="B29" s="399"/>
      <c r="C29" s="142" t="s">
        <v>1020</v>
      </c>
      <c r="D29" s="27">
        <f>ROUND((E29/D58-0.01),2)</f>
        <v>0.03</v>
      </c>
      <c r="E29" s="27">
        <f>ROUND((13.27*12*0.0085),2)</f>
        <v>1.35</v>
      </c>
      <c r="I29" s="82"/>
    </row>
    <row r="30" spans="1:9" ht="78" customHeight="1" x14ac:dyDescent="0.25">
      <c r="A30" s="401"/>
      <c r="B30" s="399"/>
      <c r="C30" s="142" t="s">
        <v>1021</v>
      </c>
      <c r="D30" s="27">
        <f>ROUND((E30/D58),2)</f>
        <v>0.22</v>
      </c>
      <c r="E30" s="45">
        <f>ROUND((76.43*12*0.0085),2)</f>
        <v>7.8</v>
      </c>
      <c r="I30" s="82"/>
    </row>
    <row r="31" spans="1:9" ht="77.25" customHeight="1" x14ac:dyDescent="0.25">
      <c r="A31" s="401"/>
      <c r="B31" s="399"/>
      <c r="C31" s="142" t="s">
        <v>1022</v>
      </c>
      <c r="D31" s="27">
        <f>ROUND((E31/D58),2)</f>
        <v>0.23</v>
      </c>
      <c r="E31" s="27">
        <f>ROUND((79.88*12*0.0085),2)</f>
        <v>8.15</v>
      </c>
      <c r="I31" s="82"/>
    </row>
    <row r="32" spans="1:9" ht="77.25" customHeight="1" x14ac:dyDescent="0.25">
      <c r="A32" s="401"/>
      <c r="B32" s="399"/>
      <c r="C32" s="142" t="s">
        <v>1023</v>
      </c>
      <c r="D32" s="27">
        <f>ROUND((E32/D58),2)</f>
        <v>0.28000000000000003</v>
      </c>
      <c r="E32" s="45">
        <f>ROUND((99.81*12*0.0085),2)</f>
        <v>10.18</v>
      </c>
      <c r="I32" s="82"/>
    </row>
    <row r="33" spans="1:9" ht="93" customHeight="1" x14ac:dyDescent="0.25">
      <c r="A33" s="401"/>
      <c r="B33" s="399"/>
      <c r="C33" s="142" t="s">
        <v>1024</v>
      </c>
      <c r="D33" s="27">
        <f>ROUND((E33/D58),2)</f>
        <v>0.34</v>
      </c>
      <c r="E33" s="27">
        <f>ROUND((118.42*12*0.0085),2)</f>
        <v>12.08</v>
      </c>
      <c r="G33" s="39"/>
      <c r="I33" s="82"/>
    </row>
    <row r="34" spans="1:9" ht="78" customHeight="1" x14ac:dyDescent="0.25">
      <c r="A34" s="402"/>
      <c r="B34" s="400"/>
      <c r="C34" s="142" t="s">
        <v>1025</v>
      </c>
      <c r="D34" s="27">
        <f>ROUND((E34/D58),2)</f>
        <v>0.08</v>
      </c>
      <c r="E34" s="45">
        <f>ROUND((29.35*12*0.0085),2)</f>
        <v>2.99</v>
      </c>
      <c r="I34" s="82"/>
    </row>
    <row r="35" spans="1:9" ht="63" customHeight="1" x14ac:dyDescent="0.25">
      <c r="A35" s="7">
        <v>1200</v>
      </c>
      <c r="B35" s="156" t="s">
        <v>11</v>
      </c>
      <c r="C35" s="115" t="s">
        <v>1010</v>
      </c>
      <c r="D35" s="276">
        <f>ROUND((E35/D58),2)</f>
        <v>0.32</v>
      </c>
      <c r="E35" s="86">
        <f>ROUND((48.29*0.2359),2)</f>
        <v>11.39</v>
      </c>
      <c r="I35" s="82"/>
    </row>
    <row r="36" spans="1:9" ht="15.75" x14ac:dyDescent="0.25">
      <c r="A36" s="8">
        <v>2000</v>
      </c>
      <c r="B36" s="7" t="s">
        <v>12</v>
      </c>
      <c r="C36" s="137"/>
      <c r="D36" s="43">
        <f>SUM(D37:D48)</f>
        <v>26.5</v>
      </c>
      <c r="E36" s="43">
        <f>SUM(E37:E48)</f>
        <v>953.8900000000001</v>
      </c>
      <c r="I36" s="82"/>
    </row>
    <row r="37" spans="1:9" ht="31.5" x14ac:dyDescent="0.25">
      <c r="A37" s="4">
        <v>2221</v>
      </c>
      <c r="B37" s="84" t="s">
        <v>54</v>
      </c>
      <c r="C37" s="115" t="s">
        <v>462</v>
      </c>
      <c r="D37" s="27">
        <f>ROUND((E37/D58),2)</f>
        <v>12.92</v>
      </c>
      <c r="E37" s="44">
        <f>ROUND((54700.57*0.0085),2)</f>
        <v>464.95</v>
      </c>
      <c r="I37" s="82"/>
    </row>
    <row r="38" spans="1:9" ht="31.5" x14ac:dyDescent="0.25">
      <c r="A38" s="4">
        <v>2222</v>
      </c>
      <c r="B38" s="118" t="s">
        <v>55</v>
      </c>
      <c r="C38" s="115" t="s">
        <v>463</v>
      </c>
      <c r="D38" s="45">
        <f>ROUND((E38/D58),2)</f>
        <v>1.79</v>
      </c>
      <c r="E38" s="44">
        <f>ROUND((7587.77*0.0085),2)</f>
        <v>64.5</v>
      </c>
      <c r="I38" s="82"/>
    </row>
    <row r="39" spans="1:9" ht="31.5" x14ac:dyDescent="0.25">
      <c r="A39" s="4">
        <v>2223</v>
      </c>
      <c r="B39" s="118" t="s">
        <v>19</v>
      </c>
      <c r="C39" s="115" t="s">
        <v>464</v>
      </c>
      <c r="D39" s="27">
        <f>ROUND((E39/D58),2)</f>
        <v>2.56</v>
      </c>
      <c r="E39" s="44">
        <f>ROUND((10851.74*0.0085),2)</f>
        <v>92.24</v>
      </c>
      <c r="I39" s="82"/>
    </row>
    <row r="40" spans="1:9" ht="94.5" x14ac:dyDescent="0.25">
      <c r="A40" s="4">
        <v>2224</v>
      </c>
      <c r="B40" s="84" t="s">
        <v>56</v>
      </c>
      <c r="C40" s="115" t="s">
        <v>465</v>
      </c>
      <c r="D40" s="27">
        <f>ROUND((E40/D58),2)</f>
        <v>0.18</v>
      </c>
      <c r="E40" s="27">
        <f>ROUND((761.81*0.0085),2)</f>
        <v>6.48</v>
      </c>
      <c r="I40" s="82"/>
    </row>
    <row r="41" spans="1:9" ht="31.5" x14ac:dyDescent="0.25">
      <c r="A41" s="4">
        <v>2239</v>
      </c>
      <c r="B41" s="84" t="s">
        <v>20</v>
      </c>
      <c r="C41" s="84" t="s">
        <v>466</v>
      </c>
      <c r="D41" s="27">
        <f>ROUND((E41/D58),2)</f>
        <v>0.05</v>
      </c>
      <c r="E41" s="27">
        <f>ROUND((224.51*0.0085),2)</f>
        <v>1.91</v>
      </c>
      <c r="I41" s="82"/>
    </row>
    <row r="42" spans="1:9" ht="47.25" x14ac:dyDescent="0.25">
      <c r="A42" s="4">
        <v>2243</v>
      </c>
      <c r="B42" s="84" t="s">
        <v>21</v>
      </c>
      <c r="C42" s="84" t="s">
        <v>467</v>
      </c>
      <c r="D42" s="27">
        <f>ROUND((E42/D58),2)</f>
        <v>0.47</v>
      </c>
      <c r="E42" s="27">
        <f>ROUND((1993.08*0.0085),2)</f>
        <v>16.940000000000001</v>
      </c>
      <c r="I42" s="82"/>
    </row>
    <row r="43" spans="1:9" ht="48" customHeight="1" x14ac:dyDescent="0.25">
      <c r="A43" s="4">
        <v>2244</v>
      </c>
      <c r="B43" s="84" t="s">
        <v>22</v>
      </c>
      <c r="C43" s="115" t="s">
        <v>468</v>
      </c>
      <c r="D43" s="27">
        <f>ROUND((E43/D58),2)</f>
        <v>1.76</v>
      </c>
      <c r="E43" s="44">
        <f>ROUND((7456.84*0.0085),2)</f>
        <v>63.38</v>
      </c>
      <c r="I43" s="82"/>
    </row>
    <row r="44" spans="1:9" ht="47.25" x14ac:dyDescent="0.25">
      <c r="A44" s="4">
        <v>2249</v>
      </c>
      <c r="B44" s="84" t="s">
        <v>45</v>
      </c>
      <c r="C44" s="115" t="s">
        <v>469</v>
      </c>
      <c r="D44" s="27">
        <f>ROUND((E44/D58),2)</f>
        <v>2.4900000000000002</v>
      </c>
      <c r="E44" s="44">
        <f>ROUND((10528.91*0.0085),2)</f>
        <v>89.5</v>
      </c>
      <c r="G44" s="50"/>
      <c r="I44" s="82"/>
    </row>
    <row r="45" spans="1:9" ht="31.5" customHeight="1" x14ac:dyDescent="0.25">
      <c r="A45" s="4">
        <v>2312</v>
      </c>
      <c r="B45" s="173" t="s">
        <v>13</v>
      </c>
      <c r="C45" s="115" t="s">
        <v>470</v>
      </c>
      <c r="D45" s="27">
        <f>ROUND((E45/D58+0.01),2)</f>
        <v>0.18</v>
      </c>
      <c r="E45" s="44">
        <f>ROUND((737.42*0.0085),2)</f>
        <v>6.27</v>
      </c>
      <c r="I45" s="82"/>
    </row>
    <row r="46" spans="1:9" ht="47.25" customHeight="1" x14ac:dyDescent="0.25">
      <c r="A46" s="4">
        <v>2350</v>
      </c>
      <c r="B46" s="118" t="s">
        <v>213</v>
      </c>
      <c r="C46" s="115" t="s">
        <v>471</v>
      </c>
      <c r="D46" s="45">
        <f>ROUND((E46/D58),2)</f>
        <v>0.18</v>
      </c>
      <c r="E46" s="46">
        <f>ROUND((780.26*0.0085),2)</f>
        <v>6.63</v>
      </c>
      <c r="I46" s="82"/>
    </row>
    <row r="47" spans="1:9" ht="31.5" customHeight="1" x14ac:dyDescent="0.25">
      <c r="A47" s="4">
        <v>2513</v>
      </c>
      <c r="B47" s="118" t="s">
        <v>57</v>
      </c>
      <c r="C47" s="57" t="s">
        <v>472</v>
      </c>
      <c r="D47" s="45">
        <f>ROUND((E47/D58),2)</f>
        <v>3.46</v>
      </c>
      <c r="E47" s="45">
        <f>ROUND((14633.92*0.0085),2)</f>
        <v>124.39</v>
      </c>
      <c r="I47" s="82"/>
    </row>
    <row r="48" spans="1:9" ht="31.5" x14ac:dyDescent="0.25">
      <c r="A48" s="4">
        <v>2515</v>
      </c>
      <c r="B48" s="118" t="s">
        <v>44</v>
      </c>
      <c r="C48" s="57" t="s">
        <v>473</v>
      </c>
      <c r="D48" s="45">
        <f>ROUND((E48/D58),2)</f>
        <v>0.46</v>
      </c>
      <c r="E48" s="27">
        <f>ROUND((1964.86*0.0085),2)</f>
        <v>16.7</v>
      </c>
      <c r="I48" s="82"/>
    </row>
    <row r="49" spans="1:9" ht="15.75" x14ac:dyDescent="0.25">
      <c r="A49" s="10">
        <v>5000</v>
      </c>
      <c r="B49" s="9" t="s">
        <v>17</v>
      </c>
      <c r="C49" s="55"/>
      <c r="D49" s="25">
        <f>SUM(D50:D53)</f>
        <v>3.96</v>
      </c>
      <c r="E49" s="25">
        <f>SUM(E50:E53)</f>
        <v>142.07</v>
      </c>
      <c r="I49" s="82"/>
    </row>
    <row r="50" spans="1:9" ht="33" customHeight="1" x14ac:dyDescent="0.25">
      <c r="A50" s="4">
        <v>5212</v>
      </c>
      <c r="B50" s="118" t="s">
        <v>31</v>
      </c>
      <c r="C50" s="57" t="s">
        <v>737</v>
      </c>
      <c r="D50" s="45">
        <f>ROUND((E50/D58),2)</f>
        <v>1.81</v>
      </c>
      <c r="E50" s="45">
        <f>ROUND((7651.82*0.0085),2)</f>
        <v>65.040000000000006</v>
      </c>
      <c r="I50" s="82"/>
    </row>
    <row r="51" spans="1:9" ht="30" customHeight="1" x14ac:dyDescent="0.25">
      <c r="A51" s="4">
        <v>5213</v>
      </c>
      <c r="B51" s="118" t="s">
        <v>32</v>
      </c>
      <c r="C51" s="57" t="s">
        <v>669</v>
      </c>
      <c r="D51" s="45">
        <f>ROUND((E51/D58),2)</f>
        <v>0.04</v>
      </c>
      <c r="E51" s="45">
        <f>ROUND((158.25*0.0085),2)</f>
        <v>1.35</v>
      </c>
      <c r="I51" s="82"/>
    </row>
    <row r="52" spans="1:9" ht="33" customHeight="1" x14ac:dyDescent="0.25">
      <c r="A52" s="18">
        <v>5218</v>
      </c>
      <c r="B52" s="84" t="s">
        <v>33</v>
      </c>
      <c r="C52" s="114" t="s">
        <v>670</v>
      </c>
      <c r="D52" s="45">
        <f>ROUND((E52/D58),2)</f>
        <v>0.84</v>
      </c>
      <c r="E52" s="45">
        <f>ROUND((3538.2*0.0085),2)</f>
        <v>30.07</v>
      </c>
      <c r="I52" s="82"/>
    </row>
    <row r="53" spans="1:9" ht="47.25" x14ac:dyDescent="0.25">
      <c r="A53" s="18">
        <v>5239</v>
      </c>
      <c r="B53" s="84" t="s">
        <v>18</v>
      </c>
      <c r="C53" s="57" t="s">
        <v>671</v>
      </c>
      <c r="D53" s="45">
        <f>ROUND((E53/D58),2)</f>
        <v>1.27</v>
      </c>
      <c r="E53" s="45">
        <f>ROUND((5366.12*0.0085),2)</f>
        <v>45.61</v>
      </c>
      <c r="I53" s="82"/>
    </row>
    <row r="54" spans="1:9" ht="15.75" x14ac:dyDescent="0.25">
      <c r="A54" s="161"/>
      <c r="B54" s="9" t="s">
        <v>23</v>
      </c>
      <c r="C54" s="55"/>
      <c r="D54" s="25">
        <f>SUM(D23+D36+D49)</f>
        <v>32.11</v>
      </c>
      <c r="E54" s="40">
        <f>SUM(E23+E36+E49)</f>
        <v>1155.6400000000001</v>
      </c>
      <c r="I54" s="82"/>
    </row>
    <row r="55" spans="1:9" ht="31.5" x14ac:dyDescent="0.25">
      <c r="A55" s="162"/>
      <c r="B55" s="11" t="s">
        <v>28</v>
      </c>
      <c r="C55" s="55"/>
      <c r="D55" s="26">
        <f>D21+D54</f>
        <v>41</v>
      </c>
      <c r="E55" s="41">
        <f>E21+E54</f>
        <v>1476.1200000000001</v>
      </c>
      <c r="I55" s="82"/>
    </row>
    <row r="56" spans="1:9" ht="15.75" x14ac:dyDescent="0.25">
      <c r="A56" s="162"/>
      <c r="B56" s="13" t="s">
        <v>212</v>
      </c>
      <c r="C56" s="55"/>
      <c r="D56" s="26">
        <f>D55*0.12</f>
        <v>4.92</v>
      </c>
      <c r="E56" s="41">
        <f>E55*0.12</f>
        <v>177.1344</v>
      </c>
      <c r="I56" s="82"/>
    </row>
    <row r="57" spans="1:9" ht="31.5" x14ac:dyDescent="0.25">
      <c r="A57" s="6"/>
      <c r="B57" s="169" t="s">
        <v>30</v>
      </c>
      <c r="C57" s="170"/>
      <c r="D57" s="171">
        <f>D55*1.12</f>
        <v>45.92</v>
      </c>
      <c r="E57" s="172">
        <f>E55*1.12</f>
        <v>1653.2544000000003</v>
      </c>
      <c r="I57" s="82"/>
    </row>
    <row r="58" spans="1:9" ht="18.75" customHeight="1" x14ac:dyDescent="0.25">
      <c r="A58" s="409" t="s">
        <v>1501</v>
      </c>
      <c r="B58" s="409"/>
      <c r="C58" s="409"/>
      <c r="D58" s="8">
        <v>36</v>
      </c>
      <c r="E58" s="119" t="s">
        <v>65</v>
      </c>
      <c r="I58" s="82"/>
    </row>
    <row r="59" spans="1:9" ht="30.6" customHeight="1" x14ac:dyDescent="0.25">
      <c r="A59" s="397" t="s">
        <v>226</v>
      </c>
      <c r="B59" s="397"/>
      <c r="C59" s="397"/>
      <c r="D59" s="350">
        <f>+ROUND((E57/D58),2)</f>
        <v>45.92</v>
      </c>
      <c r="E59" s="177" t="s">
        <v>227</v>
      </c>
    </row>
    <row r="60" spans="1:9" ht="15.75" x14ac:dyDescent="0.25">
      <c r="A60" s="1"/>
      <c r="B60" s="1"/>
      <c r="C60" s="1"/>
    </row>
    <row r="61" spans="1:9" x14ac:dyDescent="0.25">
      <c r="G61" s="319"/>
    </row>
    <row r="64" spans="1:9" x14ac:dyDescent="0.25">
      <c r="E64" s="14"/>
    </row>
  </sheetData>
  <mergeCells count="7">
    <mergeCell ref="A59:C59"/>
    <mergeCell ref="A2:C2"/>
    <mergeCell ref="A3:E3"/>
    <mergeCell ref="A4:B4"/>
    <mergeCell ref="A26:A34"/>
    <mergeCell ref="B26:B34"/>
    <mergeCell ref="A58:C58"/>
  </mergeCells>
  <pageMargins left="0.7" right="0.7" top="0.75" bottom="0.75" header="0.3" footer="0.3"/>
  <pageSetup paperSize="9" orientation="landscape" r:id="rId1"/>
  <rowBreaks count="3" manualBreakCount="3">
    <brk id="21" max="16383" man="1"/>
    <brk id="35" max="16383" man="1"/>
    <brk id="44" max="16383" man="1"/>
  </rowBreaks>
  <ignoredErrors>
    <ignoredError sqref="D36" formula="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CA04B-71E9-4F5D-858B-BB7C81F84DAA}">
  <dimension ref="A1:I63"/>
  <sheetViews>
    <sheetView topLeftCell="A49" zoomScaleNormal="100" workbookViewId="0">
      <selection activeCell="D60" sqref="D60"/>
    </sheetView>
  </sheetViews>
  <sheetFormatPr defaultRowHeight="15" x14ac:dyDescent="0.25"/>
  <cols>
    <col min="1" max="1" width="12.28515625" customWidth="1"/>
    <col min="2" max="2" width="27" customWidth="1"/>
    <col min="3" max="3" width="61.85546875" customWidth="1"/>
    <col min="4" max="4" width="9" customWidth="1"/>
    <col min="5" max="5" width="17.5703125" customWidth="1"/>
  </cols>
  <sheetData>
    <row r="1" spans="1:6" s="165" customFormat="1" ht="18.75" x14ac:dyDescent="0.3">
      <c r="A1" s="148" t="s">
        <v>46</v>
      </c>
    </row>
    <row r="2" spans="1:6" ht="18.75" x14ac:dyDescent="0.3">
      <c r="A2" s="404" t="s">
        <v>47</v>
      </c>
      <c r="B2" s="404"/>
      <c r="C2" s="404"/>
    </row>
    <row r="3" spans="1:6" ht="18.75" x14ac:dyDescent="0.25">
      <c r="A3" s="398" t="s">
        <v>252</v>
      </c>
      <c r="B3" s="398"/>
      <c r="C3" s="398"/>
      <c r="D3" s="398"/>
      <c r="E3" s="398"/>
    </row>
    <row r="4" spans="1:6" ht="15.75" x14ac:dyDescent="0.25">
      <c r="A4" s="405" t="s">
        <v>64</v>
      </c>
      <c r="B4" s="405"/>
    </row>
    <row r="6" spans="1:6" ht="78.75" x14ac:dyDescent="0.25">
      <c r="A6" s="139" t="s">
        <v>0</v>
      </c>
      <c r="B6" s="139" t="s">
        <v>1</v>
      </c>
      <c r="C6" s="139" t="s">
        <v>2</v>
      </c>
      <c r="D6" s="152" t="s">
        <v>26</v>
      </c>
      <c r="E6" s="152" t="s">
        <v>27</v>
      </c>
    </row>
    <row r="7" spans="1:6" x14ac:dyDescent="0.25">
      <c r="A7" s="277">
        <v>1</v>
      </c>
      <c r="B7" s="277">
        <v>2</v>
      </c>
      <c r="C7" s="277">
        <v>3</v>
      </c>
      <c r="D7" s="277">
        <v>4</v>
      </c>
      <c r="E7" s="277">
        <v>5</v>
      </c>
    </row>
    <row r="8" spans="1:6" ht="15.75" x14ac:dyDescent="0.25">
      <c r="A8" s="4"/>
      <c r="B8" s="7" t="s">
        <v>7</v>
      </c>
      <c r="C8" s="60" t="s">
        <v>8</v>
      </c>
      <c r="D8" s="24"/>
      <c r="E8" s="22"/>
    </row>
    <row r="9" spans="1:6" ht="15.75" x14ac:dyDescent="0.25">
      <c r="A9" s="8">
        <v>1000</v>
      </c>
      <c r="B9" s="7" t="s">
        <v>9</v>
      </c>
      <c r="C9" s="60"/>
      <c r="D9" s="25">
        <f>D10+D18</f>
        <v>8.0300000000000011</v>
      </c>
      <c r="E9" s="43">
        <f>E10+E18</f>
        <v>1107.25</v>
      </c>
    </row>
    <row r="10" spans="1:6" ht="15.75" x14ac:dyDescent="0.25">
      <c r="A10" s="265">
        <v>1100</v>
      </c>
      <c r="B10" s="265" t="s">
        <v>10</v>
      </c>
      <c r="C10" s="60"/>
      <c r="D10" s="25">
        <f>SUM(D12:D17)</f>
        <v>6.2700000000000005</v>
      </c>
      <c r="E10" s="43">
        <f>SUM(E12:E17)</f>
        <v>864.15000000000009</v>
      </c>
    </row>
    <row r="11" spans="1:6" ht="15.75" x14ac:dyDescent="0.25">
      <c r="A11" s="16">
        <v>1110</v>
      </c>
      <c r="B11" s="16" t="s">
        <v>217</v>
      </c>
      <c r="C11" s="137" t="s">
        <v>218</v>
      </c>
      <c r="D11" s="58">
        <f>SUM(D12:D16)</f>
        <v>5.7</v>
      </c>
      <c r="E11" s="108">
        <f>SUM(E12:E16)</f>
        <v>785.59</v>
      </c>
    </row>
    <row r="12" spans="1:6" ht="78" customHeight="1" x14ac:dyDescent="0.25">
      <c r="A12" s="126"/>
      <c r="B12" s="129"/>
      <c r="C12" s="142" t="s">
        <v>1029</v>
      </c>
      <c r="D12" s="58">
        <f>ROUND((E12/D58),2)</f>
        <v>1.1200000000000001</v>
      </c>
      <c r="E12" s="108">
        <f>ROUND((489.79*12*0.0263),2)</f>
        <v>154.58000000000001</v>
      </c>
      <c r="F12" s="50"/>
    </row>
    <row r="13" spans="1:6" ht="79.5" customHeight="1" x14ac:dyDescent="0.25">
      <c r="A13" s="143"/>
      <c r="B13" s="144"/>
      <c r="C13" s="142" t="s">
        <v>1030</v>
      </c>
      <c r="D13" s="58">
        <f>ROUND((E13/D58),2)</f>
        <v>1.42</v>
      </c>
      <c r="E13" s="108">
        <f>ROUND((619.13*12*0.0263),2)</f>
        <v>195.4</v>
      </c>
    </row>
    <row r="14" spans="1:6" ht="78" customHeight="1" x14ac:dyDescent="0.25">
      <c r="A14" s="127"/>
      <c r="B14" s="130"/>
      <c r="C14" s="142" t="s">
        <v>1031</v>
      </c>
      <c r="D14" s="58">
        <f>ROUND((E14/D58),2)</f>
        <v>1.33</v>
      </c>
      <c r="E14" s="108">
        <f>ROUND((579.53*12*0.0263),2)</f>
        <v>182.9</v>
      </c>
    </row>
    <row r="15" spans="1:6" ht="78" customHeight="1" x14ac:dyDescent="0.25">
      <c r="A15" s="127"/>
      <c r="B15" s="130"/>
      <c r="C15" s="142" t="s">
        <v>1032</v>
      </c>
      <c r="D15" s="58">
        <f>ROUND((E15/D58),2)</f>
        <v>1.19</v>
      </c>
      <c r="E15" s="108">
        <f>ROUND((521.51*12*0.0263),2)</f>
        <v>164.59</v>
      </c>
    </row>
    <row r="16" spans="1:6" ht="78.75" customHeight="1" x14ac:dyDescent="0.25">
      <c r="A16" s="128"/>
      <c r="B16" s="131"/>
      <c r="C16" s="142" t="s">
        <v>1033</v>
      </c>
      <c r="D16" s="58">
        <f>ROUND((E16/D58),2)</f>
        <v>0.64</v>
      </c>
      <c r="E16" s="108">
        <f>ROUND((279.2*12*0.0263),2)</f>
        <v>88.12</v>
      </c>
    </row>
    <row r="17" spans="1:9" ht="95.25" customHeight="1" x14ac:dyDescent="0.25">
      <c r="A17" s="122">
        <v>1140</v>
      </c>
      <c r="B17" s="5" t="s">
        <v>214</v>
      </c>
      <c r="C17" s="142" t="s">
        <v>1026</v>
      </c>
      <c r="D17" s="58">
        <f>ROUND((E17/D58),2)</f>
        <v>0.56999999999999995</v>
      </c>
      <c r="E17" s="108">
        <f>ROUND((154.58*0.1+195.4*0.1+182.9*0.1+164.59*0.1+88.12*0.1),2)</f>
        <v>78.56</v>
      </c>
    </row>
    <row r="18" spans="1:9" ht="62.25" customHeight="1" x14ac:dyDescent="0.25">
      <c r="A18" s="7">
        <v>1200</v>
      </c>
      <c r="B18" s="275" t="s">
        <v>11</v>
      </c>
      <c r="C18" s="166" t="s">
        <v>1034</v>
      </c>
      <c r="D18" s="83">
        <f>ROUND((E18/D58),2)</f>
        <v>1.76</v>
      </c>
      <c r="E18" s="86">
        <f>ROUND((E19+E20),2)</f>
        <v>243.1</v>
      </c>
      <c r="F18" s="14"/>
    </row>
    <row r="19" spans="1:9" ht="47.25" x14ac:dyDescent="0.25">
      <c r="A19" s="4">
        <v>1210</v>
      </c>
      <c r="B19" s="5" t="s">
        <v>216</v>
      </c>
      <c r="C19" s="166" t="s">
        <v>1027</v>
      </c>
      <c r="D19" s="58">
        <f>ROUND((E19/D58),2)</f>
        <v>1.48</v>
      </c>
      <c r="E19" s="44">
        <f>ROUND((864.15*0.2359),2)</f>
        <v>203.85</v>
      </c>
      <c r="F19" s="14"/>
    </row>
    <row r="20" spans="1:9" ht="94.5" x14ac:dyDescent="0.25">
      <c r="A20" s="4">
        <v>1227</v>
      </c>
      <c r="B20" s="5" t="s">
        <v>215</v>
      </c>
      <c r="C20" s="142" t="s">
        <v>1028</v>
      </c>
      <c r="D20" s="58">
        <f>ROUND((E20/D58),2)</f>
        <v>0.28000000000000003</v>
      </c>
      <c r="E20" s="44">
        <f>ROUND((154.58*0.05+195.4*0.05+182.9*0.05+164.59*0.05+87.33*0.05+0.01),2)</f>
        <v>39.25</v>
      </c>
      <c r="F20" s="212"/>
      <c r="G20" s="212"/>
      <c r="H20" s="279"/>
      <c r="I20" s="278"/>
    </row>
    <row r="21" spans="1:9" ht="15.75" x14ac:dyDescent="0.25">
      <c r="A21" s="4"/>
      <c r="B21" s="9" t="s">
        <v>14</v>
      </c>
      <c r="C21" s="61" t="s">
        <v>16</v>
      </c>
      <c r="D21" s="25">
        <f>D9</f>
        <v>8.0300000000000011</v>
      </c>
      <c r="E21" s="43">
        <f>E9</f>
        <v>1107.25</v>
      </c>
    </row>
    <row r="22" spans="1:9" ht="15.75" x14ac:dyDescent="0.25">
      <c r="A22" s="4"/>
      <c r="B22" s="9" t="s">
        <v>15</v>
      </c>
      <c r="C22" s="60" t="s">
        <v>8</v>
      </c>
      <c r="D22" s="22"/>
      <c r="E22" s="42"/>
    </row>
    <row r="23" spans="1:9" ht="15.75" x14ac:dyDescent="0.25">
      <c r="A23" s="8">
        <v>1000</v>
      </c>
      <c r="B23" s="7" t="s">
        <v>9</v>
      </c>
      <c r="C23" s="8"/>
      <c r="D23" s="83">
        <f>SUM(D24+D35)</f>
        <v>1.33</v>
      </c>
      <c r="E23" s="83">
        <f>SUM(E24+E35)</f>
        <v>184.67</v>
      </c>
    </row>
    <row r="24" spans="1:9" ht="15.75" x14ac:dyDescent="0.25">
      <c r="A24" s="7">
        <v>1100</v>
      </c>
      <c r="B24" s="7" t="s">
        <v>10</v>
      </c>
      <c r="C24" s="137" t="s">
        <v>223</v>
      </c>
      <c r="D24" s="83">
        <f>SUM(D25:D34)</f>
        <v>1.07</v>
      </c>
      <c r="E24" s="83">
        <f>SUM(E25:E34)</f>
        <v>149.41999999999999</v>
      </c>
    </row>
    <row r="25" spans="1:9" ht="81" customHeight="1" x14ac:dyDescent="0.25">
      <c r="A25" s="222"/>
      <c r="B25" s="223"/>
      <c r="C25" s="142" t="s">
        <v>1036</v>
      </c>
      <c r="D25" s="44">
        <f>ROUND((E25/D58),2)</f>
        <v>0.03</v>
      </c>
      <c r="E25" s="44">
        <f>ROUND((14.34*12*0.0263),2)</f>
        <v>4.53</v>
      </c>
      <c r="F25" s="50"/>
      <c r="I25" s="82"/>
    </row>
    <row r="26" spans="1:9" ht="78.75" customHeight="1" x14ac:dyDescent="0.25">
      <c r="A26" s="401"/>
      <c r="B26" s="399"/>
      <c r="C26" s="142" t="s">
        <v>1037</v>
      </c>
      <c r="D26" s="44">
        <f>ROUND((E26/D58),2)</f>
        <v>0.02</v>
      </c>
      <c r="E26" s="44">
        <f>ROUND((9.41*12*0.0263),2)</f>
        <v>2.97</v>
      </c>
      <c r="I26" s="82"/>
    </row>
    <row r="27" spans="1:9" ht="78.599999999999994" customHeight="1" x14ac:dyDescent="0.25">
      <c r="A27" s="401"/>
      <c r="B27" s="399"/>
      <c r="C27" s="142" t="s">
        <v>1038</v>
      </c>
      <c r="D27" s="44">
        <f>ROUND((E27/D58),2)</f>
        <v>0.03</v>
      </c>
      <c r="E27" s="44">
        <f>ROUND((13.76*12*0.0263),2)</f>
        <v>4.34</v>
      </c>
      <c r="I27" s="82"/>
    </row>
    <row r="28" spans="1:9" ht="78.599999999999994" customHeight="1" x14ac:dyDescent="0.25">
      <c r="A28" s="401"/>
      <c r="B28" s="399"/>
      <c r="C28" s="142" t="s">
        <v>1039</v>
      </c>
      <c r="D28" s="44">
        <f>ROUND((E28/D58),2)</f>
        <v>0.04</v>
      </c>
      <c r="E28" s="44">
        <f>ROUND((18.79*12*0.0263),2)</f>
        <v>5.93</v>
      </c>
      <c r="I28" s="82"/>
    </row>
    <row r="29" spans="1:9" ht="76.5" customHeight="1" x14ac:dyDescent="0.25">
      <c r="A29" s="401"/>
      <c r="B29" s="399"/>
      <c r="C29" s="123" t="s">
        <v>1040</v>
      </c>
      <c r="D29" s="44">
        <f>ROUND((E29/D58),2)</f>
        <v>0.03</v>
      </c>
      <c r="E29" s="44">
        <f>ROUND((13.27*12*0.0263),2)</f>
        <v>4.1900000000000004</v>
      </c>
      <c r="I29" s="82"/>
    </row>
    <row r="30" spans="1:9" ht="78.75" customHeight="1" x14ac:dyDescent="0.25">
      <c r="A30" s="401"/>
      <c r="B30" s="399"/>
      <c r="C30" s="142" t="s">
        <v>1041</v>
      </c>
      <c r="D30" s="44">
        <f>ROUND((E30/D58),2)</f>
        <v>0.17</v>
      </c>
      <c r="E30" s="44">
        <f>ROUND((76.43*12*0.0263),2)</f>
        <v>24.12</v>
      </c>
      <c r="I30" s="82"/>
    </row>
    <row r="31" spans="1:9" ht="77.25" customHeight="1" x14ac:dyDescent="0.25">
      <c r="A31" s="401"/>
      <c r="B31" s="399"/>
      <c r="C31" s="142" t="s">
        <v>1042</v>
      </c>
      <c r="D31" s="44">
        <f>ROUND((E31/D58),2)</f>
        <v>0.18</v>
      </c>
      <c r="E31" s="44">
        <f>ROUND((79.88*12*0.0263),2)</f>
        <v>25.21</v>
      </c>
      <c r="G31" s="50"/>
      <c r="I31" s="82"/>
    </row>
    <row r="32" spans="1:9" ht="78" customHeight="1" x14ac:dyDescent="0.25">
      <c r="A32" s="401"/>
      <c r="B32" s="399"/>
      <c r="C32" s="142" t="s">
        <v>1043</v>
      </c>
      <c r="D32" s="44">
        <f>ROUND((E32/D58),2)</f>
        <v>0.23</v>
      </c>
      <c r="E32" s="44">
        <f>ROUND((99.81*12*0.0263),2)</f>
        <v>31.5</v>
      </c>
      <c r="G32" s="50"/>
      <c r="I32" s="82"/>
    </row>
    <row r="33" spans="1:9" ht="93.95" customHeight="1" x14ac:dyDescent="0.25">
      <c r="A33" s="401"/>
      <c r="B33" s="399"/>
      <c r="C33" s="142" t="s">
        <v>1044</v>
      </c>
      <c r="D33" s="44">
        <f>ROUND((E33/D58),2)</f>
        <v>0.27</v>
      </c>
      <c r="E33" s="44">
        <f>ROUND((118.42*12*0.0263),2)</f>
        <v>37.369999999999997</v>
      </c>
      <c r="G33" s="50"/>
      <c r="I33" s="82"/>
    </row>
    <row r="34" spans="1:9" ht="78.75" x14ac:dyDescent="0.25">
      <c r="A34" s="402"/>
      <c r="B34" s="400"/>
      <c r="C34" s="142" t="s">
        <v>1045</v>
      </c>
      <c r="D34" s="44">
        <f>ROUND((E34/D58),2)</f>
        <v>7.0000000000000007E-2</v>
      </c>
      <c r="E34" s="44">
        <f>ROUND((29.35*12*0.0263),2)</f>
        <v>9.26</v>
      </c>
      <c r="I34" s="82"/>
    </row>
    <row r="35" spans="1:9" ht="62.1" customHeight="1" x14ac:dyDescent="0.25">
      <c r="A35" s="7">
        <v>1200</v>
      </c>
      <c r="B35" s="156" t="s">
        <v>11</v>
      </c>
      <c r="C35" s="115" t="s">
        <v>1035</v>
      </c>
      <c r="D35" s="86">
        <f>ROUND((E35/D58),2)</f>
        <v>0.26</v>
      </c>
      <c r="E35" s="86">
        <f>ROUND((149.42*0.2359),2)</f>
        <v>35.25</v>
      </c>
      <c r="I35" s="82"/>
    </row>
    <row r="36" spans="1:9" ht="15.75" x14ac:dyDescent="0.25">
      <c r="A36" s="8">
        <v>2000</v>
      </c>
      <c r="B36" s="7" t="s">
        <v>12</v>
      </c>
      <c r="C36" s="60"/>
      <c r="D36" s="43">
        <f>SUM(D37:D48)</f>
        <v>21.399999999999995</v>
      </c>
      <c r="E36" s="43">
        <f>SUM(E37:E48)</f>
        <v>2951.4199999999996</v>
      </c>
      <c r="I36" s="82"/>
    </row>
    <row r="37" spans="1:9" ht="31.5" x14ac:dyDescent="0.25">
      <c r="A37" s="4">
        <v>2221</v>
      </c>
      <c r="B37" s="84" t="s">
        <v>54</v>
      </c>
      <c r="C37" s="5" t="s">
        <v>474</v>
      </c>
      <c r="D37" s="44">
        <f>ROUND((E37/D58),2)</f>
        <v>10.42</v>
      </c>
      <c r="E37" s="44">
        <f>ROUND((54700.57*0.0263),2)</f>
        <v>1438.62</v>
      </c>
      <c r="I37" s="82"/>
    </row>
    <row r="38" spans="1:9" ht="31.5" x14ac:dyDescent="0.25">
      <c r="A38" s="4">
        <v>2222</v>
      </c>
      <c r="B38" s="118" t="s">
        <v>55</v>
      </c>
      <c r="C38" s="5" t="s">
        <v>475</v>
      </c>
      <c r="D38" s="44">
        <f>ROUND((E38/D58),2)</f>
        <v>1.45</v>
      </c>
      <c r="E38" s="44">
        <f>ROUND((7587.77*0.0263),2)</f>
        <v>199.56</v>
      </c>
      <c r="I38" s="82"/>
    </row>
    <row r="39" spans="1:9" ht="31.5" x14ac:dyDescent="0.25">
      <c r="A39" s="4">
        <v>2223</v>
      </c>
      <c r="B39" s="118" t="s">
        <v>19</v>
      </c>
      <c r="C39" s="5" t="s">
        <v>476</v>
      </c>
      <c r="D39" s="44">
        <f>ROUND((E39/D58),2)</f>
        <v>2.0699999999999998</v>
      </c>
      <c r="E39" s="44">
        <f>ROUND((10851.74*0.0263),2)</f>
        <v>285.39999999999998</v>
      </c>
      <c r="I39" s="82"/>
    </row>
    <row r="40" spans="1:9" ht="77.25" customHeight="1" x14ac:dyDescent="0.25">
      <c r="A40" s="4">
        <v>2224</v>
      </c>
      <c r="B40" s="84" t="s">
        <v>56</v>
      </c>
      <c r="C40" s="5" t="s">
        <v>477</v>
      </c>
      <c r="D40" s="44">
        <f>ROUND((E40/D58),2)</f>
        <v>0.15</v>
      </c>
      <c r="E40" s="44">
        <f>ROUND((761.81*0.0263),2)</f>
        <v>20.04</v>
      </c>
      <c r="I40" s="82"/>
    </row>
    <row r="41" spans="1:9" ht="31.5" x14ac:dyDescent="0.25">
      <c r="A41" s="4">
        <v>2239</v>
      </c>
      <c r="B41" s="338" t="s">
        <v>20</v>
      </c>
      <c r="C41" s="118" t="s">
        <v>478</v>
      </c>
      <c r="D41" s="44">
        <f>ROUND((E41/D58),2)</f>
        <v>0.04</v>
      </c>
      <c r="E41" s="44">
        <f>ROUND((224.51*0.0263),2)</f>
        <v>5.9</v>
      </c>
      <c r="I41" s="82"/>
    </row>
    <row r="42" spans="1:9" ht="47.25" x14ac:dyDescent="0.25">
      <c r="A42" s="4">
        <v>2243</v>
      </c>
      <c r="B42" s="84" t="s">
        <v>21</v>
      </c>
      <c r="C42" s="118" t="s">
        <v>479</v>
      </c>
      <c r="D42" s="44">
        <f>ROUND((E42/D58),2)</f>
        <v>0.38</v>
      </c>
      <c r="E42" s="44">
        <f>ROUND((1993.08*0.0263),2)</f>
        <v>52.42</v>
      </c>
      <c r="I42" s="82"/>
    </row>
    <row r="43" spans="1:9" ht="47.25" x14ac:dyDescent="0.25">
      <c r="A43" s="4">
        <v>2244</v>
      </c>
      <c r="B43" s="84" t="s">
        <v>22</v>
      </c>
      <c r="C43" s="63" t="s">
        <v>480</v>
      </c>
      <c r="D43" s="44">
        <f>ROUND((E43/D58),2)</f>
        <v>1.42</v>
      </c>
      <c r="E43" s="44">
        <f>ROUND((7456.84*0.0263),2)</f>
        <v>196.11</v>
      </c>
      <c r="I43" s="82"/>
    </row>
    <row r="44" spans="1:9" ht="47.25" x14ac:dyDescent="0.25">
      <c r="A44" s="4">
        <v>2249</v>
      </c>
      <c r="B44" s="84" t="s">
        <v>45</v>
      </c>
      <c r="C44" s="63" t="s">
        <v>481</v>
      </c>
      <c r="D44" s="44">
        <f>ROUND((E44/D58),2)</f>
        <v>2.0099999999999998</v>
      </c>
      <c r="E44" s="44">
        <f>ROUND((10528.91*0.0263),2)</f>
        <v>276.91000000000003</v>
      </c>
      <c r="I44" s="82"/>
    </row>
    <row r="45" spans="1:9" ht="31.5" x14ac:dyDescent="0.25">
      <c r="A45" s="4">
        <v>2312</v>
      </c>
      <c r="B45" s="173" t="s">
        <v>13</v>
      </c>
      <c r="C45" s="63" t="s">
        <v>482</v>
      </c>
      <c r="D45" s="44">
        <f>ROUND((E45/D58),2)</f>
        <v>0.14000000000000001</v>
      </c>
      <c r="E45" s="44">
        <f>ROUND((737.42*0.0263),2)</f>
        <v>19.39</v>
      </c>
      <c r="I45" s="82"/>
    </row>
    <row r="46" spans="1:9" ht="47.25" x14ac:dyDescent="0.25">
      <c r="A46" s="4">
        <v>2350</v>
      </c>
      <c r="B46" s="118" t="s">
        <v>213</v>
      </c>
      <c r="C46" s="63" t="s">
        <v>483</v>
      </c>
      <c r="D46" s="44">
        <f>ROUND((E46/D58),2)</f>
        <v>0.15</v>
      </c>
      <c r="E46" s="108">
        <f>ROUND((780.26*0.0263),2)</f>
        <v>20.52</v>
      </c>
      <c r="I46" s="82"/>
    </row>
    <row r="47" spans="1:9" ht="31.5" x14ac:dyDescent="0.25">
      <c r="A47" s="4">
        <v>2513</v>
      </c>
      <c r="B47" s="118" t="s">
        <v>57</v>
      </c>
      <c r="C47" s="63" t="s">
        <v>484</v>
      </c>
      <c r="D47" s="44">
        <f>ROUND((E47/D58),2)</f>
        <v>2.79</v>
      </c>
      <c r="E47" s="44">
        <f>ROUND((14633.92*0.0263),2)</f>
        <v>384.87</v>
      </c>
      <c r="I47" s="82"/>
    </row>
    <row r="48" spans="1:9" ht="31.5" x14ac:dyDescent="0.25">
      <c r="A48" s="4">
        <v>2515</v>
      </c>
      <c r="B48" s="118" t="s">
        <v>44</v>
      </c>
      <c r="C48" s="63" t="s">
        <v>485</v>
      </c>
      <c r="D48" s="44">
        <f>ROUND((E48/D58+0.01),2)</f>
        <v>0.38</v>
      </c>
      <c r="E48" s="44">
        <f>ROUND((1964.86*0.0263),2)</f>
        <v>51.68</v>
      </c>
      <c r="I48" s="82"/>
    </row>
    <row r="49" spans="1:9" ht="15.75" x14ac:dyDescent="0.25">
      <c r="A49" s="10">
        <v>5000</v>
      </c>
      <c r="B49" s="156" t="s">
        <v>17</v>
      </c>
      <c r="C49" s="269"/>
      <c r="D49" s="40">
        <f>SUM(D50:D53)</f>
        <v>3.18</v>
      </c>
      <c r="E49" s="40">
        <f>SUM(E50:E53)</f>
        <v>439.58</v>
      </c>
      <c r="I49" s="82"/>
    </row>
    <row r="50" spans="1:9" ht="31.5" x14ac:dyDescent="0.25">
      <c r="A50" s="4">
        <v>5212</v>
      </c>
      <c r="B50" s="118" t="s">
        <v>31</v>
      </c>
      <c r="C50" s="63" t="s">
        <v>738</v>
      </c>
      <c r="D50" s="44">
        <f>ROUND((E50/D58),2)</f>
        <v>1.46</v>
      </c>
      <c r="E50" s="44">
        <f>ROUND((7651.82*0.0263),2)</f>
        <v>201.24</v>
      </c>
      <c r="I50" s="82"/>
    </row>
    <row r="51" spans="1:9" ht="31.5" x14ac:dyDescent="0.25">
      <c r="A51" s="4">
        <v>5213</v>
      </c>
      <c r="B51" s="118" t="s">
        <v>32</v>
      </c>
      <c r="C51" s="63" t="s">
        <v>672</v>
      </c>
      <c r="D51" s="44">
        <f>ROUND((E51/D58),2)</f>
        <v>0.03</v>
      </c>
      <c r="E51" s="44">
        <f>ROUND((158.25*0.0263),2)</f>
        <v>4.16</v>
      </c>
      <c r="I51" s="82"/>
    </row>
    <row r="52" spans="1:9" ht="31.5" x14ac:dyDescent="0.25">
      <c r="A52" s="18">
        <v>5218</v>
      </c>
      <c r="B52" s="84" t="s">
        <v>33</v>
      </c>
      <c r="C52" s="63" t="s">
        <v>673</v>
      </c>
      <c r="D52" s="44">
        <f>ROUND((E52/D58),2)</f>
        <v>0.67</v>
      </c>
      <c r="E52" s="44">
        <f>ROUND((3538.2*0.0263),2)</f>
        <v>93.05</v>
      </c>
      <c r="I52" s="82"/>
    </row>
    <row r="53" spans="1:9" ht="47.25" x14ac:dyDescent="0.25">
      <c r="A53" s="18">
        <v>5239</v>
      </c>
      <c r="B53" s="84" t="s">
        <v>18</v>
      </c>
      <c r="C53" s="63" t="s">
        <v>674</v>
      </c>
      <c r="D53" s="44">
        <f>ROUND((E53/D58),2)</f>
        <v>1.02</v>
      </c>
      <c r="E53" s="44">
        <f>ROUND((5366.12*0.0263),2)</f>
        <v>141.13</v>
      </c>
      <c r="I53" s="82"/>
    </row>
    <row r="54" spans="1:9" ht="23.25" customHeight="1" x14ac:dyDescent="0.25">
      <c r="A54" s="4"/>
      <c r="B54" s="9" t="s">
        <v>23</v>
      </c>
      <c r="C54" s="60"/>
      <c r="D54" s="25">
        <f>SUM(D23+D36+D49)</f>
        <v>25.909999999999997</v>
      </c>
      <c r="E54" s="40">
        <f>SUM(E23+E36+E49)</f>
        <v>3575.6699999999996</v>
      </c>
      <c r="I54" s="82"/>
    </row>
    <row r="55" spans="1:9" ht="31.5" x14ac:dyDescent="0.25">
      <c r="A55" s="4"/>
      <c r="B55" s="11" t="s">
        <v>28</v>
      </c>
      <c r="C55" s="60"/>
      <c r="D55" s="26">
        <f>D21+D54</f>
        <v>33.94</v>
      </c>
      <c r="E55" s="41">
        <f>E21+E54</f>
        <v>4682.92</v>
      </c>
      <c r="I55" s="82"/>
    </row>
    <row r="56" spans="1:9" ht="15.75" x14ac:dyDescent="0.25">
      <c r="A56" s="161"/>
      <c r="B56" s="13" t="s">
        <v>212</v>
      </c>
      <c r="C56" s="60"/>
      <c r="D56" s="26">
        <f>D55*0.12</f>
        <v>4.0728</v>
      </c>
      <c r="E56" s="41">
        <f>E55*0.12</f>
        <v>561.95039999999995</v>
      </c>
      <c r="I56" s="82"/>
    </row>
    <row r="57" spans="1:9" ht="31.5" x14ac:dyDescent="0.25">
      <c r="A57" s="6"/>
      <c r="B57" s="169" t="s">
        <v>30</v>
      </c>
      <c r="C57" s="170"/>
      <c r="D57" s="171">
        <f>D55*1.12</f>
        <v>38.012799999999999</v>
      </c>
      <c r="E57" s="172">
        <f>E55*1.12</f>
        <v>5244.8704000000007</v>
      </c>
      <c r="I57" s="82"/>
    </row>
    <row r="58" spans="1:9" ht="22.5" customHeight="1" x14ac:dyDescent="0.25">
      <c r="A58" s="397" t="s">
        <v>1500</v>
      </c>
      <c r="B58" s="397"/>
      <c r="C58" s="397"/>
      <c r="D58" s="8">
        <v>138</v>
      </c>
      <c r="E58" s="155" t="s">
        <v>65</v>
      </c>
    </row>
    <row r="59" spans="1:9" ht="30.6" customHeight="1" x14ac:dyDescent="0.25">
      <c r="A59" s="397" t="s">
        <v>226</v>
      </c>
      <c r="B59" s="397"/>
      <c r="C59" s="397"/>
      <c r="D59" s="8">
        <f>ROUND((E57/D58),2)</f>
        <v>38.01</v>
      </c>
      <c r="E59" s="191" t="s">
        <v>227</v>
      </c>
    </row>
    <row r="60" spans="1:9" ht="15.75" x14ac:dyDescent="0.25">
      <c r="A60" s="1"/>
      <c r="B60" s="1"/>
      <c r="C60" s="1"/>
    </row>
    <row r="61" spans="1:9" x14ac:dyDescent="0.25">
      <c r="G61" s="305"/>
    </row>
    <row r="63" spans="1:9" x14ac:dyDescent="0.25">
      <c r="D63" s="39"/>
    </row>
  </sheetData>
  <mergeCells count="7">
    <mergeCell ref="A59:C59"/>
    <mergeCell ref="A2:C2"/>
    <mergeCell ref="A3:E3"/>
    <mergeCell ref="A4:B4"/>
    <mergeCell ref="A26:A34"/>
    <mergeCell ref="B26:B34"/>
    <mergeCell ref="A58:C58"/>
  </mergeCells>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22098-3343-4E3A-8DB9-26A83DA0ABD7}">
  <dimension ref="A1:I61"/>
  <sheetViews>
    <sheetView topLeftCell="A49" zoomScaleNormal="100" workbookViewId="0">
      <selection activeCell="D60" sqref="D60"/>
    </sheetView>
  </sheetViews>
  <sheetFormatPr defaultRowHeight="15" x14ac:dyDescent="0.25"/>
  <cols>
    <col min="1" max="1" width="12" customWidth="1"/>
    <col min="2" max="2" width="27.42578125" customWidth="1"/>
    <col min="3" max="3" width="64.5703125" customWidth="1"/>
    <col min="4" max="4" width="9.42578125" customWidth="1"/>
    <col min="5" max="5" width="17.42578125" customWidth="1"/>
  </cols>
  <sheetData>
    <row r="1" spans="1:7" s="165" customFormat="1" ht="18.75" x14ac:dyDescent="0.3">
      <c r="A1" s="148" t="s">
        <v>46</v>
      </c>
    </row>
    <row r="2" spans="1:7" ht="18.75" x14ac:dyDescent="0.3">
      <c r="A2" s="404" t="s">
        <v>47</v>
      </c>
      <c r="B2" s="404"/>
      <c r="C2" s="404"/>
    </row>
    <row r="3" spans="1:7" ht="39.75" customHeight="1" x14ac:dyDescent="0.25">
      <c r="A3" s="410" t="s">
        <v>60</v>
      </c>
      <c r="B3" s="410"/>
      <c r="C3" s="410"/>
      <c r="D3" s="410"/>
      <c r="E3" s="410"/>
    </row>
    <row r="4" spans="1:7" ht="15.75" x14ac:dyDescent="0.25">
      <c r="A4" s="405" t="s">
        <v>64</v>
      </c>
      <c r="B4" s="405"/>
    </row>
    <row r="6" spans="1:7" ht="78.75" customHeight="1" x14ac:dyDescent="0.25">
      <c r="A6" s="139" t="s">
        <v>0</v>
      </c>
      <c r="B6" s="139" t="s">
        <v>1</v>
      </c>
      <c r="C6" s="139" t="s">
        <v>2</v>
      </c>
      <c r="D6" s="152" t="s">
        <v>26</v>
      </c>
      <c r="E6" s="152" t="s">
        <v>27</v>
      </c>
    </row>
    <row r="7" spans="1:7" x14ac:dyDescent="0.25">
      <c r="A7" s="277">
        <v>1</v>
      </c>
      <c r="B7" s="277">
        <v>2</v>
      </c>
      <c r="C7" s="277">
        <v>3</v>
      </c>
      <c r="D7" s="277">
        <v>4</v>
      </c>
      <c r="E7" s="277">
        <v>5</v>
      </c>
    </row>
    <row r="8" spans="1:7" ht="15.75" x14ac:dyDescent="0.25">
      <c r="A8" s="4"/>
      <c r="B8" s="7" t="s">
        <v>7</v>
      </c>
      <c r="C8" s="60" t="s">
        <v>8</v>
      </c>
      <c r="D8" s="24"/>
      <c r="E8" s="22"/>
    </row>
    <row r="9" spans="1:7" ht="15.75" x14ac:dyDescent="0.25">
      <c r="A9" s="8">
        <v>1000</v>
      </c>
      <c r="B9" s="7" t="s">
        <v>9</v>
      </c>
      <c r="C9" s="269"/>
      <c r="D9" s="43">
        <f>D10+D18</f>
        <v>15.059999999999999</v>
      </c>
      <c r="E9" s="43">
        <f>E10+E18</f>
        <v>15350.18</v>
      </c>
    </row>
    <row r="10" spans="1:7" ht="15.75" x14ac:dyDescent="0.25">
      <c r="A10" s="265">
        <v>1100</v>
      </c>
      <c r="B10" s="265" t="s">
        <v>10</v>
      </c>
      <c r="C10" s="269"/>
      <c r="D10" s="43">
        <f>SUM(D12:D17)</f>
        <v>11.76</v>
      </c>
      <c r="E10" s="43">
        <f>SUM(E12:E17)</f>
        <v>11979.64</v>
      </c>
    </row>
    <row r="11" spans="1:7" ht="15.75" x14ac:dyDescent="0.25">
      <c r="A11" s="16">
        <v>1110</v>
      </c>
      <c r="B11" s="16" t="s">
        <v>217</v>
      </c>
      <c r="C11" s="137" t="s">
        <v>218</v>
      </c>
      <c r="D11" s="108">
        <f>SUM(D12:D16)</f>
        <v>10.69</v>
      </c>
      <c r="E11" s="108">
        <f>SUM(E12:E16)</f>
        <v>10890.58</v>
      </c>
    </row>
    <row r="12" spans="1:7" ht="77.45" customHeight="1" x14ac:dyDescent="0.25">
      <c r="A12" s="126"/>
      <c r="B12" s="129"/>
      <c r="C12" s="123" t="s">
        <v>1046</v>
      </c>
      <c r="D12" s="108">
        <f>ROUND((E12/D58),2)</f>
        <v>2.1</v>
      </c>
      <c r="E12" s="108">
        <f>ROUND((489.79*12*0.3646),2)</f>
        <v>2142.9299999999998</v>
      </c>
      <c r="G12" s="39"/>
    </row>
    <row r="13" spans="1:7" ht="77.099999999999994" customHeight="1" x14ac:dyDescent="0.25">
      <c r="A13" s="143"/>
      <c r="B13" s="144"/>
      <c r="C13" s="123" t="s">
        <v>1047</v>
      </c>
      <c r="D13" s="108">
        <f>ROUND((E13/D58),2)</f>
        <v>2.66</v>
      </c>
      <c r="E13" s="108">
        <f>ROUND((619.13*12*0.3646),2)</f>
        <v>2708.82</v>
      </c>
    </row>
    <row r="14" spans="1:7" ht="78.75" x14ac:dyDescent="0.25">
      <c r="A14" s="127"/>
      <c r="B14" s="130"/>
      <c r="C14" s="123" t="s">
        <v>1048</v>
      </c>
      <c r="D14" s="108">
        <f>ROUND((E14/D58),2)</f>
        <v>2.4900000000000002</v>
      </c>
      <c r="E14" s="108">
        <f>ROUND((579.53*12*0.3646),2)</f>
        <v>2535.56</v>
      </c>
    </row>
    <row r="15" spans="1:7" ht="78.75" x14ac:dyDescent="0.25">
      <c r="A15" s="127"/>
      <c r="B15" s="130"/>
      <c r="C15" s="123" t="s">
        <v>1049</v>
      </c>
      <c r="D15" s="108">
        <f>ROUND((E15/D58),2)</f>
        <v>2.2400000000000002</v>
      </c>
      <c r="E15" s="108">
        <f>ROUND((521.51*12*0.3646),2)</f>
        <v>2281.71</v>
      </c>
    </row>
    <row r="16" spans="1:7" ht="78.75" x14ac:dyDescent="0.25">
      <c r="A16" s="128"/>
      <c r="B16" s="131"/>
      <c r="C16" s="123" t="s">
        <v>1050</v>
      </c>
      <c r="D16" s="108">
        <f>ROUND((E16/D58),2)</f>
        <v>1.2</v>
      </c>
      <c r="E16" s="108">
        <f>ROUND((279.2*12*0.3646),2)</f>
        <v>1221.56</v>
      </c>
    </row>
    <row r="17" spans="1:9" ht="94.5" x14ac:dyDescent="0.25">
      <c r="A17" s="122">
        <v>1140</v>
      </c>
      <c r="B17" s="5" t="s">
        <v>214</v>
      </c>
      <c r="C17" s="142" t="s">
        <v>1051</v>
      </c>
      <c r="D17" s="108">
        <f>ROUND((E17/D58),2)</f>
        <v>1.07</v>
      </c>
      <c r="E17" s="108">
        <f>ROUND((2142.93*0.1+2708.82*0.1+2535.56*0.1+2281.71*0.1+1221.56*0.1),2)</f>
        <v>1089.06</v>
      </c>
    </row>
    <row r="18" spans="1:9" ht="63" customHeight="1" x14ac:dyDescent="0.25">
      <c r="A18" s="7">
        <v>1200</v>
      </c>
      <c r="B18" s="275" t="s">
        <v>11</v>
      </c>
      <c r="C18" s="166" t="s">
        <v>1054</v>
      </c>
      <c r="D18" s="86">
        <f>ROUND((D19+D20),2)</f>
        <v>3.3</v>
      </c>
      <c r="E18" s="86">
        <f>ROUND((E19+E20),2)</f>
        <v>3370.54</v>
      </c>
    </row>
    <row r="19" spans="1:9" ht="47.25" x14ac:dyDescent="0.25">
      <c r="A19" s="4">
        <v>1210</v>
      </c>
      <c r="B19" s="5" t="s">
        <v>216</v>
      </c>
      <c r="C19" s="166" t="s">
        <v>1053</v>
      </c>
      <c r="D19" s="44">
        <f>ROUND((E19/D58),2)</f>
        <v>2.77</v>
      </c>
      <c r="E19" s="44">
        <f>ROUND((11979.64*0.2359),2)</f>
        <v>2826</v>
      </c>
    </row>
    <row r="20" spans="1:9" ht="93" customHeight="1" x14ac:dyDescent="0.25">
      <c r="A20" s="4">
        <v>1227</v>
      </c>
      <c r="B20" s="5" t="s">
        <v>215</v>
      </c>
      <c r="C20" s="142" t="s">
        <v>1052</v>
      </c>
      <c r="D20" s="108">
        <f>ROUND((E20/D58),2)</f>
        <v>0.53</v>
      </c>
      <c r="E20" s="108">
        <f>ROUND((2142.93*0.05+2708.82*0.05+2535.56*0.05+2281.71*0.05+1221.56*0.05+0.01),2)</f>
        <v>544.54</v>
      </c>
      <c r="F20" s="39"/>
      <c r="G20" s="39"/>
      <c r="H20" s="39"/>
      <c r="I20" s="39"/>
    </row>
    <row r="21" spans="1:9" ht="15.75" x14ac:dyDescent="0.25">
      <c r="A21" s="4"/>
      <c r="B21" s="9" t="s">
        <v>14</v>
      </c>
      <c r="C21" s="61" t="s">
        <v>16</v>
      </c>
      <c r="D21" s="43">
        <f>D9</f>
        <v>15.059999999999999</v>
      </c>
      <c r="E21" s="43">
        <f>E9</f>
        <v>15350.18</v>
      </c>
    </row>
    <row r="22" spans="1:9" ht="15.75" x14ac:dyDescent="0.25">
      <c r="A22" s="4"/>
      <c r="B22" s="9" t="s">
        <v>15</v>
      </c>
      <c r="C22" s="60" t="s">
        <v>8</v>
      </c>
      <c r="D22" s="42"/>
      <c r="E22" s="42"/>
    </row>
    <row r="23" spans="1:9" ht="15.75" x14ac:dyDescent="0.25">
      <c r="A23" s="8">
        <v>1000</v>
      </c>
      <c r="B23" s="7" t="s">
        <v>9</v>
      </c>
      <c r="C23" s="60"/>
      <c r="D23" s="86">
        <f>SUM(D24+D35)</f>
        <v>2.52</v>
      </c>
      <c r="E23" s="86">
        <f>SUM(E24+E35)</f>
        <v>2560.14</v>
      </c>
    </row>
    <row r="24" spans="1:9" ht="15.75" x14ac:dyDescent="0.25">
      <c r="A24" s="4">
        <v>1100</v>
      </c>
      <c r="B24" s="4" t="s">
        <v>10</v>
      </c>
      <c r="C24" s="137" t="s">
        <v>223</v>
      </c>
      <c r="D24" s="86">
        <f>SUM(D25:D34)</f>
        <v>2.04</v>
      </c>
      <c r="E24" s="86">
        <f>SUM(E25:E34)</f>
        <v>2071.48</v>
      </c>
    </row>
    <row r="25" spans="1:9" ht="79.5" customHeight="1" x14ac:dyDescent="0.25">
      <c r="A25" s="222"/>
      <c r="B25" s="223"/>
      <c r="C25" s="142" t="s">
        <v>1056</v>
      </c>
      <c r="D25" s="44">
        <f>ROUND((E25/D58),2)</f>
        <v>0.06</v>
      </c>
      <c r="E25" s="44">
        <f>ROUND((14.34*12*0.3646),2)</f>
        <v>62.74</v>
      </c>
    </row>
    <row r="26" spans="1:9" ht="78" customHeight="1" x14ac:dyDescent="0.25">
      <c r="A26" s="401"/>
      <c r="B26" s="399"/>
      <c r="C26" s="142" t="s">
        <v>1057</v>
      </c>
      <c r="D26" s="44">
        <f>ROUND((E26/D58),2)</f>
        <v>0.04</v>
      </c>
      <c r="E26" s="44">
        <f>ROUND((9.41*12*0.3646),2)</f>
        <v>41.17</v>
      </c>
    </row>
    <row r="27" spans="1:9" ht="78.75" x14ac:dyDescent="0.25">
      <c r="A27" s="401"/>
      <c r="B27" s="399"/>
      <c r="C27" s="142" t="s">
        <v>1058</v>
      </c>
      <c r="D27" s="44">
        <f>ROUND((E27/D58),2)</f>
        <v>0.06</v>
      </c>
      <c r="E27" s="44">
        <f>ROUND((13.76*12*0.3646),2)</f>
        <v>60.2</v>
      </c>
    </row>
    <row r="28" spans="1:9" ht="79.5" customHeight="1" x14ac:dyDescent="0.25">
      <c r="A28" s="401"/>
      <c r="B28" s="399"/>
      <c r="C28" s="142" t="s">
        <v>1059</v>
      </c>
      <c r="D28" s="44">
        <f>ROUND((E28/D58),2)</f>
        <v>0.08</v>
      </c>
      <c r="E28" s="44">
        <f>ROUND((18.79*12*0.3646),2)</f>
        <v>82.21</v>
      </c>
      <c r="G28" s="50"/>
    </row>
    <row r="29" spans="1:9" ht="78" customHeight="1" x14ac:dyDescent="0.25">
      <c r="A29" s="401"/>
      <c r="B29" s="399"/>
      <c r="C29" s="62" t="s">
        <v>1060</v>
      </c>
      <c r="D29" s="44">
        <f>ROUND((E29/D58),2)</f>
        <v>0.06</v>
      </c>
      <c r="E29" s="44">
        <f>ROUND((13.27*12*0.3646),2)</f>
        <v>58.06</v>
      </c>
      <c r="G29" s="39"/>
    </row>
    <row r="30" spans="1:9" ht="78.75" x14ac:dyDescent="0.25">
      <c r="A30" s="401"/>
      <c r="B30" s="399"/>
      <c r="C30" s="62" t="s">
        <v>1061</v>
      </c>
      <c r="D30" s="44">
        <f>ROUND((E30/D58),2)</f>
        <v>0.33</v>
      </c>
      <c r="E30" s="44">
        <f>ROUND((76.43*12*0.3646),2)</f>
        <v>334.4</v>
      </c>
      <c r="G30" s="39"/>
    </row>
    <row r="31" spans="1:9" ht="78.75" x14ac:dyDescent="0.25">
      <c r="A31" s="401"/>
      <c r="B31" s="399"/>
      <c r="C31" s="62" t="s">
        <v>1062</v>
      </c>
      <c r="D31" s="44">
        <f>ROUND((E31/D58),2)</f>
        <v>0.34</v>
      </c>
      <c r="E31" s="44">
        <f>ROUND((79.88*12*0.3646),2)</f>
        <v>349.49</v>
      </c>
      <c r="G31" s="39"/>
    </row>
    <row r="32" spans="1:9" ht="78.75" x14ac:dyDescent="0.25">
      <c r="A32" s="401"/>
      <c r="B32" s="399"/>
      <c r="C32" s="62" t="s">
        <v>1063</v>
      </c>
      <c r="D32" s="44">
        <f>ROUND((E32/D58),2)</f>
        <v>0.43</v>
      </c>
      <c r="E32" s="44">
        <f>ROUND((99.81*12*0.3646),2)</f>
        <v>436.69</v>
      </c>
    </row>
    <row r="33" spans="1:7" ht="93" customHeight="1" x14ac:dyDescent="0.25">
      <c r="A33" s="401"/>
      <c r="B33" s="399"/>
      <c r="C33" s="62" t="s">
        <v>1064</v>
      </c>
      <c r="D33" s="44">
        <f>ROUND((E33/D58),2)</f>
        <v>0.51</v>
      </c>
      <c r="E33" s="44">
        <f>ROUND((118.42*12*0.3646),2)</f>
        <v>518.11</v>
      </c>
    </row>
    <row r="34" spans="1:7" ht="78.75" x14ac:dyDescent="0.25">
      <c r="A34" s="402"/>
      <c r="B34" s="400"/>
      <c r="C34" s="62" t="s">
        <v>1065</v>
      </c>
      <c r="D34" s="44">
        <f>ROUND((E34/D58),2)</f>
        <v>0.13</v>
      </c>
      <c r="E34" s="44">
        <f>ROUND((29.35*12*0.3646),2)</f>
        <v>128.41</v>
      </c>
    </row>
    <row r="35" spans="1:7" ht="64.5" customHeight="1" x14ac:dyDescent="0.25">
      <c r="A35" s="7">
        <v>1200</v>
      </c>
      <c r="B35" s="156" t="s">
        <v>11</v>
      </c>
      <c r="C35" s="166" t="s">
        <v>1055</v>
      </c>
      <c r="D35" s="86">
        <f>ROUND((E35/D58),2)</f>
        <v>0.48</v>
      </c>
      <c r="E35" s="86">
        <f>ROUND((2071.48*0.2359),2)</f>
        <v>488.66</v>
      </c>
    </row>
    <row r="36" spans="1:7" ht="15.75" x14ac:dyDescent="0.25">
      <c r="A36" s="8">
        <v>2000</v>
      </c>
      <c r="B36" s="7" t="s">
        <v>12</v>
      </c>
      <c r="C36" s="60"/>
      <c r="D36" s="43">
        <f>SUM(D37:D48)</f>
        <v>40.140000000000008</v>
      </c>
      <c r="E36" s="43">
        <f>SUM(E37:E48)</f>
        <v>40916.030000000006</v>
      </c>
    </row>
    <row r="37" spans="1:7" ht="31.5" x14ac:dyDescent="0.25">
      <c r="A37" s="4">
        <v>2221</v>
      </c>
      <c r="B37" s="84" t="s">
        <v>54</v>
      </c>
      <c r="C37" s="63" t="s">
        <v>486</v>
      </c>
      <c r="D37" s="44">
        <f>ROUND((E37/D58),2)</f>
        <v>19.57</v>
      </c>
      <c r="E37" s="44">
        <f>ROUND((54700.57*0.3646),2)</f>
        <v>19943.830000000002</v>
      </c>
      <c r="G37" s="82"/>
    </row>
    <row r="38" spans="1:7" ht="31.5" x14ac:dyDescent="0.25">
      <c r="A38" s="4">
        <v>2222</v>
      </c>
      <c r="B38" s="118" t="s">
        <v>55</v>
      </c>
      <c r="C38" s="5" t="s">
        <v>487</v>
      </c>
      <c r="D38" s="44">
        <f>ROUND((E38/D58),2)</f>
        <v>2.71</v>
      </c>
      <c r="E38" s="44">
        <f>ROUND((7587.77*0.3646),2)</f>
        <v>2766.5</v>
      </c>
      <c r="G38" s="82"/>
    </row>
    <row r="39" spans="1:7" ht="31.5" x14ac:dyDescent="0.25">
      <c r="A39" s="4">
        <v>2223</v>
      </c>
      <c r="B39" s="118" t="s">
        <v>19</v>
      </c>
      <c r="C39" s="64" t="s">
        <v>488</v>
      </c>
      <c r="D39" s="44">
        <f>ROUND((E39/D58),2)</f>
        <v>3.88</v>
      </c>
      <c r="E39" s="44">
        <f>ROUND((10851.74*0.3646),2)</f>
        <v>3956.54</v>
      </c>
      <c r="G39" s="82"/>
    </row>
    <row r="40" spans="1:7" ht="78" customHeight="1" x14ac:dyDescent="0.25">
      <c r="A40" s="4">
        <v>2224</v>
      </c>
      <c r="B40" s="84" t="s">
        <v>56</v>
      </c>
      <c r="C40" s="63" t="s">
        <v>489</v>
      </c>
      <c r="D40" s="44">
        <f>ROUND((E40/D58),2)</f>
        <v>0.27</v>
      </c>
      <c r="E40" s="44">
        <f>ROUND((761.81*0.3646),2)</f>
        <v>277.76</v>
      </c>
      <c r="G40" s="82"/>
    </row>
    <row r="41" spans="1:7" ht="31.5" x14ac:dyDescent="0.25">
      <c r="A41" s="4">
        <v>2239</v>
      </c>
      <c r="B41" s="338" t="s">
        <v>20</v>
      </c>
      <c r="C41" s="117" t="s">
        <v>490</v>
      </c>
      <c r="D41" s="44">
        <f>ROUND((E41/D58),2)</f>
        <v>0.08</v>
      </c>
      <c r="E41" s="44">
        <f>ROUND((224.51*0.3646),2)</f>
        <v>81.86</v>
      </c>
      <c r="G41" s="82"/>
    </row>
    <row r="42" spans="1:7" ht="47.25" x14ac:dyDescent="0.25">
      <c r="A42" s="4">
        <v>2243</v>
      </c>
      <c r="B42" s="84" t="s">
        <v>21</v>
      </c>
      <c r="C42" s="84" t="s">
        <v>491</v>
      </c>
      <c r="D42" s="44">
        <f>ROUND((E42/D58),2)</f>
        <v>0.71</v>
      </c>
      <c r="E42" s="44">
        <f>ROUND((1993.08*0.3646),2)</f>
        <v>726.68</v>
      </c>
      <c r="G42" s="82"/>
    </row>
    <row r="43" spans="1:7" ht="46.5" customHeight="1" x14ac:dyDescent="0.25">
      <c r="A43" s="4">
        <v>2244</v>
      </c>
      <c r="B43" s="84" t="s">
        <v>22</v>
      </c>
      <c r="C43" s="63" t="s">
        <v>492</v>
      </c>
      <c r="D43" s="44">
        <f>ROUND((E43/D58),2)</f>
        <v>2.67</v>
      </c>
      <c r="E43" s="44">
        <f>ROUND((7456.84*0.3646),2)</f>
        <v>2718.76</v>
      </c>
      <c r="G43" s="82"/>
    </row>
    <row r="44" spans="1:7" ht="32.25" customHeight="1" x14ac:dyDescent="0.25">
      <c r="A44" s="4">
        <v>2249</v>
      </c>
      <c r="B44" s="84" t="s">
        <v>45</v>
      </c>
      <c r="C44" s="63" t="s">
        <v>493</v>
      </c>
      <c r="D44" s="44">
        <f>ROUND((E44/D58),2)</f>
        <v>3.77</v>
      </c>
      <c r="E44" s="44">
        <f>ROUND((10528.91*0.3646),2)</f>
        <v>3838.84</v>
      </c>
      <c r="G44" s="82"/>
    </row>
    <row r="45" spans="1:7" ht="31.5" x14ac:dyDescent="0.25">
      <c r="A45" s="4">
        <v>2312</v>
      </c>
      <c r="B45" s="173" t="s">
        <v>13</v>
      </c>
      <c r="C45" s="63" t="s">
        <v>494</v>
      </c>
      <c r="D45" s="44">
        <f>ROUND((E45/D58),2)</f>
        <v>0.26</v>
      </c>
      <c r="E45" s="44">
        <f>ROUND((737.42*0.3646),2)</f>
        <v>268.86</v>
      </c>
      <c r="G45" s="82"/>
    </row>
    <row r="46" spans="1:7" ht="47.25" x14ac:dyDescent="0.25">
      <c r="A46" s="4">
        <v>2350</v>
      </c>
      <c r="B46" s="118" t="s">
        <v>213</v>
      </c>
      <c r="C46" s="63" t="s">
        <v>495</v>
      </c>
      <c r="D46" s="44">
        <f>ROUND((E46/D58),2)</f>
        <v>0.28000000000000003</v>
      </c>
      <c r="E46" s="108">
        <f>ROUND((780.26*0.3646),2)</f>
        <v>284.48</v>
      </c>
      <c r="G46" s="82"/>
    </row>
    <row r="47" spans="1:7" ht="31.5" customHeight="1" x14ac:dyDescent="0.25">
      <c r="A47" s="4">
        <v>2513</v>
      </c>
      <c r="B47" s="118" t="s">
        <v>57</v>
      </c>
      <c r="C47" s="63" t="s">
        <v>496</v>
      </c>
      <c r="D47" s="44">
        <f>ROUND((E47/D58),2)</f>
        <v>5.24</v>
      </c>
      <c r="E47" s="44">
        <f>ROUND((14633.92*0.3646),2)</f>
        <v>5335.53</v>
      </c>
      <c r="G47" s="82"/>
    </row>
    <row r="48" spans="1:7" ht="32.1" customHeight="1" x14ac:dyDescent="0.25">
      <c r="A48" s="4">
        <v>2515</v>
      </c>
      <c r="B48" s="118" t="s">
        <v>44</v>
      </c>
      <c r="C48" s="63" t="s">
        <v>497</v>
      </c>
      <c r="D48" s="44">
        <f>ROUND((E48/D58),2)</f>
        <v>0.7</v>
      </c>
      <c r="E48" s="44">
        <f>ROUND((1964.86*0.3646),2)</f>
        <v>716.39</v>
      </c>
      <c r="G48" s="82"/>
    </row>
    <row r="49" spans="1:7" ht="18.75" customHeight="1" x14ac:dyDescent="0.25">
      <c r="A49" s="306">
        <v>5000</v>
      </c>
      <c r="B49" s="308" t="s">
        <v>17</v>
      </c>
      <c r="C49" s="18"/>
      <c r="D49" s="86">
        <f>SUM(D50:D53)</f>
        <v>5.98</v>
      </c>
      <c r="E49" s="86">
        <f>SUM(E50:E53)</f>
        <v>6094.07</v>
      </c>
      <c r="G49" s="82"/>
    </row>
    <row r="50" spans="1:7" ht="31.5" x14ac:dyDescent="0.25">
      <c r="A50" s="4">
        <v>5212</v>
      </c>
      <c r="B50" s="118" t="s">
        <v>31</v>
      </c>
      <c r="C50" s="63" t="s">
        <v>739</v>
      </c>
      <c r="D50" s="44">
        <f>ROUND((E50/D58-0.01),2)</f>
        <v>2.73</v>
      </c>
      <c r="E50" s="44">
        <f>ROUND((7651.82*0.3646),2)</f>
        <v>2789.85</v>
      </c>
      <c r="G50" s="82"/>
    </row>
    <row r="51" spans="1:7" ht="31.5" x14ac:dyDescent="0.25">
      <c r="A51" s="4">
        <v>5213</v>
      </c>
      <c r="B51" s="118" t="s">
        <v>32</v>
      </c>
      <c r="C51" s="63" t="s">
        <v>675</v>
      </c>
      <c r="D51" s="44">
        <f>ROUND((E51/D58),2)</f>
        <v>0.06</v>
      </c>
      <c r="E51" s="44">
        <f>ROUND((158.25*0.3646),2)</f>
        <v>57.7</v>
      </c>
      <c r="G51" s="82"/>
    </row>
    <row r="52" spans="1:7" ht="31.5" x14ac:dyDescent="0.25">
      <c r="A52" s="18">
        <v>5218</v>
      </c>
      <c r="B52" s="84" t="s">
        <v>33</v>
      </c>
      <c r="C52" s="63" t="s">
        <v>676</v>
      </c>
      <c r="D52" s="44">
        <f>ROUND((E52/D58),2)</f>
        <v>1.27</v>
      </c>
      <c r="E52" s="44">
        <f>ROUND((3538.2*0.3646),2)</f>
        <v>1290.03</v>
      </c>
      <c r="G52" s="82"/>
    </row>
    <row r="53" spans="1:7" ht="47.1" customHeight="1" x14ac:dyDescent="0.25">
      <c r="A53" s="18">
        <v>5239</v>
      </c>
      <c r="B53" s="84" t="s">
        <v>18</v>
      </c>
      <c r="C53" s="63" t="s">
        <v>677</v>
      </c>
      <c r="D53" s="44">
        <f>ROUND((E53/D58),2)</f>
        <v>1.92</v>
      </c>
      <c r="E53" s="44">
        <f>ROUND((5366.12*0.3646),2)</f>
        <v>1956.49</v>
      </c>
      <c r="G53" s="82"/>
    </row>
    <row r="54" spans="1:7" ht="15.75" x14ac:dyDescent="0.25">
      <c r="A54" s="4"/>
      <c r="B54" s="9" t="s">
        <v>23</v>
      </c>
      <c r="C54" s="60"/>
      <c r="D54" s="43">
        <f>SUM(D23+D36+D49)</f>
        <v>48.640000000000015</v>
      </c>
      <c r="E54" s="40">
        <f>SUM(E23+E36+E49)</f>
        <v>49570.240000000005</v>
      </c>
      <c r="G54" s="82"/>
    </row>
    <row r="55" spans="1:7" ht="31.5" x14ac:dyDescent="0.25">
      <c r="A55" s="4"/>
      <c r="B55" s="11" t="s">
        <v>28</v>
      </c>
      <c r="C55" s="60"/>
      <c r="D55" s="87">
        <f>D21+D54-0.05</f>
        <v>63.65000000000002</v>
      </c>
      <c r="E55" s="41">
        <f>E21+E54-59</f>
        <v>64861.420000000006</v>
      </c>
      <c r="G55" s="82"/>
    </row>
    <row r="56" spans="1:7" ht="15.75" x14ac:dyDescent="0.25">
      <c r="A56" s="20"/>
      <c r="B56" s="13" t="s">
        <v>212</v>
      </c>
      <c r="C56" s="60"/>
      <c r="D56" s="87">
        <f>D55*0.12</f>
        <v>7.6380000000000017</v>
      </c>
      <c r="E56" s="41">
        <f>E55*0.12</f>
        <v>7783.3704000000007</v>
      </c>
      <c r="G56" s="82"/>
    </row>
    <row r="57" spans="1:7" ht="31.5" x14ac:dyDescent="0.25">
      <c r="A57" s="20"/>
      <c r="B57" s="169" t="s">
        <v>30</v>
      </c>
      <c r="C57" s="170"/>
      <c r="D57" s="176">
        <f>D55*1.12</f>
        <v>71.288000000000025</v>
      </c>
      <c r="E57" s="172">
        <f>E55*1.12</f>
        <v>72644.790400000013</v>
      </c>
      <c r="G57" s="82"/>
    </row>
    <row r="58" spans="1:7" ht="20.25" customHeight="1" x14ac:dyDescent="0.25">
      <c r="A58" s="397" t="s">
        <v>1502</v>
      </c>
      <c r="B58" s="397"/>
      <c r="C58" s="397"/>
      <c r="D58" s="183">
        <f>20*51-1</f>
        <v>1019</v>
      </c>
      <c r="E58" s="155" t="s">
        <v>65</v>
      </c>
    </row>
    <row r="59" spans="1:7" ht="30.6" customHeight="1" x14ac:dyDescent="0.25">
      <c r="A59" s="397" t="s">
        <v>226</v>
      </c>
      <c r="B59" s="397"/>
      <c r="C59" s="397"/>
      <c r="D59" s="350">
        <f>ROUND((E57/D58),2)</f>
        <v>71.290000000000006</v>
      </c>
      <c r="E59" s="191" t="s">
        <v>227</v>
      </c>
    </row>
    <row r="60" spans="1:7" ht="15.75" x14ac:dyDescent="0.25">
      <c r="A60" s="1"/>
      <c r="B60" s="1"/>
      <c r="C60" s="1"/>
    </row>
    <row r="61" spans="1:7" x14ac:dyDescent="0.25">
      <c r="G61" s="319"/>
    </row>
  </sheetData>
  <mergeCells count="7">
    <mergeCell ref="A59:C59"/>
    <mergeCell ref="A2:C2"/>
    <mergeCell ref="A3:E3"/>
    <mergeCell ref="A4:B4"/>
    <mergeCell ref="A26:A34"/>
    <mergeCell ref="B26:B34"/>
    <mergeCell ref="A58:C58"/>
  </mergeCells>
  <pageMargins left="0.7" right="0.7" top="0.75" bottom="0.75" header="0.3" footer="0.3"/>
  <pageSetup paperSize="9" orientation="landscape" r:id="rId1"/>
  <rowBreaks count="2" manualBreakCount="2">
    <brk id="13" max="4" man="1"/>
    <brk id="19" max="16383" man="1"/>
  </rowBreaks>
  <ignoredErrors>
    <ignoredError sqref="D18:E18" formula="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14BAF-5180-439F-8035-76233D16A9F5}">
  <dimension ref="A1:J61"/>
  <sheetViews>
    <sheetView topLeftCell="A49" zoomScaleNormal="100" workbookViewId="0">
      <selection activeCell="D60" sqref="D60"/>
    </sheetView>
  </sheetViews>
  <sheetFormatPr defaultRowHeight="15" x14ac:dyDescent="0.25"/>
  <cols>
    <col min="1" max="1" width="12.42578125" customWidth="1"/>
    <col min="2" max="2" width="27.140625" customWidth="1"/>
    <col min="3" max="3" width="62.42578125" customWidth="1"/>
    <col min="4" max="4" width="9.5703125" customWidth="1"/>
    <col min="5" max="5" width="17.7109375" customWidth="1"/>
  </cols>
  <sheetData>
    <row r="1" spans="1:7" ht="18.75" x14ac:dyDescent="0.3">
      <c r="A1" s="148" t="s">
        <v>46</v>
      </c>
    </row>
    <row r="2" spans="1:7" ht="18.75" x14ac:dyDescent="0.3">
      <c r="A2" s="404" t="s">
        <v>47</v>
      </c>
      <c r="B2" s="404"/>
      <c r="C2" s="404"/>
    </row>
    <row r="3" spans="1:7" ht="18.75" x14ac:dyDescent="0.25">
      <c r="A3" s="398" t="s">
        <v>48</v>
      </c>
      <c r="B3" s="398"/>
      <c r="C3" s="398"/>
      <c r="D3" s="398"/>
      <c r="E3" s="398"/>
    </row>
    <row r="4" spans="1:7" ht="15.75" x14ac:dyDescent="0.25">
      <c r="A4" s="405" t="s">
        <v>64</v>
      </c>
      <c r="B4" s="405"/>
    </row>
    <row r="6" spans="1:7" ht="78.75" x14ac:dyDescent="0.25">
      <c r="A6" s="139" t="s">
        <v>0</v>
      </c>
      <c r="B6" s="139" t="s">
        <v>1</v>
      </c>
      <c r="C6" s="139" t="s">
        <v>2</v>
      </c>
      <c r="D6" s="152" t="s">
        <v>26</v>
      </c>
      <c r="E6" s="52" t="s">
        <v>27</v>
      </c>
    </row>
    <row r="7" spans="1:7" x14ac:dyDescent="0.25">
      <c r="A7" s="277">
        <v>1</v>
      </c>
      <c r="B7" s="277">
        <v>2</v>
      </c>
      <c r="C7" s="277">
        <v>3</v>
      </c>
      <c r="D7" s="46">
        <v>4</v>
      </c>
      <c r="E7" s="46">
        <v>5</v>
      </c>
    </row>
    <row r="8" spans="1:7" ht="15.75" x14ac:dyDescent="0.25">
      <c r="A8" s="4"/>
      <c r="B8" s="7" t="s">
        <v>7</v>
      </c>
      <c r="C8" s="60" t="s">
        <v>8</v>
      </c>
      <c r="D8" s="24"/>
      <c r="E8" s="22"/>
    </row>
    <row r="9" spans="1:7" ht="15.75" x14ac:dyDescent="0.25">
      <c r="A9" s="8">
        <v>1000</v>
      </c>
      <c r="B9" s="7" t="s">
        <v>9</v>
      </c>
      <c r="C9" s="269"/>
      <c r="D9" s="43">
        <f>D10+D18</f>
        <v>15.830000000000002</v>
      </c>
      <c r="E9" s="43">
        <f>E10+E18</f>
        <v>2328.1999999999998</v>
      </c>
    </row>
    <row r="10" spans="1:7" ht="15.75" x14ac:dyDescent="0.25">
      <c r="A10" s="265">
        <v>1100</v>
      </c>
      <c r="B10" s="265" t="s">
        <v>10</v>
      </c>
      <c r="C10" s="269"/>
      <c r="D10" s="43">
        <f>SUM(D12:D17)</f>
        <v>12.350000000000001</v>
      </c>
      <c r="E10" s="43">
        <f>SUM(E12:E17)</f>
        <v>1816.99</v>
      </c>
    </row>
    <row r="11" spans="1:7" ht="15.75" x14ac:dyDescent="0.25">
      <c r="A11" s="16">
        <v>1110</v>
      </c>
      <c r="B11" s="16" t="s">
        <v>217</v>
      </c>
      <c r="C11" s="137" t="s">
        <v>218</v>
      </c>
      <c r="D11" s="108">
        <f>SUM(D12:D16)</f>
        <v>11.23</v>
      </c>
      <c r="E11" s="108">
        <f>SUM(E12:E16)</f>
        <v>1651.8</v>
      </c>
    </row>
    <row r="12" spans="1:7" ht="80.099999999999994" customHeight="1" x14ac:dyDescent="0.25">
      <c r="A12" s="126"/>
      <c r="B12" s="129"/>
      <c r="C12" s="142" t="s">
        <v>1071</v>
      </c>
      <c r="D12" s="58">
        <f>ROUND((E12/D58),2)</f>
        <v>2.21</v>
      </c>
      <c r="E12" s="108">
        <f>ROUND((489.79*12*0.0553),2)</f>
        <v>325.02</v>
      </c>
      <c r="G12" s="39"/>
    </row>
    <row r="13" spans="1:7" ht="78.75" x14ac:dyDescent="0.25">
      <c r="A13" s="143"/>
      <c r="B13" s="144"/>
      <c r="C13" s="142" t="s">
        <v>1072</v>
      </c>
      <c r="D13" s="58">
        <f>ROUND((E13/D58),2)</f>
        <v>2.79</v>
      </c>
      <c r="E13" s="108">
        <f>ROUND((619.13*12*0.0553),2)</f>
        <v>410.85</v>
      </c>
      <c r="G13" s="39"/>
    </row>
    <row r="14" spans="1:7" ht="78.75" x14ac:dyDescent="0.25">
      <c r="A14" s="127"/>
      <c r="B14" s="130"/>
      <c r="C14" s="142" t="s">
        <v>1073</v>
      </c>
      <c r="D14" s="58">
        <f>ROUND((E14/D58),2)</f>
        <v>2.62</v>
      </c>
      <c r="E14" s="108">
        <f>ROUND((579.53*12*0.0553),2)</f>
        <v>384.58</v>
      </c>
    </row>
    <row r="15" spans="1:7" ht="78.75" x14ac:dyDescent="0.25">
      <c r="A15" s="127"/>
      <c r="B15" s="130"/>
      <c r="C15" s="142" t="s">
        <v>1074</v>
      </c>
      <c r="D15" s="58">
        <f>ROUND((E15/D58),2)</f>
        <v>2.35</v>
      </c>
      <c r="E15" s="108">
        <f>ROUND((521.51*12*0.0553),2)</f>
        <v>346.07</v>
      </c>
    </row>
    <row r="16" spans="1:7" ht="78.75" x14ac:dyDescent="0.25">
      <c r="A16" s="128"/>
      <c r="B16" s="131"/>
      <c r="C16" s="142" t="s">
        <v>1075</v>
      </c>
      <c r="D16" s="58">
        <f>ROUND((E16/D58),2)</f>
        <v>1.26</v>
      </c>
      <c r="E16" s="108">
        <f>ROUND((279.2*12*0.0553),2)</f>
        <v>185.28</v>
      </c>
    </row>
    <row r="17" spans="1:10" ht="93" customHeight="1" x14ac:dyDescent="0.25">
      <c r="A17" s="122">
        <v>1140</v>
      </c>
      <c r="B17" s="5" t="s">
        <v>214</v>
      </c>
      <c r="C17" s="142" t="s">
        <v>1066</v>
      </c>
      <c r="D17" s="58">
        <f>ROUND((E17/D58),2)</f>
        <v>1.1200000000000001</v>
      </c>
      <c r="E17" s="108">
        <f>ROUND((325.02*0.1+410.85*0.1+384.58*0.1+346.07*0.1+185.28*0.1+0.01),2)</f>
        <v>165.19</v>
      </c>
    </row>
    <row r="18" spans="1:10" ht="63" customHeight="1" x14ac:dyDescent="0.25">
      <c r="A18" s="7">
        <v>1200</v>
      </c>
      <c r="B18" s="275" t="s">
        <v>11</v>
      </c>
      <c r="C18" s="166" t="s">
        <v>1069</v>
      </c>
      <c r="D18" s="276">
        <f>ROUND((D19+D20),2)</f>
        <v>3.48</v>
      </c>
      <c r="E18" s="83">
        <f>ROUND((E19+E20),2)</f>
        <v>511.21</v>
      </c>
    </row>
    <row r="19" spans="1:10" ht="47.25" x14ac:dyDescent="0.25">
      <c r="A19" s="4">
        <v>1210</v>
      </c>
      <c r="B19" s="5" t="s">
        <v>216</v>
      </c>
      <c r="C19" s="166" t="s">
        <v>1067</v>
      </c>
      <c r="D19" s="27">
        <f>ROUND((E19/D58),2)</f>
        <v>2.92</v>
      </c>
      <c r="E19" s="44">
        <f>ROUND((1816.99*0.2359),2)</f>
        <v>428.63</v>
      </c>
    </row>
    <row r="20" spans="1:10" ht="94.5" customHeight="1" x14ac:dyDescent="0.25">
      <c r="A20" s="4">
        <v>1227</v>
      </c>
      <c r="B20" s="5" t="s">
        <v>215</v>
      </c>
      <c r="C20" s="142" t="s">
        <v>1068</v>
      </c>
      <c r="D20" s="27">
        <f>ROUND((E20/D58),2)</f>
        <v>0.56000000000000005</v>
      </c>
      <c r="E20" s="108">
        <f>ROUND((325.02*0.05+410.85*0.05+384.58*0.05+346.07*0.05+185.28*0.05-0.01),2)</f>
        <v>82.58</v>
      </c>
      <c r="J20" s="354"/>
    </row>
    <row r="21" spans="1:10" ht="15.75" x14ac:dyDescent="0.25">
      <c r="A21" s="4"/>
      <c r="B21" s="9" t="s">
        <v>14</v>
      </c>
      <c r="C21" s="61" t="s">
        <v>16</v>
      </c>
      <c r="D21" s="25">
        <f>D9</f>
        <v>15.830000000000002</v>
      </c>
      <c r="E21" s="43">
        <f>E9</f>
        <v>2328.1999999999998</v>
      </c>
    </row>
    <row r="22" spans="1:10" ht="15.75" x14ac:dyDescent="0.25">
      <c r="A22" s="4"/>
      <c r="B22" s="9" t="s">
        <v>15</v>
      </c>
      <c r="C22" s="60" t="s">
        <v>8</v>
      </c>
      <c r="D22" s="22"/>
      <c r="E22" s="42"/>
    </row>
    <row r="23" spans="1:10" ht="15.75" x14ac:dyDescent="0.25">
      <c r="A23" s="8">
        <v>1000</v>
      </c>
      <c r="B23" s="7" t="s">
        <v>9</v>
      </c>
      <c r="C23" s="60"/>
      <c r="D23" s="83">
        <f>SUM(D24+D35)</f>
        <v>2.6199999999999997</v>
      </c>
      <c r="E23" s="83">
        <f>SUM(E24+E35)</f>
        <v>388.31</v>
      </c>
    </row>
    <row r="24" spans="1:10" ht="15.75" x14ac:dyDescent="0.25">
      <c r="A24" s="4">
        <v>1100</v>
      </c>
      <c r="B24" s="4" t="s">
        <v>10</v>
      </c>
      <c r="C24" s="137" t="s">
        <v>223</v>
      </c>
      <c r="D24" s="83">
        <f>SUM(D25:D34)</f>
        <v>2.1199999999999997</v>
      </c>
      <c r="E24" s="83">
        <f>SUM(E25:E34)</f>
        <v>314.19</v>
      </c>
    </row>
    <row r="25" spans="1:10" ht="78.75" customHeight="1" x14ac:dyDescent="0.25">
      <c r="A25" s="222"/>
      <c r="B25" s="223"/>
      <c r="C25" s="142" t="s">
        <v>1076</v>
      </c>
      <c r="D25" s="27">
        <f>ROUND((E25/D58),2)</f>
        <v>0.06</v>
      </c>
      <c r="E25" s="45">
        <f>ROUND((14.34*12*0.0553),2)</f>
        <v>9.52</v>
      </c>
      <c r="I25" s="82"/>
    </row>
    <row r="26" spans="1:10" ht="78.599999999999994" customHeight="1" x14ac:dyDescent="0.25">
      <c r="A26" s="401"/>
      <c r="B26" s="399"/>
      <c r="C26" s="105" t="s">
        <v>1077</v>
      </c>
      <c r="D26" s="27">
        <f>ROUND((E26/D58),2)</f>
        <v>0.04</v>
      </c>
      <c r="E26" s="45">
        <f>ROUND((9.41*12*0.0553),2)</f>
        <v>6.24</v>
      </c>
      <c r="G26" s="39"/>
      <c r="I26" s="82"/>
    </row>
    <row r="27" spans="1:10" ht="78.75" x14ac:dyDescent="0.25">
      <c r="A27" s="401"/>
      <c r="B27" s="399"/>
      <c r="C27" s="62" t="s">
        <v>1078</v>
      </c>
      <c r="D27" s="27">
        <f>ROUND((E27/D58),2)</f>
        <v>0.06</v>
      </c>
      <c r="E27" s="27">
        <f>ROUND((13.76*12*0.0553),2)</f>
        <v>9.1300000000000008</v>
      </c>
      <c r="G27" s="50"/>
      <c r="I27" s="82"/>
    </row>
    <row r="28" spans="1:10" ht="77.25" customHeight="1" x14ac:dyDescent="0.25">
      <c r="A28" s="401"/>
      <c r="B28" s="399"/>
      <c r="C28" s="142" t="s">
        <v>1079</v>
      </c>
      <c r="D28" s="27">
        <f>ROUND((E28/D58),2)</f>
        <v>0.08</v>
      </c>
      <c r="E28" s="27">
        <f>ROUND((18.79*12*0.0553),2)</f>
        <v>12.47</v>
      </c>
      <c r="G28" s="50"/>
      <c r="I28" s="82"/>
    </row>
    <row r="29" spans="1:10" ht="77.25" customHeight="1" x14ac:dyDescent="0.25">
      <c r="A29" s="401"/>
      <c r="B29" s="399"/>
      <c r="C29" s="62" t="s">
        <v>1080</v>
      </c>
      <c r="D29" s="27">
        <f>ROUND((E29/D58),2)</f>
        <v>0.06</v>
      </c>
      <c r="E29" s="27">
        <f>ROUND((13.27*12*0.0553),2)</f>
        <v>8.81</v>
      </c>
      <c r="G29" s="50"/>
      <c r="I29" s="82"/>
    </row>
    <row r="30" spans="1:10" ht="78.75" x14ac:dyDescent="0.25">
      <c r="A30" s="401"/>
      <c r="B30" s="399"/>
      <c r="C30" s="62" t="s">
        <v>1081</v>
      </c>
      <c r="D30" s="27">
        <f>ROUND((E30/D58),2)</f>
        <v>0.35</v>
      </c>
      <c r="E30" s="27">
        <f>ROUND((76.43*12*0.0553),2)</f>
        <v>50.72</v>
      </c>
      <c r="G30" s="39"/>
      <c r="I30" s="82"/>
    </row>
    <row r="31" spans="1:10" ht="78.599999999999994" customHeight="1" x14ac:dyDescent="0.25">
      <c r="A31" s="401"/>
      <c r="B31" s="399"/>
      <c r="C31" s="62" t="s">
        <v>1082</v>
      </c>
      <c r="D31" s="27">
        <f>ROUND((E31/D58),2)</f>
        <v>0.36</v>
      </c>
      <c r="E31" s="45">
        <f>ROUND((79.88*12*0.0553),2)</f>
        <v>53.01</v>
      </c>
      <c r="G31" s="39"/>
      <c r="I31" s="82"/>
    </row>
    <row r="32" spans="1:10" ht="78.75" x14ac:dyDescent="0.25">
      <c r="A32" s="401"/>
      <c r="B32" s="399"/>
      <c r="C32" s="62" t="s">
        <v>1083</v>
      </c>
      <c r="D32" s="27">
        <f>ROUND((E32/D58),2)</f>
        <v>0.45</v>
      </c>
      <c r="E32" s="27">
        <f>ROUND((99.81*12*0.0553),2)</f>
        <v>66.23</v>
      </c>
      <c r="G32" s="39"/>
      <c r="I32" s="82"/>
    </row>
    <row r="33" spans="1:9" ht="94.5" x14ac:dyDescent="0.25">
      <c r="A33" s="401"/>
      <c r="B33" s="399"/>
      <c r="C33" s="62" t="s">
        <v>1084</v>
      </c>
      <c r="D33" s="27">
        <f>ROUND((E33/D58),2)</f>
        <v>0.53</v>
      </c>
      <c r="E33" s="27">
        <f>ROUND((118.42*12*0.0553),2)</f>
        <v>78.58</v>
      </c>
      <c r="G33" s="39"/>
      <c r="I33" s="82"/>
    </row>
    <row r="34" spans="1:9" ht="78.95" customHeight="1" x14ac:dyDescent="0.25">
      <c r="A34" s="402"/>
      <c r="B34" s="400"/>
      <c r="C34" s="62" t="s">
        <v>1085</v>
      </c>
      <c r="D34" s="27">
        <f>ROUND((E34/D58),2)</f>
        <v>0.13</v>
      </c>
      <c r="E34" s="27">
        <f>ROUND((29.35*12*0.0553),2)</f>
        <v>19.48</v>
      </c>
      <c r="I34" s="82"/>
    </row>
    <row r="35" spans="1:9" ht="62.25" customHeight="1" x14ac:dyDescent="0.25">
      <c r="A35" s="7">
        <v>1200</v>
      </c>
      <c r="B35" s="156" t="s">
        <v>11</v>
      </c>
      <c r="C35" s="63" t="s">
        <v>1070</v>
      </c>
      <c r="D35" s="83">
        <f>ROUND((E35/D58),2)</f>
        <v>0.5</v>
      </c>
      <c r="E35" s="86">
        <f>ROUND((314.19*0.2359),2)</f>
        <v>74.12</v>
      </c>
      <c r="G35" s="50"/>
      <c r="I35" s="82"/>
    </row>
    <row r="36" spans="1:9" ht="15.75" x14ac:dyDescent="0.25">
      <c r="A36" s="8">
        <v>2000</v>
      </c>
      <c r="B36" s="7" t="s">
        <v>12</v>
      </c>
      <c r="C36" s="60"/>
      <c r="D36" s="23">
        <f>SUM(D37:D48)</f>
        <v>42.23</v>
      </c>
      <c r="E36" s="23">
        <f>SUM(E37:E48)</f>
        <v>6205.869999999999</v>
      </c>
      <c r="I36" s="82"/>
    </row>
    <row r="37" spans="1:9" ht="31.5" x14ac:dyDescent="0.25">
      <c r="A37" s="4">
        <v>2221</v>
      </c>
      <c r="B37" s="84" t="s">
        <v>54</v>
      </c>
      <c r="C37" s="63" t="s">
        <v>498</v>
      </c>
      <c r="D37" s="27">
        <f>ROUND((E37/D58),2)</f>
        <v>20.58</v>
      </c>
      <c r="E37" s="44">
        <f>ROUND((54700.57*0.0553),2)</f>
        <v>3024.94</v>
      </c>
      <c r="I37" s="82"/>
    </row>
    <row r="38" spans="1:9" ht="31.5" x14ac:dyDescent="0.25">
      <c r="A38" s="4">
        <v>2222</v>
      </c>
      <c r="B38" s="118" t="s">
        <v>55</v>
      </c>
      <c r="C38" s="5" t="s">
        <v>499</v>
      </c>
      <c r="D38" s="45">
        <f>ROUND((E38/D58),2)</f>
        <v>2.85</v>
      </c>
      <c r="E38" s="44">
        <f>ROUND((7587.77*0.0553),2)</f>
        <v>419.6</v>
      </c>
      <c r="I38" s="82"/>
    </row>
    <row r="39" spans="1:9" ht="31.5" x14ac:dyDescent="0.25">
      <c r="A39" s="4">
        <v>2223</v>
      </c>
      <c r="B39" s="118" t="s">
        <v>19</v>
      </c>
      <c r="C39" s="64" t="s">
        <v>500</v>
      </c>
      <c r="D39" s="45">
        <f>ROUND((E39/D58),2)+0.01</f>
        <v>4.09</v>
      </c>
      <c r="E39" s="44">
        <f>ROUND((10851.74*0.0553),2)</f>
        <v>600.1</v>
      </c>
      <c r="I39" s="82"/>
    </row>
    <row r="40" spans="1:9" ht="79.5" customHeight="1" x14ac:dyDescent="0.25">
      <c r="A40" s="4">
        <v>2224</v>
      </c>
      <c r="B40" s="340" t="s">
        <v>56</v>
      </c>
      <c r="C40" s="63" t="s">
        <v>501</v>
      </c>
      <c r="D40" s="45">
        <f>ROUND((E40/D58),2)</f>
        <v>0.28999999999999998</v>
      </c>
      <c r="E40" s="27">
        <f>ROUND((761.81*0.0553),2)</f>
        <v>42.13</v>
      </c>
      <c r="I40" s="82"/>
    </row>
    <row r="41" spans="1:9" ht="31.5" x14ac:dyDescent="0.25">
      <c r="A41" s="4">
        <v>2239</v>
      </c>
      <c r="B41" s="346" t="s">
        <v>20</v>
      </c>
      <c r="C41" s="118" t="s">
        <v>502</v>
      </c>
      <c r="D41" s="27">
        <f>ROUND((E41/D58),2)</f>
        <v>0.08</v>
      </c>
      <c r="E41" s="45">
        <f>ROUND((224.51*0.0553),2)</f>
        <v>12.42</v>
      </c>
      <c r="I41" s="82"/>
    </row>
    <row r="42" spans="1:9" ht="48.75" customHeight="1" x14ac:dyDescent="0.25">
      <c r="A42" s="4">
        <v>2243</v>
      </c>
      <c r="B42" s="84" t="s">
        <v>21</v>
      </c>
      <c r="C42" s="118" t="s">
        <v>503</v>
      </c>
      <c r="D42" s="27">
        <f>ROUND((E42/D58),2)</f>
        <v>0.75</v>
      </c>
      <c r="E42" s="27">
        <f>ROUND((1993.08*0.0553),2)</f>
        <v>110.22</v>
      </c>
      <c r="I42" s="82"/>
    </row>
    <row r="43" spans="1:9" ht="45" customHeight="1" x14ac:dyDescent="0.25">
      <c r="A43" s="4">
        <v>2244</v>
      </c>
      <c r="B43" s="84" t="s">
        <v>22</v>
      </c>
      <c r="C43" s="5" t="s">
        <v>504</v>
      </c>
      <c r="D43" s="27">
        <f>ROUND((E43/D58),2)</f>
        <v>2.81</v>
      </c>
      <c r="E43" s="44">
        <f>ROUND((7456.84*0.0553),2)</f>
        <v>412.36</v>
      </c>
      <c r="I43" s="82"/>
    </row>
    <row r="44" spans="1:9" ht="32.25" customHeight="1" x14ac:dyDescent="0.25">
      <c r="A44" s="4">
        <v>2249</v>
      </c>
      <c r="B44" s="84" t="s">
        <v>45</v>
      </c>
      <c r="C44" s="63" t="s">
        <v>505</v>
      </c>
      <c r="D44" s="27">
        <f>ROUND((E44/D58),2)</f>
        <v>3.96</v>
      </c>
      <c r="E44" s="44">
        <f>ROUND((10528.91*0.0553),2)</f>
        <v>582.25</v>
      </c>
      <c r="I44" s="82"/>
    </row>
    <row r="45" spans="1:9" ht="32.1" customHeight="1" x14ac:dyDescent="0.25">
      <c r="A45" s="4">
        <v>2312</v>
      </c>
      <c r="B45" s="173" t="s">
        <v>13</v>
      </c>
      <c r="C45" s="63" t="s">
        <v>506</v>
      </c>
      <c r="D45" s="27">
        <f>ROUND((E45/D58),2)</f>
        <v>0.28000000000000003</v>
      </c>
      <c r="E45" s="44">
        <f>ROUND((737.42*0.0553),2)</f>
        <v>40.78</v>
      </c>
      <c r="I45" s="82"/>
    </row>
    <row r="46" spans="1:9" ht="47.25" customHeight="1" x14ac:dyDescent="0.25">
      <c r="A46" s="4">
        <v>2350</v>
      </c>
      <c r="B46" s="118" t="s">
        <v>213</v>
      </c>
      <c r="C46" s="63" t="s">
        <v>507</v>
      </c>
      <c r="D46" s="45">
        <f>ROUND((E46/D58),2)</f>
        <v>0.28999999999999998</v>
      </c>
      <c r="E46" s="58">
        <f>ROUND((780.26*0.0553),2)</f>
        <v>43.15</v>
      </c>
      <c r="I46" s="82"/>
    </row>
    <row r="47" spans="1:9" ht="32.25" customHeight="1" x14ac:dyDescent="0.25">
      <c r="A47" s="4">
        <v>2513</v>
      </c>
      <c r="B47" s="118" t="s">
        <v>57</v>
      </c>
      <c r="C47" s="63" t="s">
        <v>508</v>
      </c>
      <c r="D47" s="45">
        <f>ROUND((E47/D58),2)</f>
        <v>5.51</v>
      </c>
      <c r="E47" s="45">
        <f>ROUND((14633.92*0.0553),2)</f>
        <v>809.26</v>
      </c>
      <c r="I47" s="82"/>
    </row>
    <row r="48" spans="1:9" ht="31.5" customHeight="1" x14ac:dyDescent="0.25">
      <c r="A48" s="4">
        <v>2515</v>
      </c>
      <c r="B48" s="118" t="s">
        <v>44</v>
      </c>
      <c r="C48" s="63" t="s">
        <v>509</v>
      </c>
      <c r="D48" s="45">
        <f>ROUND((E48/D58),2)</f>
        <v>0.74</v>
      </c>
      <c r="E48" s="27">
        <f>ROUND((1964.86*0.0553),2)</f>
        <v>108.66</v>
      </c>
      <c r="I48" s="82"/>
    </row>
    <row r="49" spans="1:10" ht="15.75" x14ac:dyDescent="0.25">
      <c r="A49" s="10">
        <v>5000</v>
      </c>
      <c r="B49" s="156" t="s">
        <v>17</v>
      </c>
      <c r="C49" s="269"/>
      <c r="D49" s="229">
        <f>SUM(D50:D53)</f>
        <v>6.2899999999999991</v>
      </c>
      <c r="E49" s="229">
        <f>SUM(E50:E53)</f>
        <v>924.31</v>
      </c>
      <c r="I49" s="82"/>
    </row>
    <row r="50" spans="1:10" ht="33.75" customHeight="1" x14ac:dyDescent="0.25">
      <c r="A50" s="4">
        <v>5212</v>
      </c>
      <c r="B50" s="118" t="s">
        <v>31</v>
      </c>
      <c r="C50" s="63" t="s">
        <v>740</v>
      </c>
      <c r="D50" s="45">
        <f>ROUND((E50/D58),2)</f>
        <v>2.88</v>
      </c>
      <c r="E50" s="45">
        <f>ROUND((7651.82*0.0553),2)</f>
        <v>423.15</v>
      </c>
      <c r="G50" s="39"/>
      <c r="H50" s="14"/>
      <c r="I50" s="82"/>
      <c r="J50" s="14"/>
    </row>
    <row r="51" spans="1:10" ht="30" customHeight="1" x14ac:dyDescent="0.25">
      <c r="A51" s="4">
        <v>5213</v>
      </c>
      <c r="B51" s="118" t="s">
        <v>32</v>
      </c>
      <c r="C51" s="63" t="s">
        <v>678</v>
      </c>
      <c r="D51" s="45">
        <f>ROUND((E51/D58),2)</f>
        <v>0.06</v>
      </c>
      <c r="E51" s="45">
        <f>ROUND((158.25*0.0553),2)</f>
        <v>8.75</v>
      </c>
      <c r="I51" s="82"/>
    </row>
    <row r="52" spans="1:10" ht="33.75" customHeight="1" x14ac:dyDescent="0.25">
      <c r="A52" s="18">
        <v>5218</v>
      </c>
      <c r="B52" s="84" t="s">
        <v>33</v>
      </c>
      <c r="C52" s="63" t="s">
        <v>679</v>
      </c>
      <c r="D52" s="45">
        <f>ROUND((E52/D58),2)</f>
        <v>1.33</v>
      </c>
      <c r="E52" s="45">
        <f>ROUND((3538.2*0.0553),2)</f>
        <v>195.66</v>
      </c>
      <c r="I52" s="82"/>
    </row>
    <row r="53" spans="1:10" ht="46.5" customHeight="1" x14ac:dyDescent="0.25">
      <c r="A53" s="18">
        <v>5239</v>
      </c>
      <c r="B53" s="84" t="s">
        <v>18</v>
      </c>
      <c r="C53" s="63" t="s">
        <v>680</v>
      </c>
      <c r="D53" s="45">
        <f>ROUND((E53/D58),2)</f>
        <v>2.02</v>
      </c>
      <c r="E53" s="45">
        <f>ROUND((5366.12*0.0553),2)</f>
        <v>296.75</v>
      </c>
      <c r="I53" s="82"/>
    </row>
    <row r="54" spans="1:10" ht="15.75" x14ac:dyDescent="0.25">
      <c r="A54" s="161"/>
      <c r="B54" s="9" t="s">
        <v>23</v>
      </c>
      <c r="C54" s="60"/>
      <c r="D54" s="25">
        <f>SUM(D23+D36+D49)</f>
        <v>51.139999999999993</v>
      </c>
      <c r="E54" s="40">
        <f>SUM(E23+E36+E49)</f>
        <v>7518.49</v>
      </c>
    </row>
    <row r="55" spans="1:10" ht="31.5" x14ac:dyDescent="0.25">
      <c r="A55" s="162"/>
      <c r="B55" s="11" t="s">
        <v>28</v>
      </c>
      <c r="C55" s="60"/>
      <c r="D55" s="26">
        <f>D21+D54-0.43</f>
        <v>66.539999999999992</v>
      </c>
      <c r="E55" s="41">
        <f>E21+E54-66.5</f>
        <v>9780.1899999999987</v>
      </c>
    </row>
    <row r="56" spans="1:10" ht="15.75" x14ac:dyDescent="0.25">
      <c r="A56" s="162"/>
      <c r="B56" s="13" t="s">
        <v>212</v>
      </c>
      <c r="C56" s="60"/>
      <c r="D56" s="26">
        <f>D55*0.12</f>
        <v>7.984799999999999</v>
      </c>
      <c r="E56" s="41">
        <f>E55*0.12</f>
        <v>1173.6227999999999</v>
      </c>
    </row>
    <row r="57" spans="1:10" ht="31.5" x14ac:dyDescent="0.25">
      <c r="A57" s="6"/>
      <c r="B57" s="169" t="s">
        <v>30</v>
      </c>
      <c r="C57" s="170"/>
      <c r="D57" s="26">
        <f>D55*1.12</f>
        <v>74.524799999999999</v>
      </c>
      <c r="E57" s="41">
        <f>E55*1.12</f>
        <v>10953.8128</v>
      </c>
    </row>
    <row r="58" spans="1:10" ht="18" customHeight="1" x14ac:dyDescent="0.25">
      <c r="A58" s="397" t="s">
        <v>1503</v>
      </c>
      <c r="B58" s="397"/>
      <c r="C58" s="397"/>
      <c r="D58" s="8">
        <v>147</v>
      </c>
      <c r="E58" s="155" t="s">
        <v>65</v>
      </c>
    </row>
    <row r="59" spans="1:10" ht="30.6" customHeight="1" x14ac:dyDescent="0.25">
      <c r="A59" s="397" t="s">
        <v>226</v>
      </c>
      <c r="B59" s="397"/>
      <c r="C59" s="397"/>
      <c r="D59" s="350">
        <f>ROUND((E57/D58),2)</f>
        <v>74.52</v>
      </c>
      <c r="E59" s="191" t="s">
        <v>227</v>
      </c>
    </row>
    <row r="60" spans="1:10" ht="15.75" x14ac:dyDescent="0.25">
      <c r="A60" s="1"/>
      <c r="B60" s="1"/>
      <c r="C60" s="1"/>
      <c r="F60" s="39"/>
    </row>
    <row r="61" spans="1:10" x14ac:dyDescent="0.25">
      <c r="F61" s="39"/>
      <c r="G61" s="319"/>
    </row>
  </sheetData>
  <mergeCells count="7">
    <mergeCell ref="A59:C59"/>
    <mergeCell ref="A2:C2"/>
    <mergeCell ref="A3:E3"/>
    <mergeCell ref="A4:B4"/>
    <mergeCell ref="A26:A34"/>
    <mergeCell ref="B26:B34"/>
    <mergeCell ref="A58:C58"/>
  </mergeCells>
  <pageMargins left="0.7" right="0.7" top="0.75" bottom="0.75" header="0.3" footer="0.3"/>
  <pageSetup paperSize="9" orientation="landscape" r:id="rId1"/>
  <rowBreaks count="1" manualBreakCount="1">
    <brk id="48" max="16383" man="1"/>
  </rowBreaks>
  <ignoredErrors>
    <ignoredError sqref="D18" formula="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53C38-CA48-4BA1-9BC9-2E8FBCDDD49B}">
  <dimension ref="A1:J60"/>
  <sheetViews>
    <sheetView topLeftCell="A46" zoomScaleNormal="100" workbookViewId="0">
      <selection activeCell="D59" sqref="D59"/>
    </sheetView>
  </sheetViews>
  <sheetFormatPr defaultRowHeight="15" x14ac:dyDescent="0.25"/>
  <cols>
    <col min="1" max="1" width="12.140625" customWidth="1"/>
    <col min="2" max="2" width="27.140625" customWidth="1"/>
    <col min="3" max="3" width="62.5703125" customWidth="1"/>
    <col min="4" max="4" width="9.5703125" customWidth="1"/>
    <col min="5" max="5" width="17.28515625" customWidth="1"/>
    <col min="6" max="6" width="8.7109375" customWidth="1"/>
    <col min="7" max="9" width="7.85546875" bestFit="1" customWidth="1"/>
    <col min="11" max="11" width="5.42578125" customWidth="1"/>
  </cols>
  <sheetData>
    <row r="1" spans="1:7" ht="18.75" x14ac:dyDescent="0.3">
      <c r="A1" s="148" t="s">
        <v>46</v>
      </c>
    </row>
    <row r="2" spans="1:7" ht="18.75" x14ac:dyDescent="0.3">
      <c r="A2" s="404" t="s">
        <v>49</v>
      </c>
      <c r="B2" s="404"/>
      <c r="C2" s="404"/>
    </row>
    <row r="3" spans="1:7" ht="18.75" x14ac:dyDescent="0.25">
      <c r="A3" s="398" t="s">
        <v>174</v>
      </c>
      <c r="B3" s="398"/>
      <c r="C3" s="398"/>
      <c r="D3" s="398"/>
      <c r="E3" s="398"/>
    </row>
    <row r="4" spans="1:7" ht="15.75" x14ac:dyDescent="0.25">
      <c r="A4" s="405" t="s">
        <v>64</v>
      </c>
      <c r="B4" s="405"/>
    </row>
    <row r="6" spans="1:7" ht="77.45" customHeight="1" x14ac:dyDescent="0.25">
      <c r="A6" s="139" t="s">
        <v>0</v>
      </c>
      <c r="B6" s="139" t="s">
        <v>1</v>
      </c>
      <c r="C6" s="139" t="s">
        <v>2</v>
      </c>
      <c r="D6" s="152" t="s">
        <v>26</v>
      </c>
      <c r="E6" s="152" t="s">
        <v>27</v>
      </c>
    </row>
    <row r="7" spans="1:7" x14ac:dyDescent="0.25">
      <c r="A7" s="277">
        <v>1</v>
      </c>
      <c r="B7" s="277">
        <v>2</v>
      </c>
      <c r="C7" s="277">
        <v>3</v>
      </c>
      <c r="D7" s="277">
        <v>4</v>
      </c>
      <c r="E7" s="277">
        <v>5</v>
      </c>
    </row>
    <row r="8" spans="1:7" ht="15.75" x14ac:dyDescent="0.25">
      <c r="A8" s="4"/>
      <c r="B8" s="7" t="s">
        <v>7</v>
      </c>
      <c r="C8" s="60" t="s">
        <v>8</v>
      </c>
      <c r="D8" s="24"/>
      <c r="E8" s="22"/>
    </row>
    <row r="9" spans="1:7" ht="15.75" x14ac:dyDescent="0.25">
      <c r="A9" s="8">
        <v>1000</v>
      </c>
      <c r="B9" s="7" t="s">
        <v>9</v>
      </c>
      <c r="C9" s="269"/>
      <c r="D9" s="25">
        <f>D10+D18</f>
        <v>10</v>
      </c>
      <c r="E9" s="43">
        <f>E10+E18</f>
        <v>1389.36</v>
      </c>
    </row>
    <row r="10" spans="1:7" ht="15.75" x14ac:dyDescent="0.25">
      <c r="A10" s="265">
        <v>1100</v>
      </c>
      <c r="B10" s="265" t="s">
        <v>10</v>
      </c>
      <c r="C10" s="269"/>
      <c r="D10" s="25">
        <f>SUM(D12:D17)</f>
        <v>7.8100000000000005</v>
      </c>
      <c r="E10" s="280">
        <f>SUM(E12:E17)</f>
        <v>1084.29</v>
      </c>
    </row>
    <row r="11" spans="1:7" ht="15.75" x14ac:dyDescent="0.25">
      <c r="A11" s="16">
        <v>1110</v>
      </c>
      <c r="B11" s="16" t="s">
        <v>217</v>
      </c>
      <c r="C11" s="137" t="s">
        <v>218</v>
      </c>
      <c r="D11" s="58">
        <f>SUM(D12:D16)</f>
        <v>7.1000000000000005</v>
      </c>
      <c r="E11" s="58">
        <f>SUM(E12:E16)</f>
        <v>985.71</v>
      </c>
    </row>
    <row r="12" spans="1:7" ht="79.5" customHeight="1" x14ac:dyDescent="0.25">
      <c r="A12" s="233"/>
      <c r="B12" s="132"/>
      <c r="C12" s="142" t="s">
        <v>1090</v>
      </c>
      <c r="D12" s="58">
        <f>ROUND((E12/D57),2)</f>
        <v>1.4</v>
      </c>
      <c r="E12" s="108">
        <f>ROUND((489.79*12*0.033),2)</f>
        <v>193.96</v>
      </c>
      <c r="G12" s="39"/>
    </row>
    <row r="13" spans="1:7" ht="78.599999999999994" customHeight="1" x14ac:dyDescent="0.25">
      <c r="A13" s="234"/>
      <c r="B13" s="235"/>
      <c r="C13" s="142" t="s">
        <v>1091</v>
      </c>
      <c r="D13" s="58">
        <f>ROUND((E13/D57),2)</f>
        <v>1.76</v>
      </c>
      <c r="E13" s="108">
        <f>ROUND((619.13*12*0.033),2)</f>
        <v>245.18</v>
      </c>
    </row>
    <row r="14" spans="1:7" ht="78.75" x14ac:dyDescent="0.25">
      <c r="A14" s="127"/>
      <c r="B14" s="130"/>
      <c r="C14" s="142" t="s">
        <v>1092</v>
      </c>
      <c r="D14" s="58">
        <f>ROUND((E14/D57),2)</f>
        <v>1.65</v>
      </c>
      <c r="E14" s="108">
        <f>ROUND((579.53*12*0.033),2)</f>
        <v>229.49</v>
      </c>
    </row>
    <row r="15" spans="1:7" ht="78.599999999999994" customHeight="1" x14ac:dyDescent="0.25">
      <c r="A15" s="127"/>
      <c r="B15" s="130"/>
      <c r="C15" s="142" t="s">
        <v>1093</v>
      </c>
      <c r="D15" s="58">
        <f>ROUND((E15/D57),2)</f>
        <v>1.49</v>
      </c>
      <c r="E15" s="108">
        <f>ROUND((521.51*12*0.033),2)</f>
        <v>206.52</v>
      </c>
    </row>
    <row r="16" spans="1:7" ht="78.75" x14ac:dyDescent="0.25">
      <c r="A16" s="128"/>
      <c r="B16" s="131"/>
      <c r="C16" s="142" t="s">
        <v>1094</v>
      </c>
      <c r="D16" s="58">
        <f>ROUND((E16/D57),2)</f>
        <v>0.8</v>
      </c>
      <c r="E16" s="108">
        <f>ROUND((279.2*12*0.033),2)</f>
        <v>110.56</v>
      </c>
    </row>
    <row r="17" spans="1:10" ht="94.5" x14ac:dyDescent="0.25">
      <c r="A17" s="122">
        <v>1140</v>
      </c>
      <c r="B17" s="5" t="s">
        <v>214</v>
      </c>
      <c r="C17" s="142" t="s">
        <v>1086</v>
      </c>
      <c r="D17" s="58">
        <f>ROUND((E17/D57),2)</f>
        <v>0.71</v>
      </c>
      <c r="E17" s="108">
        <f>ROUND((193.96*0.1+245.18*0.1+229.49*0.1+206.52*0.1+110.56*0.1+0.01),2)</f>
        <v>98.58</v>
      </c>
    </row>
    <row r="18" spans="1:10" ht="63.75" customHeight="1" x14ac:dyDescent="0.25">
      <c r="A18" s="7">
        <v>1200</v>
      </c>
      <c r="B18" s="275" t="s">
        <v>11</v>
      </c>
      <c r="C18" s="166" t="s">
        <v>1088</v>
      </c>
      <c r="D18" s="83">
        <f>ROUND((D19+D20),2)</f>
        <v>2.19</v>
      </c>
      <c r="E18" s="86">
        <f>ROUND((E19+E20),2)</f>
        <v>305.07</v>
      </c>
    </row>
    <row r="19" spans="1:10" ht="47.25" x14ac:dyDescent="0.25">
      <c r="A19" s="4">
        <v>1210</v>
      </c>
      <c r="B19" s="5" t="s">
        <v>216</v>
      </c>
      <c r="C19" s="166" t="s">
        <v>1089</v>
      </c>
      <c r="D19" s="58">
        <f>ROUND((E19/D57),2)</f>
        <v>1.84</v>
      </c>
      <c r="E19" s="44">
        <f>ROUND((1084.29*0.2359),2)</f>
        <v>255.78</v>
      </c>
    </row>
    <row r="20" spans="1:10" ht="94.5" x14ac:dyDescent="0.25">
      <c r="A20" s="4">
        <v>1227</v>
      </c>
      <c r="B20" s="5" t="s">
        <v>215</v>
      </c>
      <c r="C20" s="142" t="s">
        <v>1087</v>
      </c>
      <c r="D20" s="58">
        <f>ROUND((E20/D57),2)</f>
        <v>0.35</v>
      </c>
      <c r="E20" s="108">
        <f>ROUND((193.96*0.05+245.18*0.05+229.49*0.05+206.52*0.05+110.56*0.05),2)</f>
        <v>49.29</v>
      </c>
      <c r="F20" s="167"/>
      <c r="G20" s="167"/>
      <c r="H20" s="167"/>
      <c r="I20" s="167"/>
      <c r="J20" s="167"/>
    </row>
    <row r="21" spans="1:10" ht="15.75" x14ac:dyDescent="0.25">
      <c r="A21" s="4"/>
      <c r="B21" s="9" t="s">
        <v>14</v>
      </c>
      <c r="C21" s="61" t="s">
        <v>16</v>
      </c>
      <c r="D21" s="25">
        <f>D9</f>
        <v>10</v>
      </c>
      <c r="E21" s="43">
        <f>E9</f>
        <v>1389.36</v>
      </c>
    </row>
    <row r="22" spans="1:10" ht="15.75" x14ac:dyDescent="0.25">
      <c r="A22" s="4"/>
      <c r="B22" s="9" t="s">
        <v>15</v>
      </c>
      <c r="C22" s="60" t="s">
        <v>8</v>
      </c>
      <c r="D22" s="22"/>
      <c r="E22" s="42"/>
    </row>
    <row r="23" spans="1:10" ht="15.75" x14ac:dyDescent="0.25">
      <c r="A23" s="8">
        <v>1000</v>
      </c>
      <c r="B23" s="7" t="s">
        <v>9</v>
      </c>
      <c r="C23" s="60"/>
      <c r="D23" s="83">
        <f>SUM(D24+D35)</f>
        <v>1.6800000000000002</v>
      </c>
      <c r="E23" s="83">
        <f>SUM(E24+E35)</f>
        <v>231.71</v>
      </c>
    </row>
    <row r="24" spans="1:10" ht="15.75" x14ac:dyDescent="0.25">
      <c r="A24" s="4">
        <v>1100</v>
      </c>
      <c r="B24" s="4" t="s">
        <v>10</v>
      </c>
      <c r="C24" s="137" t="s">
        <v>223</v>
      </c>
      <c r="D24" s="83">
        <f>SUM(D25:D34)</f>
        <v>1.36</v>
      </c>
      <c r="E24" s="83">
        <f>SUM(E25:E34)</f>
        <v>187.48000000000002</v>
      </c>
    </row>
    <row r="25" spans="1:10" ht="80.25" customHeight="1" x14ac:dyDescent="0.25">
      <c r="A25" s="222"/>
      <c r="B25" s="223"/>
      <c r="C25" s="142" t="s">
        <v>1095</v>
      </c>
      <c r="D25" s="27">
        <f>ROUND((E25/D57+0.01),2)</f>
        <v>0.05</v>
      </c>
      <c r="E25" s="45">
        <f>ROUND((14.34*12*0.033),2)</f>
        <v>5.68</v>
      </c>
      <c r="G25" s="50"/>
    </row>
    <row r="26" spans="1:10" ht="78.75" x14ac:dyDescent="0.25">
      <c r="A26" s="401"/>
      <c r="B26" s="399"/>
      <c r="C26" s="142" t="s">
        <v>1096</v>
      </c>
      <c r="D26" s="27">
        <f>ROUND((E26/D57),2)</f>
        <v>0.03</v>
      </c>
      <c r="E26" s="45">
        <f>ROUND((9.41*12*0.033),2)</f>
        <v>3.73</v>
      </c>
    </row>
    <row r="27" spans="1:10" ht="78.599999999999994" customHeight="1" x14ac:dyDescent="0.25">
      <c r="A27" s="401"/>
      <c r="B27" s="399"/>
      <c r="C27" s="142" t="s">
        <v>1097</v>
      </c>
      <c r="D27" s="27">
        <f>ROUND((E27/D57),2)</f>
        <v>0.04</v>
      </c>
      <c r="E27" s="27">
        <f>ROUND((13.76*12*0.033),2)</f>
        <v>5.45</v>
      </c>
    </row>
    <row r="28" spans="1:10" ht="77.25" customHeight="1" x14ac:dyDescent="0.25">
      <c r="A28" s="401"/>
      <c r="B28" s="399"/>
      <c r="C28" s="142" t="s">
        <v>1098</v>
      </c>
      <c r="D28" s="27">
        <f>ROUND((E28/D57),2)</f>
        <v>0.05</v>
      </c>
      <c r="E28" s="27">
        <f>ROUND((18.79*12*0.033),2)</f>
        <v>7.44</v>
      </c>
      <c r="G28" s="82"/>
    </row>
    <row r="29" spans="1:10" ht="78.75" customHeight="1" x14ac:dyDescent="0.25">
      <c r="A29" s="401"/>
      <c r="B29" s="399"/>
      <c r="C29" s="142" t="s">
        <v>1099</v>
      </c>
      <c r="D29" s="27">
        <f>ROUND((E29/D57),2)</f>
        <v>0.04</v>
      </c>
      <c r="E29" s="27">
        <f>ROUND((13.27*12*0.033),2)</f>
        <v>5.25</v>
      </c>
      <c r="G29" s="82"/>
    </row>
    <row r="30" spans="1:10" ht="78.75" x14ac:dyDescent="0.25">
      <c r="A30" s="401"/>
      <c r="B30" s="399"/>
      <c r="C30" s="62" t="s">
        <v>1100</v>
      </c>
      <c r="D30" s="27">
        <f>ROUND((E30/D57),2)</f>
        <v>0.22</v>
      </c>
      <c r="E30" s="27">
        <f>ROUND((76.43*12*0.033),2)</f>
        <v>30.27</v>
      </c>
    </row>
    <row r="31" spans="1:10" ht="78.75" x14ac:dyDescent="0.25">
      <c r="A31" s="401"/>
      <c r="B31" s="399"/>
      <c r="C31" s="62" t="s">
        <v>1101</v>
      </c>
      <c r="D31" s="45">
        <f>ROUND((E31/D57),2)</f>
        <v>0.23</v>
      </c>
      <c r="E31" s="27">
        <f>ROUND((79.88*12*0.033),2)</f>
        <v>31.63</v>
      </c>
    </row>
    <row r="32" spans="1:10" ht="78.75" x14ac:dyDescent="0.25">
      <c r="A32" s="401"/>
      <c r="B32" s="399"/>
      <c r="C32" s="62" t="s">
        <v>1102</v>
      </c>
      <c r="D32" s="154">
        <f>ROUND((E32/D57),2)</f>
        <v>0.28000000000000003</v>
      </c>
      <c r="E32" s="27">
        <f>ROUND((99.81*12*0.033),2)</f>
        <v>39.520000000000003</v>
      </c>
    </row>
    <row r="33" spans="1:7" ht="94.5" x14ac:dyDescent="0.25">
      <c r="A33" s="401"/>
      <c r="B33" s="399"/>
      <c r="C33" s="62" t="s">
        <v>1103</v>
      </c>
      <c r="D33" s="27">
        <f>ROUND((E33/D57),2)</f>
        <v>0.34</v>
      </c>
      <c r="E33" s="27">
        <f>ROUND((118.42*12*0.033),2)</f>
        <v>46.89</v>
      </c>
    </row>
    <row r="34" spans="1:7" ht="78.75" x14ac:dyDescent="0.25">
      <c r="A34" s="402"/>
      <c r="B34" s="400"/>
      <c r="C34" s="62" t="s">
        <v>1104</v>
      </c>
      <c r="D34" s="27">
        <f>ROUND((E34/D57),2)</f>
        <v>0.08</v>
      </c>
      <c r="E34" s="27">
        <f>ROUND((29.35*12*0.033),2)</f>
        <v>11.62</v>
      </c>
      <c r="G34" s="50"/>
    </row>
    <row r="35" spans="1:7" ht="63" x14ac:dyDescent="0.25">
      <c r="A35" s="7">
        <v>1200</v>
      </c>
      <c r="B35" s="156" t="s">
        <v>11</v>
      </c>
      <c r="C35" s="63" t="s">
        <v>1105</v>
      </c>
      <c r="D35" s="276">
        <f>ROUND((E35/D57),2)</f>
        <v>0.32</v>
      </c>
      <c r="E35" s="86">
        <f>ROUND((187.48*0.2359),2)</f>
        <v>44.23</v>
      </c>
    </row>
    <row r="36" spans="1:7" ht="15.75" x14ac:dyDescent="0.25">
      <c r="A36" s="8">
        <v>2000</v>
      </c>
      <c r="B36" s="7" t="s">
        <v>12</v>
      </c>
      <c r="C36" s="60"/>
      <c r="D36" s="43">
        <f>SUM(D37:D48)</f>
        <v>26.65</v>
      </c>
      <c r="E36" s="43">
        <f>SUM(E37:E48)</f>
        <v>3703.3199999999997</v>
      </c>
    </row>
    <row r="37" spans="1:7" ht="31.5" x14ac:dyDescent="0.25">
      <c r="A37" s="4">
        <v>2221</v>
      </c>
      <c r="B37" s="84" t="s">
        <v>54</v>
      </c>
      <c r="C37" s="5" t="s">
        <v>510</v>
      </c>
      <c r="D37" s="27">
        <f>ROUND((E37/D57),2)</f>
        <v>12.99</v>
      </c>
      <c r="E37" s="44">
        <f>ROUND((54700.57*0.033),2)</f>
        <v>1805.12</v>
      </c>
    </row>
    <row r="38" spans="1:7" ht="31.5" x14ac:dyDescent="0.25">
      <c r="A38" s="4">
        <v>2222</v>
      </c>
      <c r="B38" s="118" t="s">
        <v>55</v>
      </c>
      <c r="C38" s="5" t="s">
        <v>511</v>
      </c>
      <c r="D38" s="269">
        <f>ROUND((E38/D57),2)</f>
        <v>1.8</v>
      </c>
      <c r="E38" s="326">
        <f>ROUND((7587.77*0.033),2)</f>
        <v>250.4</v>
      </c>
    </row>
    <row r="39" spans="1:7" ht="31.5" x14ac:dyDescent="0.25">
      <c r="A39" s="4">
        <v>2223</v>
      </c>
      <c r="B39" s="118" t="s">
        <v>19</v>
      </c>
      <c r="C39" s="5" t="s">
        <v>512</v>
      </c>
      <c r="D39" s="269">
        <f>ROUND((E39/D57),2)</f>
        <v>2.58</v>
      </c>
      <c r="E39" s="326">
        <f>ROUND((10851.74*0.033),2)</f>
        <v>358.11</v>
      </c>
    </row>
    <row r="40" spans="1:7" ht="78" customHeight="1" x14ac:dyDescent="0.25">
      <c r="A40" s="18">
        <v>2224</v>
      </c>
      <c r="B40" s="84" t="s">
        <v>56</v>
      </c>
      <c r="C40" s="166" t="s">
        <v>513</v>
      </c>
      <c r="D40" s="269">
        <f>ROUND((E40/D57),2)</f>
        <v>0.18</v>
      </c>
      <c r="E40" s="269">
        <f>ROUND((761.81*0.033),2)</f>
        <v>25.14</v>
      </c>
    </row>
    <row r="41" spans="1:7" ht="31.5" x14ac:dyDescent="0.25">
      <c r="A41" s="4">
        <v>2239</v>
      </c>
      <c r="B41" s="338" t="s">
        <v>20</v>
      </c>
      <c r="C41" s="84" t="s">
        <v>514</v>
      </c>
      <c r="D41" s="269">
        <f>ROUND((E41/D57),2)</f>
        <v>0.05</v>
      </c>
      <c r="E41" s="330">
        <f>ROUND((224.51*0.033),2)</f>
        <v>7.41</v>
      </c>
    </row>
    <row r="42" spans="1:7" ht="48" customHeight="1" x14ac:dyDescent="0.25">
      <c r="A42" s="4">
        <v>2243</v>
      </c>
      <c r="B42" s="84" t="s">
        <v>21</v>
      </c>
      <c r="C42" s="84" t="s">
        <v>515</v>
      </c>
      <c r="D42" s="45">
        <f>ROUND((E42/D57),2)</f>
        <v>0.47</v>
      </c>
      <c r="E42" s="27">
        <f>ROUND((1993.08*0.033),2)</f>
        <v>65.77</v>
      </c>
    </row>
    <row r="43" spans="1:7" ht="46.5" customHeight="1" x14ac:dyDescent="0.25">
      <c r="A43" s="4">
        <v>2244</v>
      </c>
      <c r="B43" s="84" t="s">
        <v>22</v>
      </c>
      <c r="C43" s="63" t="s">
        <v>516</v>
      </c>
      <c r="D43" s="45">
        <f>ROUND((E43/D57),2)</f>
        <v>1.77</v>
      </c>
      <c r="E43" s="44">
        <f>ROUND((7456.84*0.033),2)</f>
        <v>246.08</v>
      </c>
    </row>
    <row r="44" spans="1:7" ht="32.25" customHeight="1" x14ac:dyDescent="0.25">
      <c r="A44" s="4">
        <v>2249</v>
      </c>
      <c r="B44" s="84" t="s">
        <v>45</v>
      </c>
      <c r="C44" s="63" t="s">
        <v>517</v>
      </c>
      <c r="D44" s="27">
        <f>ROUND((E44/D57),2)</f>
        <v>2.5</v>
      </c>
      <c r="E44" s="44">
        <f>ROUND((10528.91*0.033),2)</f>
        <v>347.45</v>
      </c>
    </row>
    <row r="45" spans="1:7" ht="31.5" customHeight="1" x14ac:dyDescent="0.25">
      <c r="A45" s="4">
        <v>2312</v>
      </c>
      <c r="B45" s="173" t="s">
        <v>13</v>
      </c>
      <c r="C45" s="63" t="s">
        <v>518</v>
      </c>
      <c r="D45" s="27">
        <f>ROUND((E45/D57),2)</f>
        <v>0.18</v>
      </c>
      <c r="E45" s="44">
        <f>ROUND((737.42*0.033),2)</f>
        <v>24.33</v>
      </c>
    </row>
    <row r="46" spans="1:7" ht="46.5" customHeight="1" x14ac:dyDescent="0.25">
      <c r="A46" s="4">
        <v>2350</v>
      </c>
      <c r="B46" s="118" t="s">
        <v>213</v>
      </c>
      <c r="C46" s="63" t="s">
        <v>519</v>
      </c>
      <c r="D46" s="45">
        <f>ROUND((E46/D57),2)</f>
        <v>0.19</v>
      </c>
      <c r="E46" s="58">
        <f>ROUND((780.26*0.033),2)</f>
        <v>25.75</v>
      </c>
    </row>
    <row r="47" spans="1:7" ht="31.5" x14ac:dyDescent="0.25">
      <c r="A47" s="4">
        <v>2513</v>
      </c>
      <c r="B47" s="118" t="s">
        <v>57</v>
      </c>
      <c r="C47" s="63" t="s">
        <v>520</v>
      </c>
      <c r="D47" s="45">
        <f>ROUND((E47/D57),2)</f>
        <v>3.47</v>
      </c>
      <c r="E47" s="45">
        <f>ROUND((14633.92*0.033),2)</f>
        <v>482.92</v>
      </c>
    </row>
    <row r="48" spans="1:7" ht="31.5" x14ac:dyDescent="0.25">
      <c r="A48" s="4">
        <v>2515</v>
      </c>
      <c r="B48" s="118" t="s">
        <v>44</v>
      </c>
      <c r="C48" s="63" t="s">
        <v>521</v>
      </c>
      <c r="D48" s="45">
        <f>ROUND((E48/D57),2)</f>
        <v>0.47</v>
      </c>
      <c r="E48" s="27">
        <f>ROUND((1964.86*0.033),2)</f>
        <v>64.84</v>
      </c>
    </row>
    <row r="49" spans="1:7" ht="15.75" x14ac:dyDescent="0.25">
      <c r="A49" s="10">
        <v>5000</v>
      </c>
      <c r="B49" s="9" t="s">
        <v>17</v>
      </c>
      <c r="C49" s="60"/>
      <c r="D49" s="25">
        <f>SUM(D50:D52)</f>
        <v>2.15</v>
      </c>
      <c r="E49" s="25">
        <f>SUM(E50:E52)</f>
        <v>299.06</v>
      </c>
    </row>
    <row r="50" spans="1:7" ht="30.75" customHeight="1" x14ac:dyDescent="0.25">
      <c r="A50" s="4">
        <v>5213</v>
      </c>
      <c r="B50" s="118" t="s">
        <v>32</v>
      </c>
      <c r="C50" s="63" t="s">
        <v>681</v>
      </c>
      <c r="D50" s="45">
        <f>ROUND((E50/D57),2)</f>
        <v>0.04</v>
      </c>
      <c r="E50" s="45">
        <f>ROUND((158.25*0.033),2)</f>
        <v>5.22</v>
      </c>
    </row>
    <row r="51" spans="1:7" ht="30.75" customHeight="1" x14ac:dyDescent="0.25">
      <c r="A51" s="18">
        <v>5218</v>
      </c>
      <c r="B51" s="84" t="s">
        <v>33</v>
      </c>
      <c r="C51" s="63" t="s">
        <v>682</v>
      </c>
      <c r="D51" s="45">
        <f>ROUND((E51/D57),2)</f>
        <v>0.84</v>
      </c>
      <c r="E51" s="45">
        <f>ROUND((3538.2*0.033),2)</f>
        <v>116.76</v>
      </c>
    </row>
    <row r="52" spans="1:7" ht="45.75" customHeight="1" x14ac:dyDescent="0.25">
      <c r="A52" s="18">
        <v>5239</v>
      </c>
      <c r="B52" s="84" t="s">
        <v>18</v>
      </c>
      <c r="C52" s="63" t="s">
        <v>683</v>
      </c>
      <c r="D52" s="45">
        <f>ROUND((E52/D57),2)</f>
        <v>1.27</v>
      </c>
      <c r="E52" s="45">
        <f>ROUND((5366.12*0.033),2)</f>
        <v>177.08</v>
      </c>
    </row>
    <row r="53" spans="1:7" ht="15.75" x14ac:dyDescent="0.25">
      <c r="A53" s="161"/>
      <c r="B53" s="9" t="s">
        <v>23</v>
      </c>
      <c r="C53" s="60"/>
      <c r="D53" s="25">
        <f>SUM(D23+D36+D49)</f>
        <v>30.479999999999997</v>
      </c>
      <c r="E53" s="40">
        <f>SUM(E23+E36+E49)</f>
        <v>4234.09</v>
      </c>
    </row>
    <row r="54" spans="1:7" ht="30.95" customHeight="1" x14ac:dyDescent="0.25">
      <c r="A54" s="162"/>
      <c r="B54" s="11" t="s">
        <v>28</v>
      </c>
      <c r="C54" s="60"/>
      <c r="D54" s="26">
        <f>D21+D53-0.31</f>
        <v>40.169999999999995</v>
      </c>
      <c r="E54" s="41">
        <f>E21+E53-39.5</f>
        <v>5583.95</v>
      </c>
    </row>
    <row r="55" spans="1:7" ht="15.75" x14ac:dyDescent="0.25">
      <c r="A55" s="162"/>
      <c r="B55" s="13" t="s">
        <v>212</v>
      </c>
      <c r="C55" s="60"/>
      <c r="D55" s="303">
        <f>D54*0.12</f>
        <v>4.8203999999999994</v>
      </c>
      <c r="E55" s="304">
        <f>E54*0.12</f>
        <v>670.07399999999996</v>
      </c>
      <c r="F55" s="305"/>
    </row>
    <row r="56" spans="1:7" ht="32.450000000000003" customHeight="1" x14ac:dyDescent="0.25">
      <c r="A56" s="6"/>
      <c r="B56" s="246" t="s">
        <v>30</v>
      </c>
      <c r="C56" s="170"/>
      <c r="D56" s="26">
        <f>D54*1.12</f>
        <v>44.990400000000001</v>
      </c>
      <c r="E56" s="41">
        <f>E54*1.12</f>
        <v>6254.0240000000003</v>
      </c>
    </row>
    <row r="57" spans="1:7" ht="18.75" customHeight="1" x14ac:dyDescent="0.25">
      <c r="A57" s="397" t="s">
        <v>1504</v>
      </c>
      <c r="B57" s="397"/>
      <c r="C57" s="397"/>
      <c r="D57" s="8">
        <v>139</v>
      </c>
      <c r="E57" s="155" t="s">
        <v>65</v>
      </c>
    </row>
    <row r="58" spans="1:7" ht="30.6" customHeight="1" x14ac:dyDescent="0.25">
      <c r="A58" s="397" t="s">
        <v>226</v>
      </c>
      <c r="B58" s="397"/>
      <c r="C58" s="397"/>
      <c r="D58" s="350">
        <f>ROUND((E56/D57),2)</f>
        <v>44.99</v>
      </c>
      <c r="E58" s="191" t="s">
        <v>227</v>
      </c>
      <c r="G58" s="305"/>
    </row>
    <row r="59" spans="1:7" ht="15.75" x14ac:dyDescent="0.25">
      <c r="A59" s="1"/>
      <c r="B59" s="1"/>
      <c r="C59" s="1"/>
      <c r="D59" s="51"/>
      <c r="E59" s="51"/>
      <c r="G59" s="305"/>
    </row>
    <row r="60" spans="1:7" x14ac:dyDescent="0.25">
      <c r="G60" s="319"/>
    </row>
  </sheetData>
  <mergeCells count="7">
    <mergeCell ref="A58:C58"/>
    <mergeCell ref="A2:C2"/>
    <mergeCell ref="A3:E3"/>
    <mergeCell ref="A4:B4"/>
    <mergeCell ref="A26:A34"/>
    <mergeCell ref="B26:B34"/>
    <mergeCell ref="A57:C57"/>
  </mergeCells>
  <pageMargins left="0.7" right="0.7" top="0.75" bottom="0.75" header="0.3" footer="0.3"/>
  <pageSetup paperSize="9" orientation="landscape" r:id="rId1"/>
  <rowBreaks count="2" manualBreakCount="2">
    <brk id="21" max="16383" man="1"/>
    <brk id="46" max="4"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1BE5CF-9887-4F8D-8E27-10F99E4A3520}">
  <dimension ref="B1:K60"/>
  <sheetViews>
    <sheetView topLeftCell="B46" zoomScaleNormal="100" workbookViewId="0">
      <selection activeCell="E59" sqref="E59"/>
    </sheetView>
  </sheetViews>
  <sheetFormatPr defaultRowHeight="15" x14ac:dyDescent="0.25"/>
  <cols>
    <col min="1" max="1" width="2.85546875" customWidth="1"/>
    <col min="2" max="2" width="12.140625" customWidth="1"/>
    <col min="3" max="3" width="27.28515625" customWidth="1"/>
    <col min="4" max="4" width="61.7109375" customWidth="1"/>
    <col min="5" max="5" width="9.42578125" customWidth="1"/>
    <col min="6" max="6" width="17.5703125" customWidth="1"/>
    <col min="7" max="8" width="8.42578125" customWidth="1"/>
    <col min="9" max="9" width="8.7109375" customWidth="1"/>
    <col min="10" max="10" width="8" customWidth="1"/>
    <col min="11" max="11" width="9.5703125" customWidth="1"/>
  </cols>
  <sheetData>
    <row r="1" spans="2:11" ht="18.75" x14ac:dyDescent="0.3">
      <c r="B1" s="148" t="s">
        <v>46</v>
      </c>
    </row>
    <row r="2" spans="2:11" ht="18.75" x14ac:dyDescent="0.3">
      <c r="B2" s="404" t="s">
        <v>49</v>
      </c>
      <c r="C2" s="404"/>
      <c r="D2" s="404"/>
    </row>
    <row r="3" spans="2:11" ht="18.75" x14ac:dyDescent="0.25">
      <c r="B3" s="398" t="s">
        <v>175</v>
      </c>
      <c r="C3" s="398"/>
      <c r="D3" s="398"/>
      <c r="E3" s="398"/>
      <c r="F3" s="398"/>
    </row>
    <row r="4" spans="2:11" ht="15.75" x14ac:dyDescent="0.25">
      <c r="B4" s="405" t="s">
        <v>64</v>
      </c>
      <c r="C4" s="405"/>
    </row>
    <row r="6" spans="2:11" ht="78.75" x14ac:dyDescent="0.25">
      <c r="B6" s="139" t="s">
        <v>0</v>
      </c>
      <c r="C6" s="139" t="s">
        <v>1</v>
      </c>
      <c r="D6" s="139" t="s">
        <v>2</v>
      </c>
      <c r="E6" s="152" t="s">
        <v>26</v>
      </c>
      <c r="F6" s="52" t="s">
        <v>27</v>
      </c>
    </row>
    <row r="7" spans="2:11" ht="15.75" x14ac:dyDescent="0.25">
      <c r="B7" s="60">
        <v>1</v>
      </c>
      <c r="C7" s="60">
        <v>2</v>
      </c>
      <c r="D7" s="60">
        <v>3</v>
      </c>
      <c r="E7" s="27">
        <v>4</v>
      </c>
      <c r="F7" s="27">
        <v>5</v>
      </c>
    </row>
    <row r="8" spans="2:11" ht="15.75" x14ac:dyDescent="0.25">
      <c r="B8" s="4"/>
      <c r="C8" s="7" t="s">
        <v>7</v>
      </c>
      <c r="D8" s="60" t="s">
        <v>8</v>
      </c>
      <c r="E8" s="24"/>
      <c r="F8" s="22"/>
    </row>
    <row r="9" spans="2:11" ht="15.75" x14ac:dyDescent="0.25">
      <c r="B9" s="8">
        <v>1000</v>
      </c>
      <c r="C9" s="7" t="s">
        <v>9</v>
      </c>
      <c r="D9" s="269"/>
      <c r="E9" s="25">
        <f>E10+E18</f>
        <v>9.879999999999999</v>
      </c>
      <c r="F9" s="25">
        <f>F10+F18</f>
        <v>690.43000000000006</v>
      </c>
    </row>
    <row r="10" spans="2:11" ht="15.75" x14ac:dyDescent="0.25">
      <c r="B10" s="265">
        <v>1100</v>
      </c>
      <c r="C10" s="265" t="s">
        <v>10</v>
      </c>
      <c r="D10" s="269"/>
      <c r="E10" s="25">
        <f>SUM(E12:E17)</f>
        <v>7.71</v>
      </c>
      <c r="F10" s="25">
        <f>SUM(F12:F17)</f>
        <v>538.84</v>
      </c>
    </row>
    <row r="11" spans="2:11" ht="15.75" x14ac:dyDescent="0.25">
      <c r="B11" s="16">
        <v>1110</v>
      </c>
      <c r="C11" s="16" t="s">
        <v>217</v>
      </c>
      <c r="D11" s="137" t="s">
        <v>218</v>
      </c>
      <c r="E11" s="58">
        <f>SUM(E12:E16)</f>
        <v>7.01</v>
      </c>
      <c r="F11" s="58">
        <f>SUM(F12:F16)</f>
        <v>489.87</v>
      </c>
    </row>
    <row r="12" spans="2:11" ht="78.75" customHeight="1" x14ac:dyDescent="0.25">
      <c r="B12" s="126"/>
      <c r="C12" s="129"/>
      <c r="D12" s="142" t="s">
        <v>1106</v>
      </c>
      <c r="E12" s="108">
        <f>ROUND((F12/E57),2)</f>
        <v>1.38</v>
      </c>
      <c r="F12" s="108">
        <f>ROUND((489.79*12*0.0164),2)</f>
        <v>96.39</v>
      </c>
      <c r="K12" s="82"/>
    </row>
    <row r="13" spans="2:11" ht="78.75" x14ac:dyDescent="0.25">
      <c r="B13" s="143"/>
      <c r="C13" s="144"/>
      <c r="D13" s="142" t="s">
        <v>1123</v>
      </c>
      <c r="E13" s="108">
        <f>ROUND((F13/E57),2)</f>
        <v>1.74</v>
      </c>
      <c r="F13" s="108">
        <f>ROUND((619.13*12*0.0164),2)</f>
        <v>121.84</v>
      </c>
      <c r="K13" s="82"/>
    </row>
    <row r="14" spans="2:11" ht="78.75" x14ac:dyDescent="0.25">
      <c r="B14" s="127"/>
      <c r="C14" s="130"/>
      <c r="D14" s="142" t="s">
        <v>1107</v>
      </c>
      <c r="E14" s="108">
        <f>ROUND((F14/E57),2)</f>
        <v>1.63</v>
      </c>
      <c r="F14" s="108">
        <f>ROUND((579.53*12*0.0164),2)</f>
        <v>114.05</v>
      </c>
      <c r="K14" s="82"/>
    </row>
    <row r="15" spans="2:11" ht="78.75" x14ac:dyDescent="0.25">
      <c r="B15" s="127"/>
      <c r="C15" s="130"/>
      <c r="D15" s="142" t="s">
        <v>1122</v>
      </c>
      <c r="E15" s="108">
        <f>ROUND((F15/E57),2)</f>
        <v>1.47</v>
      </c>
      <c r="F15" s="108">
        <f>ROUND((521.52*12*0.0164),2)</f>
        <v>102.64</v>
      </c>
      <c r="K15" s="82"/>
    </row>
    <row r="16" spans="2:11" ht="78.75" x14ac:dyDescent="0.25">
      <c r="B16" s="128"/>
      <c r="C16" s="131"/>
      <c r="D16" s="142" t="s">
        <v>1108</v>
      </c>
      <c r="E16" s="108">
        <f>ROUND((F16/E57),2)</f>
        <v>0.79</v>
      </c>
      <c r="F16" s="108">
        <f>ROUND((279.2*12*0.0164),2)</f>
        <v>54.95</v>
      </c>
      <c r="K16" s="82"/>
    </row>
    <row r="17" spans="2:11" ht="94.5" x14ac:dyDescent="0.25">
      <c r="B17" s="122">
        <v>1140</v>
      </c>
      <c r="C17" s="5" t="s">
        <v>214</v>
      </c>
      <c r="D17" s="142" t="s">
        <v>1109</v>
      </c>
      <c r="E17" s="108">
        <f>ROUND((F17/E57),2)</f>
        <v>0.7</v>
      </c>
      <c r="F17" s="108">
        <f>ROUND((96.39*0.1+121.62*0.1+114.05*0.1+102.64*0.1+54.95*0.1),2)</f>
        <v>48.97</v>
      </c>
      <c r="G17" s="39"/>
      <c r="K17" s="82"/>
    </row>
    <row r="18" spans="2:11" ht="61.5" customHeight="1" x14ac:dyDescent="0.25">
      <c r="B18" s="7">
        <v>1200</v>
      </c>
      <c r="C18" s="281" t="s">
        <v>11</v>
      </c>
      <c r="D18" s="166" t="s">
        <v>1506</v>
      </c>
      <c r="E18" s="86">
        <f>ROUND((E19+E20),2)</f>
        <v>2.17</v>
      </c>
      <c r="F18" s="86">
        <f>ROUND((F19+F20),2)</f>
        <v>151.59</v>
      </c>
      <c r="K18" s="82"/>
    </row>
    <row r="19" spans="2:11" ht="47.25" x14ac:dyDescent="0.25">
      <c r="B19" s="4">
        <v>1210</v>
      </c>
      <c r="C19" s="5" t="s">
        <v>216</v>
      </c>
      <c r="D19" s="166" t="s">
        <v>1505</v>
      </c>
      <c r="E19" s="44">
        <f>ROUND((F19/E57),2)</f>
        <v>1.82</v>
      </c>
      <c r="F19" s="44">
        <f>ROUND((538.84*0.2359),2)</f>
        <v>127.11</v>
      </c>
      <c r="K19" s="82"/>
    </row>
    <row r="20" spans="2:11" ht="94.5" x14ac:dyDescent="0.25">
      <c r="B20" s="4">
        <v>1227</v>
      </c>
      <c r="C20" s="5" t="s">
        <v>215</v>
      </c>
      <c r="D20" s="142" t="s">
        <v>1110</v>
      </c>
      <c r="E20" s="44">
        <f>ROUND((F20/E57),2)</f>
        <v>0.35</v>
      </c>
      <c r="F20" s="108">
        <f>ROUND((96.39*0.05+121.62*0.05+114.05*0.05+102.64*0.05+54.95*0.05),2)</f>
        <v>24.48</v>
      </c>
      <c r="K20" s="39"/>
    </row>
    <row r="21" spans="2:11" ht="15.75" x14ac:dyDescent="0.25">
      <c r="B21" s="4"/>
      <c r="C21" s="9" t="s">
        <v>14</v>
      </c>
      <c r="D21" s="61" t="s">
        <v>16</v>
      </c>
      <c r="E21" s="25">
        <f>E9</f>
        <v>9.879999999999999</v>
      </c>
      <c r="F21" s="43">
        <f>F9</f>
        <v>690.43000000000006</v>
      </c>
    </row>
    <row r="22" spans="2:11" ht="15.75" x14ac:dyDescent="0.25">
      <c r="B22" s="4"/>
      <c r="C22" s="9" t="s">
        <v>15</v>
      </c>
      <c r="D22" s="60" t="s">
        <v>8</v>
      </c>
      <c r="E22" s="22"/>
      <c r="F22" s="42"/>
    </row>
    <row r="23" spans="2:11" ht="15.75" x14ac:dyDescent="0.25">
      <c r="B23" s="8">
        <v>1000</v>
      </c>
      <c r="C23" s="7" t="s">
        <v>9</v>
      </c>
      <c r="D23" s="60"/>
      <c r="E23" s="83">
        <f>SUM(E24+E35)</f>
        <v>1.6300000000000001</v>
      </c>
      <c r="F23" s="83">
        <f>SUM(F24+F35)</f>
        <v>115.16000000000001</v>
      </c>
    </row>
    <row r="24" spans="2:11" ht="15.75" x14ac:dyDescent="0.25">
      <c r="B24" s="4">
        <v>1100</v>
      </c>
      <c r="C24" s="4" t="s">
        <v>10</v>
      </c>
      <c r="D24" s="137" t="s">
        <v>223</v>
      </c>
      <c r="E24" s="83">
        <f>SUM(E25:E34)</f>
        <v>1.32</v>
      </c>
      <c r="F24" s="83">
        <f>SUM(F25:F34)</f>
        <v>93.18</v>
      </c>
    </row>
    <row r="25" spans="2:11" ht="80.25" customHeight="1" x14ac:dyDescent="0.25">
      <c r="B25" s="222"/>
      <c r="C25" s="223"/>
      <c r="D25" s="62" t="s">
        <v>1111</v>
      </c>
      <c r="E25" s="27">
        <f>ROUND((F25/E57),2)</f>
        <v>0.04</v>
      </c>
      <c r="F25" s="45">
        <f>ROUND((14.34*12*0.0164),2)</f>
        <v>2.82</v>
      </c>
      <c r="K25" s="82"/>
    </row>
    <row r="26" spans="2:11" ht="78.75" customHeight="1" x14ac:dyDescent="0.25">
      <c r="B26" s="401"/>
      <c r="C26" s="399"/>
      <c r="D26" s="105" t="s">
        <v>1112</v>
      </c>
      <c r="E26" s="27">
        <f>ROUND((F26/E57),2)</f>
        <v>0.03</v>
      </c>
      <c r="F26" s="45">
        <f>ROUND((9.41*12*0.0164),2)</f>
        <v>1.85</v>
      </c>
      <c r="K26" s="82"/>
    </row>
    <row r="27" spans="2:11" ht="78.75" x14ac:dyDescent="0.25">
      <c r="B27" s="401"/>
      <c r="C27" s="399"/>
      <c r="D27" s="62" t="s">
        <v>1113</v>
      </c>
      <c r="E27" s="27">
        <f>ROUND((F27/E57),2)</f>
        <v>0.04</v>
      </c>
      <c r="F27" s="27">
        <f>ROUND((13.76*12*0.0164),2)</f>
        <v>2.71</v>
      </c>
      <c r="K27" s="82"/>
    </row>
    <row r="28" spans="2:11" ht="78.75" customHeight="1" x14ac:dyDescent="0.25">
      <c r="B28" s="401"/>
      <c r="C28" s="399"/>
      <c r="D28" s="105" t="s">
        <v>1114</v>
      </c>
      <c r="E28" s="27">
        <f>ROUND((F28/E57),2)</f>
        <v>0.05</v>
      </c>
      <c r="F28" s="45">
        <f>ROUND((18.79*12*0.0164),2)</f>
        <v>3.7</v>
      </c>
      <c r="I28" s="82"/>
      <c r="K28" s="82"/>
    </row>
    <row r="29" spans="2:11" ht="78.75" customHeight="1" x14ac:dyDescent="0.25">
      <c r="B29" s="401"/>
      <c r="C29" s="399"/>
      <c r="D29" s="142" t="s">
        <v>1115</v>
      </c>
      <c r="E29" s="27">
        <f>ROUND((F29/E57),2)</f>
        <v>0.04</v>
      </c>
      <c r="F29" s="45">
        <f>ROUND((13.27*12*0.0164),2)</f>
        <v>2.61</v>
      </c>
      <c r="I29" s="82"/>
      <c r="K29" s="82"/>
    </row>
    <row r="30" spans="2:11" ht="78.75" x14ac:dyDescent="0.25">
      <c r="B30" s="401"/>
      <c r="C30" s="399"/>
      <c r="D30" s="62" t="s">
        <v>1116</v>
      </c>
      <c r="E30" s="27">
        <f>ROUND((F30/E57),2)</f>
        <v>0.21</v>
      </c>
      <c r="F30" s="27">
        <f>ROUND((76.43*12*0.0164),2)</f>
        <v>15.04</v>
      </c>
      <c r="K30" s="82"/>
    </row>
    <row r="31" spans="2:11" ht="78.75" x14ac:dyDescent="0.25">
      <c r="B31" s="401"/>
      <c r="C31" s="399"/>
      <c r="D31" s="62" t="s">
        <v>1117</v>
      </c>
      <c r="E31" s="27">
        <f>ROUND((F31/E57),2)</f>
        <v>0.22</v>
      </c>
      <c r="F31" s="45">
        <f>ROUND((79.88*12*0.0164),2)</f>
        <v>15.72</v>
      </c>
      <c r="K31" s="82"/>
    </row>
    <row r="32" spans="2:11" ht="78.75" x14ac:dyDescent="0.25">
      <c r="B32" s="401"/>
      <c r="C32" s="399"/>
      <c r="D32" s="62" t="s">
        <v>1118</v>
      </c>
      <c r="E32" s="27">
        <f>ROUND((F32/E57),2)</f>
        <v>0.28000000000000003</v>
      </c>
      <c r="F32" s="27">
        <f>ROUND((99.81*12*0.0164),2)</f>
        <v>19.64</v>
      </c>
      <c r="K32" s="82"/>
    </row>
    <row r="33" spans="2:11" ht="94.5" customHeight="1" x14ac:dyDescent="0.25">
      <c r="B33" s="401"/>
      <c r="C33" s="399"/>
      <c r="D33" s="62" t="s">
        <v>1121</v>
      </c>
      <c r="E33" s="27">
        <f>ROUND((F33/E57),2)</f>
        <v>0.33</v>
      </c>
      <c r="F33" s="27">
        <f>ROUND((118.42*12*0.0164),2)</f>
        <v>23.31</v>
      </c>
      <c r="K33" s="82"/>
    </row>
    <row r="34" spans="2:11" ht="78.75" x14ac:dyDescent="0.25">
      <c r="B34" s="402"/>
      <c r="C34" s="400"/>
      <c r="D34" s="62" t="s">
        <v>1119</v>
      </c>
      <c r="E34" s="27">
        <f>ROUND((F34/E57),2)</f>
        <v>0.08</v>
      </c>
      <c r="F34" s="27">
        <f>ROUND((29.35*12*0.0164),2)</f>
        <v>5.78</v>
      </c>
      <c r="I34" s="39"/>
      <c r="K34" s="82"/>
    </row>
    <row r="35" spans="2:11" ht="63.75" customHeight="1" x14ac:dyDescent="0.25">
      <c r="B35" s="7">
        <v>1200</v>
      </c>
      <c r="C35" s="345" t="s">
        <v>11</v>
      </c>
      <c r="D35" s="63" t="s">
        <v>1120</v>
      </c>
      <c r="E35" s="276">
        <f>ROUND((F35/E57),2)</f>
        <v>0.31</v>
      </c>
      <c r="F35" s="86">
        <f>ROUND((93.18*0.2359),2)</f>
        <v>21.98</v>
      </c>
      <c r="K35" s="82"/>
    </row>
    <row r="36" spans="2:11" ht="15.75" x14ac:dyDescent="0.25">
      <c r="B36" s="8">
        <v>2000</v>
      </c>
      <c r="C36" s="347" t="s">
        <v>12</v>
      </c>
      <c r="D36" s="60"/>
      <c r="E36" s="43">
        <f>SUM(E37:E48)</f>
        <v>26.29</v>
      </c>
      <c r="F36" s="43">
        <f>SUM(F37:F48)</f>
        <v>1840.43</v>
      </c>
      <c r="K36" s="82"/>
    </row>
    <row r="37" spans="2:11" ht="30.75" customHeight="1" x14ac:dyDescent="0.25">
      <c r="B37" s="4">
        <v>2221</v>
      </c>
      <c r="C37" s="84" t="s">
        <v>54</v>
      </c>
      <c r="D37" s="166" t="s">
        <v>522</v>
      </c>
      <c r="E37" s="44">
        <f>ROUND((F37/E57)-0.01,2)</f>
        <v>12.81</v>
      </c>
      <c r="F37" s="44">
        <f>ROUND((54700.57*0.0164),2)</f>
        <v>897.09</v>
      </c>
      <c r="K37" s="82"/>
    </row>
    <row r="38" spans="2:11" ht="30.95" customHeight="1" x14ac:dyDescent="0.25">
      <c r="B38" s="4">
        <v>2222</v>
      </c>
      <c r="C38" s="118" t="s">
        <v>55</v>
      </c>
      <c r="D38" s="5" t="s">
        <v>523</v>
      </c>
      <c r="E38" s="44">
        <f>ROUND((F38/E57),2)</f>
        <v>1.78</v>
      </c>
      <c r="F38" s="44">
        <f>ROUND((7587.77*0.0164),2)</f>
        <v>124.44</v>
      </c>
      <c r="K38" s="82"/>
    </row>
    <row r="39" spans="2:11" ht="31.5" x14ac:dyDescent="0.25">
      <c r="B39" s="4">
        <v>2223</v>
      </c>
      <c r="C39" s="118" t="s">
        <v>19</v>
      </c>
      <c r="D39" s="64" t="s">
        <v>524</v>
      </c>
      <c r="E39" s="44">
        <f>ROUND((F39/E57),2)</f>
        <v>2.54</v>
      </c>
      <c r="F39" s="44">
        <f>ROUND((10851.74*0.0164),2)</f>
        <v>177.97</v>
      </c>
      <c r="K39" s="82"/>
    </row>
    <row r="40" spans="2:11" ht="78" customHeight="1" x14ac:dyDescent="0.25">
      <c r="B40" s="4">
        <v>2224</v>
      </c>
      <c r="C40" s="84" t="s">
        <v>56</v>
      </c>
      <c r="D40" s="166" t="s">
        <v>525</v>
      </c>
      <c r="E40" s="44">
        <f>ROUND((F40/E57),2)</f>
        <v>0.18</v>
      </c>
      <c r="F40" s="44">
        <f>ROUND((761.81*0.0164),2)</f>
        <v>12.49</v>
      </c>
      <c r="K40" s="82"/>
    </row>
    <row r="41" spans="2:11" ht="31.5" x14ac:dyDescent="0.25">
      <c r="B41" s="4">
        <v>2239</v>
      </c>
      <c r="C41" s="338" t="s">
        <v>20</v>
      </c>
      <c r="D41" s="117" t="s">
        <v>526</v>
      </c>
      <c r="E41" s="44">
        <f>ROUND((F41/E57),2)</f>
        <v>0.05</v>
      </c>
      <c r="F41" s="44">
        <f>ROUND((224.51*0.0164),2)</f>
        <v>3.68</v>
      </c>
      <c r="K41" s="82"/>
    </row>
    <row r="42" spans="2:11" ht="47.25" x14ac:dyDescent="0.25">
      <c r="B42" s="4">
        <v>2243</v>
      </c>
      <c r="C42" s="84" t="s">
        <v>21</v>
      </c>
      <c r="D42" s="84" t="s">
        <v>527</v>
      </c>
      <c r="E42" s="44">
        <f>ROUND((F42/E57),2)</f>
        <v>0.47</v>
      </c>
      <c r="F42" s="44">
        <f>ROUND((1993.08*0.0164),2)</f>
        <v>32.69</v>
      </c>
      <c r="K42" s="82"/>
    </row>
    <row r="43" spans="2:11" ht="48.6" customHeight="1" x14ac:dyDescent="0.25">
      <c r="B43" s="4">
        <v>2244</v>
      </c>
      <c r="C43" s="84" t="s">
        <v>22</v>
      </c>
      <c r="D43" s="63" t="s">
        <v>528</v>
      </c>
      <c r="E43" s="44">
        <f>ROUND((F43/E57),2)</f>
        <v>1.75</v>
      </c>
      <c r="F43" s="44">
        <f>ROUND((7456.84*0.0164),2)</f>
        <v>122.29</v>
      </c>
      <c r="K43" s="82"/>
    </row>
    <row r="44" spans="2:11" ht="47.25" x14ac:dyDescent="0.25">
      <c r="B44" s="4">
        <v>2249</v>
      </c>
      <c r="C44" s="84" t="s">
        <v>45</v>
      </c>
      <c r="D44" s="63" t="s">
        <v>529</v>
      </c>
      <c r="E44" s="159">
        <f>ROUND((F44/E57),2)</f>
        <v>2.4700000000000002</v>
      </c>
      <c r="F44" s="44">
        <f>ROUND((10528.91*0.0164),2)</f>
        <v>172.67</v>
      </c>
      <c r="K44" s="82"/>
    </row>
    <row r="45" spans="2:11" ht="31.5" customHeight="1" x14ac:dyDescent="0.25">
      <c r="B45" s="4">
        <v>2312</v>
      </c>
      <c r="C45" s="118" t="s">
        <v>13</v>
      </c>
      <c r="D45" s="63" t="s">
        <v>530</v>
      </c>
      <c r="E45" s="44">
        <f>ROUND((F45/E57),2)</f>
        <v>0.17</v>
      </c>
      <c r="F45" s="44">
        <f>ROUND((737.42*0.0164),2)</f>
        <v>12.09</v>
      </c>
      <c r="K45" s="82"/>
    </row>
    <row r="46" spans="2:11" ht="47.25" x14ac:dyDescent="0.25">
      <c r="B46" s="4">
        <v>2350</v>
      </c>
      <c r="C46" s="118" t="s">
        <v>213</v>
      </c>
      <c r="D46" s="63" t="s">
        <v>531</v>
      </c>
      <c r="E46" s="44">
        <f>ROUND((F46/E57),2)</f>
        <v>0.18</v>
      </c>
      <c r="F46" s="108">
        <f>ROUND((780.26*0.0164),2)</f>
        <v>12.8</v>
      </c>
      <c r="K46" s="82"/>
    </row>
    <row r="47" spans="2:11" ht="33" customHeight="1" x14ac:dyDescent="0.25">
      <c r="B47" s="4">
        <v>2513</v>
      </c>
      <c r="C47" s="118" t="s">
        <v>57</v>
      </c>
      <c r="D47" s="63" t="s">
        <v>532</v>
      </c>
      <c r="E47" s="44">
        <f>ROUND((F47/E57),2)</f>
        <v>3.43</v>
      </c>
      <c r="F47" s="44">
        <f>ROUND((14633.92*0.0164),2)</f>
        <v>240</v>
      </c>
      <c r="K47" s="82"/>
    </row>
    <row r="48" spans="2:11" ht="31.5" x14ac:dyDescent="0.25">
      <c r="B48" s="4">
        <v>2515</v>
      </c>
      <c r="C48" s="118" t="s">
        <v>44</v>
      </c>
      <c r="D48" s="63" t="s">
        <v>533</v>
      </c>
      <c r="E48" s="44">
        <f>ROUND((F48/E57),2)</f>
        <v>0.46</v>
      </c>
      <c r="F48" s="44">
        <f>ROUND((1964.86*0.0164),2)</f>
        <v>32.22</v>
      </c>
      <c r="K48" s="82"/>
    </row>
    <row r="49" spans="2:11" ht="15.75" x14ac:dyDescent="0.25">
      <c r="B49" s="10">
        <v>5000</v>
      </c>
      <c r="C49" s="156" t="s">
        <v>17</v>
      </c>
      <c r="D49" s="269"/>
      <c r="E49" s="40">
        <f>SUM(E50:E52)</f>
        <v>2.12</v>
      </c>
      <c r="F49" s="40">
        <f>SUM(F50:F52)</f>
        <v>148.63</v>
      </c>
      <c r="K49" s="82"/>
    </row>
    <row r="50" spans="2:11" ht="31.5" x14ac:dyDescent="0.25">
      <c r="B50" s="4">
        <v>5213</v>
      </c>
      <c r="C50" s="118" t="s">
        <v>32</v>
      </c>
      <c r="D50" s="63" t="s">
        <v>684</v>
      </c>
      <c r="E50" s="44">
        <f>ROUND((F50/E57),2)</f>
        <v>0.04</v>
      </c>
      <c r="F50" s="44">
        <f>ROUND((158.25*0.0164),2)</f>
        <v>2.6</v>
      </c>
      <c r="K50" s="82"/>
    </row>
    <row r="51" spans="2:11" ht="31.5" x14ac:dyDescent="0.25">
      <c r="B51" s="18">
        <v>5218</v>
      </c>
      <c r="C51" s="84" t="s">
        <v>33</v>
      </c>
      <c r="D51" s="63" t="s">
        <v>685</v>
      </c>
      <c r="E51" s="44">
        <f>ROUND((F51/E57),2)</f>
        <v>0.83</v>
      </c>
      <c r="F51" s="44">
        <f>ROUND((3538.2*0.0164),2)</f>
        <v>58.03</v>
      </c>
      <c r="K51" s="82"/>
    </row>
    <row r="52" spans="2:11" ht="46.5" customHeight="1" x14ac:dyDescent="0.25">
      <c r="B52" s="18">
        <v>5239</v>
      </c>
      <c r="C52" s="84" t="s">
        <v>18</v>
      </c>
      <c r="D52" s="63" t="s">
        <v>686</v>
      </c>
      <c r="E52" s="44">
        <f>ROUND((F52/E57-0.01),2)</f>
        <v>1.25</v>
      </c>
      <c r="F52" s="44">
        <f>ROUND((5366.12*0.0164),2)</f>
        <v>88</v>
      </c>
      <c r="K52" s="82"/>
    </row>
    <row r="53" spans="2:11" ht="15.75" x14ac:dyDescent="0.25">
      <c r="B53" s="4"/>
      <c r="C53" s="9" t="s">
        <v>23</v>
      </c>
      <c r="D53" s="60"/>
      <c r="E53" s="25">
        <f>SUM(E23+E36+E49)</f>
        <v>30.04</v>
      </c>
      <c r="F53" s="40">
        <f>SUM(F23+F36+F49)</f>
        <v>2104.2200000000003</v>
      </c>
      <c r="K53" s="82"/>
    </row>
    <row r="54" spans="2:11" ht="31.5" x14ac:dyDescent="0.25">
      <c r="B54" s="4"/>
      <c r="C54" s="11" t="s">
        <v>28</v>
      </c>
      <c r="D54" s="60"/>
      <c r="E54" s="26">
        <f>E21+E53</f>
        <v>39.92</v>
      </c>
      <c r="F54" s="41">
        <f>F21+F53</f>
        <v>2794.6500000000005</v>
      </c>
      <c r="K54" s="82"/>
    </row>
    <row r="55" spans="2:11" ht="15.75" x14ac:dyDescent="0.25">
      <c r="B55" s="20"/>
      <c r="C55" s="13" t="s">
        <v>212</v>
      </c>
      <c r="D55" s="60"/>
      <c r="E55" s="26">
        <f>E54*0.12</f>
        <v>4.7904</v>
      </c>
      <c r="F55" s="41">
        <f>F54*0.12</f>
        <v>335.35800000000006</v>
      </c>
      <c r="K55" s="82"/>
    </row>
    <row r="56" spans="2:11" ht="31.5" x14ac:dyDescent="0.25">
      <c r="B56" s="20"/>
      <c r="C56" s="169" t="s">
        <v>30</v>
      </c>
      <c r="D56" s="170"/>
      <c r="E56" s="171">
        <f>E54*1.12</f>
        <v>44.710400000000007</v>
      </c>
      <c r="F56" s="172">
        <f>F54*1.12</f>
        <v>3130.0080000000007</v>
      </c>
      <c r="K56" s="82"/>
    </row>
    <row r="57" spans="2:11" ht="15.75" x14ac:dyDescent="0.25">
      <c r="B57" s="397" t="s">
        <v>1593</v>
      </c>
      <c r="C57" s="397"/>
      <c r="D57" s="397"/>
      <c r="E57" s="8">
        <v>70</v>
      </c>
      <c r="F57" s="155" t="s">
        <v>65</v>
      </c>
    </row>
    <row r="58" spans="2:11" ht="30.6" customHeight="1" x14ac:dyDescent="0.25">
      <c r="B58" s="397" t="s">
        <v>226</v>
      </c>
      <c r="C58" s="397"/>
      <c r="D58" s="397"/>
      <c r="E58" s="8">
        <f>ROUND((F56/E57),2)</f>
        <v>44.71</v>
      </c>
      <c r="F58" s="191" t="s">
        <v>228</v>
      </c>
    </row>
    <row r="59" spans="2:11" ht="15.75" x14ac:dyDescent="0.25">
      <c r="B59" s="1"/>
      <c r="C59" s="1"/>
      <c r="D59" s="1"/>
    </row>
    <row r="60" spans="2:11" x14ac:dyDescent="0.25">
      <c r="H60" s="305"/>
    </row>
  </sheetData>
  <mergeCells count="7">
    <mergeCell ref="B58:D58"/>
    <mergeCell ref="B2:D2"/>
    <mergeCell ref="B3:F3"/>
    <mergeCell ref="B4:C4"/>
    <mergeCell ref="B26:B34"/>
    <mergeCell ref="C26:C34"/>
    <mergeCell ref="B57:D57"/>
  </mergeCells>
  <pageMargins left="0.7" right="0.7" top="0.75" bottom="0.75" header="0.3" footer="0.3"/>
  <pageSetup paperSize="9" orientation="landscape" r:id="rId1"/>
  <rowBreaks count="2" manualBreakCount="2">
    <brk id="21" max="16383" man="1"/>
    <brk id="35" max="16383" man="1"/>
  </rowBreaks>
  <ignoredErrors>
    <ignoredError sqref="E18 E49 E36" formula="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D3FC9-A629-4697-8203-EFEEC461A67F}">
  <dimension ref="A1:I61"/>
  <sheetViews>
    <sheetView topLeftCell="A46" zoomScaleNormal="100" workbookViewId="0">
      <selection activeCell="D59" sqref="D59"/>
    </sheetView>
  </sheetViews>
  <sheetFormatPr defaultRowHeight="15" x14ac:dyDescent="0.25"/>
  <cols>
    <col min="1" max="1" width="12" customWidth="1"/>
    <col min="2" max="2" width="27.5703125" customWidth="1"/>
    <col min="3" max="3" width="62" customWidth="1"/>
    <col min="4" max="4" width="9.85546875" customWidth="1"/>
    <col min="5" max="5" width="17.7109375" customWidth="1"/>
    <col min="6" max="6" width="8" customWidth="1"/>
    <col min="7" max="7" width="8.85546875" bestFit="1" customWidth="1"/>
    <col min="8" max="8" width="8.42578125" bestFit="1" customWidth="1"/>
  </cols>
  <sheetData>
    <row r="1" spans="1:8" s="165" customFormat="1" ht="18.75" x14ac:dyDescent="0.3">
      <c r="A1" s="148" t="s">
        <v>46</v>
      </c>
    </row>
    <row r="2" spans="1:8" ht="18.75" x14ac:dyDescent="0.3">
      <c r="A2" s="404" t="s">
        <v>49</v>
      </c>
      <c r="B2" s="404"/>
      <c r="C2" s="404"/>
    </row>
    <row r="3" spans="1:8" ht="18.75" x14ac:dyDescent="0.25">
      <c r="A3" s="398" t="s">
        <v>176</v>
      </c>
      <c r="B3" s="398"/>
      <c r="C3" s="398"/>
      <c r="D3" s="398"/>
      <c r="E3" s="398"/>
    </row>
    <row r="4" spans="1:8" ht="15.75" x14ac:dyDescent="0.25">
      <c r="A4" s="405" t="s">
        <v>64</v>
      </c>
      <c r="B4" s="405"/>
    </row>
    <row r="6" spans="1:8" ht="78.75" x14ac:dyDescent="0.25">
      <c r="A6" s="139" t="s">
        <v>0</v>
      </c>
      <c r="B6" s="139" t="s">
        <v>1</v>
      </c>
      <c r="C6" s="139" t="s">
        <v>2</v>
      </c>
      <c r="D6" s="152" t="s">
        <v>26</v>
      </c>
      <c r="E6" s="52" t="s">
        <v>27</v>
      </c>
    </row>
    <row r="7" spans="1:8" x14ac:dyDescent="0.25">
      <c r="A7" s="277">
        <v>1</v>
      </c>
      <c r="B7" s="277">
        <v>2</v>
      </c>
      <c r="C7" s="277">
        <v>3</v>
      </c>
      <c r="D7" s="277">
        <v>4</v>
      </c>
      <c r="E7" s="277">
        <v>5</v>
      </c>
    </row>
    <row r="8" spans="1:8" ht="15.75" x14ac:dyDescent="0.25">
      <c r="A8" s="4"/>
      <c r="B8" s="7" t="s">
        <v>7</v>
      </c>
      <c r="C8" s="60" t="s">
        <v>8</v>
      </c>
      <c r="D8" s="24"/>
      <c r="E8" s="22"/>
    </row>
    <row r="9" spans="1:8" ht="15.75" x14ac:dyDescent="0.25">
      <c r="A9" s="8">
        <v>1000</v>
      </c>
      <c r="B9" s="7" t="s">
        <v>9</v>
      </c>
      <c r="C9" s="269"/>
      <c r="D9" s="43">
        <f>D10+D18</f>
        <v>12.17</v>
      </c>
      <c r="E9" s="43">
        <f>E10+E18</f>
        <v>3029.0199999999995</v>
      </c>
    </row>
    <row r="10" spans="1:8" ht="15.75" x14ac:dyDescent="0.25">
      <c r="A10" s="265">
        <v>1100</v>
      </c>
      <c r="B10" s="265" t="s">
        <v>10</v>
      </c>
      <c r="C10" s="269"/>
      <c r="D10" s="43">
        <f>SUM(D12:D17)</f>
        <v>9.5</v>
      </c>
      <c r="E10" s="43">
        <f>SUM(E12:E17)</f>
        <v>2363.8499999999995</v>
      </c>
    </row>
    <row r="11" spans="1:8" ht="15.75" x14ac:dyDescent="0.25">
      <c r="A11" s="16">
        <v>1110</v>
      </c>
      <c r="B11" s="16" t="s">
        <v>217</v>
      </c>
      <c r="C11" s="137" t="s">
        <v>218</v>
      </c>
      <c r="D11" s="108">
        <f>SUM(D12:D16)</f>
        <v>8.64</v>
      </c>
      <c r="E11" s="108">
        <f>SUM(E12:E16)</f>
        <v>2150.6299999999997</v>
      </c>
    </row>
    <row r="12" spans="1:8" ht="77.25" customHeight="1" x14ac:dyDescent="0.25">
      <c r="A12" s="126"/>
      <c r="B12" s="129"/>
      <c r="C12" s="142" t="s">
        <v>1124</v>
      </c>
      <c r="D12" s="108">
        <f>ROUND((E12/D57),2)</f>
        <v>1.7</v>
      </c>
      <c r="E12" s="108">
        <f>ROUND((489.79*12*0.072),2)</f>
        <v>423.18</v>
      </c>
    </row>
    <row r="13" spans="1:8" ht="76.5" customHeight="1" x14ac:dyDescent="0.25">
      <c r="A13" s="143"/>
      <c r="B13" s="144"/>
      <c r="C13" s="142" t="s">
        <v>1125</v>
      </c>
      <c r="D13" s="108">
        <f>ROUND((E13/D57),2)</f>
        <v>2.15</v>
      </c>
      <c r="E13" s="108">
        <f>ROUND((619.13*12*0.072),2)</f>
        <v>534.92999999999995</v>
      </c>
    </row>
    <row r="14" spans="1:8" ht="78" customHeight="1" x14ac:dyDescent="0.25">
      <c r="A14" s="127"/>
      <c r="B14" s="130"/>
      <c r="C14" s="142" t="s">
        <v>1126</v>
      </c>
      <c r="D14" s="108">
        <f>ROUND((E14/D57),2)</f>
        <v>2.0099999999999998</v>
      </c>
      <c r="E14" s="108">
        <f>ROUND((579.53*12*0.072),2)</f>
        <v>500.71</v>
      </c>
      <c r="F14" s="50"/>
      <c r="G14" s="50"/>
      <c r="H14" s="50"/>
    </row>
    <row r="15" spans="1:8" ht="77.45" customHeight="1" x14ac:dyDescent="0.25">
      <c r="A15" s="127"/>
      <c r="B15" s="130"/>
      <c r="C15" s="142" t="s">
        <v>1127</v>
      </c>
      <c r="D15" s="108">
        <f>ROUND((E15/D57),2)</f>
        <v>1.81</v>
      </c>
      <c r="E15" s="108">
        <f>ROUND((521.51*12*0.072),2)</f>
        <v>450.58</v>
      </c>
      <c r="F15" s="50"/>
      <c r="G15" s="50"/>
      <c r="H15" s="50"/>
    </row>
    <row r="16" spans="1:8" ht="77.25" customHeight="1" x14ac:dyDescent="0.25">
      <c r="A16" s="128"/>
      <c r="B16" s="131"/>
      <c r="C16" s="142" t="s">
        <v>1128</v>
      </c>
      <c r="D16" s="108">
        <f>ROUND((E16/D57),2)</f>
        <v>0.97</v>
      </c>
      <c r="E16" s="108">
        <f>ROUND((279.2*12*0.072),2)</f>
        <v>241.23</v>
      </c>
      <c r="G16" s="39"/>
    </row>
    <row r="17" spans="1:9" ht="93.75" customHeight="1" x14ac:dyDescent="0.25">
      <c r="A17" s="122">
        <v>1140</v>
      </c>
      <c r="B17" s="5" t="s">
        <v>214</v>
      </c>
      <c r="C17" s="142" t="s">
        <v>1129</v>
      </c>
      <c r="D17" s="108">
        <f>ROUND((E17/D57),2)</f>
        <v>0.86</v>
      </c>
      <c r="E17" s="108">
        <f>ROUND((420.08*0.1+529.99*0.1+496.35*0.1+446.56*0.1+239.07*0.1+0.01),2)</f>
        <v>213.22</v>
      </c>
    </row>
    <row r="18" spans="1:9" ht="63" x14ac:dyDescent="0.25">
      <c r="A18" s="7">
        <v>1200</v>
      </c>
      <c r="B18" s="281" t="s">
        <v>11</v>
      </c>
      <c r="C18" s="166" t="s">
        <v>1132</v>
      </c>
      <c r="D18" s="86">
        <f>ROUND((D19+D20),2)</f>
        <v>2.67</v>
      </c>
      <c r="E18" s="86">
        <f>ROUND((E19+E20),2)</f>
        <v>665.17</v>
      </c>
    </row>
    <row r="19" spans="1:9" ht="47.25" x14ac:dyDescent="0.25">
      <c r="A19" s="4">
        <v>1210</v>
      </c>
      <c r="B19" s="5" t="s">
        <v>216</v>
      </c>
      <c r="C19" s="166" t="s">
        <v>1131</v>
      </c>
      <c r="D19" s="44">
        <f>ROUND((E19/D57),2)</f>
        <v>2.2400000000000002</v>
      </c>
      <c r="E19" s="44">
        <f>ROUND((2363.85*0.2359),2)</f>
        <v>557.63</v>
      </c>
    </row>
    <row r="20" spans="1:9" ht="93" customHeight="1" x14ac:dyDescent="0.25">
      <c r="A20" s="4">
        <v>1227</v>
      </c>
      <c r="B20" s="5" t="s">
        <v>215</v>
      </c>
      <c r="C20" s="142" t="s">
        <v>1130</v>
      </c>
      <c r="D20" s="44">
        <f>ROUND((E20/D57),2)</f>
        <v>0.43</v>
      </c>
      <c r="E20" s="108">
        <f>ROUND((423.18*0.05+534.93*0.05+500.71*0.05+450.58*0.05+241.23*0.05+0.01),2)</f>
        <v>107.54</v>
      </c>
    </row>
    <row r="21" spans="1:9" ht="15.75" x14ac:dyDescent="0.25">
      <c r="A21" s="4"/>
      <c r="B21" s="9" t="s">
        <v>14</v>
      </c>
      <c r="C21" s="61" t="s">
        <v>16</v>
      </c>
      <c r="D21" s="25">
        <f>D9</f>
        <v>12.17</v>
      </c>
      <c r="E21" s="43">
        <f>E9</f>
        <v>3029.0199999999995</v>
      </c>
    </row>
    <row r="22" spans="1:9" ht="15.75" x14ac:dyDescent="0.25">
      <c r="A22" s="4"/>
      <c r="B22" s="9" t="s">
        <v>15</v>
      </c>
      <c r="C22" s="60" t="s">
        <v>8</v>
      </c>
      <c r="D22" s="22"/>
      <c r="E22" s="42"/>
    </row>
    <row r="23" spans="1:9" ht="15.75" x14ac:dyDescent="0.25">
      <c r="A23" s="8">
        <v>1000</v>
      </c>
      <c r="B23" s="7" t="s">
        <v>9</v>
      </c>
      <c r="C23" s="60"/>
      <c r="D23" s="83">
        <f>SUM(D24+D35)</f>
        <v>2.0300000000000002</v>
      </c>
      <c r="E23" s="83">
        <f>SUM(E24+E35)</f>
        <v>504.68</v>
      </c>
    </row>
    <row r="24" spans="1:9" ht="15.75" x14ac:dyDescent="0.25">
      <c r="A24" s="4">
        <v>1100</v>
      </c>
      <c r="B24" s="4" t="s">
        <v>10</v>
      </c>
      <c r="C24" s="137" t="s">
        <v>223</v>
      </c>
      <c r="D24" s="83">
        <f>SUM(D25:D34)</f>
        <v>1.6400000000000001</v>
      </c>
      <c r="E24" s="83">
        <f>SUM(E25:E34)</f>
        <v>408.35</v>
      </c>
    </row>
    <row r="25" spans="1:9" ht="80.25" customHeight="1" x14ac:dyDescent="0.25">
      <c r="A25" s="222"/>
      <c r="B25" s="223"/>
      <c r="C25" s="142" t="s">
        <v>1133</v>
      </c>
      <c r="D25" s="27">
        <f>ROUND((E25/D57),2)</f>
        <v>0.05</v>
      </c>
      <c r="E25" s="45">
        <f>ROUND((14.34*12*0.072),2)</f>
        <v>12.39</v>
      </c>
      <c r="I25" s="82"/>
    </row>
    <row r="26" spans="1:9" ht="79.5" customHeight="1" x14ac:dyDescent="0.25">
      <c r="A26" s="401"/>
      <c r="B26" s="399"/>
      <c r="C26" s="142" t="s">
        <v>1134</v>
      </c>
      <c r="D26" s="46">
        <f>ROUND((E26/D57),2)</f>
        <v>0.03</v>
      </c>
      <c r="E26" s="58">
        <f>ROUND((9.41*12*0.072),2)</f>
        <v>8.1300000000000008</v>
      </c>
      <c r="I26" s="82"/>
    </row>
    <row r="27" spans="1:9" ht="78.75" customHeight="1" x14ac:dyDescent="0.25">
      <c r="A27" s="401"/>
      <c r="B27" s="399"/>
      <c r="C27" s="142" t="s">
        <v>1135</v>
      </c>
      <c r="D27" s="27">
        <f>ROUND((E27/D57),2)</f>
        <v>0.05</v>
      </c>
      <c r="E27" s="27">
        <f>ROUND((13.76*12*0.072),2)</f>
        <v>11.89</v>
      </c>
      <c r="I27" s="82"/>
    </row>
    <row r="28" spans="1:9" ht="78.95" customHeight="1" x14ac:dyDescent="0.25">
      <c r="A28" s="401"/>
      <c r="B28" s="399"/>
      <c r="C28" s="142" t="s">
        <v>1136</v>
      </c>
      <c r="D28" s="27">
        <f>ROUND((E28/D57),2)</f>
        <v>7.0000000000000007E-2</v>
      </c>
      <c r="E28" s="45">
        <f>ROUND((18.79*12*0.072),2)</f>
        <v>16.23</v>
      </c>
      <c r="I28" s="82"/>
    </row>
    <row r="29" spans="1:9" ht="78" customHeight="1" x14ac:dyDescent="0.25">
      <c r="A29" s="401"/>
      <c r="B29" s="399"/>
      <c r="C29" s="62" t="s">
        <v>1137</v>
      </c>
      <c r="D29" s="27">
        <f>ROUND((E29/D57),2)</f>
        <v>0.05</v>
      </c>
      <c r="E29" s="27">
        <f>ROUND((13.27*12*0.072),2)</f>
        <v>11.47</v>
      </c>
      <c r="I29" s="82"/>
    </row>
    <row r="30" spans="1:9" ht="80.25" customHeight="1" x14ac:dyDescent="0.25">
      <c r="A30" s="401"/>
      <c r="B30" s="399"/>
      <c r="C30" s="62" t="s">
        <v>1138</v>
      </c>
      <c r="D30" s="27">
        <f>ROUND((E30/D57-0.01),2)</f>
        <v>0.26</v>
      </c>
      <c r="E30" s="27">
        <f>ROUND((76.43*12*0.072),2)</f>
        <v>66.040000000000006</v>
      </c>
      <c r="G30" s="39"/>
      <c r="I30" s="82"/>
    </row>
    <row r="31" spans="1:9" ht="77.45" customHeight="1" x14ac:dyDescent="0.25">
      <c r="A31" s="401"/>
      <c r="B31" s="399"/>
      <c r="C31" s="62" t="s">
        <v>1139</v>
      </c>
      <c r="D31" s="27">
        <f>ROUND((E31/D57),2)</f>
        <v>0.28000000000000003</v>
      </c>
      <c r="E31" s="27">
        <f>ROUND((79.88*12*0.072),2)</f>
        <v>69.02</v>
      </c>
      <c r="G31" s="39"/>
      <c r="I31" s="82"/>
    </row>
    <row r="32" spans="1:9" ht="78.75" x14ac:dyDescent="0.25">
      <c r="A32" s="401"/>
      <c r="B32" s="399"/>
      <c r="C32" s="62" t="s">
        <v>1140</v>
      </c>
      <c r="D32" s="27">
        <f>ROUND((E32/D57),2)</f>
        <v>0.34</v>
      </c>
      <c r="E32" s="27">
        <f>ROUND((98.97*12*0.072),2)</f>
        <v>85.51</v>
      </c>
      <c r="G32" s="39"/>
      <c r="I32" s="82"/>
    </row>
    <row r="33" spans="1:9" ht="93" customHeight="1" x14ac:dyDescent="0.25">
      <c r="A33" s="401"/>
      <c r="B33" s="399"/>
      <c r="C33" s="62" t="s">
        <v>1141</v>
      </c>
      <c r="D33" s="27">
        <f>ROUND((E33/D57),2)</f>
        <v>0.41</v>
      </c>
      <c r="E33" s="27">
        <f>ROUND((118.42*12*0.072),2)</f>
        <v>102.31</v>
      </c>
      <c r="G33" s="39"/>
      <c r="I33" s="82"/>
    </row>
    <row r="34" spans="1:9" ht="77.099999999999994" customHeight="1" x14ac:dyDescent="0.25">
      <c r="A34" s="402"/>
      <c r="B34" s="400"/>
      <c r="C34" s="62" t="s">
        <v>1142</v>
      </c>
      <c r="D34" s="45">
        <f>ROUND((E34/D57),2)</f>
        <v>0.1</v>
      </c>
      <c r="E34" s="27">
        <f>ROUND((29.35*12*0.072),2)</f>
        <v>25.36</v>
      </c>
      <c r="I34" s="82"/>
    </row>
    <row r="35" spans="1:9" ht="61.5" customHeight="1" x14ac:dyDescent="0.25">
      <c r="A35" s="7">
        <v>1200</v>
      </c>
      <c r="B35" s="345" t="s">
        <v>11</v>
      </c>
      <c r="C35" s="166" t="s">
        <v>1143</v>
      </c>
      <c r="D35" s="83">
        <f>ROUND((E35/D57),2)</f>
        <v>0.39</v>
      </c>
      <c r="E35" s="86">
        <f>ROUND((408.35*0.2359),2)</f>
        <v>96.33</v>
      </c>
      <c r="I35" s="82"/>
    </row>
    <row r="36" spans="1:9" ht="15.75" x14ac:dyDescent="0.25">
      <c r="A36" s="8">
        <v>2000</v>
      </c>
      <c r="B36" s="347" t="s">
        <v>12</v>
      </c>
      <c r="C36" s="60"/>
      <c r="D36" s="23">
        <f>SUM(D37:D48)</f>
        <v>32.44</v>
      </c>
      <c r="E36" s="43">
        <f>SUM(E37:E48)</f>
        <v>8079.9500000000016</v>
      </c>
      <c r="I36" s="82"/>
    </row>
    <row r="37" spans="1:9" ht="31.5" x14ac:dyDescent="0.25">
      <c r="A37" s="4">
        <v>2221</v>
      </c>
      <c r="B37" s="84" t="s">
        <v>54</v>
      </c>
      <c r="C37" s="63" t="s">
        <v>534</v>
      </c>
      <c r="D37" s="27">
        <f>ROUND((E37/D57),2)</f>
        <v>15.82</v>
      </c>
      <c r="E37" s="44">
        <f>ROUND((54700.57*0.072),2)</f>
        <v>3938.44</v>
      </c>
      <c r="I37" s="82"/>
    </row>
    <row r="38" spans="1:9" ht="32.450000000000003" customHeight="1" x14ac:dyDescent="0.25">
      <c r="A38" s="4">
        <v>2222</v>
      </c>
      <c r="B38" s="118" t="s">
        <v>55</v>
      </c>
      <c r="C38" s="5" t="s">
        <v>535</v>
      </c>
      <c r="D38" s="27">
        <f>ROUND((E38/D57),2)</f>
        <v>2.19</v>
      </c>
      <c r="E38" s="44">
        <f>ROUND((7587.77*0.072),2)</f>
        <v>546.32000000000005</v>
      </c>
      <c r="I38" s="82"/>
    </row>
    <row r="39" spans="1:9" ht="31.5" x14ac:dyDescent="0.25">
      <c r="A39" s="4">
        <v>2223</v>
      </c>
      <c r="B39" s="118" t="s">
        <v>19</v>
      </c>
      <c r="C39" s="64" t="s">
        <v>536</v>
      </c>
      <c r="D39" s="27">
        <f>ROUND((E39/D57),2)</f>
        <v>3.14</v>
      </c>
      <c r="E39" s="44">
        <f>ROUND((10851.74*0.072),2)</f>
        <v>781.33</v>
      </c>
      <c r="I39" s="82"/>
    </row>
    <row r="40" spans="1:9" ht="76.5" customHeight="1" x14ac:dyDescent="0.25">
      <c r="A40" s="4">
        <v>2224</v>
      </c>
      <c r="B40" s="84" t="s">
        <v>56</v>
      </c>
      <c r="C40" s="63" t="s">
        <v>537</v>
      </c>
      <c r="D40" s="45">
        <f>ROUND((E40/D57),2)</f>
        <v>0.22</v>
      </c>
      <c r="E40" s="27">
        <f>ROUND((761.81*0.072),2)</f>
        <v>54.85</v>
      </c>
      <c r="I40" s="82"/>
    </row>
    <row r="41" spans="1:9" ht="31.5" x14ac:dyDescent="0.25">
      <c r="A41" s="4">
        <v>2239</v>
      </c>
      <c r="B41" s="338" t="s">
        <v>20</v>
      </c>
      <c r="C41" s="117" t="s">
        <v>538</v>
      </c>
      <c r="D41" s="27">
        <f>ROUND((E41/D57),2)</f>
        <v>0.06</v>
      </c>
      <c r="E41" s="45">
        <f>ROUND((224.51*0.072),2)</f>
        <v>16.16</v>
      </c>
      <c r="I41" s="82"/>
    </row>
    <row r="42" spans="1:9" ht="47.25" x14ac:dyDescent="0.25">
      <c r="A42" s="4">
        <v>2243</v>
      </c>
      <c r="B42" s="84" t="s">
        <v>21</v>
      </c>
      <c r="C42" s="84" t="s">
        <v>539</v>
      </c>
      <c r="D42" s="27">
        <f>ROUND((E42/D57),2)</f>
        <v>0.57999999999999996</v>
      </c>
      <c r="E42" s="27">
        <f>ROUND((1993.08*0.072),2)</f>
        <v>143.5</v>
      </c>
      <c r="I42" s="82"/>
    </row>
    <row r="43" spans="1:9" ht="46.5" customHeight="1" x14ac:dyDescent="0.25">
      <c r="A43" s="4">
        <v>2244</v>
      </c>
      <c r="B43" s="84" t="s">
        <v>22</v>
      </c>
      <c r="C43" s="63" t="s">
        <v>540</v>
      </c>
      <c r="D43" s="45">
        <f>ROUND((E43/D57),2)</f>
        <v>2.16</v>
      </c>
      <c r="E43" s="44">
        <f>ROUND((7456.84*0.072),2)</f>
        <v>536.89</v>
      </c>
      <c r="I43" s="82"/>
    </row>
    <row r="44" spans="1:9" ht="32.25" customHeight="1" x14ac:dyDescent="0.25">
      <c r="A44" s="4">
        <v>2249</v>
      </c>
      <c r="B44" s="84" t="s">
        <v>45</v>
      </c>
      <c r="C44" s="63" t="s">
        <v>541</v>
      </c>
      <c r="D44" s="27">
        <f>ROUND((E44/D57),2)</f>
        <v>3.04</v>
      </c>
      <c r="E44" s="44">
        <f>ROUND((10528.91*0.072),2)</f>
        <v>758.08</v>
      </c>
      <c r="I44" s="82"/>
    </row>
    <row r="45" spans="1:9" ht="31.5" x14ac:dyDescent="0.25">
      <c r="A45" s="4">
        <v>2312</v>
      </c>
      <c r="B45" s="173" t="s">
        <v>13</v>
      </c>
      <c r="C45" s="63" t="s">
        <v>542</v>
      </c>
      <c r="D45" s="27">
        <f>ROUND((E45/D57),2)</f>
        <v>0.21</v>
      </c>
      <c r="E45" s="44">
        <f>ROUND((737.42*0.072),2)</f>
        <v>53.09</v>
      </c>
      <c r="I45" s="82"/>
    </row>
    <row r="46" spans="1:9" ht="47.25" x14ac:dyDescent="0.25">
      <c r="A46" s="4">
        <v>2350</v>
      </c>
      <c r="B46" s="118" t="s">
        <v>213</v>
      </c>
      <c r="C46" s="63" t="s">
        <v>543</v>
      </c>
      <c r="D46" s="45">
        <f>ROUND((E46/D57-0.01),2)</f>
        <v>0.22</v>
      </c>
      <c r="E46" s="58">
        <f>ROUND((780.26*0.072),2)</f>
        <v>56.18</v>
      </c>
      <c r="I46" s="82"/>
    </row>
    <row r="47" spans="1:9" ht="31.5" x14ac:dyDescent="0.25">
      <c r="A47" s="4">
        <v>2513</v>
      </c>
      <c r="B47" s="118" t="s">
        <v>57</v>
      </c>
      <c r="C47" s="63" t="s">
        <v>544</v>
      </c>
      <c r="D47" s="45">
        <f>ROUND((E47/D57),2)</f>
        <v>4.2300000000000004</v>
      </c>
      <c r="E47" s="45">
        <f>ROUND((14633.92*0.072),2)</f>
        <v>1053.6400000000001</v>
      </c>
      <c r="I47" s="82"/>
    </row>
    <row r="48" spans="1:9" ht="31.5" x14ac:dyDescent="0.25">
      <c r="A48" s="4">
        <v>2515</v>
      </c>
      <c r="B48" s="118" t="s">
        <v>44</v>
      </c>
      <c r="C48" s="63" t="s">
        <v>545</v>
      </c>
      <c r="D48" s="45">
        <f>ROUND((E48/D57),2)</f>
        <v>0.56999999999999995</v>
      </c>
      <c r="E48" s="45">
        <f>ROUND((1964.86*0.072),2)</f>
        <v>141.47</v>
      </c>
      <c r="I48" s="82"/>
    </row>
    <row r="49" spans="1:9" ht="18.95" customHeight="1" x14ac:dyDescent="0.25">
      <c r="A49" s="10">
        <v>5000</v>
      </c>
      <c r="B49" s="214" t="s">
        <v>17</v>
      </c>
      <c r="C49" s="18"/>
      <c r="D49" s="83">
        <f>SUM(D50:D52)</f>
        <v>2.62</v>
      </c>
      <c r="E49" s="83">
        <f>SUM(E50:E52)</f>
        <v>652.5</v>
      </c>
      <c r="I49" s="82"/>
    </row>
    <row r="50" spans="1:9" ht="31.5" x14ac:dyDescent="0.25">
      <c r="A50" s="4">
        <v>5213</v>
      </c>
      <c r="B50" s="118" t="s">
        <v>32</v>
      </c>
      <c r="C50" s="63" t="s">
        <v>687</v>
      </c>
      <c r="D50" s="45">
        <f>ROUND((E50/D57),2)</f>
        <v>0.05</v>
      </c>
      <c r="E50" s="45">
        <f>ROUND((158.25*0.072),2)</f>
        <v>11.39</v>
      </c>
      <c r="I50" s="82"/>
    </row>
    <row r="51" spans="1:9" ht="31.5" x14ac:dyDescent="0.25">
      <c r="A51" s="18">
        <v>5218</v>
      </c>
      <c r="B51" s="84" t="s">
        <v>33</v>
      </c>
      <c r="C51" s="63" t="s">
        <v>688</v>
      </c>
      <c r="D51" s="45">
        <f>ROUND((E51/D57),2)</f>
        <v>1.02</v>
      </c>
      <c r="E51" s="45">
        <f>ROUND((3538.2*0.072),2)</f>
        <v>254.75</v>
      </c>
      <c r="I51" s="82"/>
    </row>
    <row r="52" spans="1:9" ht="46.5" customHeight="1" x14ac:dyDescent="0.25">
      <c r="A52" s="18">
        <v>5239</v>
      </c>
      <c r="B52" s="84" t="s">
        <v>18</v>
      </c>
      <c r="C52" s="63" t="s">
        <v>689</v>
      </c>
      <c r="D52" s="45">
        <f>ROUND((E52/D57),2)</f>
        <v>1.55</v>
      </c>
      <c r="E52" s="45">
        <f>ROUND((5366.12*0.072),2)</f>
        <v>386.36</v>
      </c>
      <c r="I52" s="82"/>
    </row>
    <row r="53" spans="1:9" ht="15.75" x14ac:dyDescent="0.25">
      <c r="A53" s="161"/>
      <c r="B53" s="9" t="s">
        <v>23</v>
      </c>
      <c r="C53" s="60"/>
      <c r="D53" s="25">
        <f>SUM(D23+D36+D49)</f>
        <v>37.089999999999996</v>
      </c>
      <c r="E53" s="40">
        <f>SUM(E23+E36+E49)</f>
        <v>9237.130000000001</v>
      </c>
      <c r="I53" s="82"/>
    </row>
    <row r="54" spans="1:9" ht="31.5" x14ac:dyDescent="0.25">
      <c r="A54" s="162"/>
      <c r="B54" s="11" t="s">
        <v>28</v>
      </c>
      <c r="C54" s="60"/>
      <c r="D54" s="26">
        <f>D21+D53</f>
        <v>49.26</v>
      </c>
      <c r="E54" s="41">
        <f>E21+E53</f>
        <v>12266.150000000001</v>
      </c>
      <c r="I54" s="82"/>
    </row>
    <row r="55" spans="1:9" ht="15.75" x14ac:dyDescent="0.25">
      <c r="A55" s="162"/>
      <c r="B55" s="13" t="s">
        <v>212</v>
      </c>
      <c r="C55" s="60"/>
      <c r="D55" s="26">
        <f>D54*0.12</f>
        <v>5.9111999999999991</v>
      </c>
      <c r="E55" s="41">
        <f>E54*0.12</f>
        <v>1471.9380000000001</v>
      </c>
      <c r="I55" s="82"/>
    </row>
    <row r="56" spans="1:9" ht="31.5" x14ac:dyDescent="0.25">
      <c r="A56" s="6"/>
      <c r="B56" s="169" t="s">
        <v>30</v>
      </c>
      <c r="C56" s="170"/>
      <c r="D56" s="171">
        <f>D54*1.12</f>
        <v>55.171200000000006</v>
      </c>
      <c r="E56" s="172">
        <f>E54*1.12-0.6</f>
        <v>13737.488000000003</v>
      </c>
    </row>
    <row r="57" spans="1:9" ht="15.75" x14ac:dyDescent="0.25">
      <c r="A57" s="397" t="s">
        <v>1507</v>
      </c>
      <c r="B57" s="397"/>
      <c r="C57" s="397"/>
      <c r="D57" s="8">
        <v>249</v>
      </c>
      <c r="E57" s="155" t="s">
        <v>65</v>
      </c>
    </row>
    <row r="58" spans="1:9" ht="30.6" customHeight="1" x14ac:dyDescent="0.25">
      <c r="A58" s="397" t="s">
        <v>226</v>
      </c>
      <c r="B58" s="397"/>
      <c r="C58" s="397"/>
      <c r="D58" s="8">
        <f>ROUND((E56/D57),2)</f>
        <v>55.17</v>
      </c>
      <c r="E58" s="191" t="s">
        <v>227</v>
      </c>
      <c r="G58" s="305"/>
    </row>
    <row r="59" spans="1:9" ht="15.75" x14ac:dyDescent="0.25">
      <c r="A59" s="1"/>
      <c r="B59" s="1"/>
      <c r="C59" s="1"/>
      <c r="G59" s="305"/>
    </row>
    <row r="60" spans="1:9" x14ac:dyDescent="0.25">
      <c r="G60" s="305"/>
    </row>
    <row r="61" spans="1:9" x14ac:dyDescent="0.25">
      <c r="G61" s="305"/>
    </row>
  </sheetData>
  <mergeCells count="7">
    <mergeCell ref="A58:C58"/>
    <mergeCell ref="A2:C2"/>
    <mergeCell ref="A3:E3"/>
    <mergeCell ref="A4:B4"/>
    <mergeCell ref="A26:A34"/>
    <mergeCell ref="B26:B34"/>
    <mergeCell ref="A57:C57"/>
  </mergeCells>
  <pageMargins left="0.7" right="0.7" top="0.75" bottom="0.75" header="0.3" footer="0.3"/>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2254C2-2F8F-45DB-BB32-6F7D7A07B66B}">
  <dimension ref="A1:J61"/>
  <sheetViews>
    <sheetView topLeftCell="A46" zoomScaleNormal="100" workbookViewId="0">
      <selection activeCell="D59" sqref="D59"/>
    </sheetView>
  </sheetViews>
  <sheetFormatPr defaultRowHeight="15" x14ac:dyDescent="0.25"/>
  <cols>
    <col min="1" max="1" width="12.42578125" customWidth="1"/>
    <col min="2" max="2" width="27" customWidth="1"/>
    <col min="3" max="3" width="63.5703125" customWidth="1"/>
    <col min="4" max="4" width="9.28515625" customWidth="1"/>
    <col min="5" max="5" width="17.140625" customWidth="1"/>
    <col min="6" max="6" width="7.28515625" customWidth="1"/>
    <col min="7" max="7" width="8.5703125" customWidth="1"/>
    <col min="8" max="8" width="9.85546875" customWidth="1"/>
    <col min="9" max="9" width="6.85546875" customWidth="1"/>
    <col min="10" max="10" width="11.140625" customWidth="1"/>
  </cols>
  <sheetData>
    <row r="1" spans="1:10" ht="15.75" x14ac:dyDescent="0.25">
      <c r="A1" s="59" t="s">
        <v>46</v>
      </c>
    </row>
    <row r="2" spans="1:10" ht="18.75" x14ac:dyDescent="0.3">
      <c r="A2" s="404" t="s">
        <v>50</v>
      </c>
      <c r="B2" s="404"/>
      <c r="C2" s="404"/>
    </row>
    <row r="3" spans="1:10" ht="18.75" x14ac:dyDescent="0.25">
      <c r="A3" s="398" t="s">
        <v>177</v>
      </c>
      <c r="B3" s="398"/>
      <c r="C3" s="398"/>
      <c r="D3" s="398"/>
      <c r="E3" s="398"/>
    </row>
    <row r="4" spans="1:10" ht="15.75" x14ac:dyDescent="0.25">
      <c r="A4" s="405" t="s">
        <v>64</v>
      </c>
      <c r="B4" s="405"/>
    </row>
    <row r="6" spans="1:10" ht="75" customHeight="1" x14ac:dyDescent="0.25">
      <c r="A6" s="139" t="s">
        <v>0</v>
      </c>
      <c r="B6" s="139" t="s">
        <v>1</v>
      </c>
      <c r="C6" s="139" t="s">
        <v>2</v>
      </c>
      <c r="D6" s="152" t="s">
        <v>26</v>
      </c>
      <c r="E6" s="152" t="s">
        <v>27</v>
      </c>
    </row>
    <row r="7" spans="1:10" x14ac:dyDescent="0.25">
      <c r="A7" s="277">
        <v>1</v>
      </c>
      <c r="B7" s="277">
        <v>2</v>
      </c>
      <c r="C7" s="277">
        <v>3</v>
      </c>
      <c r="D7" s="277">
        <v>4</v>
      </c>
      <c r="E7" s="277">
        <v>5</v>
      </c>
    </row>
    <row r="8" spans="1:10" ht="15.75" x14ac:dyDescent="0.25">
      <c r="A8" s="4"/>
      <c r="B8" s="7" t="s">
        <v>7</v>
      </c>
      <c r="C8" s="60" t="s">
        <v>8</v>
      </c>
      <c r="D8" s="24"/>
      <c r="E8" s="22"/>
    </row>
    <row r="9" spans="1:10" ht="15.75" x14ac:dyDescent="0.25">
      <c r="A9" s="8">
        <v>1000</v>
      </c>
      <c r="B9" s="7" t="s">
        <v>9</v>
      </c>
      <c r="C9" s="269"/>
      <c r="D9" s="25">
        <f>D10+D18</f>
        <v>9.14</v>
      </c>
      <c r="E9" s="25">
        <f>E10+E18</f>
        <v>484.18</v>
      </c>
    </row>
    <row r="10" spans="1:10" ht="15.75" x14ac:dyDescent="0.25">
      <c r="A10" s="265">
        <v>1100</v>
      </c>
      <c r="B10" s="265" t="s">
        <v>10</v>
      </c>
      <c r="C10" s="269"/>
      <c r="D10" s="25">
        <f>SUM(D12:D17)</f>
        <v>7.1400000000000006</v>
      </c>
      <c r="E10" s="25">
        <f>SUM(E12:E17)</f>
        <v>377.86</v>
      </c>
    </row>
    <row r="11" spans="1:10" ht="15.75" x14ac:dyDescent="0.25">
      <c r="A11" s="16">
        <v>1110</v>
      </c>
      <c r="B11" s="16" t="s">
        <v>217</v>
      </c>
      <c r="C11" s="137" t="s">
        <v>218</v>
      </c>
      <c r="D11" s="58">
        <f>SUM(D12:D16)</f>
        <v>6.49</v>
      </c>
      <c r="E11" s="58">
        <f>SUM(E12:E16)</f>
        <v>343.51</v>
      </c>
    </row>
    <row r="12" spans="1:10" ht="80.25" customHeight="1" x14ac:dyDescent="0.25">
      <c r="A12" s="126"/>
      <c r="B12" s="129"/>
      <c r="C12" s="142" t="s">
        <v>1509</v>
      </c>
      <c r="D12" s="58">
        <f>ROUND((E12/D57),2)</f>
        <v>1.28</v>
      </c>
      <c r="E12" s="108">
        <f>ROUND((489.79*12*0.0115),2)</f>
        <v>67.59</v>
      </c>
      <c r="J12" s="278"/>
    </row>
    <row r="13" spans="1:10" ht="76.5" customHeight="1" x14ac:dyDescent="0.25">
      <c r="A13" s="143"/>
      <c r="B13" s="144"/>
      <c r="C13" s="142" t="s">
        <v>1510</v>
      </c>
      <c r="D13" s="58">
        <f>ROUND((E13/D57),2)</f>
        <v>1.61</v>
      </c>
      <c r="E13" s="108">
        <f>ROUND((619.13*12*0.0115),2)</f>
        <v>85.44</v>
      </c>
      <c r="J13" s="278"/>
    </row>
    <row r="14" spans="1:10" ht="78.75" x14ac:dyDescent="0.25">
      <c r="A14" s="127"/>
      <c r="B14" s="130"/>
      <c r="C14" s="142" t="s">
        <v>1511</v>
      </c>
      <c r="D14" s="58">
        <f>ROUND((E14/D57),2)</f>
        <v>1.51</v>
      </c>
      <c r="E14" s="108">
        <f>ROUND((579.53*12*0.0115),2)</f>
        <v>79.98</v>
      </c>
      <c r="G14" s="39"/>
      <c r="J14" s="278"/>
    </row>
    <row r="15" spans="1:10" ht="77.099999999999994" customHeight="1" x14ac:dyDescent="0.25">
      <c r="A15" s="127"/>
      <c r="B15" s="130"/>
      <c r="C15" s="142" t="s">
        <v>1512</v>
      </c>
      <c r="D15" s="58">
        <f>ROUND((E15/D57),2)</f>
        <v>1.36</v>
      </c>
      <c r="E15" s="108">
        <f>ROUND((521.51*12*0.0115),2)</f>
        <v>71.97</v>
      </c>
      <c r="G15" s="39"/>
      <c r="J15" s="278"/>
    </row>
    <row r="16" spans="1:10" ht="79.5" customHeight="1" x14ac:dyDescent="0.25">
      <c r="A16" s="128"/>
      <c r="B16" s="131"/>
      <c r="C16" s="142" t="s">
        <v>1513</v>
      </c>
      <c r="D16" s="58">
        <f>ROUND((E16/D57),2)</f>
        <v>0.73</v>
      </c>
      <c r="E16" s="108">
        <f>ROUND((279.2*12*0.0115),2)</f>
        <v>38.53</v>
      </c>
      <c r="J16" s="278"/>
    </row>
    <row r="17" spans="1:10" ht="80.099999999999994" customHeight="1" x14ac:dyDescent="0.25">
      <c r="A17" s="122">
        <v>1140</v>
      </c>
      <c r="B17" s="5" t="s">
        <v>214</v>
      </c>
      <c r="C17" s="142" t="s">
        <v>1144</v>
      </c>
      <c r="D17" s="58">
        <f>ROUND((E17/D57),2)</f>
        <v>0.65</v>
      </c>
      <c r="E17" s="108">
        <f>ROUND((67.59*0.1+85.44*0.1+79.98*0.1+71.97*0.1+38.53*0.1),2)</f>
        <v>34.35</v>
      </c>
      <c r="J17" s="278"/>
    </row>
    <row r="18" spans="1:10" ht="62.25" customHeight="1" x14ac:dyDescent="0.25">
      <c r="A18" s="7">
        <v>1200</v>
      </c>
      <c r="B18" s="281" t="s">
        <v>11</v>
      </c>
      <c r="C18" s="166" t="s">
        <v>1147</v>
      </c>
      <c r="D18" s="83">
        <f>ROUND((D19+D20),2)</f>
        <v>2</v>
      </c>
      <c r="E18" s="83">
        <f>ROUND((E19+E20),2)</f>
        <v>106.32</v>
      </c>
      <c r="J18" s="278"/>
    </row>
    <row r="19" spans="1:10" ht="47.25" x14ac:dyDescent="0.25">
      <c r="A19" s="4">
        <v>1210</v>
      </c>
      <c r="B19" s="5" t="s">
        <v>216</v>
      </c>
      <c r="C19" s="166" t="s">
        <v>1145</v>
      </c>
      <c r="D19" s="58">
        <f>ROUND((E19/D57),2)</f>
        <v>1.68</v>
      </c>
      <c r="E19" s="44">
        <f>ROUND((377.86*0.2359),2)</f>
        <v>89.14</v>
      </c>
      <c r="J19" s="278"/>
    </row>
    <row r="20" spans="1:10" ht="77.25" customHeight="1" x14ac:dyDescent="0.25">
      <c r="A20" s="4">
        <v>1227</v>
      </c>
      <c r="B20" s="5" t="s">
        <v>215</v>
      </c>
      <c r="C20" s="142" t="s">
        <v>1146</v>
      </c>
      <c r="D20" s="58">
        <f>ROUND((E20/D57),2)</f>
        <v>0.32</v>
      </c>
      <c r="E20" s="108">
        <f>ROUND((67.59*0.05+85.44*0.05+79.98*0.05+71.97*0.05+38.53*0.05),2)</f>
        <v>17.18</v>
      </c>
      <c r="F20" s="39"/>
      <c r="G20" s="39"/>
      <c r="H20" s="39"/>
      <c r="I20" s="39"/>
      <c r="J20" s="278"/>
    </row>
    <row r="21" spans="1:10" ht="15.75" x14ac:dyDescent="0.25">
      <c r="A21" s="4"/>
      <c r="B21" s="9" t="s">
        <v>14</v>
      </c>
      <c r="C21" s="141" t="s">
        <v>16</v>
      </c>
      <c r="D21" s="25">
        <f>D9</f>
        <v>9.14</v>
      </c>
      <c r="E21" s="43">
        <f>E9</f>
        <v>484.18</v>
      </c>
      <c r="J21" s="278"/>
    </row>
    <row r="22" spans="1:10" ht="15.75" x14ac:dyDescent="0.25">
      <c r="A22" s="4"/>
      <c r="B22" s="9" t="s">
        <v>15</v>
      </c>
      <c r="C22" s="140" t="s">
        <v>8</v>
      </c>
      <c r="D22" s="22"/>
      <c r="E22" s="42"/>
      <c r="J22" s="278"/>
    </row>
    <row r="23" spans="1:10" ht="15.75" x14ac:dyDescent="0.25">
      <c r="A23" s="8">
        <v>1000</v>
      </c>
      <c r="B23" s="7" t="s">
        <v>9</v>
      </c>
      <c r="C23" s="140"/>
      <c r="D23" s="83">
        <f>SUM(D24+D35)</f>
        <v>1.53</v>
      </c>
      <c r="E23" s="83">
        <f>SUM(E24+E35)</f>
        <v>80.589999999999989</v>
      </c>
      <c r="J23" s="278"/>
    </row>
    <row r="24" spans="1:10" ht="15.75" x14ac:dyDescent="0.25">
      <c r="A24" s="4">
        <v>1100</v>
      </c>
      <c r="B24" s="4" t="s">
        <v>10</v>
      </c>
      <c r="C24" s="137" t="s">
        <v>223</v>
      </c>
      <c r="D24" s="83">
        <f>SUM(D25:D34)</f>
        <v>1.24</v>
      </c>
      <c r="E24" s="83">
        <f>SUM(E25:E34)</f>
        <v>65.209999999999994</v>
      </c>
      <c r="J24" s="278"/>
    </row>
    <row r="25" spans="1:10" ht="78.75" customHeight="1" x14ac:dyDescent="0.25">
      <c r="A25" s="222"/>
      <c r="B25" s="223"/>
      <c r="C25" s="142" t="s">
        <v>1514</v>
      </c>
      <c r="D25" s="27">
        <f>ROUND((E25/D57),2)</f>
        <v>0.04</v>
      </c>
      <c r="E25" s="45">
        <f>ROUND((14.34*12*0.0115),2)</f>
        <v>1.98</v>
      </c>
      <c r="J25" s="278"/>
    </row>
    <row r="26" spans="1:10" ht="78.75" x14ac:dyDescent="0.25">
      <c r="A26" s="401"/>
      <c r="B26" s="399"/>
      <c r="C26" s="142" t="s">
        <v>1515</v>
      </c>
      <c r="D26" s="27">
        <f>ROUND((E26/D57),2)</f>
        <v>0.02</v>
      </c>
      <c r="E26" s="45">
        <f>ROUND((9.41*12*0.0115),2)</f>
        <v>1.3</v>
      </c>
      <c r="J26" s="278"/>
    </row>
    <row r="27" spans="1:10" ht="78.75" x14ac:dyDescent="0.25">
      <c r="A27" s="401"/>
      <c r="B27" s="399"/>
      <c r="C27" s="142" t="s">
        <v>1516</v>
      </c>
      <c r="D27" s="27">
        <f>ROUND((E27/D57),2)</f>
        <v>0.04</v>
      </c>
      <c r="E27" s="45">
        <f>ROUND((13.76*12*0.0115),2)</f>
        <v>1.9</v>
      </c>
      <c r="J27" s="278"/>
    </row>
    <row r="28" spans="1:10" ht="78.75" customHeight="1" x14ac:dyDescent="0.25">
      <c r="A28" s="401"/>
      <c r="B28" s="399"/>
      <c r="C28" s="142" t="s">
        <v>1517</v>
      </c>
      <c r="D28" s="27">
        <f>ROUND((E28/D57),2)</f>
        <v>0.05</v>
      </c>
      <c r="E28" s="45">
        <f>ROUND((18.79*12*0.0115),2)</f>
        <v>2.59</v>
      </c>
      <c r="J28" s="278"/>
    </row>
    <row r="29" spans="1:10" ht="78.75" customHeight="1" x14ac:dyDescent="0.25">
      <c r="A29" s="401"/>
      <c r="B29" s="399"/>
      <c r="C29" s="62" t="s">
        <v>1518</v>
      </c>
      <c r="D29" s="27">
        <f>ROUND((E29/D57),2)</f>
        <v>0.03</v>
      </c>
      <c r="E29" s="27">
        <f>ROUND((13.27*12*0.0115),2)</f>
        <v>1.83</v>
      </c>
      <c r="J29" s="278"/>
    </row>
    <row r="30" spans="1:10" ht="78.75" x14ac:dyDescent="0.25">
      <c r="A30" s="401"/>
      <c r="B30" s="399"/>
      <c r="C30" s="62" t="s">
        <v>1519</v>
      </c>
      <c r="D30" s="27">
        <f>ROUND((E30/D57),2)</f>
        <v>0.2</v>
      </c>
      <c r="E30" s="27">
        <f>ROUND((76.43*12*0.0115),2)</f>
        <v>10.55</v>
      </c>
      <c r="J30" s="278"/>
    </row>
    <row r="31" spans="1:10" ht="78.75" x14ac:dyDescent="0.25">
      <c r="A31" s="401"/>
      <c r="B31" s="399"/>
      <c r="C31" s="62" t="s">
        <v>1520</v>
      </c>
      <c r="D31" s="45">
        <f>ROUND((E31/D57),2)</f>
        <v>0.21</v>
      </c>
      <c r="E31" s="27">
        <f>ROUND((79.88*12*0.0115),2)</f>
        <v>11.02</v>
      </c>
      <c r="J31" s="278"/>
    </row>
    <row r="32" spans="1:10" ht="78.75" x14ac:dyDescent="0.25">
      <c r="A32" s="401"/>
      <c r="B32" s="399"/>
      <c r="C32" s="62" t="s">
        <v>1523</v>
      </c>
      <c r="D32" s="45">
        <f>ROUND((E32/D57),2)</f>
        <v>0.26</v>
      </c>
      <c r="E32" s="27">
        <f>ROUND((98.9*12*0.0115),2)</f>
        <v>13.65</v>
      </c>
      <c r="J32" s="278"/>
    </row>
    <row r="33" spans="1:10" ht="94.5" x14ac:dyDescent="0.25">
      <c r="A33" s="401"/>
      <c r="B33" s="399"/>
      <c r="C33" s="62" t="s">
        <v>1521</v>
      </c>
      <c r="D33" s="45">
        <f>ROUND((E33/D57),2)</f>
        <v>0.31</v>
      </c>
      <c r="E33" s="27">
        <f>ROUND((118.42*12*0.0115),2)</f>
        <v>16.34</v>
      </c>
      <c r="J33" s="278"/>
    </row>
    <row r="34" spans="1:10" ht="78.75" x14ac:dyDescent="0.25">
      <c r="A34" s="402"/>
      <c r="B34" s="400"/>
      <c r="C34" s="62" t="s">
        <v>1522</v>
      </c>
      <c r="D34" s="45">
        <f>ROUND((E34/D57),2)</f>
        <v>0.08</v>
      </c>
      <c r="E34" s="27">
        <f>ROUND((29.35*12*0.0115),2)</f>
        <v>4.05</v>
      </c>
      <c r="J34" s="278"/>
    </row>
    <row r="35" spans="1:10" ht="65.25" customHeight="1" x14ac:dyDescent="0.25">
      <c r="A35" s="7">
        <v>1200</v>
      </c>
      <c r="B35" s="156" t="s">
        <v>11</v>
      </c>
      <c r="C35" s="63" t="s">
        <v>1524</v>
      </c>
      <c r="D35" s="83">
        <f>ROUND((E35/D57),2)</f>
        <v>0.28999999999999998</v>
      </c>
      <c r="E35" s="86">
        <f>ROUND((65.21*0.2359),2)</f>
        <v>15.38</v>
      </c>
      <c r="J35" s="278"/>
    </row>
    <row r="36" spans="1:10" ht="15.75" x14ac:dyDescent="0.25">
      <c r="A36" s="8">
        <v>2000</v>
      </c>
      <c r="B36" s="7" t="s">
        <v>12</v>
      </c>
      <c r="C36" s="60"/>
      <c r="D36" s="43">
        <f>SUM(D37:D48)</f>
        <v>24.360000000000003</v>
      </c>
      <c r="E36" s="43">
        <f>SUM(E37:E48)</f>
        <v>1290.5499999999997</v>
      </c>
      <c r="J36" s="278"/>
    </row>
    <row r="37" spans="1:10" ht="31.5" customHeight="1" x14ac:dyDescent="0.25">
      <c r="A37" s="4">
        <v>2221</v>
      </c>
      <c r="B37" s="84" t="s">
        <v>54</v>
      </c>
      <c r="C37" s="63" t="s">
        <v>546</v>
      </c>
      <c r="D37" s="44">
        <f>ROUND((E37/D57),2)</f>
        <v>11.87</v>
      </c>
      <c r="E37" s="44">
        <f>ROUND((54700.57*0.0115),2)</f>
        <v>629.05999999999995</v>
      </c>
      <c r="J37" s="278"/>
    </row>
    <row r="38" spans="1:10" ht="31.5" x14ac:dyDescent="0.25">
      <c r="A38" s="4">
        <v>2222</v>
      </c>
      <c r="B38" s="118" t="s">
        <v>55</v>
      </c>
      <c r="C38" s="5" t="s">
        <v>547</v>
      </c>
      <c r="D38" s="44">
        <f>ROUND((E38/D57),2)</f>
        <v>1.65</v>
      </c>
      <c r="E38" s="44">
        <f>ROUND((7587.77*0.0115),2)</f>
        <v>87.26</v>
      </c>
      <c r="J38" s="278"/>
    </row>
    <row r="39" spans="1:10" ht="33.75" customHeight="1" x14ac:dyDescent="0.25">
      <c r="A39" s="4">
        <v>2223</v>
      </c>
      <c r="B39" s="118" t="s">
        <v>19</v>
      </c>
      <c r="C39" s="166" t="s">
        <v>548</v>
      </c>
      <c r="D39" s="44">
        <f>ROUND((E39/D57),2)</f>
        <v>2.35</v>
      </c>
      <c r="E39" s="44">
        <f>ROUND((10851.74*0.0115),2)</f>
        <v>124.8</v>
      </c>
      <c r="J39" s="278"/>
    </row>
    <row r="40" spans="1:10" ht="79.5" customHeight="1" x14ac:dyDescent="0.25">
      <c r="A40" s="4">
        <v>2224</v>
      </c>
      <c r="B40" s="84" t="s">
        <v>56</v>
      </c>
      <c r="C40" s="63" t="s">
        <v>549</v>
      </c>
      <c r="D40" s="44">
        <f>ROUND((E40/D57),2)</f>
        <v>0.17</v>
      </c>
      <c r="E40" s="44">
        <f>ROUND((761.81*0.0115),2)</f>
        <v>8.76</v>
      </c>
      <c r="J40" s="278"/>
    </row>
    <row r="41" spans="1:10" ht="31.5" x14ac:dyDescent="0.25">
      <c r="A41" s="4">
        <v>2239</v>
      </c>
      <c r="B41" s="338" t="s">
        <v>20</v>
      </c>
      <c r="C41" s="117" t="s">
        <v>550</v>
      </c>
      <c r="D41" s="44">
        <f>ROUND((E41/D57),2)</f>
        <v>0.05</v>
      </c>
      <c r="E41" s="44">
        <f>ROUND((224.51*0.0115),2)</f>
        <v>2.58</v>
      </c>
      <c r="J41" s="278"/>
    </row>
    <row r="42" spans="1:10" ht="49.5" customHeight="1" x14ac:dyDescent="0.25">
      <c r="A42" s="4">
        <v>2243</v>
      </c>
      <c r="B42" s="84" t="s">
        <v>21</v>
      </c>
      <c r="C42" s="84" t="s">
        <v>551</v>
      </c>
      <c r="D42" s="44">
        <f>ROUND((E42/D57),2)</f>
        <v>0.43</v>
      </c>
      <c r="E42" s="44">
        <f>ROUND((1993.08*0.0115),2)</f>
        <v>22.92</v>
      </c>
      <c r="J42" s="278"/>
    </row>
    <row r="43" spans="1:10" ht="46.5" customHeight="1" x14ac:dyDescent="0.25">
      <c r="A43" s="4">
        <v>2244</v>
      </c>
      <c r="B43" s="84" t="s">
        <v>22</v>
      </c>
      <c r="C43" s="63" t="s">
        <v>552</v>
      </c>
      <c r="D43" s="44">
        <f>ROUND((E43/D57),2)</f>
        <v>1.62</v>
      </c>
      <c r="E43" s="44">
        <f>ROUND((7456.84*0.0115),2)</f>
        <v>85.75</v>
      </c>
      <c r="J43" s="278"/>
    </row>
    <row r="44" spans="1:10" ht="47.25" x14ac:dyDescent="0.25">
      <c r="A44" s="4">
        <v>2249</v>
      </c>
      <c r="B44" s="84" t="s">
        <v>45</v>
      </c>
      <c r="C44" s="63" t="s">
        <v>553</v>
      </c>
      <c r="D44" s="27">
        <f>ROUND((E44/D57),2)</f>
        <v>2.2799999999999998</v>
      </c>
      <c r="E44" s="44">
        <f>ROUND((10528.91*0.0115),2)</f>
        <v>121.08</v>
      </c>
      <c r="J44" s="278"/>
    </row>
    <row r="45" spans="1:10" ht="31.5" customHeight="1" x14ac:dyDescent="0.25">
      <c r="A45" s="4">
        <v>2312</v>
      </c>
      <c r="B45" s="173" t="s">
        <v>13</v>
      </c>
      <c r="C45" s="166" t="s">
        <v>554</v>
      </c>
      <c r="D45" s="27">
        <f>ROUND((E45/D57),2)</f>
        <v>0.16</v>
      </c>
      <c r="E45" s="44">
        <f>ROUND((737.42*0.0115),2)</f>
        <v>8.48</v>
      </c>
      <c r="J45" s="278"/>
    </row>
    <row r="46" spans="1:10" ht="45.75" customHeight="1" x14ac:dyDescent="0.25">
      <c r="A46" s="4">
        <v>2350</v>
      </c>
      <c r="B46" s="118" t="s">
        <v>213</v>
      </c>
      <c r="C46" s="63" t="s">
        <v>555</v>
      </c>
      <c r="D46" s="27">
        <f>ROUND((E46/D57),2)</f>
        <v>0.17</v>
      </c>
      <c r="E46" s="58">
        <f>ROUND((780.26*0.0115),2)</f>
        <v>8.9700000000000006</v>
      </c>
      <c r="J46" s="278"/>
    </row>
    <row r="47" spans="1:10" ht="32.25" customHeight="1" x14ac:dyDescent="0.25">
      <c r="A47" s="4">
        <v>2513</v>
      </c>
      <c r="B47" s="118" t="s">
        <v>57</v>
      </c>
      <c r="C47" s="63" t="s">
        <v>556</v>
      </c>
      <c r="D47" s="27">
        <f>ROUND((E47/D57),2)</f>
        <v>3.18</v>
      </c>
      <c r="E47" s="45">
        <f>ROUND((14633.92*0.0115),2)</f>
        <v>168.29</v>
      </c>
      <c r="J47" s="278"/>
    </row>
    <row r="48" spans="1:10" ht="33" customHeight="1" x14ac:dyDescent="0.25">
      <c r="A48" s="4">
        <v>2515</v>
      </c>
      <c r="B48" s="118" t="s">
        <v>44</v>
      </c>
      <c r="C48" s="63" t="s">
        <v>557</v>
      </c>
      <c r="D48" s="45">
        <f>ROUND((E48/D57),2)</f>
        <v>0.43</v>
      </c>
      <c r="E48" s="45">
        <f>ROUND((1964.86*0.0115),2)</f>
        <v>22.6</v>
      </c>
      <c r="J48" s="278"/>
    </row>
    <row r="49" spans="1:10" ht="15.75" x14ac:dyDescent="0.25">
      <c r="A49" s="10">
        <v>5000</v>
      </c>
      <c r="B49" s="9" t="s">
        <v>17</v>
      </c>
      <c r="C49" s="60"/>
      <c r="D49" s="25">
        <f>SUM(D50:D52)</f>
        <v>1.97</v>
      </c>
      <c r="E49" s="25">
        <f>SUM(E50:E52)</f>
        <v>104.22</v>
      </c>
      <c r="J49" s="278"/>
    </row>
    <row r="50" spans="1:10" ht="32.25" customHeight="1" x14ac:dyDescent="0.25">
      <c r="A50" s="4">
        <v>5213</v>
      </c>
      <c r="B50" s="118" t="s">
        <v>32</v>
      </c>
      <c r="C50" s="63" t="s">
        <v>690</v>
      </c>
      <c r="D50" s="45">
        <f>ROUND((E50/D57),2)</f>
        <v>0.03</v>
      </c>
      <c r="E50" s="45">
        <f>ROUND((158.25*0.0115),2)</f>
        <v>1.82</v>
      </c>
      <c r="J50" s="278"/>
    </row>
    <row r="51" spans="1:10" ht="32.25" customHeight="1" x14ac:dyDescent="0.25">
      <c r="A51" s="18">
        <v>5218</v>
      </c>
      <c r="B51" s="84" t="s">
        <v>33</v>
      </c>
      <c r="C51" s="63" t="s">
        <v>691</v>
      </c>
      <c r="D51" s="163">
        <f>ROUND((E51/D57+0.01),2)</f>
        <v>0.78</v>
      </c>
      <c r="E51" s="45">
        <f>ROUND((3538.2*0.0115),2)</f>
        <v>40.69</v>
      </c>
      <c r="J51" s="278"/>
    </row>
    <row r="52" spans="1:10" ht="48.6" customHeight="1" x14ac:dyDescent="0.25">
      <c r="A52" s="18">
        <v>5239</v>
      </c>
      <c r="B52" s="84" t="s">
        <v>18</v>
      </c>
      <c r="C52" s="63" t="s">
        <v>692</v>
      </c>
      <c r="D52" s="45">
        <f>ROUND((E52/D57),2)</f>
        <v>1.1599999999999999</v>
      </c>
      <c r="E52" s="45">
        <f>ROUND((5366.12*0.0115),2)</f>
        <v>61.71</v>
      </c>
      <c r="J52" s="278"/>
    </row>
    <row r="53" spans="1:10" ht="15.75" x14ac:dyDescent="0.25">
      <c r="A53" s="4"/>
      <c r="B53" s="9" t="s">
        <v>23</v>
      </c>
      <c r="C53" s="60"/>
      <c r="D53" s="25">
        <f>SUM(D23+D36+D49)</f>
        <v>27.860000000000003</v>
      </c>
      <c r="E53" s="40">
        <f>SUM(E23+E36+E49)</f>
        <v>1475.3599999999997</v>
      </c>
      <c r="J53" s="278"/>
    </row>
    <row r="54" spans="1:10" ht="31.5" x14ac:dyDescent="0.25">
      <c r="A54" s="4"/>
      <c r="B54" s="11" t="s">
        <v>28</v>
      </c>
      <c r="C54" s="60"/>
      <c r="D54" s="26">
        <f>D21+D53-0.71</f>
        <v>36.29</v>
      </c>
      <c r="E54" s="41">
        <f>E21+E53-36.2</f>
        <v>1923.3399999999997</v>
      </c>
      <c r="J54" s="278"/>
    </row>
    <row r="55" spans="1:10" ht="15.75" x14ac:dyDescent="0.25">
      <c r="A55" s="20"/>
      <c r="B55" s="13" t="s">
        <v>212</v>
      </c>
      <c r="C55" s="60"/>
      <c r="D55" s="26">
        <f>D54*0.12</f>
        <v>4.3548</v>
      </c>
      <c r="E55" s="41">
        <f>E54*0.12</f>
        <v>230.80079999999995</v>
      </c>
      <c r="J55" s="278"/>
    </row>
    <row r="56" spans="1:10" ht="31.5" x14ac:dyDescent="0.25">
      <c r="A56" s="20"/>
      <c r="B56" s="169" t="s">
        <v>30</v>
      </c>
      <c r="C56" s="170"/>
      <c r="D56" s="171">
        <f>D54*1.12</f>
        <v>40.644800000000004</v>
      </c>
      <c r="E56" s="172">
        <f>E54*1.12</f>
        <v>2154.1407999999997</v>
      </c>
      <c r="J56" s="278"/>
    </row>
    <row r="57" spans="1:10" ht="15.75" x14ac:dyDescent="0.25">
      <c r="A57" s="397" t="s">
        <v>1508</v>
      </c>
      <c r="B57" s="397"/>
      <c r="C57" s="397"/>
      <c r="D57" s="8">
        <v>53</v>
      </c>
      <c r="E57" s="155" t="s">
        <v>65</v>
      </c>
    </row>
    <row r="58" spans="1:10" ht="30.6" customHeight="1" x14ac:dyDescent="0.25">
      <c r="A58" s="397" t="s">
        <v>226</v>
      </c>
      <c r="B58" s="397"/>
      <c r="C58" s="397"/>
      <c r="D58" s="350">
        <f>ROUND((E56/D57),2)</f>
        <v>40.64</v>
      </c>
      <c r="E58" s="191" t="s">
        <v>227</v>
      </c>
      <c r="G58" s="305"/>
    </row>
    <row r="59" spans="1:10" ht="15.75" x14ac:dyDescent="0.25">
      <c r="A59" s="1"/>
      <c r="B59" s="1"/>
      <c r="C59" s="1"/>
      <c r="G59" s="305"/>
    </row>
    <row r="60" spans="1:10" x14ac:dyDescent="0.25">
      <c r="G60" s="319"/>
    </row>
    <row r="61" spans="1:10" x14ac:dyDescent="0.25">
      <c r="G61" s="305"/>
    </row>
  </sheetData>
  <mergeCells count="7">
    <mergeCell ref="A58:C58"/>
    <mergeCell ref="A2:C2"/>
    <mergeCell ref="A3:E3"/>
    <mergeCell ref="A4:B4"/>
    <mergeCell ref="A26:A34"/>
    <mergeCell ref="B26:B34"/>
    <mergeCell ref="A57:C57"/>
  </mergeCells>
  <pageMargins left="0.7" right="0.7" top="0.75" bottom="0.75" header="0.3" footer="0.3"/>
  <pageSetup paperSize="9" orientation="landscape" r:id="rId1"/>
  <rowBreaks count="3" manualBreakCount="3">
    <brk id="21" max="4" man="1"/>
    <brk id="35" max="4" man="1"/>
    <brk id="45" max="4" man="1"/>
  </rowBreaks>
  <ignoredErrors>
    <ignoredError sqref="D18:E18" formula="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6AAF0A-4774-4D3C-A3DE-5F6F3F196704}">
  <dimension ref="A1:L60"/>
  <sheetViews>
    <sheetView topLeftCell="A49" zoomScaleNormal="100" workbookViewId="0">
      <selection activeCell="D59" sqref="D59"/>
    </sheetView>
  </sheetViews>
  <sheetFormatPr defaultRowHeight="15" x14ac:dyDescent="0.25"/>
  <cols>
    <col min="1" max="1" width="12.28515625" customWidth="1"/>
    <col min="2" max="2" width="27" customWidth="1"/>
    <col min="3" max="3" width="62.7109375" customWidth="1"/>
    <col min="4" max="4" width="9.85546875" customWidth="1"/>
    <col min="5" max="5" width="17.42578125" customWidth="1"/>
  </cols>
  <sheetData>
    <row r="1" spans="1:12" ht="18.75" x14ac:dyDescent="0.3">
      <c r="A1" s="148" t="s">
        <v>46</v>
      </c>
    </row>
    <row r="2" spans="1:12" ht="18.75" x14ac:dyDescent="0.3">
      <c r="A2" s="404" t="s">
        <v>50</v>
      </c>
      <c r="B2" s="404"/>
      <c r="C2" s="404"/>
    </row>
    <row r="3" spans="1:12" ht="18.75" x14ac:dyDescent="0.25">
      <c r="A3" s="398" t="s">
        <v>188</v>
      </c>
      <c r="B3" s="398"/>
      <c r="C3" s="398"/>
      <c r="D3" s="398"/>
      <c r="E3" s="398"/>
    </row>
    <row r="4" spans="1:12" ht="15.75" x14ac:dyDescent="0.25">
      <c r="A4" s="405" t="s">
        <v>64</v>
      </c>
      <c r="B4" s="405"/>
    </row>
    <row r="6" spans="1:12" ht="77.25" customHeight="1" x14ac:dyDescent="0.25">
      <c r="A6" s="139" t="s">
        <v>0</v>
      </c>
      <c r="B6" s="139" t="s">
        <v>1</v>
      </c>
      <c r="C6" s="139" t="s">
        <v>2</v>
      </c>
      <c r="D6" s="152" t="s">
        <v>26</v>
      </c>
      <c r="E6" s="152" t="s">
        <v>27</v>
      </c>
    </row>
    <row r="7" spans="1:12" ht="15.75" x14ac:dyDescent="0.25">
      <c r="A7" s="65">
        <v>1</v>
      </c>
      <c r="B7" s="65">
        <v>2</v>
      </c>
      <c r="C7" s="65">
        <v>3</v>
      </c>
      <c r="D7" s="27">
        <v>4</v>
      </c>
      <c r="E7" s="27">
        <v>5</v>
      </c>
    </row>
    <row r="8" spans="1:12" ht="15.75" x14ac:dyDescent="0.25">
      <c r="A8" s="4"/>
      <c r="B8" s="7" t="s">
        <v>7</v>
      </c>
      <c r="C8" s="65" t="s">
        <v>8</v>
      </c>
      <c r="D8" s="24"/>
      <c r="E8" s="22"/>
    </row>
    <row r="9" spans="1:12" ht="15.75" x14ac:dyDescent="0.25">
      <c r="A9" s="8">
        <v>1000</v>
      </c>
      <c r="B9" s="7" t="s">
        <v>9</v>
      </c>
      <c r="C9" s="269"/>
      <c r="D9" s="43">
        <f>D10+D18</f>
        <v>6.61</v>
      </c>
      <c r="E9" s="43">
        <f>E10+E18</f>
        <v>913.59</v>
      </c>
    </row>
    <row r="10" spans="1:12" ht="15.75" x14ac:dyDescent="0.25">
      <c r="A10" s="265">
        <v>1100</v>
      </c>
      <c r="B10" s="265" t="s">
        <v>10</v>
      </c>
      <c r="C10" s="269"/>
      <c r="D10" s="43">
        <f>SUM(D12:D17)</f>
        <v>5.16</v>
      </c>
      <c r="E10" s="43">
        <f>SUM(E12:E17)</f>
        <v>712.98</v>
      </c>
    </row>
    <row r="11" spans="1:12" ht="15.75" x14ac:dyDescent="0.25">
      <c r="A11" s="16">
        <v>1110</v>
      </c>
      <c r="B11" s="16" t="s">
        <v>217</v>
      </c>
      <c r="C11" s="137" t="s">
        <v>218</v>
      </c>
      <c r="D11" s="108">
        <f>SUM(D12:D16)</f>
        <v>4.6900000000000004</v>
      </c>
      <c r="E11" s="108">
        <f>SUM(E12:E16)</f>
        <v>648.17000000000007</v>
      </c>
    </row>
    <row r="12" spans="1:12" ht="78.75" customHeight="1" x14ac:dyDescent="0.25">
      <c r="A12" s="126"/>
      <c r="B12" s="129"/>
      <c r="C12" s="142" t="s">
        <v>1152</v>
      </c>
      <c r="D12" s="108">
        <f>ROUND((E12/D57),2)</f>
        <v>0.92</v>
      </c>
      <c r="E12" s="108">
        <f>ROUND((489.79*12*0.0217),2)</f>
        <v>127.54</v>
      </c>
      <c r="G12" s="189"/>
      <c r="I12" s="82"/>
      <c r="L12" s="50"/>
    </row>
    <row r="13" spans="1:12" ht="78.75" x14ac:dyDescent="0.25">
      <c r="A13" s="143"/>
      <c r="B13" s="144"/>
      <c r="C13" s="142" t="s">
        <v>1153</v>
      </c>
      <c r="D13" s="108">
        <f>ROUND((E13/D57),2)</f>
        <v>1.17</v>
      </c>
      <c r="E13" s="108">
        <f>ROUND((619.13*12*0.0217),2)</f>
        <v>161.22</v>
      </c>
      <c r="F13" s="39"/>
      <c r="G13" s="212"/>
      <c r="I13" s="82"/>
    </row>
    <row r="14" spans="1:12" ht="78.75" x14ac:dyDescent="0.25">
      <c r="A14" s="127"/>
      <c r="B14" s="130"/>
      <c r="C14" s="142" t="s">
        <v>1154</v>
      </c>
      <c r="D14" s="108">
        <f>ROUND((E14/D57),2)</f>
        <v>1.0900000000000001</v>
      </c>
      <c r="E14" s="108">
        <f>ROUND((579.53*12*0.0217),2)</f>
        <v>150.91</v>
      </c>
      <c r="G14" s="212"/>
      <c r="I14" s="82"/>
    </row>
    <row r="15" spans="1:12" ht="78.75" x14ac:dyDescent="0.25">
      <c r="A15" s="127"/>
      <c r="B15" s="130"/>
      <c r="C15" s="142" t="s">
        <v>1155</v>
      </c>
      <c r="D15" s="108">
        <f>ROUND((E15/D57),2)</f>
        <v>0.98</v>
      </c>
      <c r="E15" s="108">
        <f>ROUND((521.51*12*0.0217),2)</f>
        <v>135.80000000000001</v>
      </c>
      <c r="G15" s="212"/>
      <c r="I15" s="82"/>
    </row>
    <row r="16" spans="1:12" ht="78.75" x14ac:dyDescent="0.25">
      <c r="A16" s="128"/>
      <c r="B16" s="131"/>
      <c r="C16" s="142" t="s">
        <v>1156</v>
      </c>
      <c r="D16" s="108">
        <f>ROUND((E16/D57),2)</f>
        <v>0.53</v>
      </c>
      <c r="E16" s="108">
        <f>ROUND((279.2*12*0.0217),2)</f>
        <v>72.7</v>
      </c>
      <c r="G16" s="212"/>
      <c r="I16" s="82"/>
    </row>
    <row r="17" spans="1:12" ht="94.5" x14ac:dyDescent="0.25">
      <c r="A17" s="122">
        <v>1140</v>
      </c>
      <c r="B17" s="5" t="s">
        <v>214</v>
      </c>
      <c r="C17" s="142" t="s">
        <v>1148</v>
      </c>
      <c r="D17" s="108">
        <f>ROUND((E17/D57),2)</f>
        <v>0.47</v>
      </c>
      <c r="E17" s="108">
        <f>ROUND((127.54*0.1+161.22*0.1+150.91*0.1+135.8*0.1+72.7*0.1-0.01),2)</f>
        <v>64.81</v>
      </c>
      <c r="G17" s="212"/>
      <c r="I17" s="82"/>
    </row>
    <row r="18" spans="1:12" ht="63" customHeight="1" x14ac:dyDescent="0.25">
      <c r="A18" s="7">
        <v>1200</v>
      </c>
      <c r="B18" s="281" t="s">
        <v>11</v>
      </c>
      <c r="C18" s="166" t="s">
        <v>1151</v>
      </c>
      <c r="D18" s="86">
        <f>ROUND((D19+D20),2)</f>
        <v>1.45</v>
      </c>
      <c r="E18" s="86">
        <f>ROUND((E19+E20),2)</f>
        <v>200.61</v>
      </c>
      <c r="G18" s="212"/>
      <c r="I18" s="82"/>
    </row>
    <row r="19" spans="1:12" ht="47.25" x14ac:dyDescent="0.25">
      <c r="A19" s="4">
        <v>1210</v>
      </c>
      <c r="B19" s="5" t="s">
        <v>216</v>
      </c>
      <c r="C19" s="166" t="s">
        <v>1149</v>
      </c>
      <c r="D19" s="44">
        <f>ROUND((E19/D57),2)</f>
        <v>1.22</v>
      </c>
      <c r="E19" s="44">
        <f>ROUND((712.98*0.2359),2)</f>
        <v>168.19</v>
      </c>
      <c r="G19" s="212"/>
      <c r="I19" s="82"/>
    </row>
    <row r="20" spans="1:12" ht="78" customHeight="1" x14ac:dyDescent="0.25">
      <c r="A20" s="4">
        <v>1227</v>
      </c>
      <c r="B20" s="5" t="s">
        <v>215</v>
      </c>
      <c r="C20" s="142" t="s">
        <v>1150</v>
      </c>
      <c r="D20" s="44">
        <f>ROUND((E20/D57),2)</f>
        <v>0.23</v>
      </c>
      <c r="E20" s="108">
        <f>ROUND((127.54*0.05+161.22*0.05+150.91*0.05+135.8*0.05+72.7*0.05+0.01),2)</f>
        <v>32.42</v>
      </c>
      <c r="G20" s="212"/>
      <c r="H20" s="39"/>
      <c r="J20" s="39"/>
    </row>
    <row r="21" spans="1:12" ht="15.75" x14ac:dyDescent="0.25">
      <c r="A21" s="4"/>
      <c r="B21" s="9" t="s">
        <v>14</v>
      </c>
      <c r="C21" s="66" t="s">
        <v>16</v>
      </c>
      <c r="D21" s="43">
        <f>D9</f>
        <v>6.61</v>
      </c>
      <c r="E21" s="43">
        <f>E9</f>
        <v>913.59</v>
      </c>
      <c r="G21" s="212"/>
    </row>
    <row r="22" spans="1:12" ht="15.75" x14ac:dyDescent="0.25">
      <c r="A22" s="4"/>
      <c r="B22" s="9" t="s">
        <v>15</v>
      </c>
      <c r="C22" s="65" t="s">
        <v>8</v>
      </c>
      <c r="D22" s="42"/>
      <c r="E22" s="42"/>
      <c r="G22" s="212"/>
    </row>
    <row r="23" spans="1:12" ht="15.75" x14ac:dyDescent="0.25">
      <c r="A23" s="8">
        <v>1000</v>
      </c>
      <c r="B23" s="7" t="s">
        <v>9</v>
      </c>
      <c r="C23" s="65"/>
      <c r="D23" s="86">
        <f>SUM(D24+D35)</f>
        <v>1.1200000000000001</v>
      </c>
      <c r="E23" s="86">
        <f>SUM(E24+E35)</f>
        <v>151.53</v>
      </c>
      <c r="G23" s="212"/>
    </row>
    <row r="24" spans="1:12" ht="15.75" x14ac:dyDescent="0.25">
      <c r="A24" s="4">
        <v>1100</v>
      </c>
      <c r="B24" s="4" t="s">
        <v>10</v>
      </c>
      <c r="C24" s="137" t="s">
        <v>223</v>
      </c>
      <c r="D24" s="86">
        <f>SUM(D25:D34)</f>
        <v>0.91000000000000014</v>
      </c>
      <c r="E24" s="86">
        <f>SUM(E25:E34)</f>
        <v>122.61</v>
      </c>
      <c r="G24" s="212"/>
    </row>
    <row r="25" spans="1:12" ht="78" customHeight="1" x14ac:dyDescent="0.25">
      <c r="A25" s="222"/>
      <c r="B25" s="223"/>
      <c r="C25" s="67" t="s">
        <v>1157</v>
      </c>
      <c r="D25" s="44">
        <f>ROUND((E25/D57),2)</f>
        <v>0.03</v>
      </c>
      <c r="E25" s="44">
        <f>ROUND((14.34*12*0.0217),2)</f>
        <v>3.73</v>
      </c>
      <c r="G25" s="189"/>
      <c r="I25" s="82"/>
      <c r="J25" s="82"/>
    </row>
    <row r="26" spans="1:12" ht="78.75" x14ac:dyDescent="0.25">
      <c r="A26" s="401"/>
      <c r="B26" s="399"/>
      <c r="C26" s="123" t="s">
        <v>1158</v>
      </c>
      <c r="D26" s="44">
        <f>ROUND((E26/D57),2)</f>
        <v>0.02</v>
      </c>
      <c r="E26" s="44">
        <f>ROUND((9.41*12*0.0217),2)</f>
        <v>2.4500000000000002</v>
      </c>
      <c r="G26" s="189"/>
      <c r="I26" s="50"/>
      <c r="J26" s="82"/>
      <c r="L26" s="82"/>
    </row>
    <row r="27" spans="1:12" ht="78.75" x14ac:dyDescent="0.25">
      <c r="A27" s="401"/>
      <c r="B27" s="399"/>
      <c r="C27" s="123" t="s">
        <v>1159</v>
      </c>
      <c r="D27" s="44">
        <f>ROUND((E27/D57),2)</f>
        <v>0.03</v>
      </c>
      <c r="E27" s="44">
        <f>ROUND((13.76*12*0.0217),2)</f>
        <v>3.58</v>
      </c>
      <c r="G27" s="189"/>
      <c r="I27" s="82"/>
      <c r="J27" s="82"/>
    </row>
    <row r="28" spans="1:12" ht="78" customHeight="1" x14ac:dyDescent="0.25">
      <c r="A28" s="401"/>
      <c r="B28" s="399"/>
      <c r="C28" s="123" t="s">
        <v>1160</v>
      </c>
      <c r="D28" s="44">
        <f>ROUND((E28/D57),2)</f>
        <v>0.04</v>
      </c>
      <c r="E28" s="44">
        <f>ROUND((18.79*12*0.0217),2)</f>
        <v>4.8899999999999997</v>
      </c>
      <c r="F28" s="39"/>
      <c r="G28" s="189"/>
      <c r="I28" s="82"/>
      <c r="J28" s="82"/>
    </row>
    <row r="29" spans="1:12" ht="78.75" customHeight="1" x14ac:dyDescent="0.25">
      <c r="A29" s="401"/>
      <c r="B29" s="399"/>
      <c r="C29" s="123" t="s">
        <v>1161</v>
      </c>
      <c r="D29" s="44">
        <f>ROUND((E29/D57),2)</f>
        <v>0.03</v>
      </c>
      <c r="E29" s="44">
        <f>ROUND((13.27*12*0.0217),2)</f>
        <v>3.46</v>
      </c>
      <c r="G29" s="212"/>
      <c r="I29" s="82"/>
      <c r="J29" s="82"/>
    </row>
    <row r="30" spans="1:12" ht="78.75" x14ac:dyDescent="0.25">
      <c r="A30" s="401"/>
      <c r="B30" s="399"/>
      <c r="C30" s="123" t="s">
        <v>1527</v>
      </c>
      <c r="D30" s="44">
        <f>ROUND((E30/D57),2)</f>
        <v>0.14000000000000001</v>
      </c>
      <c r="E30" s="44">
        <f>ROUND((74.78*12*0.0217),2)</f>
        <v>19.47</v>
      </c>
      <c r="G30" s="212"/>
      <c r="I30" s="82"/>
      <c r="J30" s="82"/>
    </row>
    <row r="31" spans="1:12" ht="78.75" x14ac:dyDescent="0.25">
      <c r="A31" s="401"/>
      <c r="B31" s="399"/>
      <c r="C31" s="67" t="s">
        <v>1162</v>
      </c>
      <c r="D31" s="44">
        <f>ROUND((E31/D57),2)</f>
        <v>0.15</v>
      </c>
      <c r="E31" s="44">
        <f>ROUND((79.88*12*0.0217),2)</f>
        <v>20.8</v>
      </c>
      <c r="G31" s="189"/>
      <c r="I31" s="82"/>
      <c r="J31" s="82"/>
    </row>
    <row r="32" spans="1:12" ht="78.75" x14ac:dyDescent="0.25">
      <c r="A32" s="401"/>
      <c r="B32" s="399"/>
      <c r="C32" s="67" t="s">
        <v>1526</v>
      </c>
      <c r="D32" s="44">
        <f>ROUND((E32/D57),2)</f>
        <v>0.19</v>
      </c>
      <c r="E32" s="44">
        <f>ROUND((98.9*12*0.0217),2)</f>
        <v>25.75</v>
      </c>
      <c r="G32" s="14"/>
      <c r="H32" s="39"/>
      <c r="I32" s="82"/>
      <c r="J32" s="82"/>
      <c r="L32" s="82"/>
    </row>
    <row r="33" spans="1:10" ht="94.5" x14ac:dyDescent="0.25">
      <c r="A33" s="401"/>
      <c r="B33" s="399"/>
      <c r="C33" s="67" t="s">
        <v>1163</v>
      </c>
      <c r="D33" s="44">
        <f>ROUND((E33/D57),2)</f>
        <v>0.22</v>
      </c>
      <c r="E33" s="44">
        <f>ROUND((118.42*12*0.0217),2)</f>
        <v>30.84</v>
      </c>
      <c r="G33" s="212"/>
      <c r="I33" s="82"/>
      <c r="J33" s="82"/>
    </row>
    <row r="34" spans="1:10" ht="78.75" x14ac:dyDescent="0.25">
      <c r="A34" s="402"/>
      <c r="B34" s="400"/>
      <c r="C34" s="67" t="s">
        <v>1164</v>
      </c>
      <c r="D34" s="108">
        <f>ROUND((E34/D57),2)</f>
        <v>0.06</v>
      </c>
      <c r="E34" s="44">
        <f>ROUND((29.35*12*0.0217),2)</f>
        <v>7.64</v>
      </c>
      <c r="G34" s="213"/>
      <c r="I34" s="82"/>
      <c r="J34" s="82"/>
    </row>
    <row r="35" spans="1:10" ht="62.45" customHeight="1" x14ac:dyDescent="0.25">
      <c r="A35" s="7">
        <v>1200</v>
      </c>
      <c r="B35" s="156" t="s">
        <v>11</v>
      </c>
      <c r="C35" s="68" t="s">
        <v>1528</v>
      </c>
      <c r="D35" s="86">
        <f>ROUND((E35/D57),2)</f>
        <v>0.21</v>
      </c>
      <c r="E35" s="86">
        <f>ROUND((122.61*0.2359),2)</f>
        <v>28.92</v>
      </c>
      <c r="G35" s="212"/>
      <c r="I35" s="82"/>
      <c r="J35" s="82"/>
    </row>
    <row r="36" spans="1:10" ht="15.75" x14ac:dyDescent="0.25">
      <c r="A36" s="8">
        <v>2000</v>
      </c>
      <c r="B36" s="7" t="s">
        <v>12</v>
      </c>
      <c r="C36" s="65"/>
      <c r="D36" s="43">
        <f>SUM(D37:D48)</f>
        <v>17.649999999999995</v>
      </c>
      <c r="E36" s="43">
        <f>SUM(E37:E48)</f>
        <v>2435.1999999999994</v>
      </c>
      <c r="G36" s="212"/>
      <c r="I36" s="82"/>
      <c r="J36" s="82"/>
    </row>
    <row r="37" spans="1:10" ht="31.5" customHeight="1" x14ac:dyDescent="0.25">
      <c r="A37" s="4">
        <v>2221</v>
      </c>
      <c r="B37" s="84" t="s">
        <v>54</v>
      </c>
      <c r="C37" s="115" t="s">
        <v>558</v>
      </c>
      <c r="D37" s="44">
        <f>ROUND((E37/D57),2)</f>
        <v>8.6</v>
      </c>
      <c r="E37" s="44">
        <f>ROUND((54700.57*0.0217),2)</f>
        <v>1187</v>
      </c>
      <c r="G37" s="189"/>
      <c r="I37" s="82"/>
      <c r="J37" s="82"/>
    </row>
    <row r="38" spans="1:10" ht="30" customHeight="1" x14ac:dyDescent="0.25">
      <c r="A38" s="4">
        <v>2222</v>
      </c>
      <c r="B38" s="118" t="s">
        <v>55</v>
      </c>
      <c r="C38" s="115" t="s">
        <v>559</v>
      </c>
      <c r="D38" s="44">
        <f>ROUND((E38/D57),2)</f>
        <v>1.19</v>
      </c>
      <c r="E38" s="44">
        <f>ROUND((7587.77*0.0217),2)</f>
        <v>164.65</v>
      </c>
      <c r="G38" s="189"/>
      <c r="I38" s="82"/>
      <c r="J38" s="82"/>
    </row>
    <row r="39" spans="1:10" ht="33" customHeight="1" x14ac:dyDescent="0.25">
      <c r="A39" s="4">
        <v>2223</v>
      </c>
      <c r="B39" s="118" t="s">
        <v>19</v>
      </c>
      <c r="C39" s="115" t="s">
        <v>560</v>
      </c>
      <c r="D39" s="44">
        <f>ROUND((E39/D57),2)</f>
        <v>1.71</v>
      </c>
      <c r="E39" s="44">
        <f>ROUND((10851.74*0.0217),2)</f>
        <v>235.48</v>
      </c>
      <c r="G39" s="189"/>
      <c r="I39" s="82"/>
      <c r="J39" s="82"/>
    </row>
    <row r="40" spans="1:10" ht="80.25" customHeight="1" x14ac:dyDescent="0.25">
      <c r="A40" s="4">
        <v>2224</v>
      </c>
      <c r="B40" s="84" t="s">
        <v>56</v>
      </c>
      <c r="C40" s="115" t="s">
        <v>561</v>
      </c>
      <c r="D40" s="44">
        <f>ROUND((E40/D57),2)</f>
        <v>0.12</v>
      </c>
      <c r="E40" s="44">
        <f>ROUND((761.81*0.0217),2)</f>
        <v>16.53</v>
      </c>
      <c r="G40" s="189"/>
      <c r="I40" s="82"/>
      <c r="J40" s="82"/>
    </row>
    <row r="41" spans="1:10" ht="31.5" x14ac:dyDescent="0.25">
      <c r="A41" s="4">
        <v>2239</v>
      </c>
      <c r="B41" s="84" t="s">
        <v>20</v>
      </c>
      <c r="C41" s="84" t="s">
        <v>562</v>
      </c>
      <c r="D41" s="44">
        <f>ROUND((E41/D57),2)</f>
        <v>0.04</v>
      </c>
      <c r="E41" s="44">
        <f>ROUND((224.51*0.0217),2)</f>
        <v>4.87</v>
      </c>
      <c r="G41" s="189"/>
      <c r="I41" s="82"/>
      <c r="J41" s="82"/>
    </row>
    <row r="42" spans="1:10" ht="47.25" customHeight="1" x14ac:dyDescent="0.25">
      <c r="A42" s="4">
        <v>2243</v>
      </c>
      <c r="B42" s="84" t="s">
        <v>21</v>
      </c>
      <c r="C42" s="84" t="s">
        <v>563</v>
      </c>
      <c r="D42" s="44">
        <f>ROUND((E42/D57),2)</f>
        <v>0.31</v>
      </c>
      <c r="E42" s="44">
        <f>ROUND((1993.08*0.0217),2)</f>
        <v>43.25</v>
      </c>
      <c r="G42" s="189"/>
      <c r="I42" s="82"/>
      <c r="J42" s="82"/>
    </row>
    <row r="43" spans="1:10" ht="46.5" customHeight="1" x14ac:dyDescent="0.25">
      <c r="A43" s="4">
        <v>2244</v>
      </c>
      <c r="B43" s="84" t="s">
        <v>22</v>
      </c>
      <c r="C43" s="115" t="s">
        <v>564</v>
      </c>
      <c r="D43" s="44">
        <f>ROUND((E43/D57),2)</f>
        <v>1.17</v>
      </c>
      <c r="E43" s="44">
        <f>ROUND((7456.84*0.0217),2)</f>
        <v>161.81</v>
      </c>
      <c r="G43" s="189"/>
      <c r="I43" s="82"/>
      <c r="J43" s="82"/>
    </row>
    <row r="44" spans="1:10" ht="47.25" x14ac:dyDescent="0.25">
      <c r="A44" s="4">
        <v>2249</v>
      </c>
      <c r="B44" s="84" t="s">
        <v>45</v>
      </c>
      <c r="C44" s="115" t="s">
        <v>565</v>
      </c>
      <c r="D44" s="44">
        <f>ROUND((E44/D57),2)</f>
        <v>1.66</v>
      </c>
      <c r="E44" s="44">
        <f>ROUND((10528.91*0.0217),2)</f>
        <v>228.48</v>
      </c>
      <c r="G44" s="189"/>
      <c r="I44" s="82"/>
      <c r="J44" s="82"/>
    </row>
    <row r="45" spans="1:10" ht="30.75" customHeight="1" x14ac:dyDescent="0.25">
      <c r="A45" s="4">
        <v>2312</v>
      </c>
      <c r="B45" s="173" t="s">
        <v>13</v>
      </c>
      <c r="C45" s="68" t="s">
        <v>566</v>
      </c>
      <c r="D45" s="44">
        <f>ROUND((E45/D57),2)</f>
        <v>0.12</v>
      </c>
      <c r="E45" s="44">
        <f>ROUND((737.42*0.0217),2)</f>
        <v>16</v>
      </c>
      <c r="G45" s="189"/>
      <c r="I45" s="82"/>
      <c r="J45" s="82"/>
    </row>
    <row r="46" spans="1:10" ht="46.5" customHeight="1" x14ac:dyDescent="0.25">
      <c r="A46" s="4">
        <v>2350</v>
      </c>
      <c r="B46" s="118" t="s">
        <v>213</v>
      </c>
      <c r="C46" s="68" t="s">
        <v>567</v>
      </c>
      <c r="D46" s="44">
        <f>ROUND((E46/D57),2)</f>
        <v>0.12</v>
      </c>
      <c r="E46" s="108">
        <f>ROUND((780.26*0.0217),2)</f>
        <v>16.93</v>
      </c>
      <c r="G46" s="189"/>
      <c r="I46" s="82"/>
      <c r="J46" s="82"/>
    </row>
    <row r="47" spans="1:10" ht="31.5" customHeight="1" x14ac:dyDescent="0.25">
      <c r="A47" s="4">
        <v>2513</v>
      </c>
      <c r="B47" s="118" t="s">
        <v>57</v>
      </c>
      <c r="C47" s="68" t="s">
        <v>568</v>
      </c>
      <c r="D47" s="44">
        <f>ROUND((E47/D57),2)</f>
        <v>2.2999999999999998</v>
      </c>
      <c r="E47" s="44">
        <f>ROUND((14633.92*0.0217),2)</f>
        <v>317.56</v>
      </c>
      <c r="G47" s="189"/>
      <c r="I47" s="82"/>
      <c r="J47" s="82"/>
    </row>
    <row r="48" spans="1:10" ht="32.25" customHeight="1" x14ac:dyDescent="0.25">
      <c r="A48" s="4">
        <v>2515</v>
      </c>
      <c r="B48" s="118" t="s">
        <v>44</v>
      </c>
      <c r="C48" s="68" t="s">
        <v>569</v>
      </c>
      <c r="D48" s="44">
        <f>ROUND((E48/D57),2)</f>
        <v>0.31</v>
      </c>
      <c r="E48" s="44">
        <f>ROUND((1964.86*0.0217),2)</f>
        <v>42.64</v>
      </c>
      <c r="G48" s="189"/>
      <c r="I48" s="82"/>
      <c r="J48" s="82"/>
    </row>
    <row r="49" spans="1:12" s="296" customFormat="1" ht="15.75" x14ac:dyDescent="0.25">
      <c r="A49" s="293">
        <v>5000</v>
      </c>
      <c r="B49" s="9" t="s">
        <v>17</v>
      </c>
      <c r="C49" s="294"/>
      <c r="D49" s="295">
        <f>SUM(D50:D52)</f>
        <v>1.4100000000000001</v>
      </c>
      <c r="E49" s="295">
        <f>SUM(E50:E52)</f>
        <v>196.65</v>
      </c>
      <c r="G49" s="297"/>
      <c r="I49" s="82"/>
      <c r="J49" s="82"/>
    </row>
    <row r="50" spans="1:12" ht="32.25" customHeight="1" x14ac:dyDescent="0.25">
      <c r="A50" s="4">
        <v>5213</v>
      </c>
      <c r="B50" s="118" t="s">
        <v>32</v>
      </c>
      <c r="C50" s="68" t="s">
        <v>693</v>
      </c>
      <c r="D50" s="44">
        <f>ROUND((E50/D57),2)</f>
        <v>0.02</v>
      </c>
      <c r="E50" s="44">
        <f>ROUND((158.25*0.0217),2)</f>
        <v>3.43</v>
      </c>
      <c r="G50" s="212"/>
      <c r="I50" s="82"/>
      <c r="J50" s="82"/>
    </row>
    <row r="51" spans="1:12" ht="32.25" customHeight="1" x14ac:dyDescent="0.25">
      <c r="A51" s="18">
        <v>5218</v>
      </c>
      <c r="B51" s="84" t="s">
        <v>33</v>
      </c>
      <c r="C51" s="68" t="s">
        <v>694</v>
      </c>
      <c r="D51" s="44">
        <f>ROUND((E51/D57),2)-0.01</f>
        <v>0.55000000000000004</v>
      </c>
      <c r="E51" s="44">
        <f>ROUND((3538.2*0.0217),2)</f>
        <v>76.78</v>
      </c>
      <c r="G51" s="212"/>
      <c r="I51" s="82"/>
      <c r="J51" s="82"/>
    </row>
    <row r="52" spans="1:12" ht="47.25" x14ac:dyDescent="0.25">
      <c r="A52" s="18">
        <v>5239</v>
      </c>
      <c r="B52" s="84" t="s">
        <v>18</v>
      </c>
      <c r="C52" s="68" t="s">
        <v>695</v>
      </c>
      <c r="D52" s="149">
        <f>ROUND((E52/D57),2)</f>
        <v>0.84</v>
      </c>
      <c r="E52" s="44">
        <f>ROUND((5366.12*0.0217),2)</f>
        <v>116.44</v>
      </c>
      <c r="G52" s="189"/>
      <c r="I52" s="82"/>
      <c r="J52" s="82"/>
      <c r="L52" s="311"/>
    </row>
    <row r="53" spans="1:12" ht="15.75" x14ac:dyDescent="0.25">
      <c r="A53" s="161"/>
      <c r="B53" s="9" t="s">
        <v>23</v>
      </c>
      <c r="C53" s="65"/>
      <c r="D53" s="25">
        <f>SUM(D23+D36+D49)</f>
        <v>20.179999999999996</v>
      </c>
      <c r="E53" s="40">
        <f>SUM(E23+E36+E49)</f>
        <v>2783.3799999999997</v>
      </c>
      <c r="G53" s="212"/>
      <c r="I53" s="82"/>
      <c r="J53" s="82"/>
      <c r="L53" s="305"/>
    </row>
    <row r="54" spans="1:12" ht="31.5" x14ac:dyDescent="0.25">
      <c r="A54" s="162"/>
      <c r="B54" s="11" t="s">
        <v>28</v>
      </c>
      <c r="C54" s="65"/>
      <c r="D54" s="26">
        <f>D21+D53</f>
        <v>26.789999999999996</v>
      </c>
      <c r="E54" s="41">
        <f>E21+E53</f>
        <v>3696.97</v>
      </c>
      <c r="G54" s="212"/>
      <c r="I54" s="82"/>
      <c r="J54" s="82"/>
      <c r="L54" s="305"/>
    </row>
    <row r="55" spans="1:12" ht="15.75" x14ac:dyDescent="0.25">
      <c r="A55" s="162"/>
      <c r="B55" s="13" t="s">
        <v>212</v>
      </c>
      <c r="C55" s="65"/>
      <c r="D55" s="26">
        <f>D54*0.12</f>
        <v>3.2147999999999994</v>
      </c>
      <c r="E55" s="41">
        <f>E54*0.12</f>
        <v>443.63639999999998</v>
      </c>
      <c r="F55" s="39"/>
      <c r="J55" s="82"/>
    </row>
    <row r="56" spans="1:12" ht="31.5" x14ac:dyDescent="0.25">
      <c r="A56" s="6"/>
      <c r="B56" s="169" t="s">
        <v>30</v>
      </c>
      <c r="C56" s="170"/>
      <c r="D56" s="171">
        <f>D54*1.12</f>
        <v>30.004799999999999</v>
      </c>
      <c r="E56" s="172">
        <f>E54*1.12-0.12</f>
        <v>4140.4864000000007</v>
      </c>
      <c r="J56" s="82"/>
    </row>
    <row r="57" spans="1:12" ht="15.75" x14ac:dyDescent="0.25">
      <c r="A57" s="397" t="s">
        <v>1525</v>
      </c>
      <c r="B57" s="397"/>
      <c r="C57" s="397"/>
      <c r="D57" s="8">
        <v>138</v>
      </c>
      <c r="E57" s="155" t="s">
        <v>65</v>
      </c>
    </row>
    <row r="58" spans="1:12" ht="30.6" customHeight="1" x14ac:dyDescent="0.25">
      <c r="A58" s="397" t="s">
        <v>226</v>
      </c>
      <c r="B58" s="397"/>
      <c r="C58" s="397"/>
      <c r="D58" s="350">
        <f>ROUND((E56/D57),2)</f>
        <v>30</v>
      </c>
      <c r="E58" s="191" t="s">
        <v>229</v>
      </c>
      <c r="G58" s="305"/>
      <c r="H58" s="305"/>
    </row>
    <row r="59" spans="1:12" ht="15.75" x14ac:dyDescent="0.25">
      <c r="A59" s="1"/>
      <c r="B59" s="1"/>
      <c r="C59" s="1"/>
      <c r="G59" s="305"/>
      <c r="H59" s="305"/>
    </row>
    <row r="60" spans="1:12" x14ac:dyDescent="0.25">
      <c r="G60" s="319"/>
      <c r="H60" s="305"/>
    </row>
  </sheetData>
  <mergeCells count="7">
    <mergeCell ref="A58:C58"/>
    <mergeCell ref="A2:C2"/>
    <mergeCell ref="A3:E3"/>
    <mergeCell ref="A4:B4"/>
    <mergeCell ref="A26:A34"/>
    <mergeCell ref="B26:B34"/>
    <mergeCell ref="A57:C57"/>
  </mergeCells>
  <pageMargins left="0.70866141732283472" right="0.70866141732283472" top="0.74803149606299213" bottom="0.74803149606299213" header="0.31496062992125984" footer="0.31496062992125984"/>
  <pageSetup paperSize="9" orientation="landscape" r:id="rId1"/>
  <rowBreaks count="4" manualBreakCount="4">
    <brk id="21" max="16383" man="1"/>
    <brk id="29" max="16383" man="1"/>
    <brk id="35" max="16383" man="1"/>
    <brk id="44" max="16383" man="1"/>
  </rowBreaks>
  <ignoredErrors>
    <ignoredError sqref="D18 D49 D36" formula="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A2AA4-326A-430F-870C-08EAAA6620D3}">
  <dimension ref="A1:J60"/>
  <sheetViews>
    <sheetView topLeftCell="A46" workbookViewId="0">
      <selection activeCell="D59" sqref="D59"/>
    </sheetView>
  </sheetViews>
  <sheetFormatPr defaultRowHeight="15" x14ac:dyDescent="0.25"/>
  <cols>
    <col min="1" max="1" width="12.28515625" customWidth="1"/>
    <col min="2" max="2" width="27.140625" customWidth="1"/>
    <col min="3" max="3" width="63" customWidth="1"/>
    <col min="4" max="4" width="10.140625" customWidth="1"/>
    <col min="5" max="5" width="18.140625" customWidth="1"/>
    <col min="8" max="8" width="7" customWidth="1"/>
    <col min="10" max="10" width="6.140625" customWidth="1"/>
  </cols>
  <sheetData>
    <row r="1" spans="1:5" ht="18.75" x14ac:dyDescent="0.3">
      <c r="A1" s="148" t="s">
        <v>46</v>
      </c>
    </row>
    <row r="2" spans="1:5" ht="18.75" x14ac:dyDescent="0.3">
      <c r="A2" s="404" t="s">
        <v>50</v>
      </c>
      <c r="B2" s="404"/>
      <c r="C2" s="404"/>
    </row>
    <row r="3" spans="1:5" ht="18.75" x14ac:dyDescent="0.25">
      <c r="A3" s="398" t="s">
        <v>178</v>
      </c>
      <c r="B3" s="398"/>
      <c r="C3" s="398"/>
      <c r="D3" s="398"/>
      <c r="E3" s="398"/>
    </row>
    <row r="4" spans="1:5" ht="15.75" x14ac:dyDescent="0.25">
      <c r="A4" s="405" t="s">
        <v>64</v>
      </c>
      <c r="B4" s="405"/>
    </row>
    <row r="6" spans="1:5" ht="78.75" x14ac:dyDescent="0.25">
      <c r="A6" s="139" t="s">
        <v>0</v>
      </c>
      <c r="B6" s="139" t="s">
        <v>1</v>
      </c>
      <c r="C6" s="139" t="s">
        <v>2</v>
      </c>
      <c r="D6" s="152" t="s">
        <v>26</v>
      </c>
      <c r="E6" s="52" t="s">
        <v>27</v>
      </c>
    </row>
    <row r="7" spans="1:5" x14ac:dyDescent="0.25">
      <c r="A7" s="277">
        <v>1</v>
      </c>
      <c r="B7" s="277">
        <v>2</v>
      </c>
      <c r="C7" s="277">
        <v>3</v>
      </c>
      <c r="D7" s="277">
        <v>4</v>
      </c>
      <c r="E7" s="277">
        <v>5</v>
      </c>
    </row>
    <row r="8" spans="1:5" ht="15.75" x14ac:dyDescent="0.25">
      <c r="A8" s="4"/>
      <c r="B8" s="7" t="s">
        <v>7</v>
      </c>
      <c r="C8" s="65" t="s">
        <v>8</v>
      </c>
      <c r="D8" s="24"/>
      <c r="E8" s="22"/>
    </row>
    <row r="9" spans="1:5" ht="15.75" x14ac:dyDescent="0.25">
      <c r="A9" s="8">
        <v>1000</v>
      </c>
      <c r="B9" s="7" t="s">
        <v>9</v>
      </c>
      <c r="C9" s="269"/>
      <c r="D9" s="43">
        <f>D10+D18</f>
        <v>5.4399999999999995</v>
      </c>
      <c r="E9" s="43">
        <f>E10+E18</f>
        <v>2366.09</v>
      </c>
    </row>
    <row r="10" spans="1:5" ht="15.75" x14ac:dyDescent="0.25">
      <c r="A10" s="265">
        <v>1100</v>
      </c>
      <c r="B10" s="265" t="s">
        <v>10</v>
      </c>
      <c r="C10" s="269"/>
      <c r="D10" s="43">
        <f>SUM(D12:D17)</f>
        <v>4.25</v>
      </c>
      <c r="E10" s="43">
        <f>SUM(E12:E17)</f>
        <v>1846.5500000000002</v>
      </c>
    </row>
    <row r="11" spans="1:5" ht="15.75" x14ac:dyDescent="0.25">
      <c r="A11" s="16">
        <v>1110</v>
      </c>
      <c r="B11" s="16" t="s">
        <v>217</v>
      </c>
      <c r="C11" s="137" t="s">
        <v>218</v>
      </c>
      <c r="D11" s="108">
        <f>SUM(D12:D16)</f>
        <v>3.8600000000000003</v>
      </c>
      <c r="E11" s="108">
        <f>SUM(E12:E16)</f>
        <v>1678.69</v>
      </c>
    </row>
    <row r="12" spans="1:5" ht="79.5" customHeight="1" x14ac:dyDescent="0.25">
      <c r="A12" s="126"/>
      <c r="B12" s="129"/>
      <c r="C12" s="123" t="s">
        <v>1165</v>
      </c>
      <c r="D12" s="58">
        <f>ROUND((E12/D57),2)</f>
        <v>0.76</v>
      </c>
      <c r="E12" s="108">
        <f>ROUND((489.79*12*0.0562),2)</f>
        <v>330.31</v>
      </c>
    </row>
    <row r="13" spans="1:5" ht="78.75" x14ac:dyDescent="0.25">
      <c r="A13" s="143"/>
      <c r="B13" s="144"/>
      <c r="C13" s="123" t="s">
        <v>1166</v>
      </c>
      <c r="D13" s="58">
        <f>ROUND((E13/D57),2)</f>
        <v>0.96</v>
      </c>
      <c r="E13" s="108">
        <f>ROUND((619.13*12*0.0562),2)</f>
        <v>417.54</v>
      </c>
    </row>
    <row r="14" spans="1:5" ht="78.75" x14ac:dyDescent="0.25">
      <c r="A14" s="127"/>
      <c r="B14" s="130"/>
      <c r="C14" s="123" t="s">
        <v>1167</v>
      </c>
      <c r="D14" s="58">
        <f>ROUND((E14/D57),2)</f>
        <v>0.9</v>
      </c>
      <c r="E14" s="108">
        <f>ROUND((579.53*12*0.0562),2)</f>
        <v>390.84</v>
      </c>
    </row>
    <row r="15" spans="1:5" ht="78.75" x14ac:dyDescent="0.25">
      <c r="A15" s="127"/>
      <c r="B15" s="130"/>
      <c r="C15" s="123" t="s">
        <v>1168</v>
      </c>
      <c r="D15" s="58">
        <f>ROUND((E15/D57),2)</f>
        <v>0.81</v>
      </c>
      <c r="E15" s="108">
        <f>ROUND((521.51*12*0.0562),2)</f>
        <v>351.71</v>
      </c>
    </row>
    <row r="16" spans="1:5" ht="78.75" x14ac:dyDescent="0.25">
      <c r="A16" s="128"/>
      <c r="B16" s="131"/>
      <c r="C16" s="123" t="s">
        <v>1169</v>
      </c>
      <c r="D16" s="58">
        <f>ROUND((E16/D57),2)</f>
        <v>0.43</v>
      </c>
      <c r="E16" s="108">
        <f>ROUND((279.2*12*0.0562),2)</f>
        <v>188.29</v>
      </c>
    </row>
    <row r="17" spans="1:10" ht="94.5" x14ac:dyDescent="0.25">
      <c r="A17" s="122">
        <v>1140</v>
      </c>
      <c r="B17" s="5" t="s">
        <v>214</v>
      </c>
      <c r="C17" s="142" t="s">
        <v>1170</v>
      </c>
      <c r="D17" s="58">
        <f>ROUND((E17/D57),2)</f>
        <v>0.39</v>
      </c>
      <c r="E17" s="108">
        <f>ROUND((330.31*0.1+417.54*0.1+390.84*0.1+351.71*0.1+188.29*0.1-0.01),2)</f>
        <v>167.86</v>
      </c>
    </row>
    <row r="18" spans="1:10" ht="62.25" customHeight="1" x14ac:dyDescent="0.25">
      <c r="A18" s="7">
        <v>1200</v>
      </c>
      <c r="B18" s="281" t="s">
        <v>11</v>
      </c>
      <c r="C18" s="166" t="s">
        <v>1173</v>
      </c>
      <c r="D18" s="86">
        <f>ROUND((D19+D20),2)</f>
        <v>1.19</v>
      </c>
      <c r="E18" s="86">
        <f>ROUND((E19+E20),2)</f>
        <v>519.54</v>
      </c>
      <c r="H18" s="39"/>
    </row>
    <row r="19" spans="1:10" ht="47.25" x14ac:dyDescent="0.25">
      <c r="A19" s="4">
        <v>1210</v>
      </c>
      <c r="B19" s="5" t="s">
        <v>216</v>
      </c>
      <c r="C19" s="166" t="s">
        <v>1171</v>
      </c>
      <c r="D19" s="58">
        <f>ROUND((E19/D57),2)</f>
        <v>1</v>
      </c>
      <c r="E19" s="44">
        <f>ROUND((1846.55*0.2359),2)</f>
        <v>435.6</v>
      </c>
      <c r="H19" s="39"/>
    </row>
    <row r="20" spans="1:10" ht="94.5" x14ac:dyDescent="0.25">
      <c r="A20" s="4">
        <v>1227</v>
      </c>
      <c r="B20" s="5" t="s">
        <v>215</v>
      </c>
      <c r="C20" s="142" t="s">
        <v>1172</v>
      </c>
      <c r="D20" s="58">
        <f>ROUND((E20/D57),2)</f>
        <v>0.19</v>
      </c>
      <c r="E20" s="108">
        <f>ROUND((330.31*0.05+417.54*0.05+390.84*0.05+351.71*0.05+188.29*0.05+0.01),2)</f>
        <v>83.94</v>
      </c>
      <c r="J20" s="39"/>
    </row>
    <row r="21" spans="1:10" ht="15.75" x14ac:dyDescent="0.25">
      <c r="A21" s="4"/>
      <c r="B21" s="9" t="s">
        <v>14</v>
      </c>
      <c r="C21" s="66" t="s">
        <v>16</v>
      </c>
      <c r="D21" s="25">
        <f>D9</f>
        <v>5.4399999999999995</v>
      </c>
      <c r="E21" s="43">
        <f>E9</f>
        <v>2366.09</v>
      </c>
    </row>
    <row r="22" spans="1:10" ht="15.75" x14ac:dyDescent="0.25">
      <c r="A22" s="4"/>
      <c r="B22" s="9" t="s">
        <v>15</v>
      </c>
      <c r="C22" s="65" t="s">
        <v>8</v>
      </c>
      <c r="D22" s="22"/>
      <c r="E22" s="42"/>
    </row>
    <row r="23" spans="1:10" ht="15.75" x14ac:dyDescent="0.25">
      <c r="A23" s="8">
        <v>1000</v>
      </c>
      <c r="B23" s="7" t="s">
        <v>9</v>
      </c>
      <c r="C23" s="65"/>
      <c r="D23" s="83">
        <f>SUM(D24+D35)</f>
        <v>0.9</v>
      </c>
      <c r="E23" s="83">
        <f>SUM(E24+E35)</f>
        <v>394.61</v>
      </c>
    </row>
    <row r="24" spans="1:10" ht="15.75" x14ac:dyDescent="0.25">
      <c r="A24" s="4">
        <v>1100</v>
      </c>
      <c r="B24" s="4" t="s">
        <v>10</v>
      </c>
      <c r="C24" s="137" t="s">
        <v>223</v>
      </c>
      <c r="D24" s="83">
        <f>SUM(D25:D34)</f>
        <v>0.73</v>
      </c>
      <c r="E24" s="83">
        <f>SUM(E25:E34)</f>
        <v>319.29000000000002</v>
      </c>
    </row>
    <row r="25" spans="1:10" ht="78" customHeight="1" x14ac:dyDescent="0.25">
      <c r="A25" s="222"/>
      <c r="B25" s="223"/>
      <c r="C25" s="142" t="s">
        <v>1174</v>
      </c>
      <c r="D25" s="58">
        <f>ROUND((E25/D57),2)</f>
        <v>0.02</v>
      </c>
      <c r="E25" s="58">
        <f>ROUND((14.34*12*0.0562),2)</f>
        <v>9.67</v>
      </c>
      <c r="G25" s="39"/>
    </row>
    <row r="26" spans="1:10" ht="78.75" x14ac:dyDescent="0.25">
      <c r="A26" s="401"/>
      <c r="B26" s="399"/>
      <c r="C26" s="142" t="s">
        <v>1175</v>
      </c>
      <c r="D26" s="58">
        <f>ROUND((E26/D57),2)</f>
        <v>0.01</v>
      </c>
      <c r="E26" s="58">
        <f>ROUND((9.41*12*0.0562),2)</f>
        <v>6.35</v>
      </c>
      <c r="G26" s="39"/>
    </row>
    <row r="27" spans="1:10" ht="78.75" x14ac:dyDescent="0.25">
      <c r="A27" s="401"/>
      <c r="B27" s="399"/>
      <c r="C27" s="142" t="s">
        <v>1176</v>
      </c>
      <c r="D27" s="58">
        <f>ROUND((E27/D57),2)</f>
        <v>0.02</v>
      </c>
      <c r="E27" s="46">
        <f>ROUND((13.76*12*0.0562),2)</f>
        <v>9.2799999999999994</v>
      </c>
      <c r="G27" s="39"/>
    </row>
    <row r="28" spans="1:10" ht="78.75" customHeight="1" x14ac:dyDescent="0.25">
      <c r="A28" s="401"/>
      <c r="B28" s="399"/>
      <c r="C28" s="142" t="s">
        <v>1177</v>
      </c>
      <c r="D28" s="58">
        <f>ROUND((E28/D57),2)</f>
        <v>0.03</v>
      </c>
      <c r="E28" s="58">
        <f>ROUND((18.79*12*0.0562),2)</f>
        <v>12.67</v>
      </c>
      <c r="G28" s="39"/>
    </row>
    <row r="29" spans="1:10" ht="77.25" customHeight="1" x14ac:dyDescent="0.25">
      <c r="A29" s="401"/>
      <c r="B29" s="399"/>
      <c r="C29" s="142" t="s">
        <v>1178</v>
      </c>
      <c r="D29" s="45">
        <f>ROUND((E29/D57),2)</f>
        <v>0.02</v>
      </c>
      <c r="E29" s="27">
        <f>ROUND((13.27*12*0.0562),2)</f>
        <v>8.9499999999999993</v>
      </c>
      <c r="G29" s="39"/>
    </row>
    <row r="30" spans="1:10" ht="78.75" x14ac:dyDescent="0.25">
      <c r="A30" s="401"/>
      <c r="B30" s="399"/>
      <c r="C30" s="67" t="s">
        <v>1179</v>
      </c>
      <c r="D30" s="45">
        <f>ROUND((E30/D57),2)</f>
        <v>0.12</v>
      </c>
      <c r="E30" s="27">
        <f>ROUND((76.43*12*0.0562),2)</f>
        <v>51.54</v>
      </c>
      <c r="G30" s="39"/>
    </row>
    <row r="31" spans="1:10" ht="78.75" x14ac:dyDescent="0.25">
      <c r="A31" s="401"/>
      <c r="B31" s="399"/>
      <c r="C31" s="142" t="s">
        <v>1180</v>
      </c>
      <c r="D31" s="45">
        <f>ROUND((E31/D57),2)</f>
        <v>0.12</v>
      </c>
      <c r="E31" s="45">
        <f>ROUND((79.88*12*0.0562),2)</f>
        <v>53.87</v>
      </c>
      <c r="G31" s="39"/>
    </row>
    <row r="32" spans="1:10" ht="78.75" x14ac:dyDescent="0.25">
      <c r="A32" s="401"/>
      <c r="B32" s="399"/>
      <c r="C32" s="142" t="s">
        <v>1181</v>
      </c>
      <c r="D32" s="45">
        <f>ROUND((E32/D57),2)</f>
        <v>0.16</v>
      </c>
      <c r="E32" s="45">
        <f>ROUND((99.81*12*0.0562),2)</f>
        <v>67.31</v>
      </c>
      <c r="G32" s="39"/>
    </row>
    <row r="33" spans="1:7" ht="94.5" x14ac:dyDescent="0.25">
      <c r="A33" s="401"/>
      <c r="B33" s="399"/>
      <c r="C33" s="142" t="s">
        <v>1182</v>
      </c>
      <c r="D33" s="45">
        <f>ROUND((E33/D57),2)</f>
        <v>0.18</v>
      </c>
      <c r="E33" s="27">
        <f>ROUND((118.42*12*0.0562),2)</f>
        <v>79.86</v>
      </c>
      <c r="G33" s="39"/>
    </row>
    <row r="34" spans="1:7" ht="78.75" x14ac:dyDescent="0.25">
      <c r="A34" s="402"/>
      <c r="B34" s="400"/>
      <c r="C34" s="67" t="s">
        <v>1183</v>
      </c>
      <c r="D34" s="45">
        <f>ROUND((E34/D57),2)</f>
        <v>0.05</v>
      </c>
      <c r="E34" s="27">
        <f>ROUND((29.35*12*0.0562),2)</f>
        <v>19.79</v>
      </c>
      <c r="G34" s="39"/>
    </row>
    <row r="35" spans="1:7" ht="64.5" customHeight="1" x14ac:dyDescent="0.25">
      <c r="A35" s="7">
        <v>1200</v>
      </c>
      <c r="B35" s="156" t="s">
        <v>11</v>
      </c>
      <c r="C35" s="68" t="s">
        <v>1184</v>
      </c>
      <c r="D35" s="83">
        <f>ROUND((E35/D57),2)</f>
        <v>0.17</v>
      </c>
      <c r="E35" s="86">
        <f>ROUND((319.29*0.2359),2)</f>
        <v>75.319999999999993</v>
      </c>
    </row>
    <row r="36" spans="1:7" ht="15.75" x14ac:dyDescent="0.25">
      <c r="A36" s="8">
        <v>2000</v>
      </c>
      <c r="B36" s="7" t="s">
        <v>12</v>
      </c>
      <c r="C36" s="65"/>
      <c r="D36" s="43">
        <f>SUM(D37:D48)</f>
        <v>14.56</v>
      </c>
      <c r="E36" s="43">
        <f>SUM(E37:E48)</f>
        <v>6306.8500000000013</v>
      </c>
    </row>
    <row r="37" spans="1:7" ht="31.5" customHeight="1" x14ac:dyDescent="0.25">
      <c r="A37" s="173">
        <v>2221</v>
      </c>
      <c r="B37" s="84" t="s">
        <v>54</v>
      </c>
      <c r="C37" s="5" t="s">
        <v>570</v>
      </c>
      <c r="D37" s="45">
        <f>ROUND((E37/D57),2)</f>
        <v>7.08</v>
      </c>
      <c r="E37" s="44">
        <f>ROUND((54700.57*0.0562),2)</f>
        <v>3074.17</v>
      </c>
    </row>
    <row r="38" spans="1:7" ht="31.5" x14ac:dyDescent="0.25">
      <c r="A38" s="4">
        <v>2222</v>
      </c>
      <c r="B38" s="118" t="s">
        <v>55</v>
      </c>
      <c r="C38" s="5" t="s">
        <v>571</v>
      </c>
      <c r="D38" s="45">
        <f>ROUND((E38/D57),2)</f>
        <v>0.98</v>
      </c>
      <c r="E38" s="44">
        <f>ROUND((7587.77*0.0562),2)</f>
        <v>426.43</v>
      </c>
    </row>
    <row r="39" spans="1:7" ht="31.5" x14ac:dyDescent="0.25">
      <c r="A39" s="4">
        <v>2223</v>
      </c>
      <c r="B39" s="118" t="s">
        <v>19</v>
      </c>
      <c r="C39" s="5" t="s">
        <v>572</v>
      </c>
      <c r="D39" s="45">
        <f>ROUND((E39/D57),2)</f>
        <v>1.41</v>
      </c>
      <c r="E39" s="44">
        <f>ROUND((10851.74*0.0562),2)</f>
        <v>609.87</v>
      </c>
    </row>
    <row r="40" spans="1:7" ht="78" customHeight="1" x14ac:dyDescent="0.25">
      <c r="A40" s="4">
        <v>2224</v>
      </c>
      <c r="B40" s="84" t="s">
        <v>56</v>
      </c>
      <c r="C40" s="5" t="s">
        <v>573</v>
      </c>
      <c r="D40" s="45">
        <f>ROUND((E40/D57),2)</f>
        <v>0.1</v>
      </c>
      <c r="E40" s="27">
        <f>ROUND((761.81*0.0562),2)</f>
        <v>42.81</v>
      </c>
    </row>
    <row r="41" spans="1:7" ht="31.5" x14ac:dyDescent="0.25">
      <c r="A41" s="4">
        <v>2239</v>
      </c>
      <c r="B41" s="338" t="s">
        <v>20</v>
      </c>
      <c r="C41" s="118" t="s">
        <v>574</v>
      </c>
      <c r="D41" s="45">
        <f>ROUND((E41/D57),2)</f>
        <v>0.03</v>
      </c>
      <c r="E41" s="45">
        <f>ROUND((224.51*0.0562),2)</f>
        <v>12.62</v>
      </c>
    </row>
    <row r="42" spans="1:7" ht="48.75" customHeight="1" x14ac:dyDescent="0.25">
      <c r="A42" s="4">
        <v>2243</v>
      </c>
      <c r="B42" s="84" t="s">
        <v>21</v>
      </c>
      <c r="C42" s="118" t="s">
        <v>575</v>
      </c>
      <c r="D42" s="45">
        <f>ROUND((E42/D57+0.01),2)</f>
        <v>0.27</v>
      </c>
      <c r="E42" s="45">
        <f>ROUND((1993.08*0.0562),2)</f>
        <v>112.01</v>
      </c>
    </row>
    <row r="43" spans="1:7" ht="47.25" customHeight="1" x14ac:dyDescent="0.25">
      <c r="A43" s="4">
        <v>2244</v>
      </c>
      <c r="B43" s="84" t="s">
        <v>22</v>
      </c>
      <c r="C43" s="68" t="s">
        <v>576</v>
      </c>
      <c r="D43" s="45">
        <f>ROUND((E43/D57),2)</f>
        <v>0.97</v>
      </c>
      <c r="E43" s="44">
        <f>ROUND((7456.84*0.0562),2)</f>
        <v>419.07</v>
      </c>
    </row>
    <row r="44" spans="1:7" ht="32.25" customHeight="1" x14ac:dyDescent="0.25">
      <c r="A44" s="4">
        <v>2249</v>
      </c>
      <c r="B44" s="84" t="s">
        <v>45</v>
      </c>
      <c r="C44" s="68" t="s">
        <v>577</v>
      </c>
      <c r="D44" s="45">
        <f>ROUND((E44/D57+0.01),2)</f>
        <v>1.37</v>
      </c>
      <c r="E44" s="44">
        <f>ROUND((10528.91*0.0562),2)</f>
        <v>591.72</v>
      </c>
    </row>
    <row r="45" spans="1:7" ht="30" customHeight="1" x14ac:dyDescent="0.25">
      <c r="A45" s="4">
        <v>2312</v>
      </c>
      <c r="B45" s="173" t="s">
        <v>13</v>
      </c>
      <c r="C45" s="68" t="s">
        <v>578</v>
      </c>
      <c r="D45" s="45">
        <f>ROUND((E45/D57),2)</f>
        <v>0.1</v>
      </c>
      <c r="E45" s="44">
        <f>ROUND((737.42*0.0562),2)</f>
        <v>41.44</v>
      </c>
    </row>
    <row r="46" spans="1:7" ht="45.75" customHeight="1" x14ac:dyDescent="0.25">
      <c r="A46" s="4">
        <v>2350</v>
      </c>
      <c r="B46" s="118" t="s">
        <v>213</v>
      </c>
      <c r="C46" s="68" t="s">
        <v>579</v>
      </c>
      <c r="D46" s="45">
        <f>ROUND((E46/D57),2)</f>
        <v>0.1</v>
      </c>
      <c r="E46" s="58">
        <f>ROUND((780.26*0.0562),2)</f>
        <v>43.85</v>
      </c>
    </row>
    <row r="47" spans="1:7" ht="31.5" x14ac:dyDescent="0.25">
      <c r="A47" s="4">
        <v>2513</v>
      </c>
      <c r="B47" s="118" t="s">
        <v>57</v>
      </c>
      <c r="C47" s="68" t="s">
        <v>580</v>
      </c>
      <c r="D47" s="45">
        <f>ROUND((E47/D57),2)</f>
        <v>1.9</v>
      </c>
      <c r="E47" s="45">
        <f>ROUND((14633.92*0.0562),2)</f>
        <v>822.43</v>
      </c>
    </row>
    <row r="48" spans="1:7" ht="31.5" customHeight="1" x14ac:dyDescent="0.25">
      <c r="A48" s="4">
        <v>2515</v>
      </c>
      <c r="B48" s="118" t="s">
        <v>44</v>
      </c>
      <c r="C48" s="68" t="s">
        <v>581</v>
      </c>
      <c r="D48" s="45">
        <f>ROUND((E48/D57),2)</f>
        <v>0.25</v>
      </c>
      <c r="E48" s="45">
        <f>ROUND((1964.86*0.0562),2)</f>
        <v>110.43</v>
      </c>
    </row>
    <row r="49" spans="1:7" ht="15.75" x14ac:dyDescent="0.25">
      <c r="A49" s="10">
        <v>5000</v>
      </c>
      <c r="B49" s="345" t="s">
        <v>17</v>
      </c>
      <c r="C49" s="65"/>
      <c r="D49" s="25">
        <f>SUM(D50:D52)</f>
        <v>1.17</v>
      </c>
      <c r="E49" s="25">
        <f>SUM(E50:E52)</f>
        <v>509.32</v>
      </c>
    </row>
    <row r="50" spans="1:7" ht="31.5" customHeight="1" x14ac:dyDescent="0.25">
      <c r="A50" s="4">
        <v>5213</v>
      </c>
      <c r="B50" s="118" t="s">
        <v>32</v>
      </c>
      <c r="C50" s="68" t="s">
        <v>696</v>
      </c>
      <c r="D50" s="45">
        <f>ROUND((E50/D57),2)</f>
        <v>0.02</v>
      </c>
      <c r="E50" s="45">
        <f>ROUND((158.25*0.0562),2)</f>
        <v>8.89</v>
      </c>
    </row>
    <row r="51" spans="1:7" ht="30.75" customHeight="1" x14ac:dyDescent="0.25">
      <c r="A51" s="18">
        <v>5218</v>
      </c>
      <c r="B51" s="84" t="s">
        <v>33</v>
      </c>
      <c r="C51" s="68" t="s">
        <v>697</v>
      </c>
      <c r="D51" s="45">
        <f>ROUND((E51/D57),2)</f>
        <v>0.46</v>
      </c>
      <c r="E51" s="45">
        <f>ROUND((3538.2*0.0562),2)</f>
        <v>198.85</v>
      </c>
    </row>
    <row r="52" spans="1:7" ht="47.25" x14ac:dyDescent="0.25">
      <c r="A52" s="18">
        <v>5239</v>
      </c>
      <c r="B52" s="84" t="s">
        <v>18</v>
      </c>
      <c r="C52" s="68" t="s">
        <v>698</v>
      </c>
      <c r="D52" s="45">
        <f>ROUND((E52/D57),2)</f>
        <v>0.69</v>
      </c>
      <c r="E52" s="45">
        <f>ROUND((5366.12*0.0562),2)</f>
        <v>301.58</v>
      </c>
    </row>
    <row r="53" spans="1:7" ht="15.75" x14ac:dyDescent="0.25">
      <c r="A53" s="161"/>
      <c r="B53" s="9" t="s">
        <v>23</v>
      </c>
      <c r="C53" s="65"/>
      <c r="D53" s="25">
        <f>SUM(D23+D36+D49)</f>
        <v>16.630000000000003</v>
      </c>
      <c r="E53" s="40">
        <f>SUM(E23+E36+E49)</f>
        <v>7210.7800000000007</v>
      </c>
    </row>
    <row r="54" spans="1:7" ht="31.5" x14ac:dyDescent="0.25">
      <c r="A54" s="162"/>
      <c r="B54" s="11" t="s">
        <v>28</v>
      </c>
      <c r="C54" s="65"/>
      <c r="D54" s="26">
        <f>D21+D53-0.05</f>
        <v>22.02</v>
      </c>
      <c r="E54" s="41">
        <f>E21+E53-21.5</f>
        <v>9555.3700000000008</v>
      </c>
    </row>
    <row r="55" spans="1:7" ht="15.75" x14ac:dyDescent="0.25">
      <c r="A55" s="162"/>
      <c r="B55" s="13" t="s">
        <v>212</v>
      </c>
      <c r="C55" s="65"/>
      <c r="D55" s="26">
        <f>D54*0.12</f>
        <v>2.6423999999999999</v>
      </c>
      <c r="E55" s="41">
        <f>E54*0.12</f>
        <v>1146.6444000000001</v>
      </c>
    </row>
    <row r="56" spans="1:7" ht="31.5" x14ac:dyDescent="0.25">
      <c r="A56" s="6"/>
      <c r="B56" s="169" t="s">
        <v>30</v>
      </c>
      <c r="C56" s="170"/>
      <c r="D56" s="26">
        <f>D54*1.12</f>
        <v>24.662400000000002</v>
      </c>
      <c r="E56" s="41">
        <f>E54*1.12</f>
        <v>10702.014400000002</v>
      </c>
    </row>
    <row r="57" spans="1:7" ht="15.75" x14ac:dyDescent="0.25">
      <c r="A57" s="397" t="s">
        <v>1529</v>
      </c>
      <c r="B57" s="397"/>
      <c r="C57" s="397"/>
      <c r="D57" s="8">
        <v>434</v>
      </c>
      <c r="E57" s="155" t="s">
        <v>65</v>
      </c>
    </row>
    <row r="58" spans="1:7" ht="30.6" customHeight="1" x14ac:dyDescent="0.25">
      <c r="A58" s="397" t="s">
        <v>226</v>
      </c>
      <c r="B58" s="397"/>
      <c r="C58" s="397"/>
      <c r="D58" s="355">
        <f>ROUND((E56/D57),2)</f>
        <v>24.66</v>
      </c>
      <c r="E58" s="191" t="s">
        <v>229</v>
      </c>
    </row>
    <row r="59" spans="1:7" ht="15.75" x14ac:dyDescent="0.25">
      <c r="A59" s="1"/>
      <c r="B59" s="1"/>
      <c r="C59" s="1"/>
    </row>
    <row r="60" spans="1:7" x14ac:dyDescent="0.25">
      <c r="G60" s="319"/>
    </row>
  </sheetData>
  <mergeCells count="7">
    <mergeCell ref="A58:C58"/>
    <mergeCell ref="A2:C2"/>
    <mergeCell ref="A3:E3"/>
    <mergeCell ref="A4:B4"/>
    <mergeCell ref="A26:A34"/>
    <mergeCell ref="B26:B34"/>
    <mergeCell ref="A57:C57"/>
  </mergeCells>
  <pageMargins left="0.7" right="0.7" top="0.75" bottom="0.75" header="0.3" footer="0.3"/>
  <pageSetup paperSize="9" orientation="landscape" r:id="rId1"/>
  <ignoredErrors>
    <ignoredError sqref="D18 D36 D49" formula="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1A787-67D7-4D93-9CA0-5BA0B759B144}">
  <dimension ref="A1:K61"/>
  <sheetViews>
    <sheetView topLeftCell="A46" zoomScaleNormal="100" workbookViewId="0">
      <selection activeCell="D60" sqref="D60"/>
    </sheetView>
  </sheetViews>
  <sheetFormatPr defaultRowHeight="15" x14ac:dyDescent="0.25"/>
  <cols>
    <col min="1" max="1" width="13.140625" customWidth="1"/>
    <col min="2" max="2" width="27.5703125" customWidth="1"/>
    <col min="3" max="3" width="64.7109375" customWidth="1"/>
    <col min="4" max="4" width="9.85546875" customWidth="1"/>
    <col min="5" max="5" width="17.5703125" customWidth="1"/>
  </cols>
  <sheetData>
    <row r="1" spans="1:5" ht="18.75" x14ac:dyDescent="0.3">
      <c r="A1" s="148" t="s">
        <v>46</v>
      </c>
    </row>
    <row r="2" spans="1:5" ht="18.75" x14ac:dyDescent="0.3">
      <c r="A2" s="404" t="s">
        <v>51</v>
      </c>
      <c r="B2" s="404"/>
      <c r="C2" s="404"/>
    </row>
    <row r="3" spans="1:5" ht="18.75" x14ac:dyDescent="0.25">
      <c r="A3" s="398" t="s">
        <v>179</v>
      </c>
      <c r="B3" s="398"/>
      <c r="C3" s="398"/>
      <c r="D3" s="398"/>
      <c r="E3" s="398"/>
    </row>
    <row r="4" spans="1:5" ht="15.75" x14ac:dyDescent="0.25">
      <c r="A4" s="405" t="s">
        <v>64</v>
      </c>
      <c r="B4" s="405"/>
    </row>
    <row r="6" spans="1:5" ht="78.75" x14ac:dyDescent="0.25">
      <c r="A6" s="139" t="s">
        <v>0</v>
      </c>
      <c r="B6" s="139" t="s">
        <v>1</v>
      </c>
      <c r="C6" s="139" t="s">
        <v>2</v>
      </c>
      <c r="D6" s="152" t="s">
        <v>26</v>
      </c>
      <c r="E6" s="52" t="s">
        <v>27</v>
      </c>
    </row>
    <row r="7" spans="1:5" x14ac:dyDescent="0.25">
      <c r="A7" s="277">
        <v>1</v>
      </c>
      <c r="B7" s="277">
        <v>2</v>
      </c>
      <c r="C7" s="277">
        <v>3</v>
      </c>
      <c r="D7" s="46">
        <v>4</v>
      </c>
      <c r="E7" s="46">
        <v>5</v>
      </c>
    </row>
    <row r="8" spans="1:5" ht="15.75" x14ac:dyDescent="0.25">
      <c r="A8" s="4"/>
      <c r="B8" s="7" t="s">
        <v>7</v>
      </c>
      <c r="C8" s="70" t="s">
        <v>8</v>
      </c>
      <c r="D8" s="24"/>
      <c r="E8" s="22"/>
    </row>
    <row r="9" spans="1:5" ht="15.75" x14ac:dyDescent="0.25">
      <c r="A9" s="8">
        <v>1000</v>
      </c>
      <c r="B9" s="7" t="s">
        <v>9</v>
      </c>
      <c r="C9" s="70"/>
      <c r="D9" s="43">
        <f>D10+D18</f>
        <v>8.85</v>
      </c>
      <c r="E9" s="43">
        <f>E10+E18</f>
        <v>6694.11</v>
      </c>
    </row>
    <row r="10" spans="1:5" ht="15.75" x14ac:dyDescent="0.25">
      <c r="A10" s="265">
        <v>1100</v>
      </c>
      <c r="B10" s="265" t="s">
        <v>10</v>
      </c>
      <c r="C10" s="70"/>
      <c r="D10" s="43">
        <f>SUM(D12:D17)</f>
        <v>6.91</v>
      </c>
      <c r="E10" s="43">
        <f>SUM(E12:E17)</f>
        <v>5224.2299999999996</v>
      </c>
    </row>
    <row r="11" spans="1:5" ht="15.75" x14ac:dyDescent="0.25">
      <c r="A11" s="16">
        <v>1110</v>
      </c>
      <c r="B11" s="16" t="s">
        <v>217</v>
      </c>
      <c r="C11" s="137" t="s">
        <v>218</v>
      </c>
      <c r="D11" s="108">
        <f>SUM(D12:D16)</f>
        <v>6.28</v>
      </c>
      <c r="E11" s="108">
        <f>SUM(E12:E16)</f>
        <v>4749.3099999999995</v>
      </c>
    </row>
    <row r="12" spans="1:5" ht="79.5" customHeight="1" x14ac:dyDescent="0.25">
      <c r="A12" s="126"/>
      <c r="B12" s="129"/>
      <c r="C12" s="142" t="s">
        <v>1187</v>
      </c>
      <c r="D12" s="108">
        <f>ROUND((E12/D58),2)</f>
        <v>1.24</v>
      </c>
      <c r="E12" s="108">
        <f>ROUND((489.79*12*0.159),2)</f>
        <v>934.52</v>
      </c>
    </row>
    <row r="13" spans="1:5" ht="78" customHeight="1" x14ac:dyDescent="0.25">
      <c r="A13" s="143"/>
      <c r="B13" s="144"/>
      <c r="C13" s="142" t="s">
        <v>1186</v>
      </c>
      <c r="D13" s="108">
        <f>ROUND((E13/D58),2)</f>
        <v>1.56</v>
      </c>
      <c r="E13" s="108">
        <f>ROUND((619.13*12*0.159),2)</f>
        <v>1181.3</v>
      </c>
    </row>
    <row r="14" spans="1:5" ht="79.5" customHeight="1" x14ac:dyDescent="0.25">
      <c r="A14" s="127"/>
      <c r="B14" s="130"/>
      <c r="C14" s="142" t="s">
        <v>1185</v>
      </c>
      <c r="D14" s="108">
        <f>ROUND((E14/D58),2)</f>
        <v>1.46</v>
      </c>
      <c r="E14" s="108">
        <f>ROUND((579.53*12*0.159),2)</f>
        <v>1105.74</v>
      </c>
    </row>
    <row r="15" spans="1:5" ht="77.45" customHeight="1" x14ac:dyDescent="0.25">
      <c r="A15" s="127"/>
      <c r="B15" s="130"/>
      <c r="C15" s="142" t="s">
        <v>1188</v>
      </c>
      <c r="D15" s="108">
        <f>ROUND((E15/D58),2)</f>
        <v>1.32</v>
      </c>
      <c r="E15" s="108">
        <f>ROUND((521.51*12*0.159),2)</f>
        <v>995.04</v>
      </c>
    </row>
    <row r="16" spans="1:5" ht="77.25" customHeight="1" x14ac:dyDescent="0.25">
      <c r="A16" s="128"/>
      <c r="B16" s="131"/>
      <c r="C16" s="142" t="s">
        <v>1189</v>
      </c>
      <c r="D16" s="108">
        <f>ROUND((E16/D58),2)</f>
        <v>0.7</v>
      </c>
      <c r="E16" s="108">
        <f>ROUND((279.2*12*0.159),2)</f>
        <v>532.71</v>
      </c>
    </row>
    <row r="17" spans="1:8" ht="94.5" customHeight="1" x14ac:dyDescent="0.25">
      <c r="A17" s="122">
        <v>1140</v>
      </c>
      <c r="B17" s="5" t="s">
        <v>214</v>
      </c>
      <c r="C17" s="142" t="s">
        <v>1190</v>
      </c>
      <c r="D17" s="108">
        <f>ROUND((E17/D58),2)</f>
        <v>0.63</v>
      </c>
      <c r="E17" s="108">
        <f>ROUND((934.52*0.1+1181.3*0.1+1105.74*0.1+995.04*0.1+532.71*0.1-0.01),2)</f>
        <v>474.92</v>
      </c>
    </row>
    <row r="18" spans="1:8" ht="61.5" customHeight="1" x14ac:dyDescent="0.25">
      <c r="A18" s="7">
        <v>1200</v>
      </c>
      <c r="B18" s="282" t="s">
        <v>11</v>
      </c>
      <c r="C18" s="166" t="s">
        <v>1204</v>
      </c>
      <c r="D18" s="86">
        <f>ROUND((D19+D20),2)</f>
        <v>1.94</v>
      </c>
      <c r="E18" s="86">
        <f>ROUND((E19+E20),2)</f>
        <v>1469.88</v>
      </c>
    </row>
    <row r="19" spans="1:8" ht="47.25" x14ac:dyDescent="0.25">
      <c r="A19" s="4">
        <v>1210</v>
      </c>
      <c r="B19" s="5" t="s">
        <v>216</v>
      </c>
      <c r="C19" s="166" t="s">
        <v>1203</v>
      </c>
      <c r="D19" s="44">
        <f>ROUND((E19/D58),2)</f>
        <v>1.63</v>
      </c>
      <c r="E19" s="44">
        <f>ROUND((5224.23*0.2359),2)</f>
        <v>1232.4000000000001</v>
      </c>
    </row>
    <row r="20" spans="1:8" ht="77.45" customHeight="1" x14ac:dyDescent="0.25">
      <c r="A20" s="4">
        <v>1227</v>
      </c>
      <c r="B20" s="5" t="s">
        <v>215</v>
      </c>
      <c r="C20" s="142" t="s">
        <v>1191</v>
      </c>
      <c r="D20" s="44">
        <f>ROUND((E20/D58),2)</f>
        <v>0.31</v>
      </c>
      <c r="E20" s="108">
        <f>ROUND((934.52*0.05+1181.3*0.05+1105.74*0.05+995.04*0.05+532.71*0.05+0.01),2)</f>
        <v>237.48</v>
      </c>
      <c r="H20" s="82"/>
    </row>
    <row r="21" spans="1:8" ht="15.75" x14ac:dyDescent="0.25">
      <c r="A21" s="4"/>
      <c r="B21" s="9" t="s">
        <v>14</v>
      </c>
      <c r="C21" s="71" t="s">
        <v>16</v>
      </c>
      <c r="D21" s="43">
        <f>D9</f>
        <v>8.85</v>
      </c>
      <c r="E21" s="43">
        <f>E9</f>
        <v>6694.11</v>
      </c>
    </row>
    <row r="22" spans="1:8" ht="15.75" x14ac:dyDescent="0.25">
      <c r="A22" s="4"/>
      <c r="B22" s="9" t="s">
        <v>15</v>
      </c>
      <c r="C22" s="70" t="s">
        <v>8</v>
      </c>
      <c r="D22" s="42"/>
      <c r="E22" s="42"/>
    </row>
    <row r="23" spans="1:8" ht="15.75" x14ac:dyDescent="0.25">
      <c r="A23" s="8">
        <v>1000</v>
      </c>
      <c r="B23" s="7" t="s">
        <v>9</v>
      </c>
      <c r="C23" s="70"/>
      <c r="D23" s="86">
        <f>SUM(D24+D35)</f>
        <v>1.4700000000000002</v>
      </c>
      <c r="E23" s="86">
        <f>SUM(E24+E35)</f>
        <v>1116.46</v>
      </c>
    </row>
    <row r="24" spans="1:8" ht="15.75" x14ac:dyDescent="0.25">
      <c r="A24" s="4">
        <v>1100</v>
      </c>
      <c r="B24" s="4" t="s">
        <v>10</v>
      </c>
      <c r="C24" s="137" t="s">
        <v>223</v>
      </c>
      <c r="D24" s="86">
        <f>SUM(D25:D34)</f>
        <v>1.1900000000000002</v>
      </c>
      <c r="E24" s="86">
        <f>SUM(E25:E34)</f>
        <v>903.36000000000013</v>
      </c>
    </row>
    <row r="25" spans="1:8" ht="79.5" customHeight="1" x14ac:dyDescent="0.25">
      <c r="A25" s="222"/>
      <c r="B25" s="223"/>
      <c r="C25" s="142" t="s">
        <v>1192</v>
      </c>
      <c r="D25" s="44">
        <f>ROUND((E25/D58),2)</f>
        <v>0.04</v>
      </c>
      <c r="E25" s="44">
        <f>ROUND((14.34*12*0.159),2)</f>
        <v>27.36</v>
      </c>
      <c r="G25" s="39"/>
      <c r="H25" s="39"/>
    </row>
    <row r="26" spans="1:8" ht="78.75" customHeight="1" x14ac:dyDescent="0.25">
      <c r="A26" s="401"/>
      <c r="B26" s="399"/>
      <c r="C26" s="142" t="s">
        <v>1193</v>
      </c>
      <c r="D26" s="44">
        <f>ROUND((E26/D58),2)</f>
        <v>0.02</v>
      </c>
      <c r="E26" s="44">
        <f>ROUND((9.41*12*0.159),2)</f>
        <v>17.95</v>
      </c>
      <c r="G26" s="39"/>
      <c r="H26" s="39"/>
    </row>
    <row r="27" spans="1:8" ht="78" customHeight="1" x14ac:dyDescent="0.25">
      <c r="A27" s="401"/>
      <c r="B27" s="399"/>
      <c r="C27" s="142" t="s">
        <v>1194</v>
      </c>
      <c r="D27" s="44">
        <f>ROUND((E27/D58),2)</f>
        <v>0.03</v>
      </c>
      <c r="E27" s="44">
        <f>ROUND((13.76*12*0.159),2)</f>
        <v>26.25</v>
      </c>
      <c r="F27" s="39"/>
      <c r="G27" s="39"/>
      <c r="H27" s="39"/>
    </row>
    <row r="28" spans="1:8" ht="76.5" customHeight="1" x14ac:dyDescent="0.25">
      <c r="A28" s="401"/>
      <c r="B28" s="399"/>
      <c r="C28" s="142" t="s">
        <v>1195</v>
      </c>
      <c r="D28" s="44">
        <f>ROUND((E28/D58),2)</f>
        <v>0.05</v>
      </c>
      <c r="E28" s="44">
        <f>ROUND((18.79*12*0.159),2)</f>
        <v>35.85</v>
      </c>
      <c r="G28" s="39"/>
      <c r="H28" s="39"/>
    </row>
    <row r="29" spans="1:8" ht="77.45" customHeight="1" x14ac:dyDescent="0.25">
      <c r="A29" s="401"/>
      <c r="B29" s="399"/>
      <c r="C29" s="72" t="s">
        <v>1196</v>
      </c>
      <c r="D29" s="44">
        <f>ROUND((E29/D58),2)</f>
        <v>0.03</v>
      </c>
      <c r="E29" s="44">
        <f>ROUND((13.27*12*0.159),2)</f>
        <v>25.32</v>
      </c>
      <c r="G29" s="39"/>
      <c r="H29" s="39"/>
    </row>
    <row r="30" spans="1:8" ht="77.25" customHeight="1" x14ac:dyDescent="0.25">
      <c r="A30" s="401"/>
      <c r="B30" s="399"/>
      <c r="C30" s="72" t="s">
        <v>1197</v>
      </c>
      <c r="D30" s="44">
        <f>ROUND((E30/D58),2)</f>
        <v>0.19</v>
      </c>
      <c r="E30" s="44">
        <f>ROUND((76.43*12*0.159),2)</f>
        <v>145.83000000000001</v>
      </c>
      <c r="G30" s="39"/>
      <c r="H30" s="39"/>
    </row>
    <row r="31" spans="1:8" ht="78.75" customHeight="1" x14ac:dyDescent="0.25">
      <c r="A31" s="401"/>
      <c r="B31" s="399"/>
      <c r="C31" s="72" t="s">
        <v>1198</v>
      </c>
      <c r="D31" s="44">
        <f>ROUND((E31/D58),2)</f>
        <v>0.2</v>
      </c>
      <c r="E31" s="44">
        <f>ROUND((79.88*12*0.159),2)</f>
        <v>152.41</v>
      </c>
      <c r="G31" s="39"/>
    </row>
    <row r="32" spans="1:8" ht="78.75" customHeight="1" x14ac:dyDescent="0.25">
      <c r="A32" s="401"/>
      <c r="B32" s="399"/>
      <c r="C32" s="72" t="s">
        <v>1199</v>
      </c>
      <c r="D32" s="44">
        <f>ROUND((E32/D58),2)</f>
        <v>0.25</v>
      </c>
      <c r="E32" s="44">
        <f>ROUND((99.81*12*0.159),2)</f>
        <v>190.44</v>
      </c>
      <c r="G32" s="39"/>
    </row>
    <row r="33" spans="1:11" ht="93" customHeight="1" x14ac:dyDescent="0.25">
      <c r="A33" s="401"/>
      <c r="B33" s="399"/>
      <c r="C33" s="72" t="s">
        <v>1200</v>
      </c>
      <c r="D33" s="44">
        <f>ROUND((E33/D58+0.01),2)</f>
        <v>0.31</v>
      </c>
      <c r="E33" s="44">
        <f>ROUND((118.42*12*0.159),2)</f>
        <v>225.95</v>
      </c>
      <c r="G33" s="39"/>
      <c r="K33" s="50"/>
    </row>
    <row r="34" spans="1:11" ht="78" customHeight="1" x14ac:dyDescent="0.25">
      <c r="A34" s="402"/>
      <c r="B34" s="400"/>
      <c r="C34" s="72" t="s">
        <v>1201</v>
      </c>
      <c r="D34" s="44">
        <f>ROUND((E34/D58),2)</f>
        <v>7.0000000000000007E-2</v>
      </c>
      <c r="E34" s="44">
        <f>ROUND((29.35*12*0.159),2)</f>
        <v>56</v>
      </c>
      <c r="G34" s="39"/>
    </row>
    <row r="35" spans="1:11" ht="63" customHeight="1" x14ac:dyDescent="0.25">
      <c r="A35" s="7">
        <v>1200</v>
      </c>
      <c r="B35" s="156" t="s">
        <v>11</v>
      </c>
      <c r="C35" s="73" t="s">
        <v>1202</v>
      </c>
      <c r="D35" s="86">
        <f>ROUND((E35/D58),2)</f>
        <v>0.28000000000000003</v>
      </c>
      <c r="E35" s="86">
        <f>ROUND((903.36*0.2359),2)</f>
        <v>213.1</v>
      </c>
    </row>
    <row r="36" spans="1:11" ht="15.75" x14ac:dyDescent="0.25">
      <c r="A36" s="8">
        <v>2000</v>
      </c>
      <c r="B36" s="7" t="s">
        <v>12</v>
      </c>
      <c r="C36" s="70"/>
      <c r="D36" s="43">
        <f>SUM(D37:D48)</f>
        <v>23.610000000000003</v>
      </c>
      <c r="E36" s="43">
        <f>SUM(E37:E48)</f>
        <v>17843.259999999998</v>
      </c>
    </row>
    <row r="37" spans="1:11" ht="31.5" x14ac:dyDescent="0.25">
      <c r="A37" s="4">
        <v>2221</v>
      </c>
      <c r="B37" s="84" t="s">
        <v>54</v>
      </c>
      <c r="C37" s="73" t="s">
        <v>582</v>
      </c>
      <c r="D37" s="45">
        <f>ROUND((E37/D58+0.01),2)</f>
        <v>11.51</v>
      </c>
      <c r="E37" s="44">
        <f>ROUND((54700.57*0.159),2)</f>
        <v>8697.39</v>
      </c>
    </row>
    <row r="38" spans="1:11" ht="31.5" x14ac:dyDescent="0.25">
      <c r="A38" s="4">
        <v>2222</v>
      </c>
      <c r="B38" s="118" t="s">
        <v>55</v>
      </c>
      <c r="C38" s="5" t="s">
        <v>583</v>
      </c>
      <c r="D38" s="45">
        <f>ROUND((E38/D58),2)</f>
        <v>1.6</v>
      </c>
      <c r="E38" s="44">
        <f>ROUND((7587.77*0.159),2)</f>
        <v>1206.46</v>
      </c>
    </row>
    <row r="39" spans="1:11" ht="31.5" x14ac:dyDescent="0.25">
      <c r="A39" s="4">
        <v>2223</v>
      </c>
      <c r="B39" s="118" t="s">
        <v>19</v>
      </c>
      <c r="C39" s="166" t="s">
        <v>584</v>
      </c>
      <c r="D39" s="45">
        <f>ROUND((E39/D58),2)</f>
        <v>2.2799999999999998</v>
      </c>
      <c r="E39" s="44">
        <f>ROUND((10851.74*0.159),2)</f>
        <v>1725.43</v>
      </c>
    </row>
    <row r="40" spans="1:11" ht="79.5" customHeight="1" x14ac:dyDescent="0.25">
      <c r="A40" s="4">
        <v>2224</v>
      </c>
      <c r="B40" s="84" t="s">
        <v>56</v>
      </c>
      <c r="C40" s="73" t="s">
        <v>585</v>
      </c>
      <c r="D40" s="45">
        <f>ROUND((E40/D58),2)</f>
        <v>0.16</v>
      </c>
      <c r="E40" s="27">
        <f>ROUND((761.81*0.159),2)</f>
        <v>121.13</v>
      </c>
      <c r="K40" s="50"/>
    </row>
    <row r="41" spans="1:11" ht="31.5" x14ac:dyDescent="0.25">
      <c r="A41" s="4">
        <v>2239</v>
      </c>
      <c r="B41" s="338" t="s">
        <v>20</v>
      </c>
      <c r="C41" s="84" t="s">
        <v>586</v>
      </c>
      <c r="D41" s="44">
        <f>ROUND((E41/D58),2)</f>
        <v>0.05</v>
      </c>
      <c r="E41" s="44">
        <f>ROUND((224.51*0.159),2)</f>
        <v>35.700000000000003</v>
      </c>
    </row>
    <row r="42" spans="1:11" ht="50.25" customHeight="1" x14ac:dyDescent="0.25">
      <c r="A42" s="4">
        <v>2243</v>
      </c>
      <c r="B42" s="84" t="s">
        <v>21</v>
      </c>
      <c r="C42" s="84" t="s">
        <v>587</v>
      </c>
      <c r="D42" s="44">
        <f>ROUND((E42/D58),2)</f>
        <v>0.42</v>
      </c>
      <c r="E42" s="44">
        <f>ROUND((1993.08*0.159),2)</f>
        <v>316.89999999999998</v>
      </c>
    </row>
    <row r="43" spans="1:11" ht="47.25" customHeight="1" x14ac:dyDescent="0.25">
      <c r="A43" s="4">
        <v>2244</v>
      </c>
      <c r="B43" s="84" t="s">
        <v>22</v>
      </c>
      <c r="C43" s="73" t="s">
        <v>588</v>
      </c>
      <c r="D43" s="44">
        <f>ROUND((E43/D58),2)</f>
        <v>1.57</v>
      </c>
      <c r="E43" s="44">
        <f>ROUND((7456.84*0.159),2)</f>
        <v>1185.6400000000001</v>
      </c>
    </row>
    <row r="44" spans="1:11" ht="33" customHeight="1" x14ac:dyDescent="0.25">
      <c r="A44" s="4">
        <v>2249</v>
      </c>
      <c r="B44" s="84" t="s">
        <v>45</v>
      </c>
      <c r="C44" s="73" t="s">
        <v>589</v>
      </c>
      <c r="D44" s="44">
        <f>ROUND((E44/D58),2)</f>
        <v>2.21</v>
      </c>
      <c r="E44" s="44">
        <f>ROUND((10528.91*0.159),2)</f>
        <v>1674.1</v>
      </c>
    </row>
    <row r="45" spans="1:11" ht="30" customHeight="1" x14ac:dyDescent="0.25">
      <c r="A45" s="4">
        <v>2312</v>
      </c>
      <c r="B45" s="118" t="s">
        <v>13</v>
      </c>
      <c r="C45" s="73" t="s">
        <v>590</v>
      </c>
      <c r="D45" s="44">
        <f>ROUND((E45/D58),2)</f>
        <v>0.16</v>
      </c>
      <c r="E45" s="44">
        <f>ROUND((737.42*0.159),2)</f>
        <v>117.25</v>
      </c>
    </row>
    <row r="46" spans="1:11" ht="45.95" customHeight="1" x14ac:dyDescent="0.25">
      <c r="A46" s="4">
        <v>2350</v>
      </c>
      <c r="B46" s="118" t="s">
        <v>213</v>
      </c>
      <c r="C46" s="73" t="s">
        <v>591</v>
      </c>
      <c r="D46" s="44">
        <f>ROUND((E46/D58),2)</f>
        <v>0.16</v>
      </c>
      <c r="E46" s="108">
        <f>ROUND((780.26*0.159),2)</f>
        <v>124.06</v>
      </c>
    </row>
    <row r="47" spans="1:11" ht="32.1" customHeight="1" x14ac:dyDescent="0.25">
      <c r="A47" s="4">
        <v>2513</v>
      </c>
      <c r="B47" s="118" t="s">
        <v>57</v>
      </c>
      <c r="C47" s="73" t="s">
        <v>592</v>
      </c>
      <c r="D47" s="44">
        <f>ROUND((E47/D58),2)</f>
        <v>3.08</v>
      </c>
      <c r="E47" s="44">
        <f>ROUND((14633.92*0.159),2)</f>
        <v>2326.79</v>
      </c>
    </row>
    <row r="48" spans="1:11" ht="33.75" customHeight="1" x14ac:dyDescent="0.25">
      <c r="A48" s="4">
        <v>2515</v>
      </c>
      <c r="B48" s="118" t="s">
        <v>44</v>
      </c>
      <c r="C48" s="73" t="s">
        <v>593</v>
      </c>
      <c r="D48" s="44">
        <f>ROUND((E48/D58),2)</f>
        <v>0.41</v>
      </c>
      <c r="E48" s="44">
        <f>ROUND((1964.86*0.159),2)</f>
        <v>312.41000000000003</v>
      </c>
    </row>
    <row r="49" spans="1:7" ht="15.75" x14ac:dyDescent="0.25">
      <c r="A49" s="10">
        <v>5000</v>
      </c>
      <c r="B49" s="9" t="s">
        <v>17</v>
      </c>
      <c r="C49" s="70"/>
      <c r="D49" s="43">
        <f>SUM(D50:D53)</f>
        <v>3.52</v>
      </c>
      <c r="E49" s="43">
        <f>SUM(E50:E53)</f>
        <v>2657.5800000000004</v>
      </c>
    </row>
    <row r="50" spans="1:7" ht="31.5" x14ac:dyDescent="0.25">
      <c r="A50" s="4">
        <v>5212</v>
      </c>
      <c r="B50" s="118" t="s">
        <v>31</v>
      </c>
      <c r="C50" s="73" t="s">
        <v>741</v>
      </c>
      <c r="D50" s="44">
        <f>ROUND((E50/D58),2)</f>
        <v>1.61</v>
      </c>
      <c r="E50" s="44">
        <f>ROUND((7651.82*0.159),2)</f>
        <v>1216.6400000000001</v>
      </c>
    </row>
    <row r="51" spans="1:7" ht="31.5" x14ac:dyDescent="0.25">
      <c r="A51" s="4">
        <v>5213</v>
      </c>
      <c r="B51" s="118" t="s">
        <v>32</v>
      </c>
      <c r="C51" s="73" t="s">
        <v>699</v>
      </c>
      <c r="D51" s="44">
        <f>ROUND((E51/D58),2)</f>
        <v>0.03</v>
      </c>
      <c r="E51" s="44">
        <f>ROUND((158.25*0.159),2)</f>
        <v>25.16</v>
      </c>
    </row>
    <row r="52" spans="1:7" ht="32.25" customHeight="1" x14ac:dyDescent="0.25">
      <c r="A52" s="18">
        <v>5218</v>
      </c>
      <c r="B52" s="84" t="s">
        <v>33</v>
      </c>
      <c r="C52" s="73" t="s">
        <v>700</v>
      </c>
      <c r="D52" s="44">
        <f>ROUND((E52/D58+0.01),2)</f>
        <v>0.75</v>
      </c>
      <c r="E52" s="44">
        <f>ROUND((3538.2*0.159),2)</f>
        <v>562.57000000000005</v>
      </c>
    </row>
    <row r="53" spans="1:7" ht="47.25" x14ac:dyDescent="0.25">
      <c r="A53" s="18">
        <v>5239</v>
      </c>
      <c r="B53" s="84" t="s">
        <v>18</v>
      </c>
      <c r="C53" s="73" t="s">
        <v>701</v>
      </c>
      <c r="D53" s="44">
        <f>ROUND((E53/D58),2)</f>
        <v>1.1299999999999999</v>
      </c>
      <c r="E53" s="44">
        <f>ROUND((5366.12*0.159),2)</f>
        <v>853.21</v>
      </c>
    </row>
    <row r="54" spans="1:7" ht="15.75" x14ac:dyDescent="0.25">
      <c r="A54" s="161"/>
      <c r="B54" s="9" t="s">
        <v>23</v>
      </c>
      <c r="C54" s="70"/>
      <c r="D54" s="43">
        <f>SUM(D23+D36+D49)</f>
        <v>28.6</v>
      </c>
      <c r="E54" s="40">
        <f>SUM(E23+E36+E49)</f>
        <v>21617.3</v>
      </c>
    </row>
    <row r="55" spans="1:7" ht="31.5" x14ac:dyDescent="0.25">
      <c r="A55" s="162"/>
      <c r="B55" s="11" t="s">
        <v>28</v>
      </c>
      <c r="C55" s="70"/>
      <c r="D55" s="26">
        <f>D21+D54</f>
        <v>37.450000000000003</v>
      </c>
      <c r="E55" s="41">
        <f>E21+E54</f>
        <v>28311.41</v>
      </c>
    </row>
    <row r="56" spans="1:7" ht="15.75" x14ac:dyDescent="0.25">
      <c r="A56" s="162"/>
      <c r="B56" s="13" t="s">
        <v>212</v>
      </c>
      <c r="C56" s="70"/>
      <c r="D56" s="26">
        <f>D55*0.12</f>
        <v>4.4939999999999998</v>
      </c>
      <c r="E56" s="41">
        <f>E55*0.12</f>
        <v>3397.3691999999996</v>
      </c>
    </row>
    <row r="57" spans="1:7" ht="31.5" x14ac:dyDescent="0.25">
      <c r="A57" s="6"/>
      <c r="B57" s="169" t="s">
        <v>30</v>
      </c>
      <c r="C57" s="170"/>
      <c r="D57" s="171">
        <f>D55*1.12</f>
        <v>41.94400000000001</v>
      </c>
      <c r="E57" s="172">
        <f>E55*1.12-1.3</f>
        <v>31707.479200000005</v>
      </c>
    </row>
    <row r="58" spans="1:7" ht="15.75" x14ac:dyDescent="0.25">
      <c r="A58" s="397" t="s">
        <v>1530</v>
      </c>
      <c r="B58" s="397"/>
      <c r="C58" s="397"/>
      <c r="D58" s="8">
        <f>14*54</f>
        <v>756</v>
      </c>
      <c r="E58" s="155" t="s">
        <v>65</v>
      </c>
    </row>
    <row r="59" spans="1:7" ht="30.6" customHeight="1" x14ac:dyDescent="0.25">
      <c r="A59" s="397" t="s">
        <v>226</v>
      </c>
      <c r="B59" s="397"/>
      <c r="C59" s="397"/>
      <c r="D59" s="350">
        <f>ROUND((E57/D58),2)</f>
        <v>41.94</v>
      </c>
      <c r="E59" s="191" t="s">
        <v>227</v>
      </c>
    </row>
    <row r="60" spans="1:7" ht="15.75" x14ac:dyDescent="0.25">
      <c r="A60" s="1"/>
      <c r="B60" s="1"/>
      <c r="C60" s="1"/>
    </row>
    <row r="61" spans="1:7" x14ac:dyDescent="0.25">
      <c r="G61" s="319"/>
    </row>
  </sheetData>
  <mergeCells count="7">
    <mergeCell ref="A59:C59"/>
    <mergeCell ref="A2:C2"/>
    <mergeCell ref="A3:E3"/>
    <mergeCell ref="A4:B4"/>
    <mergeCell ref="A26:A34"/>
    <mergeCell ref="B26:B34"/>
    <mergeCell ref="A58:C58"/>
  </mergeCells>
  <pageMargins left="0.7" right="0.7" top="0.75" bottom="0.75" header="0.3" footer="0.3"/>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47D9D-AB9A-4BB1-80B2-E49AE49A6DDB}">
  <dimension ref="A1:J66"/>
  <sheetViews>
    <sheetView topLeftCell="A52" zoomScaleNormal="100" workbookViewId="0">
      <selection activeCell="D59" sqref="D59"/>
    </sheetView>
  </sheetViews>
  <sheetFormatPr defaultRowHeight="15" x14ac:dyDescent="0.25"/>
  <cols>
    <col min="1" max="1" width="12.28515625" customWidth="1"/>
    <col min="2" max="2" width="26.7109375" customWidth="1"/>
    <col min="3" max="3" width="68" customWidth="1"/>
    <col min="4" max="4" width="9.85546875" customWidth="1"/>
    <col min="5" max="5" width="17.140625" customWidth="1"/>
    <col min="7" max="7" width="9.42578125" bestFit="1" customWidth="1"/>
  </cols>
  <sheetData>
    <row r="1" spans="1:7" ht="18.75" x14ac:dyDescent="0.3">
      <c r="A1" s="148" t="s">
        <v>46</v>
      </c>
    </row>
    <row r="2" spans="1:7" ht="18.75" x14ac:dyDescent="0.3">
      <c r="A2" s="404" t="s">
        <v>51</v>
      </c>
      <c r="B2" s="404"/>
      <c r="C2" s="404"/>
    </row>
    <row r="3" spans="1:7" ht="18.75" x14ac:dyDescent="0.25">
      <c r="A3" s="398" t="s">
        <v>180</v>
      </c>
      <c r="B3" s="398"/>
      <c r="C3" s="398"/>
      <c r="D3" s="398"/>
      <c r="E3" s="398"/>
    </row>
    <row r="4" spans="1:7" ht="15.75" x14ac:dyDescent="0.25">
      <c r="A4" s="405" t="s">
        <v>64</v>
      </c>
      <c r="B4" s="405"/>
    </row>
    <row r="6" spans="1:7" ht="79.5" customHeight="1" x14ac:dyDescent="0.25">
      <c r="A6" s="139" t="s">
        <v>0</v>
      </c>
      <c r="B6" s="139" t="s">
        <v>1</v>
      </c>
      <c r="C6" s="139" t="s">
        <v>2</v>
      </c>
      <c r="D6" s="152" t="s">
        <v>26</v>
      </c>
      <c r="E6" s="152" t="s">
        <v>27</v>
      </c>
    </row>
    <row r="7" spans="1:7" x14ac:dyDescent="0.25">
      <c r="A7" s="277">
        <v>1</v>
      </c>
      <c r="B7" s="277">
        <v>2</v>
      </c>
      <c r="C7" s="277">
        <v>3</v>
      </c>
      <c r="D7" s="277">
        <v>4</v>
      </c>
      <c r="E7" s="277">
        <v>5</v>
      </c>
    </row>
    <row r="8" spans="1:7" ht="15.75" x14ac:dyDescent="0.25">
      <c r="A8" s="4"/>
      <c r="B8" s="7" t="s">
        <v>7</v>
      </c>
      <c r="C8" s="70" t="s">
        <v>8</v>
      </c>
      <c r="D8" s="24"/>
      <c r="E8" s="22"/>
    </row>
    <row r="9" spans="1:7" ht="15.75" x14ac:dyDescent="0.25">
      <c r="A9" s="8">
        <v>1000</v>
      </c>
      <c r="B9" s="7" t="s">
        <v>9</v>
      </c>
      <c r="C9" s="70"/>
      <c r="D9" s="43">
        <f>D10+D18</f>
        <v>11.08</v>
      </c>
      <c r="E9" s="43">
        <f>E10+E18</f>
        <v>1439.85</v>
      </c>
    </row>
    <row r="10" spans="1:7" ht="15.75" x14ac:dyDescent="0.25">
      <c r="A10" s="265">
        <v>1100</v>
      </c>
      <c r="B10" s="265" t="s">
        <v>10</v>
      </c>
      <c r="C10" s="70"/>
      <c r="D10" s="43">
        <f>SUM(D12:D17)</f>
        <v>8.65</v>
      </c>
      <c r="E10" s="43">
        <f>SUM(E12:E17)</f>
        <v>1123.7</v>
      </c>
    </row>
    <row r="11" spans="1:7" ht="15.75" x14ac:dyDescent="0.25">
      <c r="A11" s="16">
        <v>1110</v>
      </c>
      <c r="B11" s="16" t="s">
        <v>217</v>
      </c>
      <c r="C11" s="137" t="s">
        <v>218</v>
      </c>
      <c r="D11" s="108">
        <f>SUM(D12:D16)</f>
        <v>7.86</v>
      </c>
      <c r="E11" s="108">
        <f>SUM(E12:E16)</f>
        <v>1021.5500000000001</v>
      </c>
    </row>
    <row r="12" spans="1:7" ht="78.75" x14ac:dyDescent="0.25">
      <c r="A12" s="126"/>
      <c r="B12" s="129"/>
      <c r="C12" s="123" t="s">
        <v>1205</v>
      </c>
      <c r="D12" s="58">
        <f>ROUND((E12/D58),2)</f>
        <v>1.55</v>
      </c>
      <c r="E12" s="108">
        <f>ROUND((489.79*12*0.0342),2)</f>
        <v>201.01</v>
      </c>
      <c r="G12" s="39"/>
    </row>
    <row r="13" spans="1:7" ht="78.75" x14ac:dyDescent="0.25">
      <c r="A13" s="143"/>
      <c r="B13" s="144"/>
      <c r="C13" s="123" t="s">
        <v>1206</v>
      </c>
      <c r="D13" s="58">
        <f>ROUND((E13/D58),2)</f>
        <v>1.95</v>
      </c>
      <c r="E13" s="108">
        <f>ROUND((619.13*12*0.0342),2)</f>
        <v>254.09</v>
      </c>
    </row>
    <row r="14" spans="1:7" ht="78.75" x14ac:dyDescent="0.25">
      <c r="A14" s="127"/>
      <c r="B14" s="130"/>
      <c r="C14" s="123" t="s">
        <v>1207</v>
      </c>
      <c r="D14" s="58">
        <f>ROUND((E14/D58),2)</f>
        <v>1.83</v>
      </c>
      <c r="E14" s="108">
        <f>ROUND((579.53*12*0.0342),2)</f>
        <v>237.84</v>
      </c>
    </row>
    <row r="15" spans="1:7" ht="78.75" x14ac:dyDescent="0.25">
      <c r="A15" s="127"/>
      <c r="B15" s="130"/>
      <c r="C15" s="123" t="s">
        <v>1208</v>
      </c>
      <c r="D15" s="58">
        <f>ROUND((E15/D58),2)</f>
        <v>1.65</v>
      </c>
      <c r="E15" s="108">
        <f>ROUND((521.51*12*0.0342),2)</f>
        <v>214.03</v>
      </c>
      <c r="G15" s="39"/>
    </row>
    <row r="16" spans="1:7" ht="78.75" x14ac:dyDescent="0.25">
      <c r="A16" s="128"/>
      <c r="B16" s="131"/>
      <c r="C16" s="123" t="s">
        <v>1209</v>
      </c>
      <c r="D16" s="58">
        <f>ROUND((E16/D58),2)</f>
        <v>0.88</v>
      </c>
      <c r="E16" s="108">
        <f>ROUND((279.2*12*0.0342),2)</f>
        <v>114.58</v>
      </c>
    </row>
    <row r="17" spans="1:10" ht="77.25" customHeight="1" x14ac:dyDescent="0.25">
      <c r="A17" s="122">
        <v>1140</v>
      </c>
      <c r="B17" s="5" t="s">
        <v>214</v>
      </c>
      <c r="C17" s="142" t="s">
        <v>1210</v>
      </c>
      <c r="D17" s="58">
        <f>ROUND((E17/D58),2)</f>
        <v>0.79</v>
      </c>
      <c r="E17" s="108">
        <f>ROUND((201.01*0.1+254.09*0.1+237.84*0.1+214.03*0.1+114.58*0.1-0.01),2)</f>
        <v>102.15</v>
      </c>
      <c r="G17" s="292"/>
      <c r="J17" s="39"/>
    </row>
    <row r="18" spans="1:10" ht="63" customHeight="1" x14ac:dyDescent="0.25">
      <c r="A18" s="7">
        <v>1200</v>
      </c>
      <c r="B18" s="282" t="s">
        <v>11</v>
      </c>
      <c r="C18" s="166" t="s">
        <v>1533</v>
      </c>
      <c r="D18" s="86">
        <f>ROUND((D19+D20),2)</f>
        <v>2.4300000000000002</v>
      </c>
      <c r="E18" s="86">
        <f>ROUND((E19+E20),2)</f>
        <v>316.14999999999998</v>
      </c>
    </row>
    <row r="19" spans="1:10" ht="46.5" customHeight="1" x14ac:dyDescent="0.25">
      <c r="A19" s="4">
        <v>1210</v>
      </c>
      <c r="B19" s="5" t="s">
        <v>216</v>
      </c>
      <c r="C19" s="166" t="s">
        <v>1532</v>
      </c>
      <c r="D19" s="58">
        <f>ROUND((E19/D58),2)</f>
        <v>2.04</v>
      </c>
      <c r="E19" s="44">
        <f>ROUND((1123.7*0.2359),2)</f>
        <v>265.08</v>
      </c>
    </row>
    <row r="20" spans="1:10" ht="78" customHeight="1" x14ac:dyDescent="0.25">
      <c r="A20" s="4">
        <v>1227</v>
      </c>
      <c r="B20" s="5" t="s">
        <v>215</v>
      </c>
      <c r="C20" s="142" t="s">
        <v>1211</v>
      </c>
      <c r="D20" s="58">
        <f>ROUND((E20/D58),2)</f>
        <v>0.39</v>
      </c>
      <c r="E20" s="108">
        <f>ROUND((201.01*0.05+254.09*0.05+237.84*0.05+214.03*0.05+114.58*0.05-0.01),2)</f>
        <v>51.07</v>
      </c>
      <c r="G20" s="284"/>
    </row>
    <row r="21" spans="1:10" ht="15.75" x14ac:dyDescent="0.25">
      <c r="A21" s="4"/>
      <c r="B21" s="9" t="s">
        <v>14</v>
      </c>
      <c r="C21" s="71" t="s">
        <v>16</v>
      </c>
      <c r="D21" s="25">
        <f>D9</f>
        <v>11.08</v>
      </c>
      <c r="E21" s="43">
        <f>E9</f>
        <v>1439.85</v>
      </c>
    </row>
    <row r="22" spans="1:10" ht="15.75" x14ac:dyDescent="0.25">
      <c r="A22" s="4"/>
      <c r="B22" s="9" t="s">
        <v>15</v>
      </c>
      <c r="C22" s="70" t="s">
        <v>8</v>
      </c>
      <c r="D22" s="22"/>
      <c r="E22" s="42"/>
    </row>
    <row r="23" spans="1:10" ht="15.75" x14ac:dyDescent="0.25">
      <c r="A23" s="8">
        <v>1000</v>
      </c>
      <c r="B23" s="7" t="s">
        <v>9</v>
      </c>
      <c r="C23" s="70"/>
      <c r="D23" s="83">
        <f>SUM(D24+D35)</f>
        <v>1.8399999999999999</v>
      </c>
      <c r="E23" s="83">
        <f>SUM(E24+E35)</f>
        <v>240.16000000000003</v>
      </c>
    </row>
    <row r="24" spans="1:10" ht="15.75" x14ac:dyDescent="0.25">
      <c r="A24" s="4">
        <v>1100</v>
      </c>
      <c r="B24" s="4" t="s">
        <v>10</v>
      </c>
      <c r="C24" s="137" t="s">
        <v>223</v>
      </c>
      <c r="D24" s="83">
        <f>SUM(D25:D34)</f>
        <v>1.49</v>
      </c>
      <c r="E24" s="83">
        <f>SUM(E25:E34)</f>
        <v>194.32000000000002</v>
      </c>
    </row>
    <row r="25" spans="1:10" ht="79.5" customHeight="1" x14ac:dyDescent="0.25">
      <c r="A25" s="222"/>
      <c r="B25" s="223"/>
      <c r="C25" s="142" t="s">
        <v>1212</v>
      </c>
      <c r="D25" s="27">
        <f>ROUND((E25/D58),2)</f>
        <v>0.05</v>
      </c>
      <c r="E25" s="45">
        <f>ROUND((14.34*12*0.0342),2)</f>
        <v>5.89</v>
      </c>
      <c r="G25" s="39"/>
      <c r="I25" s="82"/>
    </row>
    <row r="26" spans="1:10" ht="78.75" x14ac:dyDescent="0.25">
      <c r="A26" s="401"/>
      <c r="B26" s="399"/>
      <c r="C26" s="142" t="s">
        <v>1213</v>
      </c>
      <c r="D26" s="27">
        <f>ROUND((E26/D58),2)</f>
        <v>0.03</v>
      </c>
      <c r="E26" s="45">
        <f>ROUND((9.41*12*0.0342),2)</f>
        <v>3.86</v>
      </c>
      <c r="G26" s="50"/>
      <c r="I26" s="82"/>
    </row>
    <row r="27" spans="1:10" ht="78.75" x14ac:dyDescent="0.25">
      <c r="A27" s="401"/>
      <c r="B27" s="399"/>
      <c r="C27" s="142" t="s">
        <v>1214</v>
      </c>
      <c r="D27" s="27">
        <f>ROUND((E27/D58),2)</f>
        <v>0.04</v>
      </c>
      <c r="E27" s="27">
        <f>ROUND((13.76*12*0.0342),2)</f>
        <v>5.65</v>
      </c>
      <c r="G27" s="82"/>
      <c r="I27" s="82"/>
    </row>
    <row r="28" spans="1:10" ht="78.75" x14ac:dyDescent="0.25">
      <c r="A28" s="401"/>
      <c r="B28" s="399"/>
      <c r="C28" s="142" t="s">
        <v>1215</v>
      </c>
      <c r="D28" s="27">
        <f>ROUND((E28/D58),2)</f>
        <v>0.06</v>
      </c>
      <c r="E28" s="45">
        <f>ROUND((18.79*12*0.0342),2)</f>
        <v>7.71</v>
      </c>
      <c r="I28" s="82"/>
    </row>
    <row r="29" spans="1:10" ht="78.75" x14ac:dyDescent="0.25">
      <c r="A29" s="401"/>
      <c r="B29" s="399"/>
      <c r="C29" s="72" t="s">
        <v>1216</v>
      </c>
      <c r="D29" s="27">
        <f>ROUND((E29/D58),2)</f>
        <v>0.04</v>
      </c>
      <c r="E29" s="45">
        <f>ROUND((13.27*12*0.0342),2)</f>
        <v>5.45</v>
      </c>
      <c r="I29" s="82"/>
    </row>
    <row r="30" spans="1:10" ht="78.75" x14ac:dyDescent="0.25">
      <c r="A30" s="401"/>
      <c r="B30" s="399"/>
      <c r="C30" s="72" t="s">
        <v>1217</v>
      </c>
      <c r="D30" s="27">
        <f>ROUND((E30/D58),2)</f>
        <v>0.24</v>
      </c>
      <c r="E30" s="45">
        <f>ROUND((76.43*12*0.0342),2)</f>
        <v>31.37</v>
      </c>
      <c r="I30" s="82"/>
    </row>
    <row r="31" spans="1:10" ht="78" customHeight="1" x14ac:dyDescent="0.25">
      <c r="A31" s="401"/>
      <c r="B31" s="399"/>
      <c r="C31" s="123" t="s">
        <v>1220</v>
      </c>
      <c r="D31" s="27">
        <f>ROUND((E31/D58),2)</f>
        <v>0.25</v>
      </c>
      <c r="E31" s="45">
        <f>ROUND((79.88*12*0.0342),2)</f>
        <v>32.78</v>
      </c>
      <c r="G31" s="50"/>
      <c r="I31" s="82"/>
    </row>
    <row r="32" spans="1:10" ht="78" customHeight="1" x14ac:dyDescent="0.25">
      <c r="A32" s="401"/>
      <c r="B32" s="399"/>
      <c r="C32" s="123" t="s">
        <v>1218</v>
      </c>
      <c r="D32" s="27">
        <f>ROUND((E32/D58),2)</f>
        <v>0.32</v>
      </c>
      <c r="E32" s="45">
        <f>ROUND((99.81*12*0.0342),2)</f>
        <v>40.96</v>
      </c>
      <c r="G32" s="39"/>
      <c r="I32" s="82"/>
    </row>
    <row r="33" spans="1:9" ht="94.5" x14ac:dyDescent="0.25">
      <c r="A33" s="401"/>
      <c r="B33" s="399"/>
      <c r="C33" s="123" t="s">
        <v>1219</v>
      </c>
      <c r="D33" s="27">
        <f>ROUND((E33/D58),2)</f>
        <v>0.37</v>
      </c>
      <c r="E33" s="45">
        <f>ROUND((118.42*12*0.0342),2)</f>
        <v>48.6</v>
      </c>
      <c r="I33" s="82"/>
    </row>
    <row r="34" spans="1:9" ht="79.5" customHeight="1" x14ac:dyDescent="0.25">
      <c r="A34" s="402"/>
      <c r="B34" s="400"/>
      <c r="C34" s="123" t="s">
        <v>1221</v>
      </c>
      <c r="D34" s="27">
        <f>ROUND((E34/D58),2)</f>
        <v>0.09</v>
      </c>
      <c r="E34" s="45">
        <f>ROUND((29.35*12*0.0342),2)</f>
        <v>12.05</v>
      </c>
      <c r="I34" s="82"/>
    </row>
    <row r="35" spans="1:9" ht="64.5" customHeight="1" x14ac:dyDescent="0.25">
      <c r="A35" s="7">
        <v>1200</v>
      </c>
      <c r="B35" s="156" t="s">
        <v>11</v>
      </c>
      <c r="C35" s="73" t="s">
        <v>1534</v>
      </c>
      <c r="D35" s="83">
        <f>ROUND((E35/D58),2)</f>
        <v>0.35</v>
      </c>
      <c r="E35" s="86">
        <f>ROUND((194.32*0.2359),2)</f>
        <v>45.84</v>
      </c>
      <c r="I35" s="82"/>
    </row>
    <row r="36" spans="1:9" ht="15.75" x14ac:dyDescent="0.25">
      <c r="A36" s="8">
        <v>2000</v>
      </c>
      <c r="B36" s="7" t="s">
        <v>12</v>
      </c>
      <c r="C36" s="70"/>
      <c r="D36" s="43">
        <f>SUM(D37:D48)</f>
        <v>29.53</v>
      </c>
      <c r="E36" s="43">
        <f>SUM(E37:E48)</f>
        <v>3837.97</v>
      </c>
      <c r="I36" s="82"/>
    </row>
    <row r="37" spans="1:9" ht="30.75" customHeight="1" x14ac:dyDescent="0.25">
      <c r="A37" s="4">
        <v>2221</v>
      </c>
      <c r="B37" s="84" t="s">
        <v>54</v>
      </c>
      <c r="C37" s="73" t="s">
        <v>594</v>
      </c>
      <c r="D37" s="44">
        <f>ROUND((E37/D58),2)</f>
        <v>14.39</v>
      </c>
      <c r="E37" s="44">
        <f>ROUND((54700.57*0.0342),2)</f>
        <v>1870.76</v>
      </c>
      <c r="I37" s="82"/>
    </row>
    <row r="38" spans="1:9" ht="31.5" x14ac:dyDescent="0.25">
      <c r="A38" s="4">
        <v>2222</v>
      </c>
      <c r="B38" s="118" t="s">
        <v>55</v>
      </c>
      <c r="C38" s="5" t="s">
        <v>595</v>
      </c>
      <c r="D38" s="44">
        <f>ROUND((E38/D58),2)</f>
        <v>2</v>
      </c>
      <c r="E38" s="44">
        <f>ROUND((7587.77*0.0342),2)</f>
        <v>259.5</v>
      </c>
      <c r="I38" s="82"/>
    </row>
    <row r="39" spans="1:9" ht="31.5" customHeight="1" x14ac:dyDescent="0.25">
      <c r="A39" s="4">
        <v>2223</v>
      </c>
      <c r="B39" s="118" t="s">
        <v>19</v>
      </c>
      <c r="C39" s="166" t="s">
        <v>596</v>
      </c>
      <c r="D39" s="44">
        <f>ROUND((E39/D58),2)</f>
        <v>2.85</v>
      </c>
      <c r="E39" s="44">
        <f>ROUND((10851.74*0.0342),2)</f>
        <v>371.13</v>
      </c>
      <c r="I39" s="82"/>
    </row>
    <row r="40" spans="1:9" ht="78" customHeight="1" x14ac:dyDescent="0.25">
      <c r="A40" s="4">
        <v>2224</v>
      </c>
      <c r="B40" s="84" t="s">
        <v>56</v>
      </c>
      <c r="C40" s="73" t="s">
        <v>597</v>
      </c>
      <c r="D40" s="44">
        <f>ROUND((E40/D58),2)</f>
        <v>0.2</v>
      </c>
      <c r="E40" s="44">
        <f>ROUND((761.81*0.0342),2)</f>
        <v>26.05</v>
      </c>
      <c r="I40" s="82"/>
    </row>
    <row r="41" spans="1:9" ht="31.5" x14ac:dyDescent="0.25">
      <c r="A41" s="4">
        <v>2239</v>
      </c>
      <c r="B41" s="338" t="s">
        <v>20</v>
      </c>
      <c r="C41" s="117" t="s">
        <v>598</v>
      </c>
      <c r="D41" s="44">
        <f>ROUND((E41/D58),2)</f>
        <v>0.06</v>
      </c>
      <c r="E41" s="44">
        <f>ROUND((224.51*0.0342),2)</f>
        <v>7.68</v>
      </c>
      <c r="I41" s="82"/>
    </row>
    <row r="42" spans="1:9" ht="47.25" x14ac:dyDescent="0.25">
      <c r="A42" s="4">
        <v>2243</v>
      </c>
      <c r="B42" s="84" t="s">
        <v>21</v>
      </c>
      <c r="C42" s="84" t="s">
        <v>599</v>
      </c>
      <c r="D42" s="44">
        <f>ROUND((E42/D58),2)</f>
        <v>0.52</v>
      </c>
      <c r="E42" s="44">
        <f>ROUND((1993.08*0.0342),2)</f>
        <v>68.16</v>
      </c>
      <c r="I42" s="82"/>
    </row>
    <row r="43" spans="1:9" ht="46.5" customHeight="1" x14ac:dyDescent="0.25">
      <c r="A43" s="4">
        <v>2244</v>
      </c>
      <c r="B43" s="84" t="s">
        <v>22</v>
      </c>
      <c r="C43" s="73" t="s">
        <v>600</v>
      </c>
      <c r="D43" s="44">
        <f>ROUND((E43/D58),2)</f>
        <v>1.96</v>
      </c>
      <c r="E43" s="44">
        <f>ROUND((7456.84*0.0342),2)</f>
        <v>255.02</v>
      </c>
      <c r="I43" s="82"/>
    </row>
    <row r="44" spans="1:9" ht="47.25" x14ac:dyDescent="0.25">
      <c r="A44" s="4">
        <v>2249</v>
      </c>
      <c r="B44" s="84" t="s">
        <v>45</v>
      </c>
      <c r="C44" s="73" t="s">
        <v>601</v>
      </c>
      <c r="D44" s="44">
        <f>ROUND((E44/D58),2)</f>
        <v>2.77</v>
      </c>
      <c r="E44" s="44">
        <f>ROUND((10528.91*0.0342),2)</f>
        <v>360.09</v>
      </c>
      <c r="I44" s="82"/>
    </row>
    <row r="45" spans="1:9" ht="32.25" customHeight="1" x14ac:dyDescent="0.25">
      <c r="A45" s="4">
        <v>2312</v>
      </c>
      <c r="B45" s="173" t="s">
        <v>13</v>
      </c>
      <c r="C45" s="73" t="s">
        <v>602</v>
      </c>
      <c r="D45" s="44">
        <f>ROUND((E45/D58+0.01),2)</f>
        <v>0.2</v>
      </c>
      <c r="E45" s="44">
        <f>ROUND((737.42*0.0342),2)</f>
        <v>25.22</v>
      </c>
      <c r="I45" s="82"/>
    </row>
    <row r="46" spans="1:9" ht="48" customHeight="1" x14ac:dyDescent="0.25">
      <c r="A46" s="4">
        <v>2350</v>
      </c>
      <c r="B46" s="118" t="s">
        <v>213</v>
      </c>
      <c r="C46" s="73" t="s">
        <v>603</v>
      </c>
      <c r="D46" s="44">
        <f>ROUND((E46/D58),2)</f>
        <v>0.21</v>
      </c>
      <c r="E46" s="108">
        <f>ROUND((780.26*0.0342),2)</f>
        <v>26.68</v>
      </c>
      <c r="I46" s="82"/>
    </row>
    <row r="47" spans="1:9" ht="33" customHeight="1" x14ac:dyDescent="0.25">
      <c r="A47" s="4">
        <v>2513</v>
      </c>
      <c r="B47" s="118" t="s">
        <v>57</v>
      </c>
      <c r="C47" s="73" t="s">
        <v>604</v>
      </c>
      <c r="D47" s="44">
        <f>ROUND((E47/D58),2)</f>
        <v>3.85</v>
      </c>
      <c r="E47" s="44">
        <f>ROUND((14633.92*0.0342),2)</f>
        <v>500.48</v>
      </c>
      <c r="I47" s="82"/>
    </row>
    <row r="48" spans="1:9" ht="31.5" customHeight="1" x14ac:dyDescent="0.25">
      <c r="A48" s="4">
        <v>2515</v>
      </c>
      <c r="B48" s="118" t="s">
        <v>44</v>
      </c>
      <c r="C48" s="73" t="s">
        <v>605</v>
      </c>
      <c r="D48" s="44">
        <f>ROUND((E48/D58),2)</f>
        <v>0.52</v>
      </c>
      <c r="E48" s="44">
        <f>ROUND((1964.86*0.0342),2)</f>
        <v>67.2</v>
      </c>
      <c r="I48" s="82"/>
    </row>
    <row r="49" spans="1:9" ht="15.75" x14ac:dyDescent="0.25">
      <c r="A49" s="157">
        <v>5000</v>
      </c>
      <c r="B49" s="156" t="s">
        <v>17</v>
      </c>
      <c r="C49" s="122"/>
      <c r="D49" s="40">
        <f>SUM(D50:D53)</f>
        <v>4.3899999999999997</v>
      </c>
      <c r="E49" s="40">
        <f>SUM(E50:E53)</f>
        <v>571.63</v>
      </c>
      <c r="I49" s="82"/>
    </row>
    <row r="50" spans="1:9" ht="31.5" customHeight="1" x14ac:dyDescent="0.25">
      <c r="A50" s="4">
        <v>5212</v>
      </c>
      <c r="B50" s="118" t="s">
        <v>31</v>
      </c>
      <c r="C50" s="73" t="s">
        <v>742</v>
      </c>
      <c r="D50" s="44">
        <f>ROUND((E50/D58),2)</f>
        <v>2.0099999999999998</v>
      </c>
      <c r="E50" s="44">
        <f>ROUND((7651.82*0.0342),2)</f>
        <v>261.69</v>
      </c>
      <c r="I50" s="82"/>
    </row>
    <row r="51" spans="1:9" ht="30.75" customHeight="1" x14ac:dyDescent="0.25">
      <c r="A51" s="4">
        <v>5213</v>
      </c>
      <c r="B51" s="118" t="s">
        <v>32</v>
      </c>
      <c r="C51" s="73" t="s">
        <v>702</v>
      </c>
      <c r="D51" s="44">
        <f>ROUND((E51/D58),2)</f>
        <v>0.04</v>
      </c>
      <c r="E51" s="44">
        <f>ROUND((158.25*0.0342),2)</f>
        <v>5.41</v>
      </c>
      <c r="I51" s="82"/>
    </row>
    <row r="52" spans="1:9" ht="31.5" customHeight="1" x14ac:dyDescent="0.25">
      <c r="A52" s="18">
        <v>5218</v>
      </c>
      <c r="B52" s="84" t="s">
        <v>33</v>
      </c>
      <c r="C52" s="73" t="s">
        <v>703</v>
      </c>
      <c r="D52" s="44">
        <f>ROUND((E52/D58),2)</f>
        <v>0.93</v>
      </c>
      <c r="E52" s="44">
        <f>ROUND((3538.2*0.0342),2)</f>
        <v>121.01</v>
      </c>
      <c r="I52" s="82"/>
    </row>
    <row r="53" spans="1:9" ht="45.95" customHeight="1" x14ac:dyDescent="0.25">
      <c r="A53" s="18">
        <v>5239</v>
      </c>
      <c r="B53" s="84" t="s">
        <v>18</v>
      </c>
      <c r="C53" s="73" t="s">
        <v>704</v>
      </c>
      <c r="D53" s="44">
        <f>ROUND((E53/D58),2)</f>
        <v>1.41</v>
      </c>
      <c r="E53" s="44">
        <f>ROUND((5366.12*0.0342),2)</f>
        <v>183.52</v>
      </c>
      <c r="I53" s="82"/>
    </row>
    <row r="54" spans="1:9" ht="15.75" x14ac:dyDescent="0.25">
      <c r="A54" s="161"/>
      <c r="B54" s="9" t="s">
        <v>23</v>
      </c>
      <c r="C54" s="70"/>
      <c r="D54" s="43">
        <f>SUM(D23+D36+D49)</f>
        <v>35.76</v>
      </c>
      <c r="E54" s="40">
        <f>SUM(E23+E36+E49)</f>
        <v>4649.7599999999993</v>
      </c>
      <c r="I54" s="82"/>
    </row>
    <row r="55" spans="1:9" ht="31.5" x14ac:dyDescent="0.25">
      <c r="A55" s="162"/>
      <c r="B55" s="11" t="s">
        <v>28</v>
      </c>
      <c r="C55" s="70"/>
      <c r="D55" s="26">
        <f>D21+D54</f>
        <v>46.839999999999996</v>
      </c>
      <c r="E55" s="41">
        <f>E21+E54</f>
        <v>6089.6099999999988</v>
      </c>
      <c r="I55" s="82"/>
    </row>
    <row r="56" spans="1:9" ht="15.75" x14ac:dyDescent="0.25">
      <c r="A56" s="162"/>
      <c r="B56" s="13" t="s">
        <v>212</v>
      </c>
      <c r="C56" s="70"/>
      <c r="D56" s="26">
        <f>D55*0.12</f>
        <v>5.6207999999999991</v>
      </c>
      <c r="E56" s="41">
        <f>E55*0.12</f>
        <v>730.75319999999988</v>
      </c>
      <c r="I56" s="82"/>
    </row>
    <row r="57" spans="1:9" ht="31.5" x14ac:dyDescent="0.25">
      <c r="A57" s="6"/>
      <c r="B57" s="169" t="s">
        <v>30</v>
      </c>
      <c r="C57" s="170"/>
      <c r="D57" s="26">
        <f>D55*1.12</f>
        <v>52.460799999999999</v>
      </c>
      <c r="E57" s="41">
        <f>E55*1.12</f>
        <v>6820.3631999999989</v>
      </c>
      <c r="I57" s="82"/>
    </row>
    <row r="58" spans="1:9" ht="15.75" x14ac:dyDescent="0.25">
      <c r="A58" s="397" t="s">
        <v>1531</v>
      </c>
      <c r="B58" s="397"/>
      <c r="C58" s="397"/>
      <c r="D58" s="8">
        <v>130</v>
      </c>
      <c r="E58" s="155" t="s">
        <v>65</v>
      </c>
    </row>
    <row r="59" spans="1:9" ht="30.6" customHeight="1" x14ac:dyDescent="0.25">
      <c r="A59" s="397" t="s">
        <v>226</v>
      </c>
      <c r="B59" s="397"/>
      <c r="C59" s="397"/>
      <c r="D59" s="350">
        <f>ROUND((E57/D58),2)</f>
        <v>52.46</v>
      </c>
      <c r="E59" s="191" t="s">
        <v>227</v>
      </c>
    </row>
    <row r="60" spans="1:9" ht="15.75" x14ac:dyDescent="0.25">
      <c r="A60" s="1"/>
      <c r="B60" s="1"/>
      <c r="C60" s="1"/>
    </row>
    <row r="61" spans="1:9" x14ac:dyDescent="0.25">
      <c r="G61" s="319"/>
    </row>
    <row r="66" spans="4:4" x14ac:dyDescent="0.25">
      <c r="D66" s="240"/>
    </row>
  </sheetData>
  <mergeCells count="7">
    <mergeCell ref="A59:C59"/>
    <mergeCell ref="A2:C2"/>
    <mergeCell ref="A3:E3"/>
    <mergeCell ref="A4:B4"/>
    <mergeCell ref="A26:A34"/>
    <mergeCell ref="B26:B34"/>
    <mergeCell ref="A58:C58"/>
  </mergeCells>
  <pageMargins left="0.7" right="0.7" top="0.75" bottom="0.75" header="0.3" footer="0.3"/>
  <pageSetup paperSize="9" scale="96" orientation="landscape" r:id="rId1"/>
  <rowBreaks count="4" manualBreakCount="4">
    <brk id="21" max="16383" man="1"/>
    <brk id="29" max="16383" man="1"/>
    <brk id="35" max="16383" man="1"/>
    <brk id="45" max="1638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1A36FC-54D4-4F2B-941C-08003231ACDF}">
  <dimension ref="A1:I60"/>
  <sheetViews>
    <sheetView topLeftCell="A46" zoomScaleNormal="100" workbookViewId="0">
      <selection activeCell="D58" sqref="D58"/>
    </sheetView>
  </sheetViews>
  <sheetFormatPr defaultRowHeight="15" x14ac:dyDescent="0.25"/>
  <cols>
    <col min="1" max="1" width="13.140625" customWidth="1"/>
    <col min="2" max="2" width="27.42578125" customWidth="1"/>
    <col min="3" max="3" width="62.42578125" customWidth="1"/>
    <col min="4" max="4" width="10.140625" customWidth="1"/>
    <col min="5" max="5" width="17.85546875" customWidth="1"/>
  </cols>
  <sheetData>
    <row r="1" spans="1:7" ht="15.75" x14ac:dyDescent="0.25">
      <c r="A1" s="59" t="s">
        <v>46</v>
      </c>
    </row>
    <row r="2" spans="1:7" ht="18.75" x14ac:dyDescent="0.3">
      <c r="A2" s="404" t="s">
        <v>52</v>
      </c>
      <c r="B2" s="404"/>
      <c r="C2" s="404"/>
    </row>
    <row r="3" spans="1:7" ht="15.75" x14ac:dyDescent="0.25">
      <c r="A3" s="405" t="s">
        <v>64</v>
      </c>
      <c r="B3" s="405"/>
    </row>
    <row r="5" spans="1:7" ht="78.75" x14ac:dyDescent="0.25">
      <c r="A5" s="139" t="s">
        <v>0</v>
      </c>
      <c r="B5" s="139" t="s">
        <v>1</v>
      </c>
      <c r="C5" s="139" t="s">
        <v>2</v>
      </c>
      <c r="D5" s="152" t="s">
        <v>26</v>
      </c>
      <c r="E5" s="52" t="s">
        <v>27</v>
      </c>
    </row>
    <row r="6" spans="1:7" x14ac:dyDescent="0.25">
      <c r="A6" s="277">
        <v>1</v>
      </c>
      <c r="B6" s="277">
        <v>2</v>
      </c>
      <c r="C6" s="277">
        <v>3</v>
      </c>
      <c r="D6" s="277">
        <v>4</v>
      </c>
      <c r="E6" s="277">
        <v>5</v>
      </c>
    </row>
    <row r="7" spans="1:7" ht="15.75" x14ac:dyDescent="0.25">
      <c r="A7" s="4"/>
      <c r="B7" s="7" t="s">
        <v>7</v>
      </c>
      <c r="C7" s="133" t="s">
        <v>8</v>
      </c>
      <c r="D7" s="24"/>
      <c r="E7" s="22"/>
    </row>
    <row r="8" spans="1:7" ht="15.75" x14ac:dyDescent="0.25">
      <c r="A8" s="8">
        <v>1000</v>
      </c>
      <c r="B8" s="7" t="s">
        <v>9</v>
      </c>
      <c r="C8" s="133"/>
      <c r="D8" s="25">
        <f>D9+D17</f>
        <v>2.66</v>
      </c>
      <c r="E8" s="25">
        <f>E9+E17</f>
        <v>50.54</v>
      </c>
    </row>
    <row r="9" spans="1:7" ht="15.75" x14ac:dyDescent="0.25">
      <c r="A9" s="265">
        <v>1100</v>
      </c>
      <c r="B9" s="265" t="s">
        <v>10</v>
      </c>
      <c r="C9" s="133"/>
      <c r="D9" s="25">
        <f>SUM(D11:D16)</f>
        <v>2.08</v>
      </c>
      <c r="E9" s="25">
        <f>SUM(E11:E16)</f>
        <v>39.44</v>
      </c>
    </row>
    <row r="10" spans="1:7" ht="15.75" x14ac:dyDescent="0.25">
      <c r="A10" s="16">
        <v>1110</v>
      </c>
      <c r="B10" s="16" t="s">
        <v>217</v>
      </c>
      <c r="C10" s="285" t="s">
        <v>218</v>
      </c>
      <c r="D10" s="58">
        <f>SUM(D11:D15)</f>
        <v>1.8900000000000001</v>
      </c>
      <c r="E10" s="58">
        <f>SUM(E11:E15)</f>
        <v>35.849999999999994</v>
      </c>
    </row>
    <row r="11" spans="1:7" ht="78.95" customHeight="1" x14ac:dyDescent="0.25">
      <c r="A11" s="126"/>
      <c r="B11" s="129"/>
      <c r="C11" s="123" t="s">
        <v>1222</v>
      </c>
      <c r="D11" s="58">
        <f>ROUND((E11/D56),2)</f>
        <v>0.37</v>
      </c>
      <c r="E11" s="108">
        <f>ROUND((489.79*12*0.0012),2)</f>
        <v>7.05</v>
      </c>
      <c r="G11" s="50"/>
    </row>
    <row r="12" spans="1:7" ht="78" customHeight="1" x14ac:dyDescent="0.25">
      <c r="A12" s="143"/>
      <c r="B12" s="144"/>
      <c r="C12" s="123" t="s">
        <v>1223</v>
      </c>
      <c r="D12" s="58">
        <f>ROUND((E12/D56),2)</f>
        <v>0.47</v>
      </c>
      <c r="E12" s="108">
        <f>ROUND((619.13*12*0.0012),2)</f>
        <v>8.92</v>
      </c>
      <c r="G12" s="39"/>
    </row>
    <row r="13" spans="1:7" ht="78" customHeight="1" x14ac:dyDescent="0.25">
      <c r="A13" s="127"/>
      <c r="B13" s="130"/>
      <c r="C13" s="123" t="s">
        <v>1224</v>
      </c>
      <c r="D13" s="58">
        <f>ROUND((E13/D56),2)</f>
        <v>0.44</v>
      </c>
      <c r="E13" s="108">
        <f>ROUND((579.53*12*0.0012),2)</f>
        <v>8.35</v>
      </c>
      <c r="G13" s="39"/>
    </row>
    <row r="14" spans="1:7" ht="78" customHeight="1" x14ac:dyDescent="0.25">
      <c r="A14" s="127"/>
      <c r="B14" s="130"/>
      <c r="C14" s="123" t="s">
        <v>1225</v>
      </c>
      <c r="D14" s="58">
        <f>ROUND((E14/D56),2)</f>
        <v>0.4</v>
      </c>
      <c r="E14" s="108">
        <f>ROUND((521.51*12*0.0012),2)</f>
        <v>7.51</v>
      </c>
      <c r="G14" s="50"/>
    </row>
    <row r="15" spans="1:7" ht="79.5" customHeight="1" x14ac:dyDescent="0.25">
      <c r="A15" s="128"/>
      <c r="B15" s="131"/>
      <c r="C15" s="123" t="s">
        <v>1226</v>
      </c>
      <c r="D15" s="58">
        <f>ROUND((E15/D56),2)</f>
        <v>0.21</v>
      </c>
      <c r="E15" s="108">
        <f>ROUND((279.2*12*0.0012),2)</f>
        <v>4.0199999999999996</v>
      </c>
      <c r="G15" s="50"/>
    </row>
    <row r="16" spans="1:7" ht="81" customHeight="1" x14ac:dyDescent="0.25">
      <c r="A16" s="122">
        <v>1140</v>
      </c>
      <c r="B16" s="5" t="s">
        <v>214</v>
      </c>
      <c r="C16" s="142" t="s">
        <v>1227</v>
      </c>
      <c r="D16" s="58">
        <f>ROUND((E16/D56),2)</f>
        <v>0.19</v>
      </c>
      <c r="E16" s="108">
        <f>ROUND((7.05*0.1+8.92*0.1+8.35*0.1+7.51*0.1+4.02*0.1),2)</f>
        <v>3.59</v>
      </c>
    </row>
    <row r="17" spans="1:9" ht="63" x14ac:dyDescent="0.25">
      <c r="A17" s="7">
        <v>1200</v>
      </c>
      <c r="B17" s="282" t="s">
        <v>11</v>
      </c>
      <c r="C17" s="166" t="s">
        <v>1241</v>
      </c>
      <c r="D17" s="83">
        <f>ROUND((D18+D19),2)</f>
        <v>0.57999999999999996</v>
      </c>
      <c r="E17" s="83">
        <f>ROUND((E18+E19),2)</f>
        <v>11.1</v>
      </c>
    </row>
    <row r="18" spans="1:9" ht="47.25" x14ac:dyDescent="0.25">
      <c r="A18" s="4">
        <v>1210</v>
      </c>
      <c r="B18" s="5" t="s">
        <v>216</v>
      </c>
      <c r="C18" s="166" t="s">
        <v>1240</v>
      </c>
      <c r="D18" s="58">
        <f>ROUND((E18/D56),2)</f>
        <v>0.49</v>
      </c>
      <c r="E18" s="44">
        <f>ROUND((39.44*0.2359),2)</f>
        <v>9.3000000000000007</v>
      </c>
    </row>
    <row r="19" spans="1:9" ht="80.25" customHeight="1" x14ac:dyDescent="0.25">
      <c r="A19" s="4">
        <v>1227</v>
      </c>
      <c r="B19" s="5" t="s">
        <v>215</v>
      </c>
      <c r="C19" s="142" t="s">
        <v>1228</v>
      </c>
      <c r="D19" s="58">
        <f>ROUND((E19/D56),2)</f>
        <v>0.09</v>
      </c>
      <c r="E19" s="108">
        <f>ROUND((7.05*0.05+8.92*0.05+8.35*0.05+7.51*0.05+4.02*0.05+0.01),2)</f>
        <v>1.8</v>
      </c>
    </row>
    <row r="20" spans="1:9" ht="15.75" x14ac:dyDescent="0.25">
      <c r="A20" s="4"/>
      <c r="B20" s="9" t="s">
        <v>14</v>
      </c>
      <c r="C20" s="134" t="s">
        <v>16</v>
      </c>
      <c r="D20" s="25">
        <f>D8</f>
        <v>2.66</v>
      </c>
      <c r="E20" s="43">
        <f>E8</f>
        <v>50.54</v>
      </c>
      <c r="F20" s="39"/>
    </row>
    <row r="21" spans="1:9" ht="15.75" x14ac:dyDescent="0.25">
      <c r="A21" s="4"/>
      <c r="B21" s="9" t="s">
        <v>15</v>
      </c>
      <c r="C21" s="133" t="s">
        <v>8</v>
      </c>
      <c r="D21" s="22"/>
      <c r="E21" s="42"/>
    </row>
    <row r="22" spans="1:9" ht="15.75" x14ac:dyDescent="0.25">
      <c r="A22" s="8">
        <v>1000</v>
      </c>
      <c r="B22" s="7" t="s">
        <v>9</v>
      </c>
      <c r="C22" s="133"/>
      <c r="D22" s="83">
        <f>SUM(D23+D34)</f>
        <v>0.44</v>
      </c>
      <c r="E22" s="83">
        <f>SUM(E23+E34)</f>
        <v>8.44</v>
      </c>
    </row>
    <row r="23" spans="1:9" ht="15.75" x14ac:dyDescent="0.25">
      <c r="A23" s="4">
        <v>1100</v>
      </c>
      <c r="B23" s="4" t="s">
        <v>10</v>
      </c>
      <c r="C23" s="137" t="s">
        <v>223</v>
      </c>
      <c r="D23" s="83">
        <f>SUM(D24:D33)</f>
        <v>0.36</v>
      </c>
      <c r="E23" s="83">
        <f>SUM(E24:E33)</f>
        <v>6.83</v>
      </c>
    </row>
    <row r="24" spans="1:9" ht="78.75" customHeight="1" x14ac:dyDescent="0.25">
      <c r="A24" s="222"/>
      <c r="B24" s="223"/>
      <c r="C24" s="135" t="s">
        <v>1229</v>
      </c>
      <c r="D24" s="44">
        <f>ROUND((E24/D56),2)</f>
        <v>0.01</v>
      </c>
      <c r="E24" s="44">
        <f>ROUND((14.34*12*0.0012),2)</f>
        <v>0.21</v>
      </c>
      <c r="G24" s="82"/>
      <c r="I24" s="50"/>
    </row>
    <row r="25" spans="1:9" ht="78.75" x14ac:dyDescent="0.25">
      <c r="A25" s="401"/>
      <c r="B25" s="399"/>
      <c r="C25" s="142" t="s">
        <v>1230</v>
      </c>
      <c r="D25" s="44">
        <f>ROUND((E25/D56),2)</f>
        <v>0.01</v>
      </c>
      <c r="E25" s="44">
        <f>ROUND((9.41*12*0.0012),2)</f>
        <v>0.14000000000000001</v>
      </c>
      <c r="G25" s="50"/>
      <c r="I25" s="50"/>
    </row>
    <row r="26" spans="1:9" ht="78.75" x14ac:dyDescent="0.25">
      <c r="A26" s="401"/>
      <c r="B26" s="399"/>
      <c r="C26" s="135" t="s">
        <v>1231</v>
      </c>
      <c r="D26" s="44">
        <f>ROUND((E26/D56),2)</f>
        <v>0.01</v>
      </c>
      <c r="E26" s="44">
        <f>ROUND((13.76*12*0.0012),2)</f>
        <v>0.2</v>
      </c>
      <c r="G26" s="82"/>
      <c r="I26" s="50"/>
    </row>
    <row r="27" spans="1:9" ht="78" customHeight="1" x14ac:dyDescent="0.25">
      <c r="A27" s="401"/>
      <c r="B27" s="399"/>
      <c r="C27" s="142" t="s">
        <v>1232</v>
      </c>
      <c r="D27" s="44">
        <f>ROUND((E27/D56),2)</f>
        <v>0.01</v>
      </c>
      <c r="E27" s="44">
        <f>ROUND((18.79*12*0.0012),2)</f>
        <v>0.27</v>
      </c>
      <c r="G27" s="82"/>
      <c r="H27" s="82"/>
      <c r="I27" s="50"/>
    </row>
    <row r="28" spans="1:9" ht="79.5" customHeight="1" x14ac:dyDescent="0.25">
      <c r="A28" s="401"/>
      <c r="B28" s="399"/>
      <c r="C28" s="142" t="s">
        <v>1233</v>
      </c>
      <c r="D28" s="44">
        <f>ROUND((E28/D56),2)</f>
        <v>0.01</v>
      </c>
      <c r="E28" s="44">
        <f>ROUND((13.16*12*0.0012),2)</f>
        <v>0.19</v>
      </c>
      <c r="G28" s="50"/>
      <c r="I28" s="50"/>
    </row>
    <row r="29" spans="1:9" ht="79.5" customHeight="1" x14ac:dyDescent="0.25">
      <c r="A29" s="401"/>
      <c r="B29" s="399"/>
      <c r="C29" s="135" t="s">
        <v>1234</v>
      </c>
      <c r="D29" s="44">
        <f>ROUND((E29/D56),2)</f>
        <v>0.06</v>
      </c>
      <c r="E29" s="44">
        <f>ROUND((76.43*12*0.0012),2)</f>
        <v>1.1000000000000001</v>
      </c>
      <c r="G29" s="39"/>
      <c r="I29" s="50"/>
    </row>
    <row r="30" spans="1:9" ht="78.75" x14ac:dyDescent="0.25">
      <c r="A30" s="401"/>
      <c r="B30" s="399"/>
      <c r="C30" s="135" t="s">
        <v>1235</v>
      </c>
      <c r="D30" s="44">
        <f>ROUND((E30/D56),2)</f>
        <v>0.06</v>
      </c>
      <c r="E30" s="44">
        <f>ROUND((79.88*12*0.0012),2)</f>
        <v>1.1499999999999999</v>
      </c>
      <c r="G30" s="50"/>
      <c r="I30" s="50"/>
    </row>
    <row r="31" spans="1:9" ht="78.75" x14ac:dyDescent="0.25">
      <c r="A31" s="401"/>
      <c r="B31" s="399"/>
      <c r="C31" s="142" t="s">
        <v>1236</v>
      </c>
      <c r="D31" s="44">
        <f>ROUND((E31/D56),2)</f>
        <v>0.08</v>
      </c>
      <c r="E31" s="44">
        <f>ROUND((99.81*12*0.0012),2)</f>
        <v>1.44</v>
      </c>
      <c r="G31" s="39"/>
      <c r="I31" s="50"/>
    </row>
    <row r="32" spans="1:9" ht="94.5" x14ac:dyDescent="0.25">
      <c r="A32" s="401"/>
      <c r="B32" s="399"/>
      <c r="C32" s="142" t="s">
        <v>1237</v>
      </c>
      <c r="D32" s="44">
        <f>ROUND((E32/D56),2)</f>
        <v>0.09</v>
      </c>
      <c r="E32" s="44">
        <f>ROUND((118.42*12*0.0012),2)</f>
        <v>1.71</v>
      </c>
      <c r="G32" s="39"/>
      <c r="I32" s="50"/>
    </row>
    <row r="33" spans="1:9" ht="78.75" x14ac:dyDescent="0.25">
      <c r="A33" s="402"/>
      <c r="B33" s="400"/>
      <c r="C33" s="142" t="s">
        <v>1238</v>
      </c>
      <c r="D33" s="44">
        <f>ROUND((E33/D56),2)</f>
        <v>0.02</v>
      </c>
      <c r="E33" s="44">
        <f>ROUND((29.12*12*0.0012),2)</f>
        <v>0.42</v>
      </c>
      <c r="G33" s="50"/>
      <c r="I33" s="50"/>
    </row>
    <row r="34" spans="1:9" ht="63" x14ac:dyDescent="0.25">
      <c r="A34" s="7">
        <v>1200</v>
      </c>
      <c r="B34" s="156" t="s">
        <v>11</v>
      </c>
      <c r="C34" s="115" t="s">
        <v>1239</v>
      </c>
      <c r="D34" s="86">
        <f>ROUND((E34/D56),2)</f>
        <v>0.08</v>
      </c>
      <c r="E34" s="86">
        <f>ROUND((6.83*0.2359),2)</f>
        <v>1.61</v>
      </c>
      <c r="I34" s="50"/>
    </row>
    <row r="35" spans="1:9" ht="15.75" x14ac:dyDescent="0.25">
      <c r="A35" s="8">
        <v>2000</v>
      </c>
      <c r="B35" s="7" t="s">
        <v>12</v>
      </c>
      <c r="C35" s="133"/>
      <c r="D35" s="25">
        <f>SUM(D36:D47)</f>
        <v>7.0999999999999988</v>
      </c>
      <c r="E35" s="23">
        <f>SUM(E36:E47)</f>
        <v>134.66</v>
      </c>
      <c r="I35" s="50"/>
    </row>
    <row r="36" spans="1:9" ht="30" customHeight="1" x14ac:dyDescent="0.25">
      <c r="A36" s="4">
        <v>2221</v>
      </c>
      <c r="B36" s="84" t="s">
        <v>54</v>
      </c>
      <c r="C36" s="115" t="s">
        <v>606</v>
      </c>
      <c r="D36" s="27">
        <f>ROUND((E36/D56),2)+0.01</f>
        <v>3.46</v>
      </c>
      <c r="E36" s="44">
        <f>ROUND((54700.57*0.0012),2)</f>
        <v>65.64</v>
      </c>
      <c r="I36" s="50"/>
    </row>
    <row r="37" spans="1:9" ht="31.5" x14ac:dyDescent="0.25">
      <c r="A37" s="4">
        <v>2222</v>
      </c>
      <c r="B37" s="118" t="s">
        <v>55</v>
      </c>
      <c r="C37" s="166" t="s">
        <v>607</v>
      </c>
      <c r="D37" s="27">
        <f>ROUND((E37/D56),2)</f>
        <v>0.48</v>
      </c>
      <c r="E37" s="44">
        <f>ROUND((7587.77*0.0012),2)</f>
        <v>9.11</v>
      </c>
      <c r="I37" s="50"/>
    </row>
    <row r="38" spans="1:9" ht="31.5" x14ac:dyDescent="0.25">
      <c r="A38" s="4">
        <v>2223</v>
      </c>
      <c r="B38" s="118" t="s">
        <v>19</v>
      </c>
      <c r="C38" s="114" t="s">
        <v>608</v>
      </c>
      <c r="D38" s="27">
        <f>ROUND((E38/D56),2)</f>
        <v>0.69</v>
      </c>
      <c r="E38" s="44">
        <f>ROUND((10851.74*0.0012),2)</f>
        <v>13.02</v>
      </c>
      <c r="I38" s="50"/>
    </row>
    <row r="39" spans="1:9" ht="78" customHeight="1" x14ac:dyDescent="0.25">
      <c r="A39" s="4">
        <v>2224</v>
      </c>
      <c r="B39" s="84" t="s">
        <v>56</v>
      </c>
      <c r="C39" s="115" t="s">
        <v>609</v>
      </c>
      <c r="D39" s="27">
        <f>ROUND((E39/D56),2)</f>
        <v>0.05</v>
      </c>
      <c r="E39" s="27">
        <f>ROUND((761.81*0.0012),2)</f>
        <v>0.91</v>
      </c>
      <c r="I39" s="50"/>
    </row>
    <row r="40" spans="1:9" ht="31.5" x14ac:dyDescent="0.25">
      <c r="A40" s="4">
        <v>2239</v>
      </c>
      <c r="B40" s="338" t="s">
        <v>20</v>
      </c>
      <c r="C40" s="84" t="s">
        <v>610</v>
      </c>
      <c r="D40" s="45">
        <f>ROUND((E40/D56),2)</f>
        <v>0.01</v>
      </c>
      <c r="E40" s="27">
        <f>ROUND((224.51*0.0012),2)</f>
        <v>0.27</v>
      </c>
      <c r="I40" s="50"/>
    </row>
    <row r="41" spans="1:9" ht="48" customHeight="1" x14ac:dyDescent="0.25">
      <c r="A41" s="4">
        <v>2243</v>
      </c>
      <c r="B41" s="84" t="s">
        <v>21</v>
      </c>
      <c r="C41" s="84" t="s">
        <v>611</v>
      </c>
      <c r="D41" s="45">
        <f>ROUND((E41/D56),2)</f>
        <v>0.13</v>
      </c>
      <c r="E41" s="27">
        <f>ROUND((1993.08*0.0012),2)</f>
        <v>2.39</v>
      </c>
      <c r="I41" s="50"/>
    </row>
    <row r="42" spans="1:9" ht="47.25" customHeight="1" x14ac:dyDescent="0.25">
      <c r="A42" s="4">
        <v>2244</v>
      </c>
      <c r="B42" s="84" t="s">
        <v>22</v>
      </c>
      <c r="C42" s="115" t="s">
        <v>612</v>
      </c>
      <c r="D42" s="45">
        <f>ROUND((E42/D56),2)</f>
        <v>0.47</v>
      </c>
      <c r="E42" s="44">
        <f>ROUND((7456.84*0.0012),2)</f>
        <v>8.9499999999999993</v>
      </c>
      <c r="I42" s="50"/>
    </row>
    <row r="43" spans="1:9" ht="30.75" customHeight="1" x14ac:dyDescent="0.25">
      <c r="A43" s="4">
        <v>2249</v>
      </c>
      <c r="B43" s="84" t="s">
        <v>45</v>
      </c>
      <c r="C43" s="115" t="s">
        <v>613</v>
      </c>
      <c r="D43" s="27">
        <f>ROUND((E43/D56),2)+0.01</f>
        <v>0.67</v>
      </c>
      <c r="E43" s="44">
        <f>ROUND((10528.91*0.0012),2)</f>
        <v>12.63</v>
      </c>
      <c r="I43" s="50"/>
    </row>
    <row r="44" spans="1:9" ht="32.25" customHeight="1" x14ac:dyDescent="0.25">
      <c r="A44" s="4">
        <v>2312</v>
      </c>
      <c r="B44" s="118" t="s">
        <v>13</v>
      </c>
      <c r="C44" s="115" t="s">
        <v>614</v>
      </c>
      <c r="D44" s="27">
        <f>ROUND((E44/D56),2)</f>
        <v>0.05</v>
      </c>
      <c r="E44" s="44">
        <f>ROUND((737.42*0.0012),2)</f>
        <v>0.88</v>
      </c>
      <c r="I44" s="50"/>
    </row>
    <row r="45" spans="1:9" ht="46.5" customHeight="1" x14ac:dyDescent="0.25">
      <c r="A45" s="4">
        <v>2350</v>
      </c>
      <c r="B45" s="118" t="s">
        <v>213</v>
      </c>
      <c r="C45" s="166" t="s">
        <v>615</v>
      </c>
      <c r="D45" s="45">
        <f>ROUND((E45/D56),2)</f>
        <v>0.05</v>
      </c>
      <c r="E45" s="46">
        <f>ROUND((780.26*0.0012),2)</f>
        <v>0.94</v>
      </c>
      <c r="I45" s="50"/>
    </row>
    <row r="46" spans="1:9" ht="31.5" x14ac:dyDescent="0.25">
      <c r="A46" s="4">
        <v>2513</v>
      </c>
      <c r="B46" s="118" t="s">
        <v>57</v>
      </c>
      <c r="C46" s="115" t="s">
        <v>616</v>
      </c>
      <c r="D46" s="27">
        <f>ROUND((E46/D56),2)</f>
        <v>0.92</v>
      </c>
      <c r="E46" s="45">
        <f>ROUND((14633.92*0.0012),2)</f>
        <v>17.559999999999999</v>
      </c>
      <c r="G46" s="82"/>
      <c r="I46" s="50"/>
    </row>
    <row r="47" spans="1:9" ht="34.5" customHeight="1" x14ac:dyDescent="0.25">
      <c r="A47" s="4">
        <v>2515</v>
      </c>
      <c r="B47" s="118" t="s">
        <v>44</v>
      </c>
      <c r="C47" s="115" t="s">
        <v>617</v>
      </c>
      <c r="D47" s="45">
        <f>ROUND((E47/D56),2)</f>
        <v>0.12</v>
      </c>
      <c r="E47" s="27">
        <f>ROUND((1964.86*0.0012),2)</f>
        <v>2.36</v>
      </c>
      <c r="I47" s="50"/>
    </row>
    <row r="48" spans="1:9" ht="15.75" x14ac:dyDescent="0.25">
      <c r="A48" s="10">
        <v>5000</v>
      </c>
      <c r="B48" s="348" t="s">
        <v>17</v>
      </c>
      <c r="C48" s="133"/>
      <c r="D48" s="25">
        <f>SUM(D49:D51)</f>
        <v>0.57000000000000006</v>
      </c>
      <c r="E48" s="25">
        <f>SUM(E49:E51)</f>
        <v>10.88</v>
      </c>
      <c r="I48" s="50"/>
    </row>
    <row r="49" spans="1:9" ht="33" customHeight="1" x14ac:dyDescent="0.25">
      <c r="A49" s="4">
        <v>5213</v>
      </c>
      <c r="B49" s="118" t="s">
        <v>32</v>
      </c>
      <c r="C49" s="115" t="s">
        <v>705</v>
      </c>
      <c r="D49" s="45">
        <f>ROUND((E49/D56),2)</f>
        <v>0.01</v>
      </c>
      <c r="E49" s="45">
        <f>ROUND((158.25*0.0012),2)</f>
        <v>0.19</v>
      </c>
      <c r="I49" s="50"/>
    </row>
    <row r="50" spans="1:9" ht="33" customHeight="1" x14ac:dyDescent="0.25">
      <c r="A50" s="18">
        <v>5218</v>
      </c>
      <c r="B50" s="84" t="s">
        <v>33</v>
      </c>
      <c r="C50" s="115" t="s">
        <v>706</v>
      </c>
      <c r="D50" s="45">
        <f>ROUND((E50/D56),2)</f>
        <v>0.22</v>
      </c>
      <c r="E50" s="45">
        <f>ROUND((3538.2*0.0012),2)</f>
        <v>4.25</v>
      </c>
      <c r="I50" s="50"/>
    </row>
    <row r="51" spans="1:9" ht="47.25" x14ac:dyDescent="0.25">
      <c r="A51" s="18">
        <v>5239</v>
      </c>
      <c r="B51" s="84" t="s">
        <v>18</v>
      </c>
      <c r="C51" s="115" t="s">
        <v>707</v>
      </c>
      <c r="D51" s="45">
        <f>ROUND((E51/D56),2)</f>
        <v>0.34</v>
      </c>
      <c r="E51" s="45">
        <f>ROUND((5366.12*0.0012),2)</f>
        <v>6.44</v>
      </c>
      <c r="G51" s="82"/>
      <c r="I51" s="50"/>
    </row>
    <row r="52" spans="1:9" ht="15.75" x14ac:dyDescent="0.25">
      <c r="A52" s="161"/>
      <c r="B52" s="9" t="s">
        <v>23</v>
      </c>
      <c r="C52" s="133"/>
      <c r="D52" s="25">
        <f>SUM(D22+D35+D48)</f>
        <v>8.11</v>
      </c>
      <c r="E52" s="40">
        <f>SUM(E22+E35+E48)</f>
        <v>153.97999999999999</v>
      </c>
      <c r="I52" s="50"/>
    </row>
    <row r="53" spans="1:9" ht="31.5" x14ac:dyDescent="0.25">
      <c r="A53" s="162"/>
      <c r="B53" s="11" t="s">
        <v>28</v>
      </c>
      <c r="C53" s="133"/>
      <c r="D53" s="26">
        <f>D20+D52</f>
        <v>10.77</v>
      </c>
      <c r="E53" s="41">
        <f>E20+E52</f>
        <v>204.51999999999998</v>
      </c>
      <c r="I53" s="50"/>
    </row>
    <row r="54" spans="1:9" ht="15.75" x14ac:dyDescent="0.25">
      <c r="A54" s="162"/>
      <c r="B54" s="13" t="s">
        <v>212</v>
      </c>
      <c r="C54" s="140"/>
      <c r="D54" s="26">
        <f>D53*0.12</f>
        <v>1.2924</v>
      </c>
      <c r="E54" s="41">
        <f>E53*0.12</f>
        <v>24.542399999999997</v>
      </c>
      <c r="I54" s="50"/>
    </row>
    <row r="55" spans="1:9" ht="31.5" x14ac:dyDescent="0.25">
      <c r="A55" s="6"/>
      <c r="B55" s="21" t="s">
        <v>30</v>
      </c>
      <c r="C55" s="140"/>
      <c r="D55" s="26">
        <f>D53*1.12</f>
        <v>12.0624</v>
      </c>
      <c r="E55" s="41">
        <f>E53*1.12</f>
        <v>229.0624</v>
      </c>
      <c r="I55" s="50"/>
    </row>
    <row r="56" spans="1:9" ht="17.25" customHeight="1" x14ac:dyDescent="0.25">
      <c r="A56" s="397" t="s">
        <v>1535</v>
      </c>
      <c r="B56" s="397"/>
      <c r="C56" s="397"/>
      <c r="D56" s="8">
        <v>19</v>
      </c>
      <c r="E56" s="155" t="s">
        <v>65</v>
      </c>
    </row>
    <row r="57" spans="1:9" ht="30.6" customHeight="1" x14ac:dyDescent="0.25">
      <c r="A57" s="408" t="s">
        <v>226</v>
      </c>
      <c r="B57" s="408"/>
      <c r="C57" s="408"/>
      <c r="D57" s="350">
        <f>ROUND((E55/D56),2)</f>
        <v>12.06</v>
      </c>
      <c r="E57" s="191" t="s">
        <v>230</v>
      </c>
    </row>
    <row r="58" spans="1:9" ht="15.75" x14ac:dyDescent="0.25">
      <c r="A58" s="1"/>
      <c r="B58" s="1"/>
      <c r="C58" s="1"/>
    </row>
    <row r="59" spans="1:9" x14ac:dyDescent="0.25">
      <c r="G59" s="319"/>
    </row>
    <row r="60" spans="1:9" x14ac:dyDescent="0.25">
      <c r="D60" s="39"/>
    </row>
  </sheetData>
  <mergeCells count="6">
    <mergeCell ref="A57:C57"/>
    <mergeCell ref="A2:C2"/>
    <mergeCell ref="A3:B3"/>
    <mergeCell ref="A25:A33"/>
    <mergeCell ref="B25:B33"/>
    <mergeCell ref="A56:C56"/>
  </mergeCells>
  <pageMargins left="0.7" right="0.7" top="0.75" bottom="0.75" header="0.3" footer="0.3"/>
  <pageSetup paperSize="9" orientation="landscape" r:id="rId1"/>
  <rowBreaks count="3" manualBreakCount="3">
    <brk id="20" max="16383" man="1"/>
    <brk id="34" max="16383" man="1"/>
    <brk id="45" max="4"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4E6BF-05EF-4BD1-BD73-B0EAEFF367A7}">
  <dimension ref="A1:I56"/>
  <sheetViews>
    <sheetView topLeftCell="A46" zoomScaleNormal="100" workbookViewId="0">
      <selection activeCell="D55" sqref="D55"/>
    </sheetView>
  </sheetViews>
  <sheetFormatPr defaultRowHeight="15" x14ac:dyDescent="0.25"/>
  <cols>
    <col min="1" max="1" width="12.42578125" customWidth="1"/>
    <col min="2" max="2" width="27.42578125" customWidth="1"/>
    <col min="3" max="3" width="63.42578125" customWidth="1"/>
    <col min="4" max="4" width="10.140625" style="14" customWidth="1"/>
    <col min="5" max="5" width="17.7109375" style="14" customWidth="1"/>
    <col min="7" max="7" width="10.28515625" customWidth="1"/>
  </cols>
  <sheetData>
    <row r="1" spans="1:7" ht="18.75" x14ac:dyDescent="0.3">
      <c r="A1" s="148" t="s">
        <v>46</v>
      </c>
    </row>
    <row r="2" spans="1:7" ht="18.75" x14ac:dyDescent="0.3">
      <c r="A2" s="404" t="s">
        <v>269</v>
      </c>
      <c r="B2" s="404"/>
      <c r="C2" s="404"/>
    </row>
    <row r="3" spans="1:7" ht="18.75" x14ac:dyDescent="0.25">
      <c r="A3" s="398" t="s">
        <v>181</v>
      </c>
      <c r="B3" s="398"/>
      <c r="C3" s="398"/>
      <c r="D3" s="398"/>
      <c r="E3" s="398"/>
    </row>
    <row r="4" spans="1:7" ht="15.75" x14ac:dyDescent="0.25">
      <c r="A4" s="405" t="s">
        <v>64</v>
      </c>
      <c r="B4" s="405"/>
    </row>
    <row r="6" spans="1:7" ht="76.5" customHeight="1" x14ac:dyDescent="0.25">
      <c r="A6" s="139" t="s">
        <v>0</v>
      </c>
      <c r="B6" s="139" t="s">
        <v>1</v>
      </c>
      <c r="C6" s="139" t="s">
        <v>2</v>
      </c>
      <c r="D6" s="158" t="s">
        <v>26</v>
      </c>
      <c r="E6" s="158" t="s">
        <v>27</v>
      </c>
    </row>
    <row r="7" spans="1:7" x14ac:dyDescent="0.25">
      <c r="A7" s="277">
        <v>1</v>
      </c>
      <c r="B7" s="277">
        <v>2</v>
      </c>
      <c r="C7" s="277">
        <v>3</v>
      </c>
      <c r="D7" s="309">
        <v>4</v>
      </c>
      <c r="E7" s="309">
        <v>5</v>
      </c>
    </row>
    <row r="8" spans="1:7" ht="15.75" x14ac:dyDescent="0.25">
      <c r="A8" s="4"/>
      <c r="B8" s="7" t="s">
        <v>7</v>
      </c>
      <c r="C8" s="269" t="s">
        <v>8</v>
      </c>
      <c r="D8" s="42"/>
      <c r="E8" s="42"/>
    </row>
    <row r="9" spans="1:7" ht="15.75" x14ac:dyDescent="0.25">
      <c r="A9" s="8">
        <v>1000</v>
      </c>
      <c r="B9" s="7" t="s">
        <v>9</v>
      </c>
      <c r="C9" s="269"/>
      <c r="D9" s="43">
        <f>D10+D16</f>
        <v>0.85000000000000009</v>
      </c>
      <c r="E9" s="43">
        <f>E10+E16</f>
        <v>187.89000000000001</v>
      </c>
    </row>
    <row r="10" spans="1:7" ht="15.75" x14ac:dyDescent="0.25">
      <c r="A10" s="265">
        <v>1100</v>
      </c>
      <c r="B10" s="265" t="s">
        <v>10</v>
      </c>
      <c r="C10" s="269"/>
      <c r="D10" s="43">
        <f>SUM(D12:D15)</f>
        <v>0.66000000000000014</v>
      </c>
      <c r="E10" s="43">
        <f>SUM(E12:E15)</f>
        <v>146.63000000000002</v>
      </c>
    </row>
    <row r="11" spans="1:7" ht="15.75" x14ac:dyDescent="0.25">
      <c r="A11" s="16">
        <v>1110</v>
      </c>
      <c r="B11" s="16" t="s">
        <v>217</v>
      </c>
      <c r="C11" s="285" t="s">
        <v>218</v>
      </c>
      <c r="D11" s="108">
        <f>SUM(D12:D14)</f>
        <v>0.60000000000000009</v>
      </c>
      <c r="E11" s="108">
        <f>SUM(E12:E14)</f>
        <v>133.30000000000001</v>
      </c>
    </row>
    <row r="12" spans="1:7" ht="78.75" x14ac:dyDescent="0.25">
      <c r="A12" s="126"/>
      <c r="B12" s="129"/>
      <c r="C12" s="142" t="s">
        <v>1242</v>
      </c>
      <c r="D12" s="108">
        <f>ROUND((E12/220),2)</f>
        <v>0.02</v>
      </c>
      <c r="E12" s="108">
        <f>ROUND((51.33*12*0.0087),2)</f>
        <v>5.36</v>
      </c>
      <c r="G12" s="50"/>
    </row>
    <row r="13" spans="1:7" ht="78.75" customHeight="1" x14ac:dyDescent="0.25">
      <c r="A13" s="143"/>
      <c r="B13" s="144"/>
      <c r="C13" s="142" t="s">
        <v>1243</v>
      </c>
      <c r="D13" s="108">
        <f>ROUND((E13/220),2)</f>
        <v>0.55000000000000004</v>
      </c>
      <c r="E13" s="108">
        <f>ROUND((1168.83*12*0.0087),2)</f>
        <v>122.03</v>
      </c>
      <c r="G13" s="39"/>
    </row>
    <row r="14" spans="1:7" ht="78.75" x14ac:dyDescent="0.25">
      <c r="A14" s="128"/>
      <c r="B14" s="131"/>
      <c r="C14" s="142" t="s">
        <v>1244</v>
      </c>
      <c r="D14" s="108">
        <f>ROUND((E14/220),2)</f>
        <v>0.03</v>
      </c>
      <c r="E14" s="108">
        <f>ROUND((56.58*12*0.0087),2)</f>
        <v>5.91</v>
      </c>
      <c r="F14" s="50"/>
      <c r="G14" s="50"/>
    </row>
    <row r="15" spans="1:7" ht="63" x14ac:dyDescent="0.25">
      <c r="A15" s="122">
        <v>1140</v>
      </c>
      <c r="B15" s="5" t="s">
        <v>214</v>
      </c>
      <c r="C15" s="142" t="s">
        <v>1245</v>
      </c>
      <c r="D15" s="108">
        <f t="shared" ref="D15:D18" si="0">ROUND((E15/220),2)</f>
        <v>0.06</v>
      </c>
      <c r="E15" s="108">
        <f>ROUND((5.36*0.1+122.03*0.1+5.91*0.1),2)</f>
        <v>13.33</v>
      </c>
    </row>
    <row r="16" spans="1:7" ht="63" customHeight="1" x14ac:dyDescent="0.25">
      <c r="A16" s="7">
        <v>1200</v>
      </c>
      <c r="B16" s="333" t="s">
        <v>11</v>
      </c>
      <c r="C16" s="166" t="s">
        <v>1248</v>
      </c>
      <c r="D16" s="86">
        <f>ROUND((D17+D18),2)</f>
        <v>0.19</v>
      </c>
      <c r="E16" s="86">
        <f>ROUND((E17+E18),2)</f>
        <v>41.26</v>
      </c>
    </row>
    <row r="17" spans="1:9" ht="47.25" x14ac:dyDescent="0.25">
      <c r="A17" s="4">
        <v>1210</v>
      </c>
      <c r="B17" s="5" t="s">
        <v>216</v>
      </c>
      <c r="C17" s="166" t="s">
        <v>1246</v>
      </c>
      <c r="D17" s="108">
        <f t="shared" si="0"/>
        <v>0.16</v>
      </c>
      <c r="E17" s="44">
        <f>ROUND((146.63*0.2359),2)</f>
        <v>34.590000000000003</v>
      </c>
      <c r="I17" s="287"/>
    </row>
    <row r="18" spans="1:9" ht="63" x14ac:dyDescent="0.25">
      <c r="A18" s="4">
        <v>1227</v>
      </c>
      <c r="B18" s="5" t="s">
        <v>215</v>
      </c>
      <c r="C18" s="142" t="s">
        <v>1247</v>
      </c>
      <c r="D18" s="108">
        <f t="shared" si="0"/>
        <v>0.03</v>
      </c>
      <c r="E18" s="108">
        <f>ROUND((5.36*0.05+122.03*0.05+5.91*0.05),2)</f>
        <v>6.67</v>
      </c>
      <c r="F18" s="39"/>
      <c r="H18" s="39"/>
    </row>
    <row r="19" spans="1:9" ht="15.75" x14ac:dyDescent="0.25">
      <c r="A19" s="4"/>
      <c r="B19" s="9" t="s">
        <v>14</v>
      </c>
      <c r="C19" s="141" t="s">
        <v>16</v>
      </c>
      <c r="D19" s="43">
        <f>D9</f>
        <v>0.85000000000000009</v>
      </c>
      <c r="E19" s="43">
        <f>E9</f>
        <v>187.89000000000001</v>
      </c>
    </row>
    <row r="20" spans="1:9" ht="15.75" x14ac:dyDescent="0.25">
      <c r="A20" s="4"/>
      <c r="B20" s="9" t="s">
        <v>15</v>
      </c>
      <c r="C20" s="269" t="s">
        <v>8</v>
      </c>
      <c r="D20" s="42"/>
      <c r="E20" s="42"/>
    </row>
    <row r="21" spans="1:9" ht="15.75" x14ac:dyDescent="0.25">
      <c r="A21" s="8">
        <v>1000</v>
      </c>
      <c r="B21" s="7" t="s">
        <v>9</v>
      </c>
      <c r="C21" s="269"/>
      <c r="D21" s="86">
        <f>SUM(D22+D33)</f>
        <v>0.72</v>
      </c>
      <c r="E21" s="86">
        <f>SUM(E22+E33)</f>
        <v>156.56</v>
      </c>
    </row>
    <row r="22" spans="1:9" ht="15.75" x14ac:dyDescent="0.25">
      <c r="A22" s="4">
        <v>1100</v>
      </c>
      <c r="B22" s="4" t="s">
        <v>10</v>
      </c>
      <c r="C22" s="137" t="s">
        <v>223</v>
      </c>
      <c r="D22" s="86">
        <f>SUM(D23:D32)</f>
        <v>0.57999999999999996</v>
      </c>
      <c r="E22" s="86">
        <f>SUM(E23:E32)</f>
        <v>126.68</v>
      </c>
    </row>
    <row r="23" spans="1:9" ht="78.75" x14ac:dyDescent="0.25">
      <c r="A23" s="222"/>
      <c r="B23" s="223"/>
      <c r="C23" s="142" t="s">
        <v>1249</v>
      </c>
      <c r="D23" s="44">
        <f>ROUND((E23/220),2)</f>
        <v>0.01</v>
      </c>
      <c r="E23" s="44">
        <f>ROUND((21.91*12*0.0087),2)</f>
        <v>2.29</v>
      </c>
      <c r="F23" s="50"/>
    </row>
    <row r="24" spans="1:9" ht="78.75" x14ac:dyDescent="0.25">
      <c r="A24" s="401"/>
      <c r="B24" s="412"/>
      <c r="C24" s="142" t="s">
        <v>1250</v>
      </c>
      <c r="D24" s="44">
        <f t="shared" ref="D24:D33" si="1">ROUND((E24/220),2)</f>
        <v>0.01</v>
      </c>
      <c r="E24" s="44">
        <f>ROUND((14.31*12*0.0087),2)</f>
        <v>1.49</v>
      </c>
      <c r="F24" s="39"/>
      <c r="G24" s="82"/>
    </row>
    <row r="25" spans="1:9" ht="78" customHeight="1" x14ac:dyDescent="0.25">
      <c r="A25" s="401"/>
      <c r="B25" s="412"/>
      <c r="C25" s="142" t="s">
        <v>1251</v>
      </c>
      <c r="D25" s="44">
        <f t="shared" si="1"/>
        <v>0.01</v>
      </c>
      <c r="E25" s="44">
        <f>ROUND((20.99*12*0.0087),2)</f>
        <v>2.19</v>
      </c>
      <c r="G25" s="50"/>
    </row>
    <row r="26" spans="1:9" ht="78.75" customHeight="1" x14ac:dyDescent="0.25">
      <c r="A26" s="401"/>
      <c r="B26" s="412"/>
      <c r="C26" s="142" t="s">
        <v>1252</v>
      </c>
      <c r="D26" s="44">
        <f t="shared" si="1"/>
        <v>0.01</v>
      </c>
      <c r="E26" s="44">
        <f>ROUND((31.21*12*0.0087),2)</f>
        <v>3.26</v>
      </c>
      <c r="G26" s="39"/>
    </row>
    <row r="27" spans="1:9" ht="78.75" customHeight="1" x14ac:dyDescent="0.25">
      <c r="A27" s="401"/>
      <c r="B27" s="412"/>
      <c r="C27" s="142" t="s">
        <v>1253</v>
      </c>
      <c r="D27" s="44">
        <f t="shared" si="1"/>
        <v>0.01</v>
      </c>
      <c r="E27" s="44">
        <f>ROUND((20.2*12*0.0087),2)</f>
        <v>2.11</v>
      </c>
    </row>
    <row r="28" spans="1:9" ht="78.75" x14ac:dyDescent="0.25">
      <c r="A28" s="401"/>
      <c r="B28" s="412"/>
      <c r="C28" s="142" t="s">
        <v>1254</v>
      </c>
      <c r="D28" s="44">
        <f t="shared" si="1"/>
        <v>0.04</v>
      </c>
      <c r="E28" s="44">
        <f>ROUND((76.52*12*0.0087),2)</f>
        <v>7.99</v>
      </c>
    </row>
    <row r="29" spans="1:9" ht="77.25" customHeight="1" x14ac:dyDescent="0.25">
      <c r="A29" s="401"/>
      <c r="B29" s="412"/>
      <c r="C29" s="142" t="s">
        <v>1255</v>
      </c>
      <c r="D29" s="44">
        <f>ROUND((E29/220),2)</f>
        <v>0.15</v>
      </c>
      <c r="E29" s="44">
        <f>ROUND((316.42*12*0.0087),2)</f>
        <v>33.03</v>
      </c>
      <c r="F29" s="50"/>
      <c r="G29" s="39"/>
      <c r="H29" s="278"/>
    </row>
    <row r="30" spans="1:9" ht="77.25" customHeight="1" x14ac:dyDescent="0.25">
      <c r="A30" s="401"/>
      <c r="B30" s="412"/>
      <c r="C30" s="142" t="s">
        <v>1256</v>
      </c>
      <c r="D30" s="44">
        <f t="shared" si="1"/>
        <v>0.23</v>
      </c>
      <c r="E30" s="44">
        <f>ROUND((486.37*12*0.0087),2)</f>
        <v>50.78</v>
      </c>
    </row>
    <row r="31" spans="1:9" ht="94.5" x14ac:dyDescent="0.25">
      <c r="A31" s="401"/>
      <c r="B31" s="412"/>
      <c r="C31" s="142" t="s">
        <v>1257</v>
      </c>
      <c r="D31" s="44">
        <f t="shared" si="1"/>
        <v>0.09</v>
      </c>
      <c r="E31" s="44">
        <f>ROUND((180.65*12*0.0087),2)</f>
        <v>18.86</v>
      </c>
      <c r="G31" s="39"/>
    </row>
    <row r="32" spans="1:9" ht="78.75" x14ac:dyDescent="0.25">
      <c r="A32" s="402"/>
      <c r="B32" s="413"/>
      <c r="C32" s="142" t="s">
        <v>1613</v>
      </c>
      <c r="D32" s="44">
        <f t="shared" si="1"/>
        <v>0.02</v>
      </c>
      <c r="E32" s="44">
        <f>ROUND((44.85*12*0.0087),2)</f>
        <v>4.68</v>
      </c>
      <c r="G32" s="39"/>
    </row>
    <row r="33" spans="1:5" ht="63.75" customHeight="1" x14ac:dyDescent="0.25">
      <c r="A33" s="7">
        <v>1200</v>
      </c>
      <c r="B33" s="345" t="s">
        <v>11</v>
      </c>
      <c r="C33" s="166" t="s">
        <v>1258</v>
      </c>
      <c r="D33" s="86">
        <f t="shared" si="1"/>
        <v>0.14000000000000001</v>
      </c>
      <c r="E33" s="86">
        <f>ROUND((126.68*0.2359),2)</f>
        <v>29.88</v>
      </c>
    </row>
    <row r="34" spans="1:5" ht="15.75" x14ac:dyDescent="0.25">
      <c r="A34" s="8">
        <v>2000</v>
      </c>
      <c r="B34" s="347" t="s">
        <v>12</v>
      </c>
      <c r="C34" s="269"/>
      <c r="D34" s="43">
        <f>SUM(D35:D43)</f>
        <v>14.41</v>
      </c>
      <c r="E34" s="43">
        <f>SUM(E35:E43)</f>
        <v>3170.49</v>
      </c>
    </row>
    <row r="35" spans="1:5" ht="30.75" customHeight="1" x14ac:dyDescent="0.25">
      <c r="A35" s="4">
        <v>2221</v>
      </c>
      <c r="B35" s="84" t="s">
        <v>54</v>
      </c>
      <c r="C35" s="166" t="s">
        <v>329</v>
      </c>
      <c r="D35" s="44">
        <f>ROUND((E35/220),2)</f>
        <v>1.08</v>
      </c>
      <c r="E35" s="44">
        <f>ROUND((27311.02*0.0087),2)</f>
        <v>237.61</v>
      </c>
    </row>
    <row r="36" spans="1:5" ht="31.5" x14ac:dyDescent="0.25">
      <c r="A36" s="4">
        <v>2222</v>
      </c>
      <c r="B36" s="118" t="s">
        <v>55</v>
      </c>
      <c r="C36" s="5" t="s">
        <v>330</v>
      </c>
      <c r="D36" s="44">
        <f t="shared" ref="D36:D43" si="2">ROUND((E36/220),2)</f>
        <v>2.19</v>
      </c>
      <c r="E36" s="44">
        <f>ROUND((55363.67*0.0087),2)</f>
        <v>481.66</v>
      </c>
    </row>
    <row r="37" spans="1:5" ht="79.5" customHeight="1" x14ac:dyDescent="0.25">
      <c r="A37" s="4">
        <v>2224</v>
      </c>
      <c r="B37" s="84" t="s">
        <v>56</v>
      </c>
      <c r="C37" s="114" t="s">
        <v>331</v>
      </c>
      <c r="D37" s="326">
        <f t="shared" si="2"/>
        <v>1.07</v>
      </c>
      <c r="E37" s="326">
        <f>ROUND((27012.56*0.0087),2)</f>
        <v>235.01</v>
      </c>
    </row>
    <row r="38" spans="1:5" ht="41.25" customHeight="1" x14ac:dyDescent="0.25">
      <c r="A38" s="4">
        <v>2241</v>
      </c>
      <c r="B38" s="84" t="s">
        <v>58</v>
      </c>
      <c r="C38" s="166" t="s">
        <v>332</v>
      </c>
      <c r="D38" s="326">
        <f t="shared" si="2"/>
        <v>1.45</v>
      </c>
      <c r="E38" s="326">
        <f>ROUND((36705.92*0.0087),2)</f>
        <v>319.33999999999997</v>
      </c>
    </row>
    <row r="39" spans="1:5" ht="78" customHeight="1" x14ac:dyDescent="0.25">
      <c r="A39" s="4">
        <v>2243</v>
      </c>
      <c r="B39" s="84" t="s">
        <v>21</v>
      </c>
      <c r="C39" s="84" t="s">
        <v>333</v>
      </c>
      <c r="D39" s="159">
        <f t="shared" si="2"/>
        <v>0.1</v>
      </c>
      <c r="E39" s="159">
        <f>ROUND((2550.98*0.0087),2)</f>
        <v>22.19</v>
      </c>
    </row>
    <row r="40" spans="1:5" ht="48" customHeight="1" x14ac:dyDescent="0.25">
      <c r="A40" s="4">
        <v>2244</v>
      </c>
      <c r="B40" s="84" t="s">
        <v>22</v>
      </c>
      <c r="C40" s="166" t="s">
        <v>334</v>
      </c>
      <c r="D40" s="44">
        <f t="shared" si="2"/>
        <v>7.98</v>
      </c>
      <c r="E40" s="44">
        <f>ROUND((201856.75*0.0087),2)</f>
        <v>1756.15</v>
      </c>
    </row>
    <row r="41" spans="1:5" ht="45" customHeight="1" x14ac:dyDescent="0.25">
      <c r="A41" s="4">
        <v>2249</v>
      </c>
      <c r="B41" s="84" t="s">
        <v>45</v>
      </c>
      <c r="C41" s="166" t="s">
        <v>335</v>
      </c>
      <c r="D41" s="44">
        <f t="shared" si="2"/>
        <v>0.11</v>
      </c>
      <c r="E41" s="44">
        <f>ROUND((2767.46*0.0087),2)</f>
        <v>24.08</v>
      </c>
    </row>
    <row r="42" spans="1:5" ht="61.5" customHeight="1" x14ac:dyDescent="0.25">
      <c r="A42" s="4">
        <v>2350</v>
      </c>
      <c r="B42" s="118" t="s">
        <v>213</v>
      </c>
      <c r="C42" s="166" t="s">
        <v>336</v>
      </c>
      <c r="D42" s="44">
        <f>ROUND((E42/220),2)</f>
        <v>0.01</v>
      </c>
      <c r="E42" s="108">
        <f>ROUND((300.93*0.0087),2)</f>
        <v>2.62</v>
      </c>
    </row>
    <row r="43" spans="1:5" ht="31.5" x14ac:dyDescent="0.25">
      <c r="A43" s="4">
        <v>2513</v>
      </c>
      <c r="B43" s="118" t="s">
        <v>57</v>
      </c>
      <c r="C43" s="166" t="s">
        <v>337</v>
      </c>
      <c r="D43" s="44">
        <f t="shared" si="2"/>
        <v>0.42</v>
      </c>
      <c r="E43" s="44">
        <f>ROUND((10554.74*0.0087),2)</f>
        <v>91.83</v>
      </c>
    </row>
    <row r="44" spans="1:5" ht="15.75" x14ac:dyDescent="0.25">
      <c r="A44" s="8">
        <v>5000</v>
      </c>
      <c r="B44" s="156" t="s">
        <v>17</v>
      </c>
      <c r="C44" s="269"/>
      <c r="D44" s="40">
        <f>SUM(D45:D47)</f>
        <v>1.1299999999999999</v>
      </c>
      <c r="E44" s="40">
        <f>SUM(E45:E47)</f>
        <v>248.65000000000003</v>
      </c>
    </row>
    <row r="45" spans="1:5" ht="32.25" customHeight="1" x14ac:dyDescent="0.25">
      <c r="A45" s="4">
        <v>5212</v>
      </c>
      <c r="B45" s="118" t="s">
        <v>31</v>
      </c>
      <c r="C45" s="166" t="s">
        <v>708</v>
      </c>
      <c r="D45" s="44">
        <f>ROUND((E45/220),2)</f>
        <v>0.75</v>
      </c>
      <c r="E45" s="44">
        <f>ROUND((19086.29*0.0087),2)</f>
        <v>166.05</v>
      </c>
    </row>
    <row r="46" spans="1:5" ht="32.1" customHeight="1" x14ac:dyDescent="0.25">
      <c r="A46" s="4">
        <v>5213</v>
      </c>
      <c r="B46" s="118" t="s">
        <v>32</v>
      </c>
      <c r="C46" s="166" t="s">
        <v>709</v>
      </c>
      <c r="D46" s="44">
        <f t="shared" ref="D46:D47" si="3">ROUND((E46/220),2)</f>
        <v>0.18</v>
      </c>
      <c r="E46" s="44">
        <f>ROUND((4441.97*0.0087),2)</f>
        <v>38.65</v>
      </c>
    </row>
    <row r="47" spans="1:5" ht="46.5" customHeight="1" x14ac:dyDescent="0.25">
      <c r="A47" s="18">
        <v>5239</v>
      </c>
      <c r="B47" s="84" t="s">
        <v>18</v>
      </c>
      <c r="C47" s="166" t="s">
        <v>710</v>
      </c>
      <c r="D47" s="44">
        <f t="shared" si="3"/>
        <v>0.2</v>
      </c>
      <c r="E47" s="44">
        <f>ROUND((5051.93*0.0087),2)</f>
        <v>43.95</v>
      </c>
    </row>
    <row r="48" spans="1:5" ht="15.75" x14ac:dyDescent="0.25">
      <c r="A48" s="161"/>
      <c r="B48" s="9" t="s">
        <v>23</v>
      </c>
      <c r="C48" s="269"/>
      <c r="D48" s="43">
        <f>SUM(D21+D34+D44)</f>
        <v>16.260000000000002</v>
      </c>
      <c r="E48" s="40">
        <f>SUM(E21+E34+E44)</f>
        <v>3575.7</v>
      </c>
    </row>
    <row r="49" spans="1:8" ht="31.5" x14ac:dyDescent="0.25">
      <c r="A49" s="6"/>
      <c r="B49" s="11" t="s">
        <v>24</v>
      </c>
      <c r="C49" s="269"/>
      <c r="D49" s="87">
        <f>D19+D48</f>
        <v>17.110000000000003</v>
      </c>
      <c r="E49" s="41">
        <f>E19+E48</f>
        <v>3763.5899999999997</v>
      </c>
    </row>
    <row r="50" spans="1:8" ht="18" customHeight="1" x14ac:dyDescent="0.25">
      <c r="A50" s="397" t="s">
        <v>190</v>
      </c>
      <c r="B50" s="397"/>
      <c r="C50" s="397"/>
      <c r="D50" s="245">
        <f>2*110</f>
        <v>220</v>
      </c>
      <c r="E50" s="179" t="s">
        <v>65</v>
      </c>
    </row>
    <row r="51" spans="1:8" ht="30.6" customHeight="1" x14ac:dyDescent="0.25">
      <c r="A51" s="397" t="s">
        <v>231</v>
      </c>
      <c r="B51" s="397"/>
      <c r="C51" s="397"/>
      <c r="D51" s="178">
        <f>ROUND((E49/D50),2)</f>
        <v>17.11</v>
      </c>
      <c r="E51" s="191" t="s">
        <v>232</v>
      </c>
    </row>
    <row r="52" spans="1:8" ht="15.75" x14ac:dyDescent="0.25">
      <c r="A52" s="181"/>
      <c r="B52" s="181"/>
      <c r="C52" s="181"/>
      <c r="D52" s="192"/>
      <c r="E52" s="193"/>
      <c r="H52" s="240"/>
    </row>
    <row r="53" spans="1:8" ht="15" customHeight="1" x14ac:dyDescent="0.25">
      <c r="A53" s="397" t="s">
        <v>191</v>
      </c>
      <c r="B53" s="397"/>
      <c r="C53" s="397"/>
      <c r="D53" s="245">
        <f>2*10</f>
        <v>20</v>
      </c>
      <c r="E53" s="179" t="s">
        <v>67</v>
      </c>
    </row>
    <row r="54" spans="1:8" ht="30" customHeight="1" x14ac:dyDescent="0.25">
      <c r="A54" s="411" t="s">
        <v>233</v>
      </c>
      <c r="B54" s="411"/>
      <c r="C54" s="411"/>
      <c r="D54" s="160">
        <f>ROUND((E49/D53),2)</f>
        <v>188.18</v>
      </c>
      <c r="E54" s="191" t="s">
        <v>234</v>
      </c>
    </row>
    <row r="56" spans="1:8" x14ac:dyDescent="0.25">
      <c r="G56" s="14"/>
    </row>
  </sheetData>
  <mergeCells count="9">
    <mergeCell ref="A53:C53"/>
    <mergeCell ref="A54:C54"/>
    <mergeCell ref="A50:C50"/>
    <mergeCell ref="A51:C51"/>
    <mergeCell ref="A2:C2"/>
    <mergeCell ref="A3:E3"/>
    <mergeCell ref="A4:B4"/>
    <mergeCell ref="A24:A32"/>
    <mergeCell ref="B24:B32"/>
  </mergeCells>
  <pageMargins left="0.7" right="0.7" top="0.75" bottom="0.75" header="0.3" footer="0.3"/>
  <pageSetup paperSize="9" orientation="landscape" r:id="rId1"/>
  <rowBreaks count="2" manualBreakCount="2">
    <brk id="23" max="16383" man="1"/>
    <brk id="43" max="16383"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F3FC1-6AEA-4D5C-8528-982B85A38718}">
  <dimension ref="A1:G56"/>
  <sheetViews>
    <sheetView topLeftCell="A26" zoomScaleNormal="100" workbookViewId="0">
      <selection activeCell="E29" sqref="E29"/>
    </sheetView>
  </sheetViews>
  <sheetFormatPr defaultRowHeight="15" x14ac:dyDescent="0.25"/>
  <cols>
    <col min="1" max="1" width="12.28515625" customWidth="1"/>
    <col min="2" max="2" width="27.5703125" customWidth="1"/>
    <col min="3" max="3" width="62.5703125" customWidth="1"/>
    <col min="4" max="4" width="10.140625" style="14" customWidth="1"/>
    <col min="5" max="5" width="18.5703125" style="14" customWidth="1"/>
  </cols>
  <sheetData>
    <row r="1" spans="1:7" s="165" customFormat="1" ht="18.75" x14ac:dyDescent="0.3">
      <c r="A1" s="148" t="s">
        <v>46</v>
      </c>
      <c r="D1" s="236"/>
      <c r="E1" s="236"/>
    </row>
    <row r="2" spans="1:7" ht="18.75" x14ac:dyDescent="0.3">
      <c r="A2" s="404" t="s">
        <v>269</v>
      </c>
      <c r="B2" s="404"/>
      <c r="C2" s="404"/>
    </row>
    <row r="3" spans="1:7" ht="18.75" x14ac:dyDescent="0.25">
      <c r="A3" s="398" t="s">
        <v>182</v>
      </c>
      <c r="B3" s="398"/>
      <c r="C3" s="398"/>
      <c r="D3" s="398"/>
      <c r="E3" s="398"/>
    </row>
    <row r="4" spans="1:7" ht="15.75" x14ac:dyDescent="0.25">
      <c r="A4" s="405" t="s">
        <v>64</v>
      </c>
      <c r="B4" s="405"/>
    </row>
    <row r="6" spans="1:7" ht="78.75" x14ac:dyDescent="0.25">
      <c r="A6" s="139" t="s">
        <v>0</v>
      </c>
      <c r="B6" s="139" t="s">
        <v>1</v>
      </c>
      <c r="C6" s="139" t="s">
        <v>2</v>
      </c>
      <c r="D6" s="158" t="s">
        <v>26</v>
      </c>
      <c r="E6" s="85" t="s">
        <v>27</v>
      </c>
    </row>
    <row r="7" spans="1:7" x14ac:dyDescent="0.25">
      <c r="A7" s="277">
        <v>1</v>
      </c>
      <c r="B7" s="277">
        <v>2</v>
      </c>
      <c r="C7" s="277">
        <v>3</v>
      </c>
      <c r="D7" s="290">
        <v>4</v>
      </c>
      <c r="E7" s="290">
        <v>5</v>
      </c>
    </row>
    <row r="8" spans="1:7" ht="15.75" x14ac:dyDescent="0.25">
      <c r="A8" s="4"/>
      <c r="B8" s="7" t="s">
        <v>7</v>
      </c>
      <c r="C8" s="74" t="s">
        <v>8</v>
      </c>
      <c r="D8" s="42"/>
      <c r="E8" s="42"/>
    </row>
    <row r="9" spans="1:7" ht="15.75" x14ac:dyDescent="0.25">
      <c r="A9" s="8">
        <v>1000</v>
      </c>
      <c r="B9" s="7" t="s">
        <v>9</v>
      </c>
      <c r="C9" s="269"/>
      <c r="D9" s="43">
        <f>D10+D16</f>
        <v>1.3</v>
      </c>
      <c r="E9" s="43">
        <f>E10+E16</f>
        <v>334.72</v>
      </c>
    </row>
    <row r="10" spans="1:7" ht="15.75" x14ac:dyDescent="0.25">
      <c r="A10" s="265">
        <v>1100</v>
      </c>
      <c r="B10" s="265" t="s">
        <v>10</v>
      </c>
      <c r="C10" s="269"/>
      <c r="D10" s="43">
        <f>SUM(D12:D15)</f>
        <v>1.01</v>
      </c>
      <c r="E10" s="43">
        <f>SUM(E12:E15)</f>
        <v>261.22000000000003</v>
      </c>
    </row>
    <row r="11" spans="1:7" ht="15.75" x14ac:dyDescent="0.25">
      <c r="A11" s="16">
        <v>1110</v>
      </c>
      <c r="B11" s="16" t="s">
        <v>217</v>
      </c>
      <c r="C11" s="285" t="s">
        <v>218</v>
      </c>
      <c r="D11" s="108">
        <f>SUM(D12:D14)</f>
        <v>0.92</v>
      </c>
      <c r="E11" s="108">
        <f>SUM(E12:E14)</f>
        <v>237.47000000000003</v>
      </c>
    </row>
    <row r="12" spans="1:7" ht="78.75" x14ac:dyDescent="0.25">
      <c r="A12" s="126"/>
      <c r="B12" s="129"/>
      <c r="C12" s="142" t="s">
        <v>1259</v>
      </c>
      <c r="D12" s="108">
        <f>ROUND((E12/260),2)</f>
        <v>0.04</v>
      </c>
      <c r="E12" s="108">
        <f>ROUND((51.33*12*0.0155),2)</f>
        <v>9.5500000000000007</v>
      </c>
      <c r="G12" s="50"/>
    </row>
    <row r="13" spans="1:7" ht="78.75" customHeight="1" x14ac:dyDescent="0.25">
      <c r="A13" s="143"/>
      <c r="B13" s="144"/>
      <c r="C13" s="142" t="s">
        <v>1260</v>
      </c>
      <c r="D13" s="108">
        <f t="shared" ref="D13:D18" si="0">ROUND((E13/260),2)</f>
        <v>0.84</v>
      </c>
      <c r="E13" s="108">
        <f>ROUND((1168.83*12*0.0155),2)</f>
        <v>217.4</v>
      </c>
      <c r="G13" s="39"/>
    </row>
    <row r="14" spans="1:7" ht="78.75" x14ac:dyDescent="0.25">
      <c r="A14" s="128"/>
      <c r="B14" s="131"/>
      <c r="C14" s="142" t="s">
        <v>1261</v>
      </c>
      <c r="D14" s="108">
        <f t="shared" si="0"/>
        <v>0.04</v>
      </c>
      <c r="E14" s="108">
        <f>ROUND((56.58*12*0.0155),2)</f>
        <v>10.52</v>
      </c>
      <c r="F14" s="39"/>
      <c r="G14" s="50"/>
    </row>
    <row r="15" spans="1:7" ht="63" x14ac:dyDescent="0.25">
      <c r="A15" s="122">
        <v>1140</v>
      </c>
      <c r="B15" s="5" t="s">
        <v>214</v>
      </c>
      <c r="C15" s="142" t="s">
        <v>1262</v>
      </c>
      <c r="D15" s="108">
        <f t="shared" si="0"/>
        <v>0.09</v>
      </c>
      <c r="E15" s="108">
        <f>ROUND((9.55*0.1+217.4*0.1+10.52*0.1),2)</f>
        <v>23.75</v>
      </c>
    </row>
    <row r="16" spans="1:7" ht="63" customHeight="1" x14ac:dyDescent="0.25">
      <c r="A16" s="7">
        <v>1200</v>
      </c>
      <c r="B16" s="283" t="s">
        <v>11</v>
      </c>
      <c r="C16" s="166" t="s">
        <v>1264</v>
      </c>
      <c r="D16" s="86">
        <f>ROUND((D17+D18),2)</f>
        <v>0.28999999999999998</v>
      </c>
      <c r="E16" s="86">
        <f>ROUND((E17+E18),2)</f>
        <v>73.5</v>
      </c>
    </row>
    <row r="17" spans="1:7" ht="47.25" x14ac:dyDescent="0.25">
      <c r="A17" s="4">
        <v>1210</v>
      </c>
      <c r="B17" s="5" t="s">
        <v>216</v>
      </c>
      <c r="C17" s="166" t="s">
        <v>1263</v>
      </c>
      <c r="D17" s="108">
        <f t="shared" si="0"/>
        <v>0.24</v>
      </c>
      <c r="E17" s="44">
        <f>ROUND((261.22*0.2359),2)</f>
        <v>61.62</v>
      </c>
    </row>
    <row r="18" spans="1:7" ht="63" x14ac:dyDescent="0.25">
      <c r="A18" s="4">
        <v>1227</v>
      </c>
      <c r="B18" s="5" t="s">
        <v>215</v>
      </c>
      <c r="C18" s="142" t="s">
        <v>1615</v>
      </c>
      <c r="D18" s="108">
        <f t="shared" si="0"/>
        <v>0.05</v>
      </c>
      <c r="E18" s="108">
        <f>ROUND((9.55*0.05+217.4*0.05+10.52*0.05+0.01),2)</f>
        <v>11.88</v>
      </c>
    </row>
    <row r="19" spans="1:7" ht="15.75" x14ac:dyDescent="0.25">
      <c r="A19" s="4"/>
      <c r="B19" s="9" t="s">
        <v>14</v>
      </c>
      <c r="C19" s="75" t="s">
        <v>16</v>
      </c>
      <c r="D19" s="43">
        <f>D9</f>
        <v>1.3</v>
      </c>
      <c r="E19" s="43">
        <f>E9</f>
        <v>334.72</v>
      </c>
    </row>
    <row r="20" spans="1:7" ht="15.75" x14ac:dyDescent="0.25">
      <c r="A20" s="4"/>
      <c r="B20" s="9" t="s">
        <v>15</v>
      </c>
      <c r="C20" s="74" t="s">
        <v>8</v>
      </c>
      <c r="D20" s="42"/>
      <c r="E20" s="42"/>
    </row>
    <row r="21" spans="1:7" ht="15.75" x14ac:dyDescent="0.25">
      <c r="A21" s="8">
        <v>1000</v>
      </c>
      <c r="B21" s="7" t="s">
        <v>9</v>
      </c>
      <c r="C21" s="74"/>
      <c r="D21" s="86">
        <f>SUM(D22+D33)</f>
        <v>1.07</v>
      </c>
      <c r="E21" s="86">
        <f>SUM(E22+E33)</f>
        <v>278.77999999999997</v>
      </c>
    </row>
    <row r="22" spans="1:7" ht="15.75" x14ac:dyDescent="0.25">
      <c r="A22" s="4">
        <v>1100</v>
      </c>
      <c r="B22" s="4" t="s">
        <v>10</v>
      </c>
      <c r="C22" s="137" t="s">
        <v>223</v>
      </c>
      <c r="D22" s="86">
        <f>SUM(D23:D32)</f>
        <v>0.87</v>
      </c>
      <c r="E22" s="86">
        <f>SUM(E23:E32)</f>
        <v>225.69</v>
      </c>
    </row>
    <row r="23" spans="1:7" ht="78.75" customHeight="1" x14ac:dyDescent="0.25">
      <c r="A23" s="222"/>
      <c r="B23" s="223"/>
      <c r="C23" s="142" t="s">
        <v>1265</v>
      </c>
      <c r="D23" s="44">
        <f>ROUND((E23/260),2)</f>
        <v>0.02</v>
      </c>
      <c r="E23" s="44">
        <f>ROUND((21.91*12*0.0155),2)</f>
        <v>4.08</v>
      </c>
      <c r="F23" s="39"/>
      <c r="G23" s="39"/>
    </row>
    <row r="24" spans="1:7" ht="78.75" x14ac:dyDescent="0.25">
      <c r="A24" s="401"/>
      <c r="B24" s="399"/>
      <c r="C24" s="142" t="s">
        <v>1266</v>
      </c>
      <c r="D24" s="44">
        <f t="shared" ref="D24:D32" si="1">ROUND((E24/260),2)</f>
        <v>0.01</v>
      </c>
      <c r="E24" s="44">
        <f>ROUND((14.31*12*0.0155),2)</f>
        <v>2.66</v>
      </c>
      <c r="F24" s="39"/>
      <c r="G24" s="39"/>
    </row>
    <row r="25" spans="1:7" ht="78.75" x14ac:dyDescent="0.25">
      <c r="A25" s="401"/>
      <c r="B25" s="399"/>
      <c r="C25" s="142" t="s">
        <v>1267</v>
      </c>
      <c r="D25" s="44">
        <f t="shared" si="1"/>
        <v>0.02</v>
      </c>
      <c r="E25" s="44">
        <f>ROUND((20.99*12*0.0155),2)</f>
        <v>3.9</v>
      </c>
      <c r="G25" s="50"/>
    </row>
    <row r="26" spans="1:7" ht="78" customHeight="1" x14ac:dyDescent="0.25">
      <c r="A26" s="401"/>
      <c r="B26" s="399"/>
      <c r="C26" s="142" t="s">
        <v>1268</v>
      </c>
      <c r="D26" s="44">
        <f t="shared" si="1"/>
        <v>0.02</v>
      </c>
      <c r="E26" s="44">
        <f>ROUND((31.21*12*0.0155),2)</f>
        <v>5.81</v>
      </c>
      <c r="G26" s="39"/>
    </row>
    <row r="27" spans="1:7" ht="79.5" customHeight="1" x14ac:dyDescent="0.25">
      <c r="A27" s="401"/>
      <c r="B27" s="399"/>
      <c r="C27" s="76" t="s">
        <v>1269</v>
      </c>
      <c r="D27" s="44">
        <f t="shared" si="1"/>
        <v>0.01</v>
      </c>
      <c r="E27" s="44">
        <f>ROUND((20.2*12*0.0155),2)</f>
        <v>3.76</v>
      </c>
      <c r="G27" s="39"/>
    </row>
    <row r="28" spans="1:7" ht="78.75" x14ac:dyDescent="0.25">
      <c r="A28" s="401"/>
      <c r="B28" s="399"/>
      <c r="C28" s="76" t="s">
        <v>1270</v>
      </c>
      <c r="D28" s="44">
        <f t="shared" si="1"/>
        <v>0.05</v>
      </c>
      <c r="E28" s="44">
        <f>ROUND((76.52*12*0.0155),2)</f>
        <v>14.23</v>
      </c>
      <c r="F28" s="387"/>
    </row>
    <row r="29" spans="1:7" ht="78.75" x14ac:dyDescent="0.25">
      <c r="A29" s="401"/>
      <c r="B29" s="399"/>
      <c r="C29" s="142" t="s">
        <v>1616</v>
      </c>
      <c r="D29" s="44">
        <f t="shared" si="1"/>
        <v>0.23</v>
      </c>
      <c r="E29" s="44">
        <f>ROUND((316.42*12*0.0155),2)</f>
        <v>58.85</v>
      </c>
      <c r="F29" s="50"/>
      <c r="G29" s="39"/>
    </row>
    <row r="30" spans="1:7" ht="78.75" x14ac:dyDescent="0.25">
      <c r="A30" s="401"/>
      <c r="B30" s="399"/>
      <c r="C30" s="76" t="s">
        <v>1271</v>
      </c>
      <c r="D30" s="44">
        <f t="shared" si="1"/>
        <v>0.35</v>
      </c>
      <c r="E30" s="44">
        <f>ROUND((486.37*12*0.0155),2)</f>
        <v>90.46</v>
      </c>
      <c r="G30" s="39"/>
    </row>
    <row r="31" spans="1:7" ht="94.5" x14ac:dyDescent="0.25">
      <c r="A31" s="401"/>
      <c r="B31" s="399"/>
      <c r="C31" s="76" t="s">
        <v>1272</v>
      </c>
      <c r="D31" s="44">
        <f t="shared" si="1"/>
        <v>0.13</v>
      </c>
      <c r="E31" s="44">
        <f>ROUND((180.65*12*0.0155),2)</f>
        <v>33.6</v>
      </c>
      <c r="G31" s="39"/>
    </row>
    <row r="32" spans="1:7" ht="78.75" x14ac:dyDescent="0.25">
      <c r="A32" s="402"/>
      <c r="B32" s="400"/>
      <c r="C32" s="76" t="s">
        <v>1617</v>
      </c>
      <c r="D32" s="44">
        <f t="shared" si="1"/>
        <v>0.03</v>
      </c>
      <c r="E32" s="44">
        <f>ROUND((44.85*12*0.0155),2)</f>
        <v>8.34</v>
      </c>
      <c r="G32" s="39"/>
    </row>
    <row r="33" spans="1:5" ht="63.75" customHeight="1" x14ac:dyDescent="0.25">
      <c r="A33" s="7">
        <v>1200</v>
      </c>
      <c r="B33" s="156" t="s">
        <v>11</v>
      </c>
      <c r="C33" s="77" t="s">
        <v>1273</v>
      </c>
      <c r="D33" s="86">
        <f>ROUND((E33/260),2)</f>
        <v>0.2</v>
      </c>
      <c r="E33" s="86">
        <f>ROUND((225.07*0.2359),2)</f>
        <v>53.09</v>
      </c>
    </row>
    <row r="34" spans="1:5" ht="15.75" x14ac:dyDescent="0.25">
      <c r="A34" s="8">
        <v>2000</v>
      </c>
      <c r="B34" s="347" t="s">
        <v>12</v>
      </c>
      <c r="C34" s="74"/>
      <c r="D34" s="43">
        <f>SUM(D35:D43)</f>
        <v>21.73</v>
      </c>
      <c r="E34" s="43">
        <f>SUM(E35:E43)</f>
        <v>5648.57</v>
      </c>
    </row>
    <row r="35" spans="1:5" ht="31.5" customHeight="1" x14ac:dyDescent="0.25">
      <c r="A35" s="4">
        <v>2221</v>
      </c>
      <c r="B35" s="84" t="s">
        <v>54</v>
      </c>
      <c r="C35" s="77" t="s">
        <v>338</v>
      </c>
      <c r="D35" s="44">
        <f>ROUND((E35/260),2)</f>
        <v>1.63</v>
      </c>
      <c r="E35" s="44">
        <f>ROUND((27311.02*0.0155),2)</f>
        <v>423.32</v>
      </c>
    </row>
    <row r="36" spans="1:5" ht="31.5" x14ac:dyDescent="0.25">
      <c r="A36" s="4">
        <v>2222</v>
      </c>
      <c r="B36" s="118" t="s">
        <v>55</v>
      </c>
      <c r="C36" s="5" t="s">
        <v>339</v>
      </c>
      <c r="D36" s="44">
        <f t="shared" ref="D36:D43" si="2">ROUND((E36/260),2)</f>
        <v>3.3</v>
      </c>
      <c r="E36" s="44">
        <f>ROUND((55363.67*0.0155),2)</f>
        <v>858.14</v>
      </c>
    </row>
    <row r="37" spans="1:5" ht="80.25" customHeight="1" x14ac:dyDescent="0.25">
      <c r="A37" s="122">
        <v>2224</v>
      </c>
      <c r="B37" s="118" t="s">
        <v>56</v>
      </c>
      <c r="C37" s="114" t="s">
        <v>340</v>
      </c>
      <c r="D37" s="326">
        <f t="shared" si="2"/>
        <v>1.61</v>
      </c>
      <c r="E37" s="326">
        <f>ROUND((27012.56*0.0155),2)</f>
        <v>418.69</v>
      </c>
    </row>
    <row r="38" spans="1:5" ht="36" customHeight="1" x14ac:dyDescent="0.25">
      <c r="A38" s="4">
        <v>2241</v>
      </c>
      <c r="B38" s="84" t="s">
        <v>58</v>
      </c>
      <c r="C38" s="166" t="s">
        <v>1601</v>
      </c>
      <c r="D38" s="326">
        <f t="shared" si="2"/>
        <v>2.19</v>
      </c>
      <c r="E38" s="326">
        <f>ROUND((36705.92*0.0155),2)</f>
        <v>568.94000000000005</v>
      </c>
    </row>
    <row r="39" spans="1:5" ht="77.25" customHeight="1" x14ac:dyDescent="0.25">
      <c r="A39" s="4">
        <v>2243</v>
      </c>
      <c r="B39" s="118" t="s">
        <v>21</v>
      </c>
      <c r="C39" s="118" t="s">
        <v>341</v>
      </c>
      <c r="D39" s="44">
        <f t="shared" si="2"/>
        <v>0.15</v>
      </c>
      <c r="E39" s="159">
        <f>ROUND((2550.98*0.0155),2)</f>
        <v>39.54</v>
      </c>
    </row>
    <row r="40" spans="1:5" ht="47.25" x14ac:dyDescent="0.25">
      <c r="A40" s="4">
        <v>2244</v>
      </c>
      <c r="B40" s="84" t="s">
        <v>22</v>
      </c>
      <c r="C40" s="77" t="s">
        <v>342</v>
      </c>
      <c r="D40" s="44">
        <f t="shared" si="2"/>
        <v>12.03</v>
      </c>
      <c r="E40" s="44">
        <f>ROUND((201856.75*0.0155),2)</f>
        <v>3128.78</v>
      </c>
    </row>
    <row r="41" spans="1:5" ht="47.1" customHeight="1" x14ac:dyDescent="0.25">
      <c r="A41" s="4">
        <v>2249</v>
      </c>
      <c r="B41" s="84" t="s">
        <v>45</v>
      </c>
      <c r="C41" s="77" t="s">
        <v>343</v>
      </c>
      <c r="D41" s="44">
        <f>ROUND((E41/260),2)</f>
        <v>0.17</v>
      </c>
      <c r="E41" s="44">
        <f>ROUND((2767.46*0.0155),2)</f>
        <v>42.9</v>
      </c>
    </row>
    <row r="42" spans="1:5" ht="63.75" customHeight="1" x14ac:dyDescent="0.25">
      <c r="A42" s="4">
        <v>2350</v>
      </c>
      <c r="B42" s="118" t="s">
        <v>213</v>
      </c>
      <c r="C42" s="77" t="s">
        <v>344</v>
      </c>
      <c r="D42" s="44">
        <f t="shared" si="2"/>
        <v>0.02</v>
      </c>
      <c r="E42" s="108">
        <f>ROUND((300.93*0.0155),2)</f>
        <v>4.66</v>
      </c>
    </row>
    <row r="43" spans="1:5" ht="30.75" customHeight="1" x14ac:dyDescent="0.25">
      <c r="A43" s="4">
        <v>2513</v>
      </c>
      <c r="B43" s="118" t="s">
        <v>57</v>
      </c>
      <c r="C43" s="77" t="s">
        <v>345</v>
      </c>
      <c r="D43" s="44">
        <f t="shared" si="2"/>
        <v>0.63</v>
      </c>
      <c r="E43" s="44">
        <f>ROUND((10554.74*0.0155),2)</f>
        <v>163.6</v>
      </c>
    </row>
    <row r="44" spans="1:5" ht="15.75" x14ac:dyDescent="0.25">
      <c r="A44" s="10">
        <v>5000</v>
      </c>
      <c r="B44" s="348" t="s">
        <v>17</v>
      </c>
      <c r="C44" s="74"/>
      <c r="D44" s="43">
        <f>SUM(D45:D47)</f>
        <v>1.7</v>
      </c>
      <c r="E44" s="43">
        <f>SUM(E45:E47)</f>
        <v>442.98999999999995</v>
      </c>
    </row>
    <row r="45" spans="1:5" ht="30.75" customHeight="1" x14ac:dyDescent="0.25">
      <c r="A45" s="4">
        <v>5212</v>
      </c>
      <c r="B45" s="118" t="s">
        <v>31</v>
      </c>
      <c r="C45" s="77" t="s">
        <v>770</v>
      </c>
      <c r="D45" s="44">
        <f>ROUND((E45/260),2)</f>
        <v>1.1399999999999999</v>
      </c>
      <c r="E45" s="44">
        <f>ROUND((19086.29*0.0155),2)</f>
        <v>295.83999999999997</v>
      </c>
    </row>
    <row r="46" spans="1:5" ht="29.25" customHeight="1" x14ac:dyDescent="0.25">
      <c r="A46" s="4">
        <v>5213</v>
      </c>
      <c r="B46" s="118" t="s">
        <v>32</v>
      </c>
      <c r="C46" s="77" t="s">
        <v>711</v>
      </c>
      <c r="D46" s="44">
        <f t="shared" ref="D46:D47" si="3">ROUND((E46/260),2)</f>
        <v>0.26</v>
      </c>
      <c r="E46" s="44">
        <f>ROUND((4441.97*0.0155),2)</f>
        <v>68.849999999999994</v>
      </c>
    </row>
    <row r="47" spans="1:5" ht="45.75" customHeight="1" x14ac:dyDescent="0.25">
      <c r="A47" s="18">
        <v>5239</v>
      </c>
      <c r="B47" s="84" t="s">
        <v>18</v>
      </c>
      <c r="C47" s="77" t="s">
        <v>712</v>
      </c>
      <c r="D47" s="44">
        <f t="shared" si="3"/>
        <v>0.3</v>
      </c>
      <c r="E47" s="44">
        <f>ROUND((5051.93*0.0155),2)</f>
        <v>78.3</v>
      </c>
    </row>
    <row r="48" spans="1:5" ht="15.75" x14ac:dyDescent="0.25">
      <c r="A48" s="161"/>
      <c r="B48" s="9" t="s">
        <v>23</v>
      </c>
      <c r="C48" s="74" t="s">
        <v>743</v>
      </c>
      <c r="D48" s="43">
        <f>SUM(D21+D34+D44)-0.01</f>
        <v>24.49</v>
      </c>
      <c r="E48" s="40">
        <f>SUM(E21+E34+E44)-25.6</f>
        <v>6344.7399999999989</v>
      </c>
    </row>
    <row r="49" spans="1:7" ht="30" customHeight="1" x14ac:dyDescent="0.25">
      <c r="A49" s="6"/>
      <c r="B49" s="11" t="s">
        <v>24</v>
      </c>
      <c r="C49" s="74"/>
      <c r="D49" s="87">
        <f>D19+D48</f>
        <v>25.79</v>
      </c>
      <c r="E49" s="41">
        <f>E19+E48</f>
        <v>6679.4599999999991</v>
      </c>
    </row>
    <row r="50" spans="1:7" ht="18" customHeight="1" x14ac:dyDescent="0.25">
      <c r="A50" s="397" t="s">
        <v>192</v>
      </c>
      <c r="B50" s="397"/>
      <c r="C50" s="397"/>
      <c r="D50" s="183">
        <f>2*1*129.247</f>
        <v>258.49400000000003</v>
      </c>
      <c r="E50" s="197" t="s">
        <v>65</v>
      </c>
    </row>
    <row r="51" spans="1:7" ht="30.6" customHeight="1" x14ac:dyDescent="0.25">
      <c r="A51" s="397" t="s">
        <v>231</v>
      </c>
      <c r="B51" s="397"/>
      <c r="C51" s="397"/>
      <c r="D51" s="179">
        <f>ROUND(((E49-13)/D50),2)</f>
        <v>25.79</v>
      </c>
      <c r="E51" s="191" t="s">
        <v>235</v>
      </c>
      <c r="F51" s="39"/>
    </row>
    <row r="52" spans="1:7" ht="15.75" x14ac:dyDescent="0.25">
      <c r="A52" s="181"/>
      <c r="B52" s="181"/>
      <c r="C52" s="181"/>
      <c r="D52" s="193"/>
      <c r="E52" s="193"/>
    </row>
    <row r="53" spans="1:7" ht="15.75" x14ac:dyDescent="0.25">
      <c r="A53" s="406" t="s">
        <v>193</v>
      </c>
      <c r="B53" s="406"/>
      <c r="C53" s="406"/>
      <c r="D53" s="183">
        <f>2*9.9627</f>
        <v>19.9254</v>
      </c>
      <c r="E53" s="179" t="s">
        <v>66</v>
      </c>
    </row>
    <row r="54" spans="1:7" ht="30" customHeight="1" x14ac:dyDescent="0.25">
      <c r="A54" s="411" t="s">
        <v>233</v>
      </c>
      <c r="B54" s="411"/>
      <c r="C54" s="411"/>
      <c r="D54" s="179">
        <f>ROUND((E49/D53),2)</f>
        <v>335.22</v>
      </c>
      <c r="E54" s="191" t="s">
        <v>240</v>
      </c>
    </row>
    <row r="56" spans="1:7" x14ac:dyDescent="0.25">
      <c r="G56" s="14"/>
    </row>
  </sheetData>
  <mergeCells count="9">
    <mergeCell ref="A53:C53"/>
    <mergeCell ref="A54:C54"/>
    <mergeCell ref="A24:A32"/>
    <mergeCell ref="B24:B32"/>
    <mergeCell ref="A2:C2"/>
    <mergeCell ref="A3:E3"/>
    <mergeCell ref="A4:B4"/>
    <mergeCell ref="A50:C50"/>
    <mergeCell ref="A51:C51"/>
  </mergeCells>
  <pageMargins left="0.7" right="0.7" top="0.75" bottom="0.75" header="0.3" footer="0.3"/>
  <pageSetup paperSize="9" orientation="landscape" r:id="rId1"/>
  <rowBreaks count="1" manualBreakCount="1">
    <brk id="23" max="16383" man="1"/>
  </rowBreaks>
  <ignoredErrors>
    <ignoredError sqref="D34 D16:E16" formula="1"/>
  </ignoredError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3E7FF6-70CF-43B2-9103-5280353BE0F8}">
  <dimension ref="A1:I56"/>
  <sheetViews>
    <sheetView topLeftCell="A37" zoomScaleNormal="100" workbookViewId="0">
      <selection activeCell="C39" sqref="C39"/>
    </sheetView>
  </sheetViews>
  <sheetFormatPr defaultRowHeight="15" x14ac:dyDescent="0.25"/>
  <cols>
    <col min="1" max="1" width="12.42578125" customWidth="1"/>
    <col min="2" max="2" width="27.42578125" customWidth="1"/>
    <col min="3" max="3" width="63.7109375" customWidth="1"/>
    <col min="4" max="4" width="10.140625" customWidth="1"/>
    <col min="5" max="5" width="17.28515625" customWidth="1"/>
    <col min="8" max="8" width="7" customWidth="1"/>
  </cols>
  <sheetData>
    <row r="1" spans="1:9" s="165" customFormat="1" ht="18.75" x14ac:dyDescent="0.3">
      <c r="A1" s="148" t="s">
        <v>46</v>
      </c>
    </row>
    <row r="2" spans="1:9" ht="18.75" x14ac:dyDescent="0.3">
      <c r="A2" s="404" t="s">
        <v>269</v>
      </c>
      <c r="B2" s="404"/>
      <c r="C2" s="404"/>
    </row>
    <row r="3" spans="1:9" ht="18.75" x14ac:dyDescent="0.25">
      <c r="A3" s="398" t="s">
        <v>183</v>
      </c>
      <c r="B3" s="398"/>
      <c r="C3" s="398"/>
      <c r="D3" s="398"/>
      <c r="E3" s="398"/>
    </row>
    <row r="4" spans="1:9" ht="15.75" x14ac:dyDescent="0.25">
      <c r="A4" s="405" t="s">
        <v>64</v>
      </c>
      <c r="B4" s="405"/>
    </row>
    <row r="6" spans="1:9" ht="77.45" customHeight="1" x14ac:dyDescent="0.25">
      <c r="A6" s="139" t="s">
        <v>0</v>
      </c>
      <c r="B6" s="139" t="s">
        <v>1</v>
      </c>
      <c r="C6" s="139" t="s">
        <v>2</v>
      </c>
      <c r="D6" s="152" t="s">
        <v>26</v>
      </c>
      <c r="E6" s="152" t="s">
        <v>27</v>
      </c>
    </row>
    <row r="7" spans="1:9" x14ac:dyDescent="0.25">
      <c r="A7" s="277">
        <v>1</v>
      </c>
      <c r="B7" s="277">
        <v>2</v>
      </c>
      <c r="C7" s="277">
        <v>3</v>
      </c>
      <c r="D7" s="277">
        <v>4</v>
      </c>
      <c r="E7" s="277">
        <v>5</v>
      </c>
    </row>
    <row r="8" spans="1:9" ht="15.75" x14ac:dyDescent="0.25">
      <c r="A8" s="4"/>
      <c r="B8" s="7" t="s">
        <v>7</v>
      </c>
      <c r="C8" s="74" t="s">
        <v>8</v>
      </c>
      <c r="D8" s="24"/>
      <c r="E8" s="22"/>
    </row>
    <row r="9" spans="1:9" ht="15.75" x14ac:dyDescent="0.25">
      <c r="A9" s="8">
        <v>1000</v>
      </c>
      <c r="B9" s="7" t="s">
        <v>9</v>
      </c>
      <c r="C9" s="269"/>
      <c r="D9" s="25">
        <f>D10+D16</f>
        <v>0.59000000000000008</v>
      </c>
      <c r="E9" s="25">
        <f>E10+E16</f>
        <v>231.07000000000002</v>
      </c>
    </row>
    <row r="10" spans="1:9" ht="15.75" x14ac:dyDescent="0.25">
      <c r="A10" s="265">
        <v>1100</v>
      </c>
      <c r="B10" s="265" t="s">
        <v>10</v>
      </c>
      <c r="C10" s="269"/>
      <c r="D10" s="25">
        <f>SUM(D12:D15)</f>
        <v>0.46</v>
      </c>
      <c r="E10" s="25">
        <f>SUM(E12:E15)</f>
        <v>180.33</v>
      </c>
    </row>
    <row r="11" spans="1:9" ht="15.75" x14ac:dyDescent="0.25">
      <c r="A11" s="16">
        <v>1110</v>
      </c>
      <c r="B11" s="16" t="s">
        <v>217</v>
      </c>
      <c r="C11" s="285" t="s">
        <v>218</v>
      </c>
      <c r="D11" s="58">
        <f>SUM(D12:D14)</f>
        <v>0.42000000000000004</v>
      </c>
      <c r="E11" s="58">
        <f>SUM(E12:E14)</f>
        <v>163.93</v>
      </c>
    </row>
    <row r="12" spans="1:9" ht="78.75" x14ac:dyDescent="0.25">
      <c r="A12" s="126"/>
      <c r="B12" s="129"/>
      <c r="C12" s="142" t="s">
        <v>1274</v>
      </c>
      <c r="D12" s="58">
        <f>ROUND((E12/400),2)</f>
        <v>0.02</v>
      </c>
      <c r="E12" s="108">
        <f>ROUND((51.33*12*0.0107),2)</f>
        <v>6.59</v>
      </c>
      <c r="G12" s="50"/>
      <c r="I12" s="82"/>
    </row>
    <row r="13" spans="1:9" ht="78.75" customHeight="1" x14ac:dyDescent="0.25">
      <c r="A13" s="143"/>
      <c r="B13" s="144"/>
      <c r="C13" s="142" t="s">
        <v>1275</v>
      </c>
      <c r="D13" s="58">
        <f t="shared" ref="D13:D18" si="0">ROUND((E13/400),2)</f>
        <v>0.38</v>
      </c>
      <c r="E13" s="108">
        <f>ROUND((1168.83*12*0.0107),2)</f>
        <v>150.08000000000001</v>
      </c>
      <c r="G13" s="39"/>
      <c r="I13" s="82"/>
    </row>
    <row r="14" spans="1:9" ht="78.75" x14ac:dyDescent="0.25">
      <c r="A14" s="128"/>
      <c r="B14" s="131"/>
      <c r="C14" s="142" t="s">
        <v>1276</v>
      </c>
      <c r="D14" s="58">
        <f t="shared" si="0"/>
        <v>0.02</v>
      </c>
      <c r="E14" s="108">
        <f>ROUND((56.58*12*0.0107),2)</f>
        <v>7.26</v>
      </c>
      <c r="F14" s="39"/>
      <c r="G14" s="39"/>
      <c r="I14" s="82"/>
    </row>
    <row r="15" spans="1:9" ht="63" x14ac:dyDescent="0.25">
      <c r="A15" s="122">
        <v>1140</v>
      </c>
      <c r="B15" s="5" t="s">
        <v>214</v>
      </c>
      <c r="C15" s="142" t="s">
        <v>1277</v>
      </c>
      <c r="D15" s="108">
        <f>ROUND((E15/400),2)</f>
        <v>0.04</v>
      </c>
      <c r="E15" s="108">
        <f>ROUND((6.59*0.1+150.08*0.1+7.26*0.1+0.01),2)</f>
        <v>16.399999999999999</v>
      </c>
      <c r="F15" s="39"/>
      <c r="I15" s="82"/>
    </row>
    <row r="16" spans="1:9" ht="63" x14ac:dyDescent="0.25">
      <c r="A16" s="7">
        <v>1200</v>
      </c>
      <c r="B16" s="283" t="s">
        <v>11</v>
      </c>
      <c r="C16" s="166" t="s">
        <v>1280</v>
      </c>
      <c r="D16" s="83">
        <f>ROUND((D17+D18),2)</f>
        <v>0.13</v>
      </c>
      <c r="E16" s="83">
        <f>ROUND((E17+E18),2)</f>
        <v>50.74</v>
      </c>
      <c r="I16" s="82"/>
    </row>
    <row r="17" spans="1:9" ht="47.25" x14ac:dyDescent="0.25">
      <c r="A17" s="4">
        <v>1210</v>
      </c>
      <c r="B17" s="5" t="s">
        <v>216</v>
      </c>
      <c r="C17" s="166" t="s">
        <v>1279</v>
      </c>
      <c r="D17" s="58">
        <f t="shared" si="0"/>
        <v>0.11</v>
      </c>
      <c r="E17" s="44">
        <f>ROUND((180.33*0.2359),2)</f>
        <v>42.54</v>
      </c>
      <c r="I17" s="82"/>
    </row>
    <row r="18" spans="1:9" ht="63" x14ac:dyDescent="0.25">
      <c r="A18" s="4">
        <v>1227</v>
      </c>
      <c r="B18" s="5" t="s">
        <v>215</v>
      </c>
      <c r="C18" s="142" t="s">
        <v>1278</v>
      </c>
      <c r="D18" s="58">
        <f t="shared" si="0"/>
        <v>0.02</v>
      </c>
      <c r="E18" s="108">
        <f>ROUND((6.59*0.05+150.08*0.05+7.26*0.05),2)</f>
        <v>8.1999999999999993</v>
      </c>
      <c r="I18" s="82"/>
    </row>
    <row r="19" spans="1:9" ht="15.75" x14ac:dyDescent="0.25">
      <c r="A19" s="4"/>
      <c r="B19" s="9" t="s">
        <v>14</v>
      </c>
      <c r="C19" s="75" t="s">
        <v>16</v>
      </c>
      <c r="D19" s="25">
        <f>D9</f>
        <v>0.59000000000000008</v>
      </c>
      <c r="E19" s="43">
        <f>E9</f>
        <v>231.07000000000002</v>
      </c>
      <c r="I19" s="82"/>
    </row>
    <row r="20" spans="1:9" ht="15.75" x14ac:dyDescent="0.25">
      <c r="A20" s="4"/>
      <c r="B20" s="9" t="s">
        <v>15</v>
      </c>
      <c r="C20" s="74" t="s">
        <v>8</v>
      </c>
      <c r="D20" s="22"/>
      <c r="E20" s="42"/>
      <c r="I20" s="82"/>
    </row>
    <row r="21" spans="1:9" ht="15.75" x14ac:dyDescent="0.25">
      <c r="A21" s="8">
        <v>1000</v>
      </c>
      <c r="B21" s="7" t="s">
        <v>9</v>
      </c>
      <c r="C21" s="74"/>
      <c r="D21" s="83">
        <f>SUM(D22+D33)</f>
        <v>0.48</v>
      </c>
      <c r="E21" s="83">
        <f>SUM(E22+E33)</f>
        <v>192.57999999999998</v>
      </c>
      <c r="I21" s="82"/>
    </row>
    <row r="22" spans="1:9" ht="15.75" x14ac:dyDescent="0.25">
      <c r="A22" s="4">
        <v>1100</v>
      </c>
      <c r="B22" s="4" t="s">
        <v>10</v>
      </c>
      <c r="C22" s="137" t="s">
        <v>223</v>
      </c>
      <c r="D22" s="83">
        <f>SUM(D23:D32)</f>
        <v>0.39</v>
      </c>
      <c r="E22" s="83">
        <f>SUM(E23:E32)</f>
        <v>155.82</v>
      </c>
      <c r="I22" s="82"/>
    </row>
    <row r="23" spans="1:9" ht="78.75" x14ac:dyDescent="0.25">
      <c r="A23" s="222"/>
      <c r="B23" s="223"/>
      <c r="C23" s="76" t="s">
        <v>1281</v>
      </c>
      <c r="D23" s="27">
        <f>ROUND((E23/400),2)</f>
        <v>0.01</v>
      </c>
      <c r="E23" s="45">
        <f>ROUND((21.91*12*0.0107),2)</f>
        <v>2.81</v>
      </c>
      <c r="F23" s="39"/>
      <c r="G23" s="39"/>
      <c r="I23" s="82"/>
    </row>
    <row r="24" spans="1:9" ht="78.75" x14ac:dyDescent="0.25">
      <c r="A24" s="401"/>
      <c r="B24" s="399"/>
      <c r="C24" s="142" t="s">
        <v>1282</v>
      </c>
      <c r="D24" s="45">
        <f t="shared" ref="D24:D33" si="1">ROUND((E24/400),2)</f>
        <v>0</v>
      </c>
      <c r="E24" s="45">
        <f>ROUND((14.31*12*0.0107),2)</f>
        <v>1.84</v>
      </c>
      <c r="F24" s="39"/>
      <c r="G24" s="39"/>
      <c r="I24" s="82"/>
    </row>
    <row r="25" spans="1:9" ht="78.75" x14ac:dyDescent="0.25">
      <c r="A25" s="401"/>
      <c r="B25" s="399"/>
      <c r="C25" s="142" t="s">
        <v>1283</v>
      </c>
      <c r="D25" s="27">
        <f t="shared" si="1"/>
        <v>0.01</v>
      </c>
      <c r="E25" s="45">
        <f>ROUND((20.99*12*0.0107),2)</f>
        <v>2.7</v>
      </c>
      <c r="G25" s="39"/>
      <c r="I25" s="82"/>
    </row>
    <row r="26" spans="1:9" ht="78.75" x14ac:dyDescent="0.25">
      <c r="A26" s="401"/>
      <c r="B26" s="399"/>
      <c r="C26" s="142" t="s">
        <v>1284</v>
      </c>
      <c r="D26" s="27">
        <f t="shared" si="1"/>
        <v>0.01</v>
      </c>
      <c r="E26" s="45">
        <f>ROUND((31.21*12*0.0107),2)</f>
        <v>4.01</v>
      </c>
      <c r="G26" s="39"/>
      <c r="I26" s="82"/>
    </row>
    <row r="27" spans="1:9" ht="78.75" x14ac:dyDescent="0.25">
      <c r="A27" s="401"/>
      <c r="B27" s="399"/>
      <c r="C27" s="76" t="s">
        <v>1285</v>
      </c>
      <c r="D27" s="27">
        <f t="shared" si="1"/>
        <v>0.01</v>
      </c>
      <c r="E27" s="27">
        <f>ROUND((20.2*12*0.0107),2)</f>
        <v>2.59</v>
      </c>
      <c r="G27" s="39"/>
      <c r="I27" s="82"/>
    </row>
    <row r="28" spans="1:9" ht="78.75" x14ac:dyDescent="0.25">
      <c r="A28" s="401"/>
      <c r="B28" s="399"/>
      <c r="C28" s="76" t="s">
        <v>1286</v>
      </c>
      <c r="D28" s="27">
        <f t="shared" si="1"/>
        <v>0.02</v>
      </c>
      <c r="E28" s="27">
        <f>ROUND((76.52*12*0.0107),2)</f>
        <v>9.83</v>
      </c>
      <c r="G28" s="39"/>
      <c r="I28" s="82"/>
    </row>
    <row r="29" spans="1:9" ht="78.75" x14ac:dyDescent="0.25">
      <c r="A29" s="401"/>
      <c r="B29" s="399"/>
      <c r="C29" s="142" t="s">
        <v>1287</v>
      </c>
      <c r="D29" s="27">
        <f t="shared" si="1"/>
        <v>0.1</v>
      </c>
      <c r="E29" s="27">
        <f>ROUND((316.42*12*0.0107),2)</f>
        <v>40.630000000000003</v>
      </c>
      <c r="F29" s="50"/>
      <c r="G29" s="39"/>
      <c r="I29" s="82"/>
    </row>
    <row r="30" spans="1:9" ht="78.75" x14ac:dyDescent="0.25">
      <c r="A30" s="401"/>
      <c r="B30" s="399"/>
      <c r="C30" s="76" t="s">
        <v>1288</v>
      </c>
      <c r="D30" s="27">
        <f t="shared" si="1"/>
        <v>0.16</v>
      </c>
      <c r="E30" s="45">
        <f>ROUND((486.37*12*0.0107),2)</f>
        <v>62.45</v>
      </c>
      <c r="G30" s="39"/>
      <c r="I30" s="82"/>
    </row>
    <row r="31" spans="1:9" ht="94.5" x14ac:dyDescent="0.25">
      <c r="A31" s="401"/>
      <c r="B31" s="399"/>
      <c r="C31" s="76" t="s">
        <v>1289</v>
      </c>
      <c r="D31" s="27">
        <f t="shared" si="1"/>
        <v>0.06</v>
      </c>
      <c r="E31" s="45">
        <f>ROUND((180.65*12*0.0107),2)</f>
        <v>23.2</v>
      </c>
      <c r="G31" s="39"/>
      <c r="I31" s="82"/>
    </row>
    <row r="32" spans="1:9" ht="78.75" x14ac:dyDescent="0.25">
      <c r="A32" s="402"/>
      <c r="B32" s="400"/>
      <c r="C32" s="76" t="s">
        <v>1614</v>
      </c>
      <c r="D32" s="27">
        <f t="shared" si="1"/>
        <v>0.01</v>
      </c>
      <c r="E32" s="45">
        <f>ROUND((44.85*12*0.0107),2)</f>
        <v>5.76</v>
      </c>
      <c r="G32" s="39"/>
      <c r="I32" s="82"/>
    </row>
    <row r="33" spans="1:9" ht="63" x14ac:dyDescent="0.25">
      <c r="A33" s="7">
        <v>1200</v>
      </c>
      <c r="B33" s="156" t="s">
        <v>11</v>
      </c>
      <c r="C33" s="77" t="s">
        <v>1290</v>
      </c>
      <c r="D33" s="276">
        <f t="shared" si="1"/>
        <v>0.09</v>
      </c>
      <c r="E33" s="86">
        <f>ROUND((155.82*0.2359),2)</f>
        <v>36.76</v>
      </c>
      <c r="I33" s="82"/>
    </row>
    <row r="34" spans="1:9" ht="15.75" x14ac:dyDescent="0.25">
      <c r="A34" s="8">
        <v>2000</v>
      </c>
      <c r="B34" s="7" t="s">
        <v>12</v>
      </c>
      <c r="C34" s="74"/>
      <c r="D34" s="23">
        <f>SUM(D35:D43)</f>
        <v>9.7399999999999984</v>
      </c>
      <c r="E34" s="43">
        <f>SUM(E35:E43)</f>
        <v>3899.3399999999997</v>
      </c>
      <c r="I34" s="82"/>
    </row>
    <row r="35" spans="1:9" ht="31.5" customHeight="1" x14ac:dyDescent="0.25">
      <c r="A35" s="4">
        <v>2221</v>
      </c>
      <c r="B35" s="84" t="s">
        <v>54</v>
      </c>
      <c r="C35" s="77" t="s">
        <v>346</v>
      </c>
      <c r="D35" s="45">
        <f>ROUND((E35/400),2)</f>
        <v>0.73</v>
      </c>
      <c r="E35" s="44">
        <f>ROUND((27311.02*0.0107),2)</f>
        <v>292.23</v>
      </c>
      <c r="I35" s="82"/>
    </row>
    <row r="36" spans="1:9" ht="31.5" x14ac:dyDescent="0.25">
      <c r="A36" s="4">
        <v>2222</v>
      </c>
      <c r="B36" s="118" t="s">
        <v>55</v>
      </c>
      <c r="C36" s="5" t="s">
        <v>347</v>
      </c>
      <c r="D36" s="45">
        <f t="shared" ref="D36:D43" si="2">ROUND((E36/400),2)</f>
        <v>1.48</v>
      </c>
      <c r="E36" s="44">
        <f>ROUND((55363.67*0.0107),2)</f>
        <v>592.39</v>
      </c>
      <c r="I36" s="82"/>
    </row>
    <row r="37" spans="1:9" ht="78.75" x14ac:dyDescent="0.25">
      <c r="A37" s="4">
        <v>2224</v>
      </c>
      <c r="B37" s="84" t="s">
        <v>56</v>
      </c>
      <c r="C37" s="77" t="s">
        <v>348</v>
      </c>
      <c r="D37" s="45">
        <f t="shared" si="2"/>
        <v>0.72</v>
      </c>
      <c r="E37" s="27">
        <f>ROUND((27012.56*0.0107),2)</f>
        <v>289.02999999999997</v>
      </c>
      <c r="I37" s="82"/>
    </row>
    <row r="38" spans="1:9" ht="31.5" x14ac:dyDescent="0.25">
      <c r="A38" s="4">
        <v>2241</v>
      </c>
      <c r="B38" s="84" t="s">
        <v>58</v>
      </c>
      <c r="C38" s="166" t="s">
        <v>1618</v>
      </c>
      <c r="D38" s="45">
        <f t="shared" si="2"/>
        <v>0.98</v>
      </c>
      <c r="E38" s="27">
        <f>ROUND((36705.92*0.0107),2)</f>
        <v>392.75</v>
      </c>
      <c r="I38" s="82"/>
    </row>
    <row r="39" spans="1:9" ht="79.5" customHeight="1" x14ac:dyDescent="0.25">
      <c r="A39" s="4">
        <v>2243</v>
      </c>
      <c r="B39" s="84" t="s">
        <v>21</v>
      </c>
      <c r="C39" s="84" t="s">
        <v>1626</v>
      </c>
      <c r="D39" s="45">
        <f>ROUND((E39/400),2)</f>
        <v>7.0000000000000007E-2</v>
      </c>
      <c r="E39" s="163">
        <f>ROUND((2550.98*0.0107),2)</f>
        <v>27.3</v>
      </c>
      <c r="F39" s="387"/>
      <c r="I39" s="82"/>
    </row>
    <row r="40" spans="1:9" ht="46.5" customHeight="1" x14ac:dyDescent="0.25">
      <c r="A40" s="4">
        <v>2244</v>
      </c>
      <c r="B40" s="84" t="s">
        <v>22</v>
      </c>
      <c r="C40" s="77" t="s">
        <v>349</v>
      </c>
      <c r="D40" s="45">
        <f t="shared" si="2"/>
        <v>5.4</v>
      </c>
      <c r="E40" s="44">
        <f>ROUND((201856.75*0.0107),2)</f>
        <v>2159.87</v>
      </c>
      <c r="I40" s="82"/>
    </row>
    <row r="41" spans="1:9" ht="46.5" customHeight="1" x14ac:dyDescent="0.25">
      <c r="A41" s="4">
        <v>2249</v>
      </c>
      <c r="B41" s="84" t="s">
        <v>45</v>
      </c>
      <c r="C41" s="77" t="s">
        <v>350</v>
      </c>
      <c r="D41" s="45">
        <f t="shared" si="2"/>
        <v>7.0000000000000007E-2</v>
      </c>
      <c r="E41" s="44">
        <f>ROUND((2767.46*0.0107),2)</f>
        <v>29.61</v>
      </c>
      <c r="I41" s="82"/>
    </row>
    <row r="42" spans="1:9" ht="62.25" customHeight="1" x14ac:dyDescent="0.25">
      <c r="A42" s="4">
        <v>2350</v>
      </c>
      <c r="B42" s="118" t="s">
        <v>213</v>
      </c>
      <c r="C42" s="77" t="s">
        <v>351</v>
      </c>
      <c r="D42" s="45">
        <f t="shared" si="2"/>
        <v>0.01</v>
      </c>
      <c r="E42" s="58">
        <f>ROUND((300.93*0.0107),2)</f>
        <v>3.22</v>
      </c>
      <c r="I42" s="82"/>
    </row>
    <row r="43" spans="1:9" ht="33" customHeight="1" x14ac:dyDescent="0.25">
      <c r="A43" s="4">
        <v>2513</v>
      </c>
      <c r="B43" s="118" t="s">
        <v>57</v>
      </c>
      <c r="C43" s="77" t="s">
        <v>352</v>
      </c>
      <c r="D43" s="45">
        <f t="shared" si="2"/>
        <v>0.28000000000000003</v>
      </c>
      <c r="E43" s="45">
        <f>ROUND((10554.74*0.0107),2)</f>
        <v>112.94</v>
      </c>
      <c r="I43" s="82"/>
    </row>
    <row r="44" spans="1:9" ht="15.75" x14ac:dyDescent="0.25">
      <c r="A44" s="10">
        <v>5000</v>
      </c>
      <c r="B44" s="348" t="s">
        <v>17</v>
      </c>
      <c r="C44" s="74"/>
      <c r="D44" s="25">
        <f>SUM(D45:D47)</f>
        <v>0.76</v>
      </c>
      <c r="E44" s="25">
        <f>SUM(E45:E47)</f>
        <v>305.81</v>
      </c>
      <c r="I44" s="82"/>
    </row>
    <row r="45" spans="1:9" ht="31.5" customHeight="1" x14ac:dyDescent="0.25">
      <c r="A45" s="4">
        <v>5212</v>
      </c>
      <c r="B45" s="118" t="s">
        <v>31</v>
      </c>
      <c r="C45" s="77" t="s">
        <v>771</v>
      </c>
      <c r="D45" s="45">
        <f>ROUND((E45/400),2)</f>
        <v>0.51</v>
      </c>
      <c r="E45" s="45">
        <f>ROUND((19086.29*0.0107),2)</f>
        <v>204.22</v>
      </c>
      <c r="I45" s="82"/>
    </row>
    <row r="46" spans="1:9" ht="30.75" customHeight="1" x14ac:dyDescent="0.25">
      <c r="A46" s="4">
        <v>5213</v>
      </c>
      <c r="B46" s="118" t="s">
        <v>32</v>
      </c>
      <c r="C46" s="77" t="s">
        <v>713</v>
      </c>
      <c r="D46" s="45">
        <f t="shared" ref="D46" si="3">ROUND((E46/400),2)</f>
        <v>0.12</v>
      </c>
      <c r="E46" s="45">
        <f>ROUND((4441.97*0.0107),2)</f>
        <v>47.53</v>
      </c>
      <c r="I46" s="82"/>
    </row>
    <row r="47" spans="1:9" ht="47.25" x14ac:dyDescent="0.25">
      <c r="A47" s="18">
        <v>5239</v>
      </c>
      <c r="B47" s="84" t="s">
        <v>18</v>
      </c>
      <c r="C47" s="77" t="s">
        <v>714</v>
      </c>
      <c r="D47" s="45">
        <f>ROUND((E47/400-0.01),2)</f>
        <v>0.13</v>
      </c>
      <c r="E47" s="45">
        <f>ROUND((5051.93*0.0107),2)</f>
        <v>54.06</v>
      </c>
      <c r="I47" s="82"/>
    </row>
    <row r="48" spans="1:9" ht="15.75" x14ac:dyDescent="0.25">
      <c r="A48" s="161"/>
      <c r="B48" s="9" t="s">
        <v>23</v>
      </c>
      <c r="C48" s="74"/>
      <c r="D48" s="25">
        <f>SUM(D21+D34+D44)</f>
        <v>10.979999999999999</v>
      </c>
      <c r="E48" s="40">
        <f>SUM(E21+E34+E44)-12.5</f>
        <v>4385.2299999999996</v>
      </c>
      <c r="I48" s="82"/>
    </row>
    <row r="49" spans="1:9" ht="18" customHeight="1" x14ac:dyDescent="0.25">
      <c r="A49" s="6"/>
      <c r="B49" s="237" t="s">
        <v>24</v>
      </c>
      <c r="C49" s="74"/>
      <c r="D49" s="26">
        <f>D19+D48-0.01</f>
        <v>11.559999999999999</v>
      </c>
      <c r="E49" s="41">
        <f>E19+E48</f>
        <v>4616.2999999999993</v>
      </c>
      <c r="I49" s="82"/>
    </row>
    <row r="50" spans="1:9" ht="15.75" x14ac:dyDescent="0.25">
      <c r="A50" s="397" t="s">
        <v>194</v>
      </c>
      <c r="B50" s="397"/>
      <c r="C50" s="397"/>
      <c r="D50" s="388">
        <f>2*2*99.62</f>
        <v>398.48</v>
      </c>
      <c r="E50" s="155" t="s">
        <v>65</v>
      </c>
      <c r="I50" s="82"/>
    </row>
    <row r="51" spans="1:9" ht="30.6" customHeight="1" x14ac:dyDescent="0.25">
      <c r="A51" s="397" t="s">
        <v>239</v>
      </c>
      <c r="B51" s="397"/>
      <c r="C51" s="397"/>
      <c r="D51" s="190">
        <f>ROUND((E49/D50),2)-0.02</f>
        <v>11.56</v>
      </c>
      <c r="E51" s="194" t="s">
        <v>238</v>
      </c>
      <c r="I51" s="82"/>
    </row>
    <row r="52" spans="1:9" ht="15.75" x14ac:dyDescent="0.25">
      <c r="A52" s="180"/>
      <c r="B52" s="181"/>
      <c r="C52" s="181"/>
      <c r="D52" s="195"/>
      <c r="E52" s="196"/>
    </row>
    <row r="53" spans="1:9" ht="18" customHeight="1" x14ac:dyDescent="0.25">
      <c r="A53" s="397" t="s">
        <v>195</v>
      </c>
      <c r="B53" s="397"/>
      <c r="C53" s="397"/>
      <c r="D53" s="388">
        <f>2*2*9.98</f>
        <v>39.92</v>
      </c>
      <c r="E53" s="188" t="s">
        <v>67</v>
      </c>
    </row>
    <row r="54" spans="1:9" ht="30" customHeight="1" x14ac:dyDescent="0.25">
      <c r="A54" s="411" t="s">
        <v>236</v>
      </c>
      <c r="B54" s="411"/>
      <c r="C54" s="411"/>
      <c r="D54" s="190">
        <f>ROUND((E49/D53),2)</f>
        <v>115.64</v>
      </c>
      <c r="E54" s="194" t="s">
        <v>237</v>
      </c>
    </row>
    <row r="56" spans="1:9" x14ac:dyDescent="0.25">
      <c r="G56" s="39"/>
    </row>
  </sheetData>
  <mergeCells count="9">
    <mergeCell ref="A51:C51"/>
    <mergeCell ref="A53:C53"/>
    <mergeCell ref="A54:C54"/>
    <mergeCell ref="A2:C2"/>
    <mergeCell ref="A3:E3"/>
    <mergeCell ref="A4:B4"/>
    <mergeCell ref="A24:A32"/>
    <mergeCell ref="B24:B32"/>
    <mergeCell ref="A50:C50"/>
  </mergeCells>
  <pageMargins left="0.7" right="0.7" top="0.75" bottom="0.75" header="0.3" footer="0.3"/>
  <pageSetup paperSize="9" orientation="landscape" r:id="rId1"/>
  <rowBreaks count="1" manualBreakCount="1">
    <brk id="43"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791196-9EA8-48C9-991F-0F6B8269A4C9}">
  <dimension ref="A1:J56"/>
  <sheetViews>
    <sheetView topLeftCell="A45" zoomScaleNormal="100" workbookViewId="0">
      <selection activeCell="D55" sqref="D55"/>
    </sheetView>
  </sheetViews>
  <sheetFormatPr defaultRowHeight="15" x14ac:dyDescent="0.25"/>
  <cols>
    <col min="1" max="1" width="11.5703125" customWidth="1"/>
    <col min="2" max="2" width="27.7109375" customWidth="1"/>
    <col min="3" max="3" width="64" customWidth="1"/>
    <col min="4" max="4" width="10.140625" style="14" customWidth="1"/>
    <col min="5" max="5" width="17.7109375" style="14" customWidth="1"/>
  </cols>
  <sheetData>
    <row r="1" spans="1:7" ht="18.75" x14ac:dyDescent="0.3">
      <c r="A1" s="148" t="s">
        <v>46</v>
      </c>
    </row>
    <row r="2" spans="1:7" ht="18.75" x14ac:dyDescent="0.3">
      <c r="A2" s="404" t="s">
        <v>269</v>
      </c>
      <c r="B2" s="404"/>
      <c r="C2" s="404"/>
    </row>
    <row r="3" spans="1:7" ht="18.75" x14ac:dyDescent="0.25">
      <c r="A3" s="398" t="s">
        <v>256</v>
      </c>
      <c r="B3" s="398"/>
      <c r="C3" s="398"/>
      <c r="D3" s="398"/>
      <c r="E3" s="398"/>
    </row>
    <row r="4" spans="1:7" ht="15.75" x14ac:dyDescent="0.25">
      <c r="A4" s="405" t="s">
        <v>64</v>
      </c>
      <c r="B4" s="405"/>
    </row>
    <row r="6" spans="1:7" ht="78.75" x14ac:dyDescent="0.25">
      <c r="A6" s="139" t="s">
        <v>0</v>
      </c>
      <c r="B6" s="139" t="s">
        <v>1</v>
      </c>
      <c r="C6" s="139" t="s">
        <v>2</v>
      </c>
      <c r="D6" s="158" t="s">
        <v>26</v>
      </c>
      <c r="E6" s="85" t="s">
        <v>27</v>
      </c>
    </row>
    <row r="7" spans="1:7" ht="15.75" x14ac:dyDescent="0.25">
      <c r="A7" s="74">
        <v>1</v>
      </c>
      <c r="B7" s="74">
        <v>2</v>
      </c>
      <c r="C7" s="74">
        <v>3</v>
      </c>
      <c r="D7" s="238">
        <v>4</v>
      </c>
      <c r="E7" s="238">
        <v>5</v>
      </c>
    </row>
    <row r="8" spans="1:7" ht="15.75" x14ac:dyDescent="0.25">
      <c r="A8" s="4"/>
      <c r="B8" s="7" t="s">
        <v>7</v>
      </c>
      <c r="C8" s="74" t="s">
        <v>8</v>
      </c>
      <c r="D8" s="42"/>
      <c r="E8" s="42"/>
    </row>
    <row r="9" spans="1:7" ht="15.75" x14ac:dyDescent="0.25">
      <c r="A9" s="8">
        <v>1000</v>
      </c>
      <c r="B9" s="7" t="s">
        <v>9</v>
      </c>
      <c r="C9" s="269"/>
      <c r="D9" s="43">
        <f>D10+D16</f>
        <v>0.44999999999999996</v>
      </c>
      <c r="E9" s="43">
        <f>E10+E16</f>
        <v>9002.7900000000009</v>
      </c>
    </row>
    <row r="10" spans="1:7" ht="15.75" x14ac:dyDescent="0.25">
      <c r="A10" s="265">
        <v>1100</v>
      </c>
      <c r="B10" s="265" t="s">
        <v>10</v>
      </c>
      <c r="C10" s="269"/>
      <c r="D10" s="43">
        <f>SUM(D12:D15)</f>
        <v>0.35</v>
      </c>
      <c r="E10" s="43">
        <f>SUM(E12:E15)</f>
        <v>7026</v>
      </c>
    </row>
    <row r="11" spans="1:7" ht="15.75" x14ac:dyDescent="0.25">
      <c r="A11" s="16">
        <v>1110</v>
      </c>
      <c r="B11" s="16" t="s">
        <v>217</v>
      </c>
      <c r="C11" s="285" t="s">
        <v>218</v>
      </c>
      <c r="D11" s="108">
        <f>SUM(D12:D14)</f>
        <v>0.32</v>
      </c>
      <c r="E11" s="108">
        <f>SUM(E12:E14)</f>
        <v>6387.27</v>
      </c>
    </row>
    <row r="12" spans="1:7" ht="78" customHeight="1" x14ac:dyDescent="0.25">
      <c r="A12" s="126"/>
      <c r="B12" s="129"/>
      <c r="C12" s="142" t="s">
        <v>1291</v>
      </c>
      <c r="D12" s="108">
        <f>ROUND((E12/19800),2)</f>
        <v>0.01</v>
      </c>
      <c r="E12" s="108">
        <f>ROUND((51.33*12*0.4169),2)</f>
        <v>256.79000000000002</v>
      </c>
      <c r="G12" s="50"/>
    </row>
    <row r="13" spans="1:7" ht="77.25" customHeight="1" x14ac:dyDescent="0.25">
      <c r="A13" s="143"/>
      <c r="B13" s="144"/>
      <c r="C13" s="142" t="s">
        <v>1292</v>
      </c>
      <c r="D13" s="108">
        <f>ROUND((E13/19800),2)</f>
        <v>0.3</v>
      </c>
      <c r="E13" s="108">
        <f>ROUND((1168.83*12*0.4169),2)</f>
        <v>5847.42</v>
      </c>
      <c r="G13" s="39"/>
    </row>
    <row r="14" spans="1:7" ht="78.95" customHeight="1" x14ac:dyDescent="0.25">
      <c r="A14" s="128"/>
      <c r="B14" s="131"/>
      <c r="C14" s="142" t="s">
        <v>1293</v>
      </c>
      <c r="D14" s="108">
        <f>ROUND((E14/19800),2)</f>
        <v>0.01</v>
      </c>
      <c r="E14" s="108">
        <f>ROUND((56.58*12*0.4169),2)</f>
        <v>283.06</v>
      </c>
      <c r="F14" s="39"/>
      <c r="G14" s="39"/>
    </row>
    <row r="15" spans="1:7" ht="63" x14ac:dyDescent="0.25">
      <c r="A15" s="122">
        <v>1140</v>
      </c>
      <c r="B15" s="5" t="s">
        <v>214</v>
      </c>
      <c r="C15" s="142" t="s">
        <v>1294</v>
      </c>
      <c r="D15" s="108">
        <f>ROUND((E15/19800),2)</f>
        <v>0.03</v>
      </c>
      <c r="E15" s="108">
        <f>ROUND((256.79*0.1+5847.42*0.1+283.06*0.1),2)</f>
        <v>638.73</v>
      </c>
      <c r="F15" s="39"/>
    </row>
    <row r="16" spans="1:7" ht="63.75" customHeight="1" x14ac:dyDescent="0.25">
      <c r="A16" s="7">
        <v>1200</v>
      </c>
      <c r="B16" s="283" t="s">
        <v>11</v>
      </c>
      <c r="C16" s="166" t="s">
        <v>1297</v>
      </c>
      <c r="D16" s="86">
        <f>ROUND((D17+D18),2)</f>
        <v>0.1</v>
      </c>
      <c r="E16" s="86">
        <f>ROUND((E17+E18),2)</f>
        <v>1976.79</v>
      </c>
    </row>
    <row r="17" spans="1:10" ht="47.25" x14ac:dyDescent="0.25">
      <c r="A17" s="4">
        <v>1210</v>
      </c>
      <c r="B17" s="5" t="s">
        <v>216</v>
      </c>
      <c r="C17" s="166" t="s">
        <v>1295</v>
      </c>
      <c r="D17" s="108">
        <f t="shared" ref="D17:D18" si="0">ROUND((E17/19800),2)</f>
        <v>0.08</v>
      </c>
      <c r="E17" s="108">
        <f>ROUND((7026*0.2359),2)</f>
        <v>1657.43</v>
      </c>
    </row>
    <row r="18" spans="1:10" ht="63" x14ac:dyDescent="0.25">
      <c r="A18" s="4">
        <v>1227</v>
      </c>
      <c r="B18" s="5" t="s">
        <v>215</v>
      </c>
      <c r="C18" s="142" t="s">
        <v>1296</v>
      </c>
      <c r="D18" s="108">
        <f t="shared" si="0"/>
        <v>0.02</v>
      </c>
      <c r="E18" s="108">
        <f>ROUND((256.79*0.05+5847.42*0.05+283.06*0.05),2)</f>
        <v>319.36</v>
      </c>
      <c r="F18" s="39"/>
    </row>
    <row r="19" spans="1:10" ht="15.75" x14ac:dyDescent="0.25">
      <c r="A19" s="4"/>
      <c r="B19" s="9" t="s">
        <v>14</v>
      </c>
      <c r="C19" s="75" t="s">
        <v>16</v>
      </c>
      <c r="D19" s="43">
        <f>D9</f>
        <v>0.44999999999999996</v>
      </c>
      <c r="E19" s="43">
        <f>E9</f>
        <v>9002.7900000000009</v>
      </c>
    </row>
    <row r="20" spans="1:10" ht="15.75" x14ac:dyDescent="0.25">
      <c r="A20" s="4"/>
      <c r="B20" s="9" t="s">
        <v>15</v>
      </c>
      <c r="C20" s="74" t="s">
        <v>8</v>
      </c>
      <c r="D20" s="42"/>
      <c r="E20" s="42"/>
    </row>
    <row r="21" spans="1:10" ht="15.75" x14ac:dyDescent="0.25">
      <c r="A21" s="8">
        <v>1000</v>
      </c>
      <c r="B21" s="7" t="s">
        <v>9</v>
      </c>
      <c r="C21" s="74"/>
      <c r="D21" s="86">
        <f>SUM(D22+D33)</f>
        <v>0.39</v>
      </c>
      <c r="E21" s="86">
        <f>SUM(E22+E33)</f>
        <v>7502.6100000000006</v>
      </c>
    </row>
    <row r="22" spans="1:10" ht="15.75" x14ac:dyDescent="0.25">
      <c r="A22" s="4">
        <v>1100</v>
      </c>
      <c r="B22" s="4" t="s">
        <v>10</v>
      </c>
      <c r="C22" s="137" t="s">
        <v>223</v>
      </c>
      <c r="D22" s="86">
        <f>SUM(D23:D32)</f>
        <v>0.32</v>
      </c>
      <c r="E22" s="86">
        <f>SUM(E23:E32)</f>
        <v>6070.56</v>
      </c>
    </row>
    <row r="23" spans="1:10" ht="77.25" customHeight="1" x14ac:dyDescent="0.25">
      <c r="A23" s="222"/>
      <c r="B23" s="223"/>
      <c r="C23" s="123" t="s">
        <v>1298</v>
      </c>
      <c r="D23" s="44">
        <f>ROUND((E23/19800),2)</f>
        <v>0.01</v>
      </c>
      <c r="E23" s="44">
        <f>ROUND((21.91*12*0.4169),2)</f>
        <v>109.61</v>
      </c>
      <c r="F23" s="39"/>
      <c r="G23" s="39"/>
      <c r="J23" s="82"/>
    </row>
    <row r="24" spans="1:10" ht="78.95" customHeight="1" x14ac:dyDescent="0.25">
      <c r="A24" s="401"/>
      <c r="B24" s="412"/>
      <c r="C24" s="123" t="s">
        <v>1299</v>
      </c>
      <c r="D24" s="44">
        <f t="shared" ref="D24:D32" si="1">ROUND((E24/19800),2)</f>
        <v>0</v>
      </c>
      <c r="E24" s="44">
        <f>ROUND((14.31*12*0.4169),2)</f>
        <v>71.59</v>
      </c>
      <c r="F24" s="39"/>
      <c r="G24" s="39"/>
      <c r="J24" s="82"/>
    </row>
    <row r="25" spans="1:10" ht="78.75" x14ac:dyDescent="0.25">
      <c r="A25" s="401"/>
      <c r="B25" s="412"/>
      <c r="C25" s="123" t="s">
        <v>1300</v>
      </c>
      <c r="D25" s="44">
        <f t="shared" si="1"/>
        <v>0.01</v>
      </c>
      <c r="E25" s="44">
        <f>ROUND((20.99*12*0.4169),2)</f>
        <v>105.01</v>
      </c>
      <c r="G25" s="39"/>
      <c r="J25" s="82"/>
    </row>
    <row r="26" spans="1:10" ht="78.75" customHeight="1" x14ac:dyDescent="0.25">
      <c r="A26" s="401"/>
      <c r="B26" s="412"/>
      <c r="C26" s="123" t="s">
        <v>1301</v>
      </c>
      <c r="D26" s="44">
        <f t="shared" si="1"/>
        <v>0.01</v>
      </c>
      <c r="E26" s="44">
        <f>ROUND((31.21*12*0.4169),2)</f>
        <v>156.13999999999999</v>
      </c>
      <c r="G26" s="39"/>
      <c r="J26" s="82"/>
    </row>
    <row r="27" spans="1:10" ht="78" customHeight="1" x14ac:dyDescent="0.25">
      <c r="A27" s="401"/>
      <c r="B27" s="412"/>
      <c r="C27" s="76" t="s">
        <v>1302</v>
      </c>
      <c r="D27" s="44">
        <f t="shared" si="1"/>
        <v>0.01</v>
      </c>
      <c r="E27" s="44">
        <f>ROUND((20.2*12*0.4169),2)</f>
        <v>101.06</v>
      </c>
      <c r="G27" s="39"/>
      <c r="J27" s="82"/>
    </row>
    <row r="28" spans="1:10" ht="78.75" x14ac:dyDescent="0.25">
      <c r="A28" s="401"/>
      <c r="B28" s="412"/>
      <c r="C28" s="76" t="s">
        <v>1303</v>
      </c>
      <c r="D28" s="44">
        <f t="shared" si="1"/>
        <v>0.02</v>
      </c>
      <c r="E28" s="44">
        <f>ROUND((76.52*12*0.4169),2)</f>
        <v>382.81</v>
      </c>
      <c r="G28" s="39"/>
      <c r="J28" s="82"/>
    </row>
    <row r="29" spans="1:10" ht="78.75" x14ac:dyDescent="0.25">
      <c r="A29" s="401"/>
      <c r="B29" s="412"/>
      <c r="C29" s="142" t="s">
        <v>1304</v>
      </c>
      <c r="D29" s="44">
        <f t="shared" si="1"/>
        <v>0.08</v>
      </c>
      <c r="E29" s="44">
        <f>ROUND((316.42*12*0.4169),2)</f>
        <v>1582.99</v>
      </c>
      <c r="F29" s="50"/>
      <c r="G29" s="39"/>
      <c r="J29" s="82"/>
    </row>
    <row r="30" spans="1:10" ht="78.75" x14ac:dyDescent="0.25">
      <c r="A30" s="401"/>
      <c r="B30" s="412"/>
      <c r="C30" s="76" t="s">
        <v>1536</v>
      </c>
      <c r="D30" s="44">
        <f t="shared" si="1"/>
        <v>0.12</v>
      </c>
      <c r="E30" s="44">
        <f>ROUND((486.37*12*0.4169),2)</f>
        <v>2433.21</v>
      </c>
      <c r="G30" s="39"/>
      <c r="J30" s="82"/>
    </row>
    <row r="31" spans="1:10" ht="94.5" x14ac:dyDescent="0.25">
      <c r="A31" s="401"/>
      <c r="B31" s="412"/>
      <c r="C31" s="76" t="s">
        <v>1305</v>
      </c>
      <c r="D31" s="44">
        <f t="shared" si="1"/>
        <v>0.05</v>
      </c>
      <c r="E31" s="44">
        <f>ROUND((180.65*12*0.4169),2)</f>
        <v>903.76</v>
      </c>
      <c r="G31" s="39"/>
      <c r="J31" s="82"/>
    </row>
    <row r="32" spans="1:10" ht="78.75" x14ac:dyDescent="0.25">
      <c r="A32" s="402"/>
      <c r="B32" s="413"/>
      <c r="C32" s="76" t="s">
        <v>1306</v>
      </c>
      <c r="D32" s="44">
        <f t="shared" si="1"/>
        <v>0.01</v>
      </c>
      <c r="E32" s="44">
        <f>ROUND((44.85*12*0.4169),2)</f>
        <v>224.38</v>
      </c>
      <c r="G32" s="39"/>
      <c r="J32" s="82"/>
    </row>
    <row r="33" spans="1:10" ht="61.5" customHeight="1" x14ac:dyDescent="0.25">
      <c r="A33" s="7">
        <v>1200</v>
      </c>
      <c r="B33" s="345" t="s">
        <v>11</v>
      </c>
      <c r="C33" s="77" t="s">
        <v>1537</v>
      </c>
      <c r="D33" s="86">
        <f>ROUND((E33/19800),2)</f>
        <v>7.0000000000000007E-2</v>
      </c>
      <c r="E33" s="86">
        <f>ROUND((6070.56*0.2359),2)</f>
        <v>1432.05</v>
      </c>
      <c r="J33" s="82"/>
    </row>
    <row r="34" spans="1:10" ht="15.75" x14ac:dyDescent="0.25">
      <c r="A34" s="8">
        <v>2000</v>
      </c>
      <c r="B34" s="347" t="s">
        <v>12</v>
      </c>
      <c r="C34" s="74"/>
      <c r="D34" s="43">
        <f>SUM(D35:D43)</f>
        <v>7.6699999999999982</v>
      </c>
      <c r="E34" s="43">
        <f>SUM(E35:E43)</f>
        <v>151928.37</v>
      </c>
      <c r="J34" s="82"/>
    </row>
    <row r="35" spans="1:10" ht="32.25" customHeight="1" x14ac:dyDescent="0.25">
      <c r="A35" s="4">
        <v>2221</v>
      </c>
      <c r="B35" s="84" t="s">
        <v>54</v>
      </c>
      <c r="C35" s="77" t="s">
        <v>353</v>
      </c>
      <c r="D35" s="44">
        <f>ROUND((E35/19800-0.01),2)</f>
        <v>0.56999999999999995</v>
      </c>
      <c r="E35" s="44">
        <f>ROUND((27311.02*0.4169),2)</f>
        <v>11385.96</v>
      </c>
      <c r="J35" s="82"/>
    </row>
    <row r="36" spans="1:10" ht="31.5" x14ac:dyDescent="0.25">
      <c r="A36" s="4">
        <v>2222</v>
      </c>
      <c r="B36" s="118" t="s">
        <v>55</v>
      </c>
      <c r="C36" s="5" t="s">
        <v>354</v>
      </c>
      <c r="D36" s="44">
        <f>ROUND((E36/19800),2)</f>
        <v>1.17</v>
      </c>
      <c r="E36" s="44">
        <f>ROUND((55363.67*0.4169),2)</f>
        <v>23081.11</v>
      </c>
      <c r="J36" s="82"/>
    </row>
    <row r="37" spans="1:10" ht="78.75" customHeight="1" x14ac:dyDescent="0.25">
      <c r="A37" s="4">
        <v>2224</v>
      </c>
      <c r="B37" s="84" t="s">
        <v>56</v>
      </c>
      <c r="C37" s="77" t="s">
        <v>1619</v>
      </c>
      <c r="D37" s="44">
        <f t="shared" ref="D37:D43" si="2">ROUND((E37/19800),2)</f>
        <v>0.56999999999999995</v>
      </c>
      <c r="E37" s="44">
        <f>ROUND((27012.56*0.4169),2)</f>
        <v>11261.54</v>
      </c>
      <c r="J37" s="82"/>
    </row>
    <row r="38" spans="1:10" ht="31.5" x14ac:dyDescent="0.25">
      <c r="A38" s="4">
        <v>2241</v>
      </c>
      <c r="B38" s="84" t="s">
        <v>58</v>
      </c>
      <c r="C38" s="166" t="s">
        <v>1602</v>
      </c>
      <c r="D38" s="44">
        <f t="shared" si="2"/>
        <v>0.77</v>
      </c>
      <c r="E38" s="44">
        <f>ROUND((36705.92*0.4169),2)</f>
        <v>15302.7</v>
      </c>
      <c r="J38" s="82"/>
    </row>
    <row r="39" spans="1:10" ht="78.75" customHeight="1" x14ac:dyDescent="0.25">
      <c r="A39" s="4">
        <v>2243</v>
      </c>
      <c r="B39" s="84" t="s">
        <v>21</v>
      </c>
      <c r="C39" s="84" t="s">
        <v>355</v>
      </c>
      <c r="D39" s="44">
        <f t="shared" si="2"/>
        <v>0.05</v>
      </c>
      <c r="E39" s="159">
        <f>ROUND((2550.98*0.4169),2)</f>
        <v>1063.5</v>
      </c>
      <c r="J39" s="82"/>
    </row>
    <row r="40" spans="1:10" ht="48.75" customHeight="1" x14ac:dyDescent="0.25">
      <c r="A40" s="4">
        <v>2244</v>
      </c>
      <c r="B40" s="84" t="s">
        <v>22</v>
      </c>
      <c r="C40" s="77" t="s">
        <v>356</v>
      </c>
      <c r="D40" s="44">
        <f t="shared" si="2"/>
        <v>4.25</v>
      </c>
      <c r="E40" s="44">
        <f>ROUND((201856.75*0.4169),2)</f>
        <v>84154.08</v>
      </c>
      <c r="J40" s="82"/>
    </row>
    <row r="41" spans="1:10" ht="30.75" customHeight="1" x14ac:dyDescent="0.25">
      <c r="A41" s="4">
        <v>2249</v>
      </c>
      <c r="B41" s="84" t="s">
        <v>45</v>
      </c>
      <c r="C41" s="77" t="s">
        <v>357</v>
      </c>
      <c r="D41" s="44">
        <f t="shared" si="2"/>
        <v>0.06</v>
      </c>
      <c r="E41" s="44">
        <f>ROUND((2767.46*0.4169),2)</f>
        <v>1153.75</v>
      </c>
      <c r="J41" s="82"/>
    </row>
    <row r="42" spans="1:10" ht="61.5" customHeight="1" x14ac:dyDescent="0.25">
      <c r="A42" s="4">
        <v>2350</v>
      </c>
      <c r="B42" s="118" t="s">
        <v>213</v>
      </c>
      <c r="C42" s="77" t="s">
        <v>358</v>
      </c>
      <c r="D42" s="44">
        <f t="shared" si="2"/>
        <v>0.01</v>
      </c>
      <c r="E42" s="108">
        <f>ROUND((300.93*0.4169),2)</f>
        <v>125.46</v>
      </c>
      <c r="J42" s="82"/>
    </row>
    <row r="43" spans="1:10" ht="30.75" customHeight="1" x14ac:dyDescent="0.25">
      <c r="A43" s="4">
        <v>2513</v>
      </c>
      <c r="B43" s="118" t="s">
        <v>57</v>
      </c>
      <c r="C43" s="77" t="s">
        <v>359</v>
      </c>
      <c r="D43" s="44">
        <f t="shared" si="2"/>
        <v>0.22</v>
      </c>
      <c r="E43" s="44">
        <f>ROUND((10554.74*0.4169),2)</f>
        <v>4400.2700000000004</v>
      </c>
      <c r="J43" s="82"/>
    </row>
    <row r="44" spans="1:10" ht="15.75" x14ac:dyDescent="0.25">
      <c r="A44" s="10">
        <v>5000</v>
      </c>
      <c r="B44" s="348" t="s">
        <v>17</v>
      </c>
      <c r="C44" s="74"/>
      <c r="D44" s="43">
        <f>SUM(D45:D47)</f>
        <v>0.6</v>
      </c>
      <c r="E44" s="43">
        <f>SUM(E45:E47)</f>
        <v>11915.08</v>
      </c>
      <c r="J44" s="82"/>
    </row>
    <row r="45" spans="1:10" ht="30" customHeight="1" x14ac:dyDescent="0.25">
      <c r="A45" s="4">
        <v>5212</v>
      </c>
      <c r="B45" s="118" t="s">
        <v>31</v>
      </c>
      <c r="C45" s="77" t="s">
        <v>772</v>
      </c>
      <c r="D45" s="44">
        <f>ROUND((E45/19800),2)</f>
        <v>0.4</v>
      </c>
      <c r="E45" s="44">
        <f>ROUND((19086.29*0.4169),2)</f>
        <v>7957.07</v>
      </c>
      <c r="J45" s="82"/>
    </row>
    <row r="46" spans="1:10" ht="33" customHeight="1" x14ac:dyDescent="0.25">
      <c r="A46" s="4">
        <v>5213</v>
      </c>
      <c r="B46" s="118" t="s">
        <v>32</v>
      </c>
      <c r="C46" s="77" t="s">
        <v>715</v>
      </c>
      <c r="D46" s="44">
        <f>ROUND((E46/19800),2)</f>
        <v>0.09</v>
      </c>
      <c r="E46" s="44">
        <f>ROUND((4441.97*0.4169),2)</f>
        <v>1851.86</v>
      </c>
      <c r="J46" s="82"/>
    </row>
    <row r="47" spans="1:10" ht="47.25" x14ac:dyDescent="0.25">
      <c r="A47" s="18">
        <v>5239</v>
      </c>
      <c r="B47" s="84" t="s">
        <v>18</v>
      </c>
      <c r="C47" s="77" t="s">
        <v>716</v>
      </c>
      <c r="D47" s="44">
        <f>ROUND((E47/19800),2)</f>
        <v>0.11</v>
      </c>
      <c r="E47" s="44">
        <f>ROUND((5051.93*0.4169),2)</f>
        <v>2106.15</v>
      </c>
      <c r="J47" s="82"/>
    </row>
    <row r="48" spans="1:10" ht="15.75" x14ac:dyDescent="0.25">
      <c r="A48" s="161"/>
      <c r="B48" s="9" t="s">
        <v>23</v>
      </c>
      <c r="C48" s="74"/>
      <c r="D48" s="43">
        <f>SUM(D21+D34+D44)</f>
        <v>8.6599999999999984</v>
      </c>
      <c r="E48" s="40">
        <f>SUM(E21+E34+E44)+10</f>
        <v>171356.05999999997</v>
      </c>
      <c r="J48" s="82"/>
    </row>
    <row r="49" spans="1:10" ht="31.5" x14ac:dyDescent="0.25">
      <c r="A49" s="6"/>
      <c r="B49" s="11" t="s">
        <v>24</v>
      </c>
      <c r="C49" s="74"/>
      <c r="D49" s="87">
        <f>D19+D48</f>
        <v>9.1099999999999977</v>
      </c>
      <c r="E49" s="41">
        <f>E19+E48</f>
        <v>180358.84999999998</v>
      </c>
      <c r="J49" s="82"/>
    </row>
    <row r="50" spans="1:10" ht="15.75" x14ac:dyDescent="0.25">
      <c r="A50" s="397" t="s">
        <v>196</v>
      </c>
      <c r="B50" s="397"/>
      <c r="C50" s="397"/>
      <c r="D50" s="183">
        <f>66*3*99.992</f>
        <v>19798.416000000001</v>
      </c>
      <c r="E50" s="197" t="s">
        <v>65</v>
      </c>
      <c r="J50" s="82"/>
    </row>
    <row r="51" spans="1:10" ht="44.1" customHeight="1" x14ac:dyDescent="0.25">
      <c r="A51" s="397" t="s">
        <v>239</v>
      </c>
      <c r="B51" s="397"/>
      <c r="C51" s="397"/>
      <c r="D51" s="179">
        <f>ROUND((E49/D50),2)</f>
        <v>9.11</v>
      </c>
      <c r="E51" s="191" t="s">
        <v>242</v>
      </c>
      <c r="J51" s="82"/>
    </row>
    <row r="52" spans="1:10" ht="15.75" x14ac:dyDescent="0.25">
      <c r="A52" s="180"/>
      <c r="B52" s="181"/>
      <c r="C52" s="181"/>
      <c r="D52" s="192"/>
      <c r="E52" s="198"/>
    </row>
    <row r="53" spans="1:10" ht="15.75" x14ac:dyDescent="0.25">
      <c r="A53" s="397" t="s">
        <v>197</v>
      </c>
      <c r="B53" s="397"/>
      <c r="C53" s="397"/>
      <c r="D53" s="183">
        <f>66*3*10</f>
        <v>1980</v>
      </c>
      <c r="E53" s="8" t="s">
        <v>67</v>
      </c>
    </row>
    <row r="54" spans="1:10" ht="30" customHeight="1" x14ac:dyDescent="0.25">
      <c r="A54" s="411" t="s">
        <v>236</v>
      </c>
      <c r="B54" s="411"/>
      <c r="C54" s="411"/>
      <c r="D54" s="179">
        <f>ROUND((E49/D53),2)</f>
        <v>91.09</v>
      </c>
      <c r="E54" s="199" t="s">
        <v>241</v>
      </c>
    </row>
    <row r="56" spans="1:10" x14ac:dyDescent="0.25">
      <c r="G56" s="14"/>
    </row>
  </sheetData>
  <mergeCells count="9">
    <mergeCell ref="A51:C51"/>
    <mergeCell ref="A53:C53"/>
    <mergeCell ref="A54:C54"/>
    <mergeCell ref="A2:C2"/>
    <mergeCell ref="A3:E3"/>
    <mergeCell ref="A4:B4"/>
    <mergeCell ref="A24:A32"/>
    <mergeCell ref="B24:B32"/>
    <mergeCell ref="A50:C50"/>
  </mergeCells>
  <pageMargins left="0.7" right="0.7" top="0.75" bottom="0.75" header="0.3" footer="0.3"/>
  <pageSetup paperSize="9" orientation="landscape" r:id="rId1"/>
  <rowBreaks count="1" manualBreakCount="1">
    <brk id="46" max="16383" man="1"/>
  </rowBreaks>
  <ignoredErrors>
    <ignoredError sqref="D16" formula="1"/>
  </ignoredError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356C4-40C2-4BBD-8A57-FD2CE846D924}">
  <dimension ref="A1:H56"/>
  <sheetViews>
    <sheetView topLeftCell="B42" zoomScaleNormal="100" workbookViewId="0">
      <selection activeCell="D55" sqref="D55"/>
    </sheetView>
  </sheetViews>
  <sheetFormatPr defaultRowHeight="15" x14ac:dyDescent="0.25"/>
  <cols>
    <col min="1" max="1" width="11.5703125" customWidth="1"/>
    <col min="2" max="2" width="27.28515625" customWidth="1"/>
    <col min="3" max="3" width="64.42578125" customWidth="1"/>
    <col min="4" max="4" width="10.140625" style="14" customWidth="1"/>
    <col min="5" max="5" width="17.5703125" style="14" customWidth="1"/>
  </cols>
  <sheetData>
    <row r="1" spans="1:7" ht="18.75" x14ac:dyDescent="0.3">
      <c r="A1" s="148" t="s">
        <v>46</v>
      </c>
    </row>
    <row r="2" spans="1:7" ht="18.75" x14ac:dyDescent="0.3">
      <c r="A2" s="404" t="s">
        <v>269</v>
      </c>
      <c r="B2" s="404"/>
      <c r="C2" s="404"/>
    </row>
    <row r="3" spans="1:7" ht="18.75" x14ac:dyDescent="0.25">
      <c r="A3" s="398" t="s">
        <v>184</v>
      </c>
      <c r="B3" s="398"/>
      <c r="C3" s="398"/>
      <c r="D3" s="398"/>
      <c r="E3" s="398"/>
    </row>
    <row r="4" spans="1:7" ht="15.75" x14ac:dyDescent="0.25">
      <c r="A4" s="405" t="s">
        <v>64</v>
      </c>
      <c r="B4" s="405"/>
    </row>
    <row r="6" spans="1:7" ht="78.75" x14ac:dyDescent="0.25">
      <c r="A6" s="139" t="s">
        <v>0</v>
      </c>
      <c r="B6" s="139" t="s">
        <v>1</v>
      </c>
      <c r="C6" s="139" t="s">
        <v>2</v>
      </c>
      <c r="D6" s="158" t="s">
        <v>26</v>
      </c>
      <c r="E6" s="85" t="s">
        <v>27</v>
      </c>
    </row>
    <row r="7" spans="1:7" ht="15.75" x14ac:dyDescent="0.25">
      <c r="A7" s="74">
        <v>1</v>
      </c>
      <c r="B7" s="74">
        <v>2</v>
      </c>
      <c r="C7" s="74">
        <v>3</v>
      </c>
      <c r="D7" s="44">
        <v>4</v>
      </c>
      <c r="E7" s="44">
        <v>5</v>
      </c>
    </row>
    <row r="8" spans="1:7" ht="15.75" x14ac:dyDescent="0.25">
      <c r="A8" s="4"/>
      <c r="B8" s="7" t="s">
        <v>7</v>
      </c>
      <c r="C8" s="74" t="s">
        <v>8</v>
      </c>
      <c r="D8" s="42"/>
      <c r="E8" s="42"/>
    </row>
    <row r="9" spans="1:7" ht="15.75" x14ac:dyDescent="0.25">
      <c r="A9" s="8">
        <v>1000</v>
      </c>
      <c r="B9" s="7" t="s">
        <v>9</v>
      </c>
      <c r="C9" s="269"/>
      <c r="D9" s="43">
        <f>D10+D16</f>
        <v>0.42000000000000004</v>
      </c>
      <c r="E9" s="43">
        <f>E10+E16</f>
        <v>1095.49</v>
      </c>
    </row>
    <row r="10" spans="1:7" ht="15.75" x14ac:dyDescent="0.25">
      <c r="A10" s="265">
        <v>1100</v>
      </c>
      <c r="B10" s="265" t="s">
        <v>10</v>
      </c>
      <c r="C10" s="269"/>
      <c r="D10" s="43">
        <f>SUM(D12:D15)</f>
        <v>0.32000000000000006</v>
      </c>
      <c r="E10" s="43">
        <f>SUM(E12:E15)</f>
        <v>854.95</v>
      </c>
    </row>
    <row r="11" spans="1:7" ht="15.75" x14ac:dyDescent="0.25">
      <c r="A11" s="16">
        <v>1110</v>
      </c>
      <c r="B11" s="16" t="s">
        <v>217</v>
      </c>
      <c r="C11" s="285" t="s">
        <v>218</v>
      </c>
      <c r="D11" s="108">
        <f>SUM(D12:D14)</f>
        <v>0.29000000000000004</v>
      </c>
      <c r="E11" s="108">
        <f>SUM(E12:E14)</f>
        <v>777.23</v>
      </c>
    </row>
    <row r="12" spans="1:7" ht="78.75" x14ac:dyDescent="0.25">
      <c r="A12" s="126"/>
      <c r="B12" s="129"/>
      <c r="C12" s="123" t="s">
        <v>1307</v>
      </c>
      <c r="D12" s="108">
        <f>ROUND((E12/2600),2)</f>
        <v>0.01</v>
      </c>
      <c r="E12" s="108">
        <f>ROUND((51.33*12*0.05073),2)</f>
        <v>31.25</v>
      </c>
      <c r="G12" s="50"/>
    </row>
    <row r="13" spans="1:7" ht="78" customHeight="1" x14ac:dyDescent="0.25">
      <c r="A13" s="143"/>
      <c r="B13" s="144"/>
      <c r="C13" s="123" t="s">
        <v>1308</v>
      </c>
      <c r="D13" s="108">
        <f>ROUND((E13/2600),2)</f>
        <v>0.27</v>
      </c>
      <c r="E13" s="108">
        <f>ROUND((1168.83*12*0.05073),2)</f>
        <v>711.54</v>
      </c>
      <c r="G13" s="39"/>
    </row>
    <row r="14" spans="1:7" ht="78.75" x14ac:dyDescent="0.25">
      <c r="A14" s="128"/>
      <c r="B14" s="131"/>
      <c r="C14" s="123" t="s">
        <v>1309</v>
      </c>
      <c r="D14" s="108">
        <f>ROUND((E14/2600),2)</f>
        <v>0.01</v>
      </c>
      <c r="E14" s="108">
        <f>ROUND((56.58*12*0.05073),2)</f>
        <v>34.44</v>
      </c>
      <c r="F14" s="39"/>
      <c r="G14" s="39"/>
    </row>
    <row r="15" spans="1:7" ht="63" x14ac:dyDescent="0.25">
      <c r="A15" s="122">
        <v>1140</v>
      </c>
      <c r="B15" s="5" t="s">
        <v>214</v>
      </c>
      <c r="C15" s="142" t="s">
        <v>1310</v>
      </c>
      <c r="D15" s="108">
        <f>ROUND((E15/2600),2)</f>
        <v>0.03</v>
      </c>
      <c r="E15" s="108">
        <f>ROUND((31.25*0.1+711.54*0.1+34.44*0.1),2)</f>
        <v>77.72</v>
      </c>
      <c r="F15" s="39"/>
    </row>
    <row r="16" spans="1:7" ht="63" customHeight="1" x14ac:dyDescent="0.25">
      <c r="A16" s="7">
        <v>1200</v>
      </c>
      <c r="B16" s="286" t="s">
        <v>11</v>
      </c>
      <c r="C16" s="166" t="s">
        <v>1313</v>
      </c>
      <c r="D16" s="86">
        <f>ROUND((D17+D18),2)</f>
        <v>0.1</v>
      </c>
      <c r="E16" s="86">
        <f>ROUND((E17+E18),2)</f>
        <v>240.54</v>
      </c>
    </row>
    <row r="17" spans="1:8" ht="47.25" x14ac:dyDescent="0.25">
      <c r="A17" s="4">
        <v>1210</v>
      </c>
      <c r="B17" s="5" t="s">
        <v>216</v>
      </c>
      <c r="C17" s="166" t="s">
        <v>1312</v>
      </c>
      <c r="D17" s="108">
        <f t="shared" ref="D17" si="0">ROUND((E17/2600),2)</f>
        <v>0.08</v>
      </c>
      <c r="E17" s="44">
        <f>ROUND((854.95*0.2359),2)</f>
        <v>201.68</v>
      </c>
    </row>
    <row r="18" spans="1:8" ht="63" x14ac:dyDescent="0.25">
      <c r="A18" s="4">
        <v>1227</v>
      </c>
      <c r="B18" s="5" t="s">
        <v>215</v>
      </c>
      <c r="C18" s="142" t="s">
        <v>1311</v>
      </c>
      <c r="D18" s="108">
        <f>ROUND((E18/2600+0.01),2)</f>
        <v>0.02</v>
      </c>
      <c r="E18" s="108">
        <f>ROUND((31.25*0.05+711.54*0.05+34.44*0.05),2)</f>
        <v>38.86</v>
      </c>
      <c r="F18" s="39"/>
      <c r="G18" s="39"/>
      <c r="H18" s="39"/>
    </row>
    <row r="19" spans="1:8" ht="15.75" x14ac:dyDescent="0.25">
      <c r="A19" s="4"/>
      <c r="B19" s="9" t="s">
        <v>14</v>
      </c>
      <c r="C19" s="75" t="s">
        <v>16</v>
      </c>
      <c r="D19" s="43">
        <f>D9</f>
        <v>0.42000000000000004</v>
      </c>
      <c r="E19" s="43">
        <f>E9</f>
        <v>1095.49</v>
      </c>
    </row>
    <row r="20" spans="1:8" ht="15.75" x14ac:dyDescent="0.25">
      <c r="A20" s="4"/>
      <c r="B20" s="9" t="s">
        <v>15</v>
      </c>
      <c r="C20" s="74" t="s">
        <v>8</v>
      </c>
      <c r="D20" s="42"/>
      <c r="E20" s="42"/>
    </row>
    <row r="21" spans="1:8" ht="15.75" x14ac:dyDescent="0.25">
      <c r="A21" s="8">
        <v>1000</v>
      </c>
      <c r="B21" s="7" t="s">
        <v>9</v>
      </c>
      <c r="C21" s="74"/>
      <c r="D21" s="86">
        <f>SUM(D22+D33)</f>
        <v>0.34</v>
      </c>
      <c r="E21" s="86">
        <f>SUM(E22+E33)</f>
        <v>912.93</v>
      </c>
    </row>
    <row r="22" spans="1:8" ht="15.75" x14ac:dyDescent="0.25">
      <c r="A22" s="4">
        <v>1100</v>
      </c>
      <c r="B22" s="4" t="s">
        <v>10</v>
      </c>
      <c r="C22" s="137" t="s">
        <v>223</v>
      </c>
      <c r="D22" s="86">
        <f>SUM(D23:D32)</f>
        <v>0.27</v>
      </c>
      <c r="E22" s="86">
        <f>SUM(E23:E32)</f>
        <v>738.68</v>
      </c>
    </row>
    <row r="23" spans="1:8" ht="78" customHeight="1" x14ac:dyDescent="0.25">
      <c r="A23" s="222"/>
      <c r="B23" s="223"/>
      <c r="C23" s="123" t="s">
        <v>1314</v>
      </c>
      <c r="D23" s="44">
        <f>ROUND((E23/2600),2)</f>
        <v>0.01</v>
      </c>
      <c r="E23" s="44">
        <f>ROUND((21.91*12*0.05073),2)</f>
        <v>13.34</v>
      </c>
      <c r="F23" s="39"/>
      <c r="G23" s="39"/>
    </row>
    <row r="24" spans="1:8" ht="78.75" x14ac:dyDescent="0.25">
      <c r="A24" s="401"/>
      <c r="B24" s="399"/>
      <c r="C24" s="123" t="s">
        <v>1315</v>
      </c>
      <c r="D24" s="44">
        <f t="shared" ref="D24:D32" si="1">ROUND((E24/2600),2)</f>
        <v>0</v>
      </c>
      <c r="E24" s="44">
        <f>ROUND((14.31*12*0.05073),2)</f>
        <v>8.7100000000000009</v>
      </c>
      <c r="F24" s="39"/>
      <c r="G24" s="39"/>
    </row>
    <row r="25" spans="1:8" ht="78.75" x14ac:dyDescent="0.25">
      <c r="A25" s="401"/>
      <c r="B25" s="399"/>
      <c r="C25" s="123" t="s">
        <v>1323</v>
      </c>
      <c r="D25" s="44">
        <f t="shared" si="1"/>
        <v>0</v>
      </c>
      <c r="E25" s="44">
        <f>ROUND((20.99*12*0.05073),2)</f>
        <v>12.78</v>
      </c>
      <c r="G25" s="39"/>
    </row>
    <row r="26" spans="1:8" ht="78.75" x14ac:dyDescent="0.25">
      <c r="A26" s="401"/>
      <c r="B26" s="399"/>
      <c r="C26" s="123" t="s">
        <v>1316</v>
      </c>
      <c r="D26" s="44">
        <f t="shared" si="1"/>
        <v>0.01</v>
      </c>
      <c r="E26" s="44">
        <f>ROUND((31.21*12*0.05073),2)</f>
        <v>19</v>
      </c>
      <c r="G26" s="39"/>
    </row>
    <row r="27" spans="1:8" ht="77.25" customHeight="1" x14ac:dyDescent="0.25">
      <c r="A27" s="401"/>
      <c r="B27" s="399"/>
      <c r="C27" s="123" t="s">
        <v>1317</v>
      </c>
      <c r="D27" s="44">
        <f>ROUND((E27/2600),2)</f>
        <v>0</v>
      </c>
      <c r="E27" s="44">
        <f>ROUND((20.2*12*0.05073),2)</f>
        <v>12.3</v>
      </c>
      <c r="G27" s="39"/>
    </row>
    <row r="28" spans="1:8" ht="78.75" x14ac:dyDescent="0.25">
      <c r="A28" s="401"/>
      <c r="B28" s="399"/>
      <c r="C28" s="123" t="s">
        <v>1318</v>
      </c>
      <c r="D28" s="44">
        <f t="shared" si="1"/>
        <v>0.02</v>
      </c>
      <c r="E28" s="44">
        <f>ROUND((76.52*12*0.05073),2)</f>
        <v>46.58</v>
      </c>
      <c r="G28" s="39"/>
    </row>
    <row r="29" spans="1:8" ht="78.75" x14ac:dyDescent="0.25">
      <c r="A29" s="401"/>
      <c r="B29" s="399"/>
      <c r="C29" s="123" t="s">
        <v>1319</v>
      </c>
      <c r="D29" s="44">
        <f t="shared" si="1"/>
        <v>7.0000000000000007E-2</v>
      </c>
      <c r="E29" s="44">
        <f>ROUND((316.42*12*0.05073),2)</f>
        <v>192.62</v>
      </c>
      <c r="F29" s="50"/>
      <c r="G29" s="39"/>
    </row>
    <row r="30" spans="1:8" ht="78.75" x14ac:dyDescent="0.25">
      <c r="A30" s="401"/>
      <c r="B30" s="399"/>
      <c r="C30" s="123" t="s">
        <v>1320</v>
      </c>
      <c r="D30" s="44">
        <f t="shared" si="1"/>
        <v>0.11</v>
      </c>
      <c r="E30" s="44">
        <f>ROUND((486.37*12*0.05073),2)</f>
        <v>296.08</v>
      </c>
      <c r="G30" s="39"/>
    </row>
    <row r="31" spans="1:8" ht="94.5" x14ac:dyDescent="0.25">
      <c r="A31" s="401"/>
      <c r="B31" s="399"/>
      <c r="C31" s="123" t="s">
        <v>1321</v>
      </c>
      <c r="D31" s="44">
        <f t="shared" si="1"/>
        <v>0.04</v>
      </c>
      <c r="E31" s="44">
        <f>ROUND((180.65*12*0.05073),2)</f>
        <v>109.97</v>
      </c>
      <c r="G31" s="39"/>
    </row>
    <row r="32" spans="1:8" ht="78.75" x14ac:dyDescent="0.25">
      <c r="A32" s="402"/>
      <c r="B32" s="400"/>
      <c r="C32" s="76" t="s">
        <v>1322</v>
      </c>
      <c r="D32" s="44">
        <f t="shared" si="1"/>
        <v>0.01</v>
      </c>
      <c r="E32" s="44">
        <f>ROUND((44.85*12*0.05073),2)</f>
        <v>27.3</v>
      </c>
      <c r="G32" s="39"/>
    </row>
    <row r="33" spans="1:5" ht="64.5" customHeight="1" x14ac:dyDescent="0.25">
      <c r="A33" s="7">
        <v>1200</v>
      </c>
      <c r="B33" s="156" t="s">
        <v>11</v>
      </c>
      <c r="C33" s="77" t="s">
        <v>1324</v>
      </c>
      <c r="D33" s="86">
        <f>ROUND((E33/2600),2)</f>
        <v>7.0000000000000007E-2</v>
      </c>
      <c r="E33" s="86">
        <f>ROUND((738.68*0.2359),2)</f>
        <v>174.25</v>
      </c>
    </row>
    <row r="34" spans="1:5" ht="15.75" x14ac:dyDescent="0.25">
      <c r="A34" s="8">
        <v>2000</v>
      </c>
      <c r="B34" s="7" t="s">
        <v>12</v>
      </c>
      <c r="C34" s="74"/>
      <c r="D34" s="43">
        <f>SUM(D35:D43)</f>
        <v>7.1199999999999992</v>
      </c>
      <c r="E34" s="43">
        <f>SUM(E35:E43)</f>
        <v>18487.23</v>
      </c>
    </row>
    <row r="35" spans="1:5" ht="33" customHeight="1" x14ac:dyDescent="0.25">
      <c r="A35" s="4">
        <v>2221</v>
      </c>
      <c r="B35" s="84" t="s">
        <v>54</v>
      </c>
      <c r="C35" s="77" t="s">
        <v>360</v>
      </c>
      <c r="D35" s="44">
        <f>ROUND((E35/2600),2)</f>
        <v>0.53</v>
      </c>
      <c r="E35" s="44">
        <f>ROUND((27311.02*0.05073),2)</f>
        <v>1385.49</v>
      </c>
    </row>
    <row r="36" spans="1:5" ht="31.5" x14ac:dyDescent="0.25">
      <c r="A36" s="4">
        <v>2222</v>
      </c>
      <c r="B36" s="118" t="s">
        <v>55</v>
      </c>
      <c r="C36" s="5" t="s">
        <v>361</v>
      </c>
      <c r="D36" s="44">
        <f t="shared" ref="D36:D42" si="2">ROUND((E36/2600),2)</f>
        <v>1.08</v>
      </c>
      <c r="E36" s="44">
        <f>ROUND((55363.67*0.05073),2)</f>
        <v>2808.6</v>
      </c>
    </row>
    <row r="37" spans="1:5" ht="78" customHeight="1" x14ac:dyDescent="0.25">
      <c r="A37" s="4">
        <v>2224</v>
      </c>
      <c r="B37" s="84" t="s">
        <v>56</v>
      </c>
      <c r="C37" s="77" t="s">
        <v>362</v>
      </c>
      <c r="D37" s="44">
        <f t="shared" si="2"/>
        <v>0.53</v>
      </c>
      <c r="E37" s="44">
        <f>ROUND((27012.56*0.05073),2)</f>
        <v>1370.35</v>
      </c>
    </row>
    <row r="38" spans="1:5" ht="31.5" x14ac:dyDescent="0.25">
      <c r="A38" s="4">
        <v>2241</v>
      </c>
      <c r="B38" s="84" t="s">
        <v>58</v>
      </c>
      <c r="C38" s="166" t="s">
        <v>1603</v>
      </c>
      <c r="D38" s="44">
        <f t="shared" si="2"/>
        <v>0.72</v>
      </c>
      <c r="E38" s="44">
        <f>ROUND((36705.92*0.05073),2)</f>
        <v>1862.09</v>
      </c>
    </row>
    <row r="39" spans="1:5" ht="78.75" customHeight="1" x14ac:dyDescent="0.25">
      <c r="A39" s="4">
        <v>2243</v>
      </c>
      <c r="B39" s="84" t="s">
        <v>21</v>
      </c>
      <c r="C39" s="84" t="s">
        <v>363</v>
      </c>
      <c r="D39" s="44">
        <f t="shared" si="2"/>
        <v>0.05</v>
      </c>
      <c r="E39" s="159">
        <f>ROUND((2550.98*0.05073),2)</f>
        <v>129.41</v>
      </c>
    </row>
    <row r="40" spans="1:5" ht="48" customHeight="1" x14ac:dyDescent="0.25">
      <c r="A40" s="4">
        <v>2244</v>
      </c>
      <c r="B40" s="84" t="s">
        <v>22</v>
      </c>
      <c r="C40" s="77" t="s">
        <v>364</v>
      </c>
      <c r="D40" s="44">
        <f t="shared" si="2"/>
        <v>3.94</v>
      </c>
      <c r="E40" s="44">
        <f>ROUND((201856.75*0.05073),2)</f>
        <v>10240.19</v>
      </c>
    </row>
    <row r="41" spans="1:5" ht="30" customHeight="1" x14ac:dyDescent="0.25">
      <c r="A41" s="4">
        <v>2249</v>
      </c>
      <c r="B41" s="84" t="s">
        <v>45</v>
      </c>
      <c r="C41" s="77" t="s">
        <v>365</v>
      </c>
      <c r="D41" s="44">
        <f t="shared" si="2"/>
        <v>0.05</v>
      </c>
      <c r="E41" s="44">
        <f>ROUND((2767.46*0.05073),2)</f>
        <v>140.38999999999999</v>
      </c>
    </row>
    <row r="42" spans="1:5" ht="61.5" customHeight="1" x14ac:dyDescent="0.25">
      <c r="A42" s="4">
        <v>2350</v>
      </c>
      <c r="B42" s="118" t="s">
        <v>213</v>
      </c>
      <c r="C42" s="77" t="s">
        <v>366</v>
      </c>
      <c r="D42" s="44">
        <f t="shared" si="2"/>
        <v>0.01</v>
      </c>
      <c r="E42" s="108">
        <f>ROUND((300.93*0.05073),2)</f>
        <v>15.27</v>
      </c>
    </row>
    <row r="43" spans="1:5" ht="31.5" customHeight="1" x14ac:dyDescent="0.25">
      <c r="A43" s="4">
        <v>2513</v>
      </c>
      <c r="B43" s="118" t="s">
        <v>57</v>
      </c>
      <c r="C43" s="77" t="s">
        <v>367</v>
      </c>
      <c r="D43" s="44">
        <f>ROUND((E43/2600),2)</f>
        <v>0.21</v>
      </c>
      <c r="E43" s="44">
        <f>ROUND((10554.74*0.05073),2)</f>
        <v>535.44000000000005</v>
      </c>
    </row>
    <row r="44" spans="1:5" ht="16.5" customHeight="1" x14ac:dyDescent="0.25">
      <c r="A44" s="10">
        <v>5000</v>
      </c>
      <c r="B44" s="345" t="s">
        <v>17</v>
      </c>
      <c r="C44" s="269"/>
      <c r="D44" s="40">
        <f>SUM(D45:D47)</f>
        <v>0.55999999999999994</v>
      </c>
      <c r="E44" s="40">
        <f>SUM(E45:E47)</f>
        <v>1449.87</v>
      </c>
    </row>
    <row r="45" spans="1:5" ht="32.25" customHeight="1" x14ac:dyDescent="0.25">
      <c r="A45" s="4">
        <v>5212</v>
      </c>
      <c r="B45" s="118" t="s">
        <v>31</v>
      </c>
      <c r="C45" s="77" t="s">
        <v>773</v>
      </c>
      <c r="D45" s="44">
        <f>ROUND((E45/2600),2)</f>
        <v>0.37</v>
      </c>
      <c r="E45" s="44">
        <f>ROUND((19086.29*0.05073),2)</f>
        <v>968.25</v>
      </c>
    </row>
    <row r="46" spans="1:5" ht="30.6" customHeight="1" x14ac:dyDescent="0.25">
      <c r="A46" s="4">
        <v>5213</v>
      </c>
      <c r="B46" s="118" t="s">
        <v>32</v>
      </c>
      <c r="C46" s="77" t="s">
        <v>717</v>
      </c>
      <c r="D46" s="44">
        <f t="shared" ref="D46:D47" si="3">ROUND((E46/2600),2)</f>
        <v>0.09</v>
      </c>
      <c r="E46" s="44">
        <f>ROUND((4441.97*0.05073),2)</f>
        <v>225.34</v>
      </c>
    </row>
    <row r="47" spans="1:5" ht="47.25" x14ac:dyDescent="0.25">
      <c r="A47" s="18">
        <v>5239</v>
      </c>
      <c r="B47" s="84" t="s">
        <v>18</v>
      </c>
      <c r="C47" s="77" t="s">
        <v>718</v>
      </c>
      <c r="D47" s="44">
        <f t="shared" si="3"/>
        <v>0.1</v>
      </c>
      <c r="E47" s="44">
        <f>ROUND((5051.93*0.05073),2)</f>
        <v>256.27999999999997</v>
      </c>
    </row>
    <row r="48" spans="1:5" ht="17.25" customHeight="1" x14ac:dyDescent="0.25">
      <c r="A48" s="161"/>
      <c r="B48" s="9" t="s">
        <v>23</v>
      </c>
      <c r="C48" s="74"/>
      <c r="D48" s="43">
        <f>SUM(D21+D34+D44)</f>
        <v>8.02</v>
      </c>
      <c r="E48" s="40">
        <f>SUM(E21+E34+E44)-8.1</f>
        <v>20841.93</v>
      </c>
    </row>
    <row r="49" spans="1:7" ht="31.5" x14ac:dyDescent="0.25">
      <c r="A49" s="6"/>
      <c r="B49" s="11" t="s">
        <v>24</v>
      </c>
      <c r="C49" s="74"/>
      <c r="D49" s="87">
        <f>D19+D48</f>
        <v>8.44</v>
      </c>
      <c r="E49" s="41">
        <f>E19+E48</f>
        <v>21937.420000000002</v>
      </c>
    </row>
    <row r="50" spans="1:7" ht="15.75" x14ac:dyDescent="0.25">
      <c r="A50" s="397" t="s">
        <v>208</v>
      </c>
      <c r="B50" s="397"/>
      <c r="C50" s="397"/>
      <c r="D50" s="183">
        <f>4*5*129.92</f>
        <v>2598.3999999999996</v>
      </c>
      <c r="E50" s="197" t="s">
        <v>65</v>
      </c>
    </row>
    <row r="51" spans="1:7" ht="30.6" customHeight="1" x14ac:dyDescent="0.25">
      <c r="A51" s="397" t="s">
        <v>239</v>
      </c>
      <c r="B51" s="397"/>
      <c r="C51" s="397"/>
      <c r="D51" s="179">
        <f>ROUND((E49/D50),2)</f>
        <v>8.44</v>
      </c>
      <c r="E51" s="191" t="s">
        <v>244</v>
      </c>
    </row>
    <row r="52" spans="1:7" ht="15.75" x14ac:dyDescent="0.25">
      <c r="A52" s="180"/>
      <c r="B52" s="181"/>
      <c r="C52" s="181"/>
      <c r="D52" s="182"/>
      <c r="E52" s="160"/>
    </row>
    <row r="53" spans="1:7" ht="15.75" x14ac:dyDescent="0.25">
      <c r="A53" s="397" t="s">
        <v>209</v>
      </c>
      <c r="B53" s="397"/>
      <c r="C53" s="397"/>
      <c r="D53" s="183">
        <f>4*5*9.9962</f>
        <v>199.92400000000001</v>
      </c>
      <c r="E53" s="179" t="s">
        <v>67</v>
      </c>
    </row>
    <row r="54" spans="1:7" ht="30" customHeight="1" x14ac:dyDescent="0.25">
      <c r="A54" s="411" t="s">
        <v>236</v>
      </c>
      <c r="B54" s="411"/>
      <c r="C54" s="411"/>
      <c r="D54" s="179">
        <f>ROUND((E49/D53),2)</f>
        <v>109.73</v>
      </c>
      <c r="E54" s="191" t="s">
        <v>243</v>
      </c>
    </row>
    <row r="56" spans="1:7" x14ac:dyDescent="0.25">
      <c r="G56" s="14"/>
    </row>
  </sheetData>
  <mergeCells count="9">
    <mergeCell ref="A51:C51"/>
    <mergeCell ref="A53:C53"/>
    <mergeCell ref="A54:C54"/>
    <mergeCell ref="A2:C2"/>
    <mergeCell ref="A3:E3"/>
    <mergeCell ref="A4:B4"/>
    <mergeCell ref="A24:A32"/>
    <mergeCell ref="B24:B32"/>
    <mergeCell ref="A50:C50"/>
  </mergeCells>
  <pageMargins left="0.7" right="0.7" top="0.75" bottom="0.75" header="0.3" footer="0.3"/>
  <pageSetup paperSize="9" orientation="landscape" r:id="rId1"/>
  <rowBreaks count="1" manualBreakCount="1">
    <brk id="46" max="16383" man="1"/>
  </rowBreaks>
  <ignoredErrors>
    <ignoredError sqref="D16:E16" formula="1"/>
  </ignoredError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C965D-05D4-4492-9AD3-28A6553DDAF6}">
  <dimension ref="A1:H56"/>
  <sheetViews>
    <sheetView topLeftCell="A42" zoomScaleNormal="100" workbookViewId="0">
      <selection activeCell="D55" sqref="D55"/>
    </sheetView>
  </sheetViews>
  <sheetFormatPr defaultRowHeight="15" x14ac:dyDescent="0.25"/>
  <cols>
    <col min="1" max="1" width="12.42578125" customWidth="1"/>
    <col min="2" max="2" width="26.7109375" customWidth="1"/>
    <col min="3" max="3" width="65.42578125" customWidth="1"/>
    <col min="4" max="4" width="10.140625" style="14" customWidth="1"/>
    <col min="5" max="5" width="17.28515625" style="14" customWidth="1"/>
  </cols>
  <sheetData>
    <row r="1" spans="1:7" ht="18.75" x14ac:dyDescent="0.3">
      <c r="A1" s="148" t="s">
        <v>46</v>
      </c>
    </row>
    <row r="2" spans="1:7" ht="18.75" x14ac:dyDescent="0.3">
      <c r="A2" s="404" t="s">
        <v>269</v>
      </c>
      <c r="B2" s="404"/>
      <c r="C2" s="404"/>
    </row>
    <row r="3" spans="1:7" ht="18.75" x14ac:dyDescent="0.25">
      <c r="A3" s="398" t="s">
        <v>255</v>
      </c>
      <c r="B3" s="398"/>
      <c r="C3" s="398"/>
      <c r="D3" s="398"/>
      <c r="E3" s="398"/>
    </row>
    <row r="4" spans="1:7" ht="15.75" x14ac:dyDescent="0.25">
      <c r="A4" s="405" t="s">
        <v>64</v>
      </c>
      <c r="B4" s="405"/>
    </row>
    <row r="6" spans="1:7" ht="78" customHeight="1" x14ac:dyDescent="0.25">
      <c r="A6" s="139" t="s">
        <v>0</v>
      </c>
      <c r="B6" s="139" t="s">
        <v>1</v>
      </c>
      <c r="C6" s="139" t="s">
        <v>2</v>
      </c>
      <c r="D6" s="158" t="s">
        <v>26</v>
      </c>
      <c r="E6" s="158" t="s">
        <v>27</v>
      </c>
    </row>
    <row r="7" spans="1:7" ht="15.75" x14ac:dyDescent="0.25">
      <c r="A7" s="78">
        <v>1</v>
      </c>
      <c r="B7" s="78">
        <v>2</v>
      </c>
      <c r="C7" s="78">
        <v>3</v>
      </c>
      <c r="D7" s="238">
        <v>4</v>
      </c>
      <c r="E7" s="238">
        <v>5</v>
      </c>
    </row>
    <row r="8" spans="1:7" ht="15.75" x14ac:dyDescent="0.25">
      <c r="A8" s="4"/>
      <c r="B8" s="7" t="s">
        <v>7</v>
      </c>
      <c r="C8" s="78" t="s">
        <v>8</v>
      </c>
      <c r="D8" s="42"/>
      <c r="E8" s="42"/>
    </row>
    <row r="9" spans="1:7" ht="15.75" x14ac:dyDescent="0.25">
      <c r="A9" s="8">
        <v>1000</v>
      </c>
      <c r="B9" s="7" t="s">
        <v>9</v>
      </c>
      <c r="C9" s="269"/>
      <c r="D9" s="43">
        <f>D10+D16</f>
        <v>1.34</v>
      </c>
      <c r="E9" s="43">
        <f>E10+E16</f>
        <v>5277.72</v>
      </c>
    </row>
    <row r="10" spans="1:7" ht="15.75" x14ac:dyDescent="0.25">
      <c r="A10" s="265">
        <v>1100</v>
      </c>
      <c r="B10" s="265" t="s">
        <v>10</v>
      </c>
      <c r="C10" s="269"/>
      <c r="D10" s="43">
        <f>SUM(D12:D15)</f>
        <v>1.04</v>
      </c>
      <c r="E10" s="43">
        <f>SUM(E12:E15)</f>
        <v>4118.8500000000004</v>
      </c>
    </row>
    <row r="11" spans="1:7" ht="15.75" x14ac:dyDescent="0.25">
      <c r="A11" s="16">
        <v>1110</v>
      </c>
      <c r="B11" s="16" t="s">
        <v>217</v>
      </c>
      <c r="C11" s="285" t="s">
        <v>218</v>
      </c>
      <c r="D11" s="108">
        <f>SUM(D12:D14)</f>
        <v>0.95000000000000007</v>
      </c>
      <c r="E11" s="108">
        <f>SUM(E12:E14)</f>
        <v>3744.42</v>
      </c>
    </row>
    <row r="12" spans="1:7" ht="78.75" x14ac:dyDescent="0.25">
      <c r="A12" s="126"/>
      <c r="B12" s="129"/>
      <c r="C12" s="142" t="s">
        <v>1325</v>
      </c>
      <c r="D12" s="108">
        <f>ROUND((E12/3960),2)</f>
        <v>0.04</v>
      </c>
      <c r="E12" s="108">
        <f>ROUND((51.33*12*0.2444),2)</f>
        <v>150.54</v>
      </c>
      <c r="G12" s="50"/>
    </row>
    <row r="13" spans="1:7" ht="78" customHeight="1" x14ac:dyDescent="0.25">
      <c r="A13" s="143"/>
      <c r="B13" s="144"/>
      <c r="C13" s="142" t="s">
        <v>1326</v>
      </c>
      <c r="D13" s="108">
        <f>ROUND((E13/3960),2)</f>
        <v>0.87</v>
      </c>
      <c r="E13" s="108">
        <f>ROUND((1168.83*12*0.2444),2)</f>
        <v>3427.94</v>
      </c>
      <c r="G13" s="39"/>
    </row>
    <row r="14" spans="1:7" ht="78.75" x14ac:dyDescent="0.25">
      <c r="A14" s="128"/>
      <c r="B14" s="131"/>
      <c r="C14" s="142" t="s">
        <v>1327</v>
      </c>
      <c r="D14" s="108">
        <f>ROUND((E14/3960),2)</f>
        <v>0.04</v>
      </c>
      <c r="E14" s="108">
        <f>ROUND((56.58*12*0.2444),2)</f>
        <v>165.94</v>
      </c>
      <c r="F14" s="39"/>
      <c r="G14" s="39"/>
    </row>
    <row r="15" spans="1:7" ht="63" x14ac:dyDescent="0.25">
      <c r="A15" s="122">
        <v>1140</v>
      </c>
      <c r="B15" s="5" t="s">
        <v>214</v>
      </c>
      <c r="C15" s="142" t="s">
        <v>1328</v>
      </c>
      <c r="D15" s="108">
        <f>ROUND((E15/3960),2)</f>
        <v>0.09</v>
      </c>
      <c r="E15" s="108">
        <f>ROUND((150.54*0.1+3427.94*0.1+165.94*0.1-0.01),2)</f>
        <v>374.43</v>
      </c>
      <c r="F15" s="39"/>
    </row>
    <row r="16" spans="1:7" ht="63" customHeight="1" x14ac:dyDescent="0.25">
      <c r="A16" s="7">
        <v>1200</v>
      </c>
      <c r="B16" s="286" t="s">
        <v>11</v>
      </c>
      <c r="C16" s="166" t="s">
        <v>1331</v>
      </c>
      <c r="D16" s="86">
        <f>ROUND((D17+D18),2)</f>
        <v>0.3</v>
      </c>
      <c r="E16" s="86">
        <f>ROUND((E17+E18),2)</f>
        <v>1158.8699999999999</v>
      </c>
    </row>
    <row r="17" spans="1:8" ht="47.25" x14ac:dyDescent="0.25">
      <c r="A17" s="4">
        <v>1210</v>
      </c>
      <c r="B17" s="5" t="s">
        <v>216</v>
      </c>
      <c r="C17" s="166" t="s">
        <v>1329</v>
      </c>
      <c r="D17" s="108">
        <f t="shared" ref="D17:D18" si="0">ROUND((E17/3960),2)</f>
        <v>0.25</v>
      </c>
      <c r="E17" s="108">
        <f>ROUND((4118.85*0.2359),2)</f>
        <v>971.64</v>
      </c>
    </row>
    <row r="18" spans="1:8" ht="61.5" customHeight="1" x14ac:dyDescent="0.25">
      <c r="A18" s="4">
        <v>1227</v>
      </c>
      <c r="B18" s="5" t="s">
        <v>215</v>
      </c>
      <c r="C18" s="142" t="s">
        <v>1330</v>
      </c>
      <c r="D18" s="108">
        <f t="shared" si="0"/>
        <v>0.05</v>
      </c>
      <c r="E18" s="108">
        <f>ROUND((150.54*0.05+3427.94*0.05+165.94*0.05+0.01),2)</f>
        <v>187.23</v>
      </c>
      <c r="F18" s="39"/>
      <c r="G18" s="39"/>
      <c r="H18" s="39"/>
    </row>
    <row r="19" spans="1:8" ht="15.75" x14ac:dyDescent="0.25">
      <c r="A19" s="4"/>
      <c r="B19" s="9" t="s">
        <v>14</v>
      </c>
      <c r="C19" s="79" t="s">
        <v>16</v>
      </c>
      <c r="D19" s="43">
        <f>SUM(D9)</f>
        <v>1.34</v>
      </c>
      <c r="E19" s="43">
        <f>SUM(E9)</f>
        <v>5277.72</v>
      </c>
    </row>
    <row r="20" spans="1:8" ht="15.75" x14ac:dyDescent="0.25">
      <c r="A20" s="4"/>
      <c r="B20" s="9" t="s">
        <v>15</v>
      </c>
      <c r="C20" s="78" t="s">
        <v>8</v>
      </c>
      <c r="D20" s="42"/>
      <c r="E20" s="42"/>
    </row>
    <row r="21" spans="1:8" ht="15.75" x14ac:dyDescent="0.25">
      <c r="A21" s="8">
        <v>1000</v>
      </c>
      <c r="B21" s="7" t="s">
        <v>9</v>
      </c>
      <c r="C21" s="78"/>
      <c r="D21" s="86">
        <f>SUM(D22+D33)</f>
        <v>1.1000000000000001</v>
      </c>
      <c r="E21" s="86">
        <f>SUM(E22+E33)</f>
        <v>4398.2699999999995</v>
      </c>
    </row>
    <row r="22" spans="1:8" ht="15.75" x14ac:dyDescent="0.25">
      <c r="A22" s="4">
        <v>1100</v>
      </c>
      <c r="B22" s="4" t="s">
        <v>10</v>
      </c>
      <c r="C22" s="137" t="s">
        <v>223</v>
      </c>
      <c r="D22" s="86">
        <f>SUM(D23:D32)</f>
        <v>0.89</v>
      </c>
      <c r="E22" s="86">
        <f>SUM(E23:E32)</f>
        <v>3558.7599999999998</v>
      </c>
    </row>
    <row r="23" spans="1:8" ht="78.75" x14ac:dyDescent="0.25">
      <c r="A23" s="222"/>
      <c r="B23" s="223"/>
      <c r="C23" s="142" t="s">
        <v>1332</v>
      </c>
      <c r="D23" s="44">
        <f t="shared" ref="D23:D33" si="1">ROUND((E23/3960),2)</f>
        <v>0.02</v>
      </c>
      <c r="E23" s="44">
        <f>ROUND((21.91*12*0.2444),2)</f>
        <v>64.260000000000005</v>
      </c>
      <c r="F23" s="39"/>
      <c r="G23" s="39"/>
    </row>
    <row r="24" spans="1:8" ht="78.75" x14ac:dyDescent="0.25">
      <c r="A24" s="401"/>
      <c r="B24" s="399"/>
      <c r="C24" s="142" t="s">
        <v>1333</v>
      </c>
      <c r="D24" s="44">
        <f t="shared" si="1"/>
        <v>0.01</v>
      </c>
      <c r="E24" s="44">
        <f>ROUND((14.31*12*0.2444),2)</f>
        <v>41.97</v>
      </c>
      <c r="F24" s="39"/>
      <c r="G24" s="39"/>
    </row>
    <row r="25" spans="1:8" ht="78.75" x14ac:dyDescent="0.25">
      <c r="A25" s="401"/>
      <c r="B25" s="399"/>
      <c r="C25" s="142" t="s">
        <v>1334</v>
      </c>
      <c r="D25" s="44">
        <f t="shared" si="1"/>
        <v>0.02</v>
      </c>
      <c r="E25" s="44">
        <f>ROUND((20.99*12*0.2444),2)</f>
        <v>61.56</v>
      </c>
      <c r="G25" s="39"/>
    </row>
    <row r="26" spans="1:8" ht="78.75" x14ac:dyDescent="0.25">
      <c r="A26" s="401"/>
      <c r="B26" s="399"/>
      <c r="C26" s="142" t="s">
        <v>1335</v>
      </c>
      <c r="D26" s="44">
        <f t="shared" si="1"/>
        <v>0.02</v>
      </c>
      <c r="E26" s="44">
        <f>ROUND((31.21*12*0.2444),2)</f>
        <v>91.53</v>
      </c>
      <c r="G26" s="39"/>
    </row>
    <row r="27" spans="1:8" ht="78.75" x14ac:dyDescent="0.25">
      <c r="A27" s="401"/>
      <c r="B27" s="399"/>
      <c r="C27" s="80" t="s">
        <v>1336</v>
      </c>
      <c r="D27" s="44">
        <f t="shared" si="1"/>
        <v>0.01</v>
      </c>
      <c r="E27" s="44">
        <f>ROUND((20.2*12*0.2444),2)</f>
        <v>59.24</v>
      </c>
      <c r="G27" s="39"/>
    </row>
    <row r="28" spans="1:8" ht="77.45" customHeight="1" x14ac:dyDescent="0.25">
      <c r="A28" s="401"/>
      <c r="B28" s="399"/>
      <c r="C28" s="80" t="s">
        <v>1337</v>
      </c>
      <c r="D28" s="44">
        <f t="shared" si="1"/>
        <v>0.06</v>
      </c>
      <c r="E28" s="44">
        <f>ROUND((76.52*12*0.2444),2)</f>
        <v>224.42</v>
      </c>
      <c r="G28" s="39"/>
    </row>
    <row r="29" spans="1:8" ht="77.25" customHeight="1" x14ac:dyDescent="0.25">
      <c r="A29" s="401"/>
      <c r="B29" s="399"/>
      <c r="C29" s="142" t="s">
        <v>1338</v>
      </c>
      <c r="D29" s="44">
        <f t="shared" si="1"/>
        <v>0.23</v>
      </c>
      <c r="E29" s="44">
        <f>ROUND((316.42*12*0.2444),2)</f>
        <v>928</v>
      </c>
      <c r="F29" s="50"/>
      <c r="G29" s="39"/>
    </row>
    <row r="30" spans="1:8" ht="77.45" customHeight="1" x14ac:dyDescent="0.25">
      <c r="A30" s="401"/>
      <c r="B30" s="399"/>
      <c r="C30" s="80" t="s">
        <v>1339</v>
      </c>
      <c r="D30" s="44">
        <f t="shared" si="1"/>
        <v>0.36</v>
      </c>
      <c r="E30" s="44">
        <f>ROUND((486.37*12*0.2444),2)</f>
        <v>1426.43</v>
      </c>
      <c r="G30" s="39"/>
    </row>
    <row r="31" spans="1:8" ht="94.5" x14ac:dyDescent="0.25">
      <c r="A31" s="401"/>
      <c r="B31" s="399"/>
      <c r="C31" s="80" t="s">
        <v>1340</v>
      </c>
      <c r="D31" s="44">
        <f t="shared" si="1"/>
        <v>0.13</v>
      </c>
      <c r="E31" s="44">
        <f>ROUND((180.65*12*0.2444),2)</f>
        <v>529.80999999999995</v>
      </c>
      <c r="G31" s="39"/>
    </row>
    <row r="32" spans="1:8" ht="78" customHeight="1" x14ac:dyDescent="0.25">
      <c r="A32" s="402"/>
      <c r="B32" s="400"/>
      <c r="C32" s="80" t="s">
        <v>1341</v>
      </c>
      <c r="D32" s="44">
        <f t="shared" si="1"/>
        <v>0.03</v>
      </c>
      <c r="E32" s="44">
        <f>ROUND((44.85*12*0.2444),2)</f>
        <v>131.54</v>
      </c>
      <c r="G32" s="39"/>
    </row>
    <row r="33" spans="1:5" ht="63.75" customHeight="1" x14ac:dyDescent="0.25">
      <c r="A33" s="7">
        <v>1200</v>
      </c>
      <c r="B33" s="156" t="s">
        <v>11</v>
      </c>
      <c r="C33" s="81" t="s">
        <v>1342</v>
      </c>
      <c r="D33" s="86">
        <f t="shared" si="1"/>
        <v>0.21</v>
      </c>
      <c r="E33" s="86">
        <f>ROUND((3558.76*0.2359),2)</f>
        <v>839.51</v>
      </c>
    </row>
    <row r="34" spans="1:5" ht="15.75" x14ac:dyDescent="0.25">
      <c r="A34" s="8">
        <v>2000</v>
      </c>
      <c r="B34" s="7" t="s">
        <v>12</v>
      </c>
      <c r="C34" s="78"/>
      <c r="D34" s="43">
        <f>SUM(D35:D43)</f>
        <v>22.5</v>
      </c>
      <c r="E34" s="43">
        <f>SUM(E35:E43)</f>
        <v>89065.239999999991</v>
      </c>
    </row>
    <row r="35" spans="1:5" ht="31.5" x14ac:dyDescent="0.25">
      <c r="A35" s="4">
        <v>2221</v>
      </c>
      <c r="B35" s="84" t="s">
        <v>54</v>
      </c>
      <c r="C35" s="81" t="s">
        <v>368</v>
      </c>
      <c r="D35" s="44">
        <f>ROUND((E35/3960),2)-0.01</f>
        <v>1.68</v>
      </c>
      <c r="E35" s="44">
        <f>ROUND((27311.02*0.2444),2)</f>
        <v>6674.81</v>
      </c>
    </row>
    <row r="36" spans="1:5" ht="32.1" customHeight="1" x14ac:dyDescent="0.25">
      <c r="A36" s="4">
        <v>2222</v>
      </c>
      <c r="B36" s="118" t="s">
        <v>55</v>
      </c>
      <c r="C36" s="5" t="s">
        <v>369</v>
      </c>
      <c r="D36" s="44">
        <f t="shared" ref="D36:D43" si="2">ROUND((E36/3960),2)</f>
        <v>3.42</v>
      </c>
      <c r="E36" s="44">
        <f>ROUND((55363.67*0.2444),2)</f>
        <v>13530.88</v>
      </c>
    </row>
    <row r="37" spans="1:5" ht="78" customHeight="1" x14ac:dyDescent="0.25">
      <c r="A37" s="4">
        <v>2224</v>
      </c>
      <c r="B37" s="84" t="s">
        <v>56</v>
      </c>
      <c r="C37" s="81" t="s">
        <v>370</v>
      </c>
      <c r="D37" s="44">
        <f t="shared" si="2"/>
        <v>1.67</v>
      </c>
      <c r="E37" s="44">
        <f>ROUND((27012.56*0.2444),2)</f>
        <v>6601.87</v>
      </c>
    </row>
    <row r="38" spans="1:5" ht="30.6" customHeight="1" x14ac:dyDescent="0.25">
      <c r="A38" s="4">
        <v>2241</v>
      </c>
      <c r="B38" s="84" t="s">
        <v>58</v>
      </c>
      <c r="C38" s="166" t="s">
        <v>1604</v>
      </c>
      <c r="D38" s="44">
        <f t="shared" si="2"/>
        <v>2.27</v>
      </c>
      <c r="E38" s="44">
        <f>ROUND((36705.92*0.2444),2)</f>
        <v>8970.93</v>
      </c>
    </row>
    <row r="39" spans="1:5" ht="78.75" x14ac:dyDescent="0.25">
      <c r="A39" s="4">
        <v>2243</v>
      </c>
      <c r="B39" s="84" t="s">
        <v>21</v>
      </c>
      <c r="C39" s="84" t="s">
        <v>371</v>
      </c>
      <c r="D39" s="44">
        <f t="shared" si="2"/>
        <v>0.16</v>
      </c>
      <c r="E39" s="159">
        <f>ROUND((2550.98*0.2444),2)</f>
        <v>623.46</v>
      </c>
    </row>
    <row r="40" spans="1:5" ht="47.25" x14ac:dyDescent="0.25">
      <c r="A40" s="4">
        <v>2244</v>
      </c>
      <c r="B40" s="84" t="s">
        <v>22</v>
      </c>
      <c r="C40" s="81" t="s">
        <v>372</v>
      </c>
      <c r="D40" s="44">
        <f t="shared" si="2"/>
        <v>12.46</v>
      </c>
      <c r="E40" s="44">
        <f>ROUND((201856.75*0.2444),2)</f>
        <v>49333.79</v>
      </c>
    </row>
    <row r="41" spans="1:5" ht="47.25" x14ac:dyDescent="0.25">
      <c r="A41" s="4">
        <v>2249</v>
      </c>
      <c r="B41" s="84" t="s">
        <v>45</v>
      </c>
      <c r="C41" s="81" t="s">
        <v>373</v>
      </c>
      <c r="D41" s="44">
        <f t="shared" si="2"/>
        <v>0.17</v>
      </c>
      <c r="E41" s="44">
        <f>ROUND((2767.46*0.2444),2)</f>
        <v>676.37</v>
      </c>
    </row>
    <row r="42" spans="1:5" ht="63" x14ac:dyDescent="0.25">
      <c r="A42" s="4">
        <v>2350</v>
      </c>
      <c r="B42" s="118" t="s">
        <v>213</v>
      </c>
      <c r="C42" s="81" t="s">
        <v>374</v>
      </c>
      <c r="D42" s="44">
        <f t="shared" si="2"/>
        <v>0.02</v>
      </c>
      <c r="E42" s="108">
        <f>ROUND((300.93*0.2444),2)</f>
        <v>73.55</v>
      </c>
    </row>
    <row r="43" spans="1:5" ht="31.5" customHeight="1" x14ac:dyDescent="0.25">
      <c r="A43" s="4">
        <v>2513</v>
      </c>
      <c r="B43" s="118" t="s">
        <v>57</v>
      </c>
      <c r="C43" s="81" t="s">
        <v>375</v>
      </c>
      <c r="D43" s="44">
        <f t="shared" si="2"/>
        <v>0.65</v>
      </c>
      <c r="E43" s="44">
        <f>ROUND((10554.74*0.2444),2)</f>
        <v>2579.58</v>
      </c>
    </row>
    <row r="44" spans="1:5" ht="15.75" x14ac:dyDescent="0.25">
      <c r="A44" s="10">
        <v>5000</v>
      </c>
      <c r="B44" s="348" t="s">
        <v>17</v>
      </c>
      <c r="C44" s="78"/>
      <c r="D44" s="43">
        <f>SUM(D45:D47)</f>
        <v>1.76</v>
      </c>
      <c r="E44" s="43">
        <f>SUM(E45:E47)</f>
        <v>6985</v>
      </c>
    </row>
    <row r="45" spans="1:5" ht="31.5" x14ac:dyDescent="0.25">
      <c r="A45" s="4">
        <v>5212</v>
      </c>
      <c r="B45" s="118" t="s">
        <v>31</v>
      </c>
      <c r="C45" s="81" t="s">
        <v>774</v>
      </c>
      <c r="D45" s="44">
        <f>ROUND((E45/3960),2)</f>
        <v>1.18</v>
      </c>
      <c r="E45" s="44">
        <f>ROUND((19086.29*0.2444),2)</f>
        <v>4664.6899999999996</v>
      </c>
    </row>
    <row r="46" spans="1:5" ht="31.5" x14ac:dyDescent="0.25">
      <c r="A46" s="4">
        <v>5213</v>
      </c>
      <c r="B46" s="118" t="s">
        <v>32</v>
      </c>
      <c r="C46" s="81" t="s">
        <v>719</v>
      </c>
      <c r="D46" s="44">
        <f>ROUND((E46/3960),2)</f>
        <v>0.27</v>
      </c>
      <c r="E46" s="44">
        <f>ROUND((4441.97*0.2444),2)</f>
        <v>1085.6199999999999</v>
      </c>
    </row>
    <row r="47" spans="1:5" ht="47.25" x14ac:dyDescent="0.25">
      <c r="A47" s="18">
        <v>5239</v>
      </c>
      <c r="B47" s="84" t="s">
        <v>18</v>
      </c>
      <c r="C47" s="81" t="s">
        <v>720</v>
      </c>
      <c r="D47" s="44">
        <f>ROUND((E47/3960),2)</f>
        <v>0.31</v>
      </c>
      <c r="E47" s="44">
        <f>ROUND((5051.93*0.2444),2)</f>
        <v>1234.69</v>
      </c>
    </row>
    <row r="48" spans="1:5" ht="15.75" x14ac:dyDescent="0.25">
      <c r="A48" s="161"/>
      <c r="B48" s="9" t="s">
        <v>23</v>
      </c>
      <c r="C48" s="140"/>
      <c r="D48" s="43">
        <f>SUM(D21+D34+D44)</f>
        <v>25.360000000000003</v>
      </c>
      <c r="E48" s="40">
        <f>SUM(E21+E34+E44)+2.3</f>
        <v>100450.81</v>
      </c>
    </row>
    <row r="49" spans="1:7" ht="31.5" x14ac:dyDescent="0.25">
      <c r="A49" s="6"/>
      <c r="B49" s="11" t="s">
        <v>24</v>
      </c>
      <c r="C49" s="140"/>
      <c r="D49" s="87">
        <f>D19+D48</f>
        <v>26.700000000000003</v>
      </c>
      <c r="E49" s="41">
        <f>E19+E48</f>
        <v>105728.53</v>
      </c>
    </row>
    <row r="50" spans="1:7" ht="15.75" x14ac:dyDescent="0.25">
      <c r="A50" s="397" t="s">
        <v>198</v>
      </c>
      <c r="B50" s="397"/>
      <c r="C50" s="397"/>
      <c r="D50" s="183">
        <f>22*2*90</f>
        <v>3960</v>
      </c>
      <c r="E50" s="197" t="s">
        <v>65</v>
      </c>
    </row>
    <row r="51" spans="1:7" ht="30.6" customHeight="1" x14ac:dyDescent="0.25">
      <c r="A51" s="397" t="s">
        <v>239</v>
      </c>
      <c r="B51" s="397"/>
      <c r="C51" s="397"/>
      <c r="D51" s="179">
        <f>ROUND((E49/D50),2)</f>
        <v>26.7</v>
      </c>
      <c r="E51" s="191" t="s">
        <v>229</v>
      </c>
    </row>
    <row r="52" spans="1:7" ht="12.75" customHeight="1" x14ac:dyDescent="0.25">
      <c r="A52" s="180"/>
      <c r="B52" s="181"/>
      <c r="C52" s="181"/>
      <c r="D52" s="182"/>
      <c r="E52" s="160"/>
    </row>
    <row r="53" spans="1:7" ht="15.75" x14ac:dyDescent="0.25">
      <c r="A53" s="397" t="s">
        <v>199</v>
      </c>
      <c r="B53" s="397"/>
      <c r="C53" s="397"/>
      <c r="D53" s="183">
        <f>22*2*8.00024</f>
        <v>352.01056</v>
      </c>
      <c r="E53" s="179" t="s">
        <v>67</v>
      </c>
    </row>
    <row r="54" spans="1:7" ht="30" customHeight="1" x14ac:dyDescent="0.25">
      <c r="A54" s="411" t="s">
        <v>236</v>
      </c>
      <c r="B54" s="411"/>
      <c r="C54" s="411"/>
      <c r="D54" s="179">
        <f>ROUND((E49/D53),2)</f>
        <v>300.36</v>
      </c>
      <c r="E54" s="191" t="s">
        <v>243</v>
      </c>
    </row>
    <row r="56" spans="1:7" x14ac:dyDescent="0.25">
      <c r="G56" s="14"/>
    </row>
  </sheetData>
  <mergeCells count="9">
    <mergeCell ref="A51:C51"/>
    <mergeCell ref="A53:C53"/>
    <mergeCell ref="A54:C54"/>
    <mergeCell ref="A2:C2"/>
    <mergeCell ref="A3:E3"/>
    <mergeCell ref="A4:B4"/>
    <mergeCell ref="A24:A32"/>
    <mergeCell ref="B24:B32"/>
    <mergeCell ref="A50:C50"/>
  </mergeCells>
  <pageMargins left="0.7" right="0.7" top="0.75" bottom="0.75" header="0.3" footer="0.3"/>
  <pageSetup paperSize="9" orientation="landscape" r:id="rId1"/>
  <rowBreaks count="2" manualBreakCount="2">
    <brk id="37" max="4" man="1"/>
    <brk id="45" max="16383" man="1"/>
  </rowBreaks>
  <ignoredErrors>
    <ignoredError sqref="D16" formula="1"/>
  </ignoredError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58F54-192A-4231-9762-E67B5DA18B1C}">
  <dimension ref="A1:I56"/>
  <sheetViews>
    <sheetView topLeftCell="A45" zoomScaleNormal="100" workbookViewId="0">
      <selection activeCell="D55" sqref="D55"/>
    </sheetView>
  </sheetViews>
  <sheetFormatPr defaultRowHeight="15" x14ac:dyDescent="0.25"/>
  <cols>
    <col min="1" max="1" width="12.7109375" customWidth="1"/>
    <col min="2" max="2" width="27.28515625" customWidth="1"/>
    <col min="3" max="3" width="62.5703125" customWidth="1"/>
    <col min="4" max="4" width="10.140625" style="14" customWidth="1"/>
    <col min="5" max="5" width="17.42578125" style="14" customWidth="1"/>
  </cols>
  <sheetData>
    <row r="1" spans="1:7" s="165" customFormat="1" ht="18.75" x14ac:dyDescent="0.3">
      <c r="A1" s="148" t="s">
        <v>46</v>
      </c>
      <c r="D1" s="236"/>
      <c r="E1" s="236"/>
    </row>
    <row r="2" spans="1:7" ht="18.75" x14ac:dyDescent="0.3">
      <c r="A2" s="404" t="s">
        <v>269</v>
      </c>
      <c r="B2" s="404"/>
      <c r="C2" s="404"/>
    </row>
    <row r="3" spans="1:7" ht="18.75" x14ac:dyDescent="0.25">
      <c r="A3" s="398" t="s">
        <v>185</v>
      </c>
      <c r="B3" s="398"/>
      <c r="C3" s="398"/>
      <c r="D3" s="398"/>
      <c r="E3" s="398"/>
    </row>
    <row r="4" spans="1:7" ht="15.75" x14ac:dyDescent="0.25">
      <c r="A4" s="405" t="s">
        <v>64</v>
      </c>
      <c r="B4" s="405"/>
    </row>
    <row r="6" spans="1:7" ht="77.099999999999994" customHeight="1" x14ac:dyDescent="0.25">
      <c r="A6" s="139" t="s">
        <v>0</v>
      </c>
      <c r="B6" s="139" t="s">
        <v>1</v>
      </c>
      <c r="C6" s="139" t="s">
        <v>2</v>
      </c>
      <c r="D6" s="158" t="s">
        <v>26</v>
      </c>
      <c r="E6" s="158" t="s">
        <v>27</v>
      </c>
    </row>
    <row r="7" spans="1:7" x14ac:dyDescent="0.25">
      <c r="A7" s="277">
        <v>1</v>
      </c>
      <c r="B7" s="277">
        <v>2</v>
      </c>
      <c r="C7" s="277">
        <v>3</v>
      </c>
      <c r="D7" s="290">
        <v>4</v>
      </c>
      <c r="E7" s="290">
        <v>5</v>
      </c>
    </row>
    <row r="8" spans="1:7" ht="15.75" x14ac:dyDescent="0.25">
      <c r="A8" s="4"/>
      <c r="B8" s="7" t="s">
        <v>7</v>
      </c>
      <c r="C8" s="92" t="s">
        <v>8</v>
      </c>
      <c r="D8" s="42"/>
      <c r="E8" s="42"/>
    </row>
    <row r="9" spans="1:7" ht="15.75" x14ac:dyDescent="0.25">
      <c r="A9" s="8">
        <v>1000</v>
      </c>
      <c r="B9" s="7" t="s">
        <v>9</v>
      </c>
      <c r="C9" s="269"/>
      <c r="D9" s="43">
        <f>D10+D16</f>
        <v>0.70000000000000007</v>
      </c>
      <c r="E9" s="43">
        <f>E10+E16</f>
        <v>56.160000000000004</v>
      </c>
    </row>
    <row r="10" spans="1:7" ht="15.75" x14ac:dyDescent="0.25">
      <c r="A10" s="265">
        <v>1100</v>
      </c>
      <c r="B10" s="265" t="s">
        <v>10</v>
      </c>
      <c r="C10" s="269"/>
      <c r="D10" s="43">
        <f>SUM(D12:D15)</f>
        <v>0.55000000000000004</v>
      </c>
      <c r="E10" s="43">
        <f>SUM(E12:E15)</f>
        <v>43.830000000000005</v>
      </c>
    </row>
    <row r="11" spans="1:7" ht="15.75" x14ac:dyDescent="0.25">
      <c r="A11" s="16">
        <v>1110</v>
      </c>
      <c r="B11" s="16" t="s">
        <v>217</v>
      </c>
      <c r="C11" s="285" t="s">
        <v>218</v>
      </c>
      <c r="D11" s="108">
        <f>SUM(D12:D14)</f>
        <v>0.5</v>
      </c>
      <c r="E11" s="108">
        <f>SUM(E12:E14)</f>
        <v>39.840000000000003</v>
      </c>
    </row>
    <row r="12" spans="1:7" ht="78.75" x14ac:dyDescent="0.25">
      <c r="A12" s="126"/>
      <c r="B12" s="129"/>
      <c r="C12" s="142" t="s">
        <v>1343</v>
      </c>
      <c r="D12" s="108">
        <f>ROUND((E12/80),2)</f>
        <v>0.02</v>
      </c>
      <c r="E12" s="108">
        <f>ROUND((51.33*12*0.0026),2)</f>
        <v>1.6</v>
      </c>
      <c r="G12" s="50"/>
    </row>
    <row r="13" spans="1:7" ht="77.099999999999994" customHeight="1" x14ac:dyDescent="0.25">
      <c r="A13" s="143"/>
      <c r="B13" s="144"/>
      <c r="C13" s="142" t="s">
        <v>1344</v>
      </c>
      <c r="D13" s="108">
        <f t="shared" ref="D13:D15" si="0">ROUND((E13/80),2)</f>
        <v>0.46</v>
      </c>
      <c r="E13" s="108">
        <f>ROUND((1168.83*12*0.0026),2)</f>
        <v>36.47</v>
      </c>
      <c r="G13" s="39"/>
    </row>
    <row r="14" spans="1:7" ht="78.75" x14ac:dyDescent="0.25">
      <c r="A14" s="128"/>
      <c r="B14" s="131"/>
      <c r="C14" s="142" t="s">
        <v>1345</v>
      </c>
      <c r="D14" s="108">
        <f t="shared" si="0"/>
        <v>0.02</v>
      </c>
      <c r="E14" s="108">
        <f>ROUND((56.58*12*0.0026),2)</f>
        <v>1.77</v>
      </c>
      <c r="F14" s="39"/>
      <c r="G14" s="39"/>
    </row>
    <row r="15" spans="1:7" ht="63.6" customHeight="1" x14ac:dyDescent="0.25">
      <c r="A15" s="122">
        <v>1140</v>
      </c>
      <c r="B15" s="5" t="s">
        <v>214</v>
      </c>
      <c r="C15" s="142" t="s">
        <v>1346</v>
      </c>
      <c r="D15" s="108">
        <f t="shared" si="0"/>
        <v>0.05</v>
      </c>
      <c r="E15" s="108">
        <f>ROUND((1.6*0.1+36.47*0.1+1.77*0.1+0.01),2)</f>
        <v>3.99</v>
      </c>
      <c r="F15" s="39"/>
    </row>
    <row r="16" spans="1:7" ht="63" x14ac:dyDescent="0.25">
      <c r="A16" s="7">
        <v>1200</v>
      </c>
      <c r="B16" s="288" t="s">
        <v>11</v>
      </c>
      <c r="C16" s="166" t="s">
        <v>1349</v>
      </c>
      <c r="D16" s="86">
        <f>ROUND((D17+D18),2)</f>
        <v>0.15</v>
      </c>
      <c r="E16" s="86">
        <f>ROUND((E17+E18),2)</f>
        <v>12.33</v>
      </c>
    </row>
    <row r="17" spans="1:9" ht="47.25" x14ac:dyDescent="0.25">
      <c r="A17" s="4">
        <v>1210</v>
      </c>
      <c r="B17" s="5" t="s">
        <v>216</v>
      </c>
      <c r="C17" s="166" t="s">
        <v>1348</v>
      </c>
      <c r="D17" s="108">
        <f>ROUND((E17/80),2)</f>
        <v>0.13</v>
      </c>
      <c r="E17" s="44">
        <f>ROUND((43.83*0.2359),2)</f>
        <v>10.34</v>
      </c>
    </row>
    <row r="18" spans="1:9" ht="63" customHeight="1" x14ac:dyDescent="0.25">
      <c r="A18" s="4">
        <v>1227</v>
      </c>
      <c r="B18" s="5" t="s">
        <v>215</v>
      </c>
      <c r="C18" s="142" t="s">
        <v>1347</v>
      </c>
      <c r="D18" s="108">
        <f t="shared" ref="D18" si="1">ROUND((E18/80),2)</f>
        <v>0.02</v>
      </c>
      <c r="E18" s="108">
        <f>ROUND((1.6*0.05+36.47*0.05+1.77*0.05),2)</f>
        <v>1.99</v>
      </c>
      <c r="F18" s="39"/>
      <c r="G18" s="39"/>
      <c r="H18" s="39"/>
    </row>
    <row r="19" spans="1:9" ht="15.75" x14ac:dyDescent="0.25">
      <c r="A19" s="4"/>
      <c r="B19" s="9" t="s">
        <v>14</v>
      </c>
      <c r="C19" s="93" t="s">
        <v>16</v>
      </c>
      <c r="D19" s="43">
        <f>D9</f>
        <v>0.70000000000000007</v>
      </c>
      <c r="E19" s="43">
        <f>E9</f>
        <v>56.160000000000004</v>
      </c>
    </row>
    <row r="20" spans="1:9" ht="15.75" x14ac:dyDescent="0.25">
      <c r="A20" s="4"/>
      <c r="B20" s="9" t="s">
        <v>15</v>
      </c>
      <c r="C20" s="92" t="s">
        <v>8</v>
      </c>
      <c r="D20" s="42"/>
      <c r="E20" s="42"/>
    </row>
    <row r="21" spans="1:9" ht="15.75" x14ac:dyDescent="0.25">
      <c r="A21" s="8">
        <v>1000</v>
      </c>
      <c r="B21" s="7" t="s">
        <v>9</v>
      </c>
      <c r="C21" s="92"/>
      <c r="D21" s="86">
        <f>SUM(D22+D33)</f>
        <v>0.59000000000000008</v>
      </c>
      <c r="E21" s="86">
        <f>SUM(E22+E33)</f>
        <v>46.779999999999994</v>
      </c>
    </row>
    <row r="22" spans="1:9" ht="15.75" x14ac:dyDescent="0.25">
      <c r="A22" s="4">
        <v>1100</v>
      </c>
      <c r="B22" s="4" t="s">
        <v>10</v>
      </c>
      <c r="C22" s="137" t="s">
        <v>223</v>
      </c>
      <c r="D22" s="86">
        <f>SUM(D23:D32)</f>
        <v>0.48000000000000004</v>
      </c>
      <c r="E22" s="86">
        <f>SUM(E23:E32)</f>
        <v>37.849999999999994</v>
      </c>
    </row>
    <row r="23" spans="1:9" ht="79.5" customHeight="1" x14ac:dyDescent="0.25">
      <c r="A23" s="222"/>
      <c r="B23" s="223"/>
      <c r="C23" s="123" t="s">
        <v>1350</v>
      </c>
      <c r="D23" s="44">
        <f>ROUND((E23/80),2)</f>
        <v>0.01</v>
      </c>
      <c r="E23" s="44">
        <f>ROUND((21.91*12*0.0026),2)</f>
        <v>0.68</v>
      </c>
      <c r="F23" s="39"/>
      <c r="G23" s="39"/>
      <c r="I23" s="82"/>
    </row>
    <row r="24" spans="1:9" ht="78.75" x14ac:dyDescent="0.25">
      <c r="A24" s="401"/>
      <c r="B24" s="399"/>
      <c r="C24" s="123" t="s">
        <v>1351</v>
      </c>
      <c r="D24" s="44">
        <f t="shared" ref="D24:D31" si="2">ROUND((E24/80),2)</f>
        <v>0.01</v>
      </c>
      <c r="E24" s="44">
        <f>ROUND((14.31*12*0.0026),2)</f>
        <v>0.45</v>
      </c>
      <c r="F24" s="39"/>
      <c r="G24" s="39"/>
      <c r="I24" s="82"/>
    </row>
    <row r="25" spans="1:9" ht="78" customHeight="1" x14ac:dyDescent="0.25">
      <c r="A25" s="401"/>
      <c r="B25" s="399"/>
      <c r="C25" s="123" t="s">
        <v>1352</v>
      </c>
      <c r="D25" s="44">
        <f t="shared" si="2"/>
        <v>0.01</v>
      </c>
      <c r="E25" s="44">
        <f>ROUND((20.99*12*0.0026),2)</f>
        <v>0.65</v>
      </c>
      <c r="G25" s="39"/>
      <c r="I25" s="82"/>
    </row>
    <row r="26" spans="1:9" ht="77.25" customHeight="1" x14ac:dyDescent="0.25">
      <c r="A26" s="401"/>
      <c r="B26" s="399"/>
      <c r="C26" s="123" t="s">
        <v>1353</v>
      </c>
      <c r="D26" s="44">
        <f t="shared" si="2"/>
        <v>0.01</v>
      </c>
      <c r="E26" s="44">
        <f>ROUND((31.21*12*0.0026),2)</f>
        <v>0.97</v>
      </c>
      <c r="G26" s="39"/>
      <c r="I26" s="82"/>
    </row>
    <row r="27" spans="1:9" ht="78" customHeight="1" x14ac:dyDescent="0.25">
      <c r="A27" s="401"/>
      <c r="B27" s="399"/>
      <c r="C27" s="123" t="s">
        <v>1354</v>
      </c>
      <c r="D27" s="44">
        <f t="shared" si="2"/>
        <v>0.01</v>
      </c>
      <c r="E27" s="44">
        <f>ROUND((20.2*12*0.0026),2)</f>
        <v>0.63</v>
      </c>
      <c r="G27" s="39"/>
      <c r="I27" s="82"/>
    </row>
    <row r="28" spans="1:9" ht="78" customHeight="1" x14ac:dyDescent="0.25">
      <c r="A28" s="401"/>
      <c r="B28" s="399"/>
      <c r="C28" s="123" t="s">
        <v>1355</v>
      </c>
      <c r="D28" s="44">
        <f t="shared" si="2"/>
        <v>0.03</v>
      </c>
      <c r="E28" s="44">
        <f>ROUND((76.52*12*0.0026),2)</f>
        <v>2.39</v>
      </c>
      <c r="G28" s="39"/>
      <c r="I28" s="82"/>
    </row>
    <row r="29" spans="1:9" ht="78.75" x14ac:dyDescent="0.25">
      <c r="A29" s="401"/>
      <c r="B29" s="399"/>
      <c r="C29" s="123" t="s">
        <v>1356</v>
      </c>
      <c r="D29" s="44">
        <f t="shared" si="2"/>
        <v>0.12</v>
      </c>
      <c r="E29" s="44">
        <f>ROUND((316.42*12*0.0026),2)</f>
        <v>9.8699999999999992</v>
      </c>
      <c r="F29" s="50"/>
      <c r="G29" s="39"/>
      <c r="I29" s="82"/>
    </row>
    <row r="30" spans="1:9" ht="78.75" x14ac:dyDescent="0.25">
      <c r="A30" s="401"/>
      <c r="B30" s="399"/>
      <c r="C30" s="123" t="s">
        <v>1357</v>
      </c>
      <c r="D30" s="44">
        <f>ROUND((E30/80),2)</f>
        <v>0.19</v>
      </c>
      <c r="E30" s="44">
        <f>ROUND((486.37*12*0.0026),2)</f>
        <v>15.17</v>
      </c>
      <c r="G30" s="39"/>
      <c r="I30" s="82"/>
    </row>
    <row r="31" spans="1:9" ht="94.5" x14ac:dyDescent="0.25">
      <c r="A31" s="401"/>
      <c r="B31" s="399"/>
      <c r="C31" s="94" t="s">
        <v>1358</v>
      </c>
      <c r="D31" s="44">
        <f t="shared" si="2"/>
        <v>7.0000000000000007E-2</v>
      </c>
      <c r="E31" s="44">
        <f>ROUND((180.65*12*0.0026),2)</f>
        <v>5.64</v>
      </c>
      <c r="G31" s="39"/>
      <c r="I31" s="82"/>
    </row>
    <row r="32" spans="1:9" ht="78" customHeight="1" x14ac:dyDescent="0.25">
      <c r="A32" s="402"/>
      <c r="B32" s="400"/>
      <c r="C32" s="94" t="s">
        <v>1359</v>
      </c>
      <c r="D32" s="44">
        <f>ROUND((E32/80),2)</f>
        <v>0.02</v>
      </c>
      <c r="E32" s="44">
        <f>ROUND((44.85*12*0.0026),2)</f>
        <v>1.4</v>
      </c>
      <c r="G32" s="39"/>
      <c r="I32" s="82"/>
    </row>
    <row r="33" spans="1:9" ht="63" x14ac:dyDescent="0.25">
      <c r="A33" s="7">
        <v>1200</v>
      </c>
      <c r="B33" s="156" t="s">
        <v>11</v>
      </c>
      <c r="C33" s="95" t="s">
        <v>1360</v>
      </c>
      <c r="D33" s="86">
        <f>ROUND((E33/80),2)</f>
        <v>0.11</v>
      </c>
      <c r="E33" s="86">
        <f>ROUND((37.85*0.2359),2)</f>
        <v>8.93</v>
      </c>
      <c r="I33" s="82"/>
    </row>
    <row r="34" spans="1:9" ht="15.75" x14ac:dyDescent="0.25">
      <c r="A34" s="8">
        <v>2000</v>
      </c>
      <c r="B34" s="7" t="s">
        <v>12</v>
      </c>
      <c r="C34" s="92"/>
      <c r="D34" s="43">
        <f>SUM(D35:D43)</f>
        <v>11.839999999999998</v>
      </c>
      <c r="E34" s="43">
        <f>SUM(E35:E43)</f>
        <v>947.5100000000001</v>
      </c>
      <c r="I34" s="82"/>
    </row>
    <row r="35" spans="1:9" ht="31.5" x14ac:dyDescent="0.25">
      <c r="A35" s="4">
        <v>2221</v>
      </c>
      <c r="B35" s="84" t="s">
        <v>54</v>
      </c>
      <c r="C35" s="95" t="s">
        <v>376</v>
      </c>
      <c r="D35" s="44">
        <f>ROUND((E35/80),2)</f>
        <v>0.89</v>
      </c>
      <c r="E35" s="44">
        <f>ROUND((27311.02*0.0026),2)</f>
        <v>71.010000000000005</v>
      </c>
      <c r="I35" s="82"/>
    </row>
    <row r="36" spans="1:9" ht="31.5" x14ac:dyDescent="0.25">
      <c r="A36" s="4">
        <v>2222</v>
      </c>
      <c r="B36" s="118" t="s">
        <v>55</v>
      </c>
      <c r="C36" s="5" t="s">
        <v>377</v>
      </c>
      <c r="D36" s="44">
        <f>ROUND((E36/80),2)</f>
        <v>1.8</v>
      </c>
      <c r="E36" s="44">
        <f>ROUND((55363.67*0.0026),2)</f>
        <v>143.94999999999999</v>
      </c>
      <c r="I36" s="82"/>
    </row>
    <row r="37" spans="1:9" ht="76.5" customHeight="1" x14ac:dyDescent="0.25">
      <c r="A37" s="4">
        <v>2224</v>
      </c>
      <c r="B37" s="84" t="s">
        <v>56</v>
      </c>
      <c r="C37" s="166" t="s">
        <v>378</v>
      </c>
      <c r="D37" s="44">
        <f t="shared" ref="D37:D43" si="3">ROUND((E37/80),2)</f>
        <v>0.88</v>
      </c>
      <c r="E37" s="44">
        <f>ROUND((27012.56*0.0026),2)</f>
        <v>70.23</v>
      </c>
      <c r="I37" s="82"/>
    </row>
    <row r="38" spans="1:9" ht="31.5" x14ac:dyDescent="0.25">
      <c r="A38" s="4">
        <v>2241</v>
      </c>
      <c r="B38" s="84" t="s">
        <v>58</v>
      </c>
      <c r="C38" s="166" t="s">
        <v>1605</v>
      </c>
      <c r="D38" s="44">
        <f>ROUND((E38/80),2)</f>
        <v>1.19</v>
      </c>
      <c r="E38" s="44">
        <f>ROUND((36705.92*0.0026),2)</f>
        <v>95.44</v>
      </c>
      <c r="I38" s="82"/>
    </row>
    <row r="39" spans="1:9" ht="78" customHeight="1" x14ac:dyDescent="0.25">
      <c r="A39" s="4">
        <v>2243</v>
      </c>
      <c r="B39" s="84" t="s">
        <v>21</v>
      </c>
      <c r="C39" s="84" t="s">
        <v>379</v>
      </c>
      <c r="D39" s="44">
        <f t="shared" si="3"/>
        <v>0.08</v>
      </c>
      <c r="E39" s="159">
        <f>ROUND((2550.98*0.0026),2)</f>
        <v>6.63</v>
      </c>
      <c r="I39" s="82"/>
    </row>
    <row r="40" spans="1:9" ht="45.75" customHeight="1" x14ac:dyDescent="0.25">
      <c r="A40" s="4">
        <v>2244</v>
      </c>
      <c r="B40" s="84" t="s">
        <v>22</v>
      </c>
      <c r="C40" s="166" t="s">
        <v>380</v>
      </c>
      <c r="D40" s="44">
        <f t="shared" si="3"/>
        <v>6.56</v>
      </c>
      <c r="E40" s="44">
        <f>ROUND((201856.75*0.0026),2)</f>
        <v>524.83000000000004</v>
      </c>
      <c r="I40" s="82"/>
    </row>
    <row r="41" spans="1:9" ht="33" customHeight="1" x14ac:dyDescent="0.25">
      <c r="A41" s="4">
        <v>2249</v>
      </c>
      <c r="B41" s="84" t="s">
        <v>45</v>
      </c>
      <c r="C41" s="166" t="s">
        <v>381</v>
      </c>
      <c r="D41" s="44">
        <f t="shared" si="3"/>
        <v>0.09</v>
      </c>
      <c r="E41" s="44">
        <f>ROUND((2767.46*0.0026),2)</f>
        <v>7.2</v>
      </c>
      <c r="I41" s="82"/>
    </row>
    <row r="42" spans="1:9" ht="63" x14ac:dyDescent="0.25">
      <c r="A42" s="4">
        <v>2350</v>
      </c>
      <c r="B42" s="118" t="s">
        <v>213</v>
      </c>
      <c r="C42" s="95" t="s">
        <v>382</v>
      </c>
      <c r="D42" s="44">
        <f t="shared" si="3"/>
        <v>0.01</v>
      </c>
      <c r="E42" s="108">
        <f>ROUND((300.93*0.0026),2)</f>
        <v>0.78</v>
      </c>
      <c r="I42" s="82"/>
    </row>
    <row r="43" spans="1:9" ht="31.5" x14ac:dyDescent="0.25">
      <c r="A43" s="4">
        <v>2513</v>
      </c>
      <c r="B43" s="118" t="s">
        <v>57</v>
      </c>
      <c r="C43" s="95" t="s">
        <v>383</v>
      </c>
      <c r="D43" s="44">
        <f t="shared" si="3"/>
        <v>0.34</v>
      </c>
      <c r="E43" s="44">
        <f>ROUND((10554.74*0.0026),2)</f>
        <v>27.44</v>
      </c>
      <c r="I43" s="82"/>
    </row>
    <row r="44" spans="1:9" ht="15.75" x14ac:dyDescent="0.25">
      <c r="A44" s="10">
        <v>5000</v>
      </c>
      <c r="B44" s="348" t="s">
        <v>17</v>
      </c>
      <c r="C44" s="92"/>
      <c r="D44" s="43">
        <f>SUM(D45:D47)</f>
        <v>0.93</v>
      </c>
      <c r="E44" s="43">
        <f>SUM(E45:E47)</f>
        <v>74.31</v>
      </c>
      <c r="I44" s="82"/>
    </row>
    <row r="45" spans="1:9" ht="31.5" x14ac:dyDescent="0.25">
      <c r="A45" s="4">
        <v>5212</v>
      </c>
      <c r="B45" s="118" t="s">
        <v>31</v>
      </c>
      <c r="C45" s="95" t="s">
        <v>775</v>
      </c>
      <c r="D45" s="44">
        <f>ROUND((E45/80),2)</f>
        <v>0.62</v>
      </c>
      <c r="E45" s="44">
        <f>ROUND((19086.29*0.0026),2)</f>
        <v>49.62</v>
      </c>
      <c r="I45" s="82"/>
    </row>
    <row r="46" spans="1:9" ht="31.5" x14ac:dyDescent="0.25">
      <c r="A46" s="4">
        <v>5213</v>
      </c>
      <c r="B46" s="118" t="s">
        <v>32</v>
      </c>
      <c r="C46" s="95" t="s">
        <v>721</v>
      </c>
      <c r="D46" s="44">
        <f>ROUND((E46/80+0.01),2)</f>
        <v>0.15</v>
      </c>
      <c r="E46" s="44">
        <f>ROUND((4441.97*0.0026),2)</f>
        <v>11.55</v>
      </c>
      <c r="I46" s="82"/>
    </row>
    <row r="47" spans="1:9" ht="47.25" x14ac:dyDescent="0.25">
      <c r="A47" s="18">
        <v>5239</v>
      </c>
      <c r="B47" s="84" t="s">
        <v>18</v>
      </c>
      <c r="C47" s="95" t="s">
        <v>722</v>
      </c>
      <c r="D47" s="44">
        <f>ROUND((E47/80),2)</f>
        <v>0.16</v>
      </c>
      <c r="E47" s="44">
        <f>ROUND((5051.93*0.0026),2)</f>
        <v>13.14</v>
      </c>
      <c r="I47" s="82"/>
    </row>
    <row r="48" spans="1:9" ht="15.75" x14ac:dyDescent="0.25">
      <c r="A48" s="161"/>
      <c r="B48" s="9" t="s">
        <v>23</v>
      </c>
      <c r="C48" s="92"/>
      <c r="D48" s="43">
        <f>SUM(D21+D34+D44)</f>
        <v>13.359999999999998</v>
      </c>
      <c r="E48" s="40">
        <f>SUM(E21+E34+E44)</f>
        <v>1068.6000000000001</v>
      </c>
      <c r="I48" s="82"/>
    </row>
    <row r="49" spans="1:9" s="240" customFormat="1" ht="15.75" customHeight="1" x14ac:dyDescent="0.25">
      <c r="A49" s="239"/>
      <c r="B49" s="237" t="s">
        <v>24</v>
      </c>
      <c r="C49" s="215"/>
      <c r="D49" s="41">
        <f>D19+D48</f>
        <v>14.059999999999997</v>
      </c>
      <c r="E49" s="41">
        <f>E19+E48</f>
        <v>1124.7600000000002</v>
      </c>
      <c r="H49"/>
      <c r="I49" s="82"/>
    </row>
    <row r="50" spans="1:9" ht="16.5" customHeight="1" x14ac:dyDescent="0.25">
      <c r="A50" s="397" t="s">
        <v>200</v>
      </c>
      <c r="B50" s="397"/>
      <c r="C50" s="397"/>
      <c r="D50" s="183">
        <f>1*1*80</f>
        <v>80</v>
      </c>
      <c r="E50" s="197" t="s">
        <v>65</v>
      </c>
    </row>
    <row r="51" spans="1:9" ht="30.6" customHeight="1" x14ac:dyDescent="0.25">
      <c r="A51" s="397" t="s">
        <v>231</v>
      </c>
      <c r="B51" s="397"/>
      <c r="C51" s="397"/>
      <c r="D51" s="179">
        <f>ROUND((E49/D50),2)</f>
        <v>14.06</v>
      </c>
      <c r="E51" s="191" t="s">
        <v>230</v>
      </c>
      <c r="F51" s="39"/>
    </row>
    <row r="52" spans="1:9" ht="15.75" x14ac:dyDescent="0.25">
      <c r="A52" s="180"/>
      <c r="B52" s="181"/>
      <c r="C52" s="181"/>
      <c r="D52" s="182"/>
      <c r="E52" s="160"/>
    </row>
    <row r="53" spans="1:9" ht="16.5" customHeight="1" x14ac:dyDescent="0.25">
      <c r="A53" s="397" t="s">
        <v>201</v>
      </c>
      <c r="B53" s="397"/>
      <c r="C53" s="397"/>
      <c r="D53" s="183">
        <f>1*1*6</f>
        <v>6</v>
      </c>
      <c r="E53" s="179" t="s">
        <v>67</v>
      </c>
    </row>
    <row r="54" spans="1:9" ht="30" customHeight="1" x14ac:dyDescent="0.25">
      <c r="A54" s="411" t="s">
        <v>233</v>
      </c>
      <c r="B54" s="411"/>
      <c r="C54" s="411"/>
      <c r="D54" s="179">
        <f>ROUND((E49/D53),2)</f>
        <v>187.46</v>
      </c>
      <c r="E54" s="191" t="s">
        <v>245</v>
      </c>
    </row>
    <row r="56" spans="1:9" x14ac:dyDescent="0.25">
      <c r="G56" s="14"/>
    </row>
  </sheetData>
  <mergeCells count="9">
    <mergeCell ref="A51:C51"/>
    <mergeCell ref="A53:C53"/>
    <mergeCell ref="A54:C54"/>
    <mergeCell ref="A2:C2"/>
    <mergeCell ref="A3:E3"/>
    <mergeCell ref="A4:B4"/>
    <mergeCell ref="A24:A32"/>
    <mergeCell ref="B24:B32"/>
    <mergeCell ref="A50:C50"/>
  </mergeCells>
  <pageMargins left="0.7" right="0.7" top="0.75" bottom="0.75" header="0.3" footer="0.3"/>
  <pageSetup paperSize="9" orientation="landscape" r:id="rId1"/>
  <rowBreaks count="1" manualBreakCount="1">
    <brk id="46" max="16383" man="1"/>
  </rowBreaks>
  <ignoredErrors>
    <ignoredError sqref="D34 D46 D44" formula="1"/>
  </ignoredError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A66DA-A3BC-432E-B7EB-59A924002F63}">
  <dimension ref="A1:I56"/>
  <sheetViews>
    <sheetView topLeftCell="A45" zoomScaleNormal="100" workbookViewId="0">
      <selection activeCell="D55" sqref="D55"/>
    </sheetView>
  </sheetViews>
  <sheetFormatPr defaultRowHeight="15" x14ac:dyDescent="0.25"/>
  <cols>
    <col min="1" max="1" width="12.42578125" customWidth="1"/>
    <col min="2" max="2" width="27.140625" customWidth="1"/>
    <col min="3" max="3" width="63.42578125" customWidth="1"/>
    <col min="4" max="4" width="9.140625" style="14" customWidth="1"/>
    <col min="5" max="5" width="18.140625" style="14" customWidth="1"/>
  </cols>
  <sheetData>
    <row r="1" spans="1:7" s="165" customFormat="1" ht="18.75" x14ac:dyDescent="0.3">
      <c r="A1" s="148" t="s">
        <v>46</v>
      </c>
      <c r="D1" s="236"/>
      <c r="E1" s="236"/>
    </row>
    <row r="2" spans="1:7" ht="18.75" x14ac:dyDescent="0.3">
      <c r="A2" s="404" t="s">
        <v>269</v>
      </c>
      <c r="B2" s="404"/>
      <c r="C2" s="404"/>
    </row>
    <row r="3" spans="1:7" ht="18.75" x14ac:dyDescent="0.25">
      <c r="A3" s="398" t="s">
        <v>254</v>
      </c>
      <c r="B3" s="398"/>
      <c r="C3" s="398"/>
      <c r="D3" s="398"/>
      <c r="E3" s="398"/>
    </row>
    <row r="4" spans="1:7" ht="15.75" x14ac:dyDescent="0.25">
      <c r="A4" s="405" t="s">
        <v>64</v>
      </c>
      <c r="B4" s="405"/>
    </row>
    <row r="6" spans="1:7" ht="78.75" x14ac:dyDescent="0.25">
      <c r="A6" s="139" t="s">
        <v>0</v>
      </c>
      <c r="B6" s="139" t="s">
        <v>1</v>
      </c>
      <c r="C6" s="139" t="s">
        <v>2</v>
      </c>
      <c r="D6" s="158" t="s">
        <v>26</v>
      </c>
      <c r="E6" s="85" t="s">
        <v>27</v>
      </c>
    </row>
    <row r="7" spans="1:7" x14ac:dyDescent="0.25">
      <c r="A7" s="277">
        <v>1</v>
      </c>
      <c r="B7" s="277">
        <v>2</v>
      </c>
      <c r="C7" s="277">
        <v>3</v>
      </c>
      <c r="D7" s="290">
        <v>4</v>
      </c>
      <c r="E7" s="290">
        <v>5</v>
      </c>
    </row>
    <row r="8" spans="1:7" ht="15.75" x14ac:dyDescent="0.25">
      <c r="A8" s="4"/>
      <c r="B8" s="7" t="s">
        <v>7</v>
      </c>
      <c r="C8" s="88" t="s">
        <v>8</v>
      </c>
      <c r="D8" s="42"/>
      <c r="E8" s="42"/>
    </row>
    <row r="9" spans="1:7" ht="15.75" x14ac:dyDescent="0.25">
      <c r="A9" s="8">
        <v>1000</v>
      </c>
      <c r="B9" s="7" t="s">
        <v>9</v>
      </c>
      <c r="C9" s="269"/>
      <c r="D9" s="43">
        <f>D10+D16</f>
        <v>0.70000000000000007</v>
      </c>
      <c r="E9" s="43">
        <f>E10+E16</f>
        <v>252.65</v>
      </c>
    </row>
    <row r="10" spans="1:7" ht="15.75" x14ac:dyDescent="0.25">
      <c r="A10" s="265">
        <v>1100</v>
      </c>
      <c r="B10" s="265" t="s">
        <v>10</v>
      </c>
      <c r="C10" s="269"/>
      <c r="D10" s="43">
        <f>SUM(D12:D15)</f>
        <v>0.55000000000000004</v>
      </c>
      <c r="E10" s="43">
        <f>SUM(E12:E15)</f>
        <v>197.17000000000002</v>
      </c>
    </row>
    <row r="11" spans="1:7" ht="15.75" x14ac:dyDescent="0.25">
      <c r="A11" s="16">
        <v>1110</v>
      </c>
      <c r="B11" s="16" t="s">
        <v>217</v>
      </c>
      <c r="C11" s="285" t="s">
        <v>218</v>
      </c>
      <c r="D11" s="108">
        <f>SUM(D12:D14)</f>
        <v>0.5</v>
      </c>
      <c r="E11" s="108">
        <f>SUM(E12:E14)</f>
        <v>179.25</v>
      </c>
    </row>
    <row r="12" spans="1:7" ht="78.75" x14ac:dyDescent="0.25">
      <c r="A12" s="126"/>
      <c r="B12" s="129"/>
      <c r="C12" s="142" t="s">
        <v>1361</v>
      </c>
      <c r="D12" s="108">
        <f>ROUND((E12/360),2)</f>
        <v>0.02</v>
      </c>
      <c r="E12" s="108">
        <f>ROUND((51.33*12*0.0117),2)</f>
        <v>7.21</v>
      </c>
      <c r="G12" s="50"/>
    </row>
    <row r="13" spans="1:7" ht="78" customHeight="1" x14ac:dyDescent="0.25">
      <c r="A13" s="143"/>
      <c r="B13" s="144"/>
      <c r="C13" s="142" t="s">
        <v>1362</v>
      </c>
      <c r="D13" s="108">
        <f>ROUND((E13/360),2)</f>
        <v>0.46</v>
      </c>
      <c r="E13" s="108">
        <f>ROUND((1168.83*12*0.0117),2)</f>
        <v>164.1</v>
      </c>
      <c r="G13" s="39"/>
    </row>
    <row r="14" spans="1:7" ht="78" customHeight="1" x14ac:dyDescent="0.25">
      <c r="A14" s="128"/>
      <c r="B14" s="131"/>
      <c r="C14" s="142" t="s">
        <v>1363</v>
      </c>
      <c r="D14" s="108">
        <f>ROUND((E14/360),2)</f>
        <v>0.02</v>
      </c>
      <c r="E14" s="108">
        <f>ROUND((56.58*12*0.0117),2)</f>
        <v>7.94</v>
      </c>
      <c r="F14" s="39"/>
      <c r="G14" s="39"/>
    </row>
    <row r="15" spans="1:7" ht="63.6" customHeight="1" x14ac:dyDescent="0.25">
      <c r="A15" s="122">
        <v>1140</v>
      </c>
      <c r="B15" s="5" t="s">
        <v>214</v>
      </c>
      <c r="C15" s="142" t="s">
        <v>1364</v>
      </c>
      <c r="D15" s="108">
        <f>ROUND((E15/360),2)</f>
        <v>0.05</v>
      </c>
      <c r="E15" s="108">
        <f>ROUND((7.21*0.1+164.1*0.1+7.94*0.1-0.01),2)</f>
        <v>17.920000000000002</v>
      </c>
      <c r="F15" s="39"/>
    </row>
    <row r="16" spans="1:7" ht="63" customHeight="1" x14ac:dyDescent="0.25">
      <c r="A16" s="7">
        <v>1200</v>
      </c>
      <c r="B16" s="288" t="s">
        <v>11</v>
      </c>
      <c r="C16" s="166" t="s">
        <v>1367</v>
      </c>
      <c r="D16" s="86">
        <f>ROUND((D17+D18),2)</f>
        <v>0.15</v>
      </c>
      <c r="E16" s="86">
        <f>ROUND((E17+E18),2)</f>
        <v>55.48</v>
      </c>
    </row>
    <row r="17" spans="1:9" ht="47.25" x14ac:dyDescent="0.25">
      <c r="A17" s="4">
        <v>1210</v>
      </c>
      <c r="B17" s="5" t="s">
        <v>216</v>
      </c>
      <c r="C17" s="166" t="s">
        <v>1366</v>
      </c>
      <c r="D17" s="108">
        <f t="shared" ref="D17:D18" si="0">ROUND((E17/360),2)</f>
        <v>0.13</v>
      </c>
      <c r="E17" s="44">
        <f>ROUND((197.17*0.2359),2)</f>
        <v>46.51</v>
      </c>
    </row>
    <row r="18" spans="1:9" ht="62.25" customHeight="1" x14ac:dyDescent="0.25">
      <c r="A18" s="4">
        <v>1227</v>
      </c>
      <c r="B18" s="5" t="s">
        <v>215</v>
      </c>
      <c r="C18" s="142" t="s">
        <v>1365</v>
      </c>
      <c r="D18" s="108">
        <f t="shared" si="0"/>
        <v>0.02</v>
      </c>
      <c r="E18" s="108">
        <f>ROUND((7.21*0.05+164.1*0.05+7.94*0.05+0.01),2)</f>
        <v>8.9700000000000006</v>
      </c>
      <c r="F18" s="39"/>
      <c r="G18" s="39"/>
      <c r="H18" s="39"/>
    </row>
    <row r="19" spans="1:9" ht="15.75" x14ac:dyDescent="0.25">
      <c r="A19" s="4"/>
      <c r="B19" s="9" t="s">
        <v>14</v>
      </c>
      <c r="C19" s="89" t="s">
        <v>16</v>
      </c>
      <c r="D19" s="43">
        <f>D9</f>
        <v>0.70000000000000007</v>
      </c>
      <c r="E19" s="43">
        <f>E9</f>
        <v>252.65</v>
      </c>
    </row>
    <row r="20" spans="1:9" ht="15.75" x14ac:dyDescent="0.25">
      <c r="A20" s="4"/>
      <c r="B20" s="9" t="s">
        <v>15</v>
      </c>
      <c r="C20" s="88" t="s">
        <v>8</v>
      </c>
      <c r="D20" s="42"/>
      <c r="E20" s="42"/>
    </row>
    <row r="21" spans="1:9" ht="15.75" x14ac:dyDescent="0.25">
      <c r="A21" s="8">
        <v>1000</v>
      </c>
      <c r="B21" s="7" t="s">
        <v>9</v>
      </c>
      <c r="C21" s="88"/>
      <c r="D21" s="86">
        <f>SUM(D22+D33)</f>
        <v>0.59000000000000008</v>
      </c>
      <c r="E21" s="86">
        <f>SUM(E22+E33)</f>
        <v>210.57000000000005</v>
      </c>
    </row>
    <row r="22" spans="1:9" ht="15.75" x14ac:dyDescent="0.25">
      <c r="A22" s="7">
        <v>1100</v>
      </c>
      <c r="B22" s="7" t="s">
        <v>10</v>
      </c>
      <c r="C22" s="137" t="s">
        <v>223</v>
      </c>
      <c r="D22" s="86">
        <f>SUM(D23:D32)</f>
        <v>0.48000000000000004</v>
      </c>
      <c r="E22" s="86">
        <f>SUM(E23:E32)</f>
        <v>170.38000000000005</v>
      </c>
    </row>
    <row r="23" spans="1:9" ht="78.75" x14ac:dyDescent="0.25">
      <c r="A23" s="222"/>
      <c r="B23" s="223"/>
      <c r="C23" s="90" t="s">
        <v>1368</v>
      </c>
      <c r="D23" s="44">
        <f>ROUND((E23/360),2)</f>
        <v>0.01</v>
      </c>
      <c r="E23" s="44">
        <f>ROUND((21.91*12*0.0117),2)</f>
        <v>3.08</v>
      </c>
      <c r="F23" s="39"/>
      <c r="G23" s="39"/>
      <c r="I23" s="82"/>
    </row>
    <row r="24" spans="1:9" ht="78.75" x14ac:dyDescent="0.25">
      <c r="A24" s="401"/>
      <c r="B24" s="399"/>
      <c r="C24" s="142" t="s">
        <v>1369</v>
      </c>
      <c r="D24" s="44">
        <f t="shared" ref="D24:D33" si="1">ROUND((E24/360),2)</f>
        <v>0.01</v>
      </c>
      <c r="E24" s="44">
        <f>ROUND((14.31*12*0.0117),2)</f>
        <v>2.0099999999999998</v>
      </c>
      <c r="F24" s="39"/>
      <c r="G24" s="39"/>
      <c r="I24" s="82"/>
    </row>
    <row r="25" spans="1:9" ht="78" customHeight="1" x14ac:dyDescent="0.25">
      <c r="A25" s="401"/>
      <c r="B25" s="399"/>
      <c r="C25" s="90" t="s">
        <v>1370</v>
      </c>
      <c r="D25" s="44">
        <f t="shared" si="1"/>
        <v>0.01</v>
      </c>
      <c r="E25" s="44">
        <f>ROUND((20.99*12*0.0117),2)</f>
        <v>2.95</v>
      </c>
      <c r="G25" s="39"/>
      <c r="I25" s="82"/>
    </row>
    <row r="26" spans="1:9" ht="78" customHeight="1" x14ac:dyDescent="0.25">
      <c r="A26" s="401"/>
      <c r="B26" s="399"/>
      <c r="C26" s="142" t="s">
        <v>1371</v>
      </c>
      <c r="D26" s="44">
        <f t="shared" si="1"/>
        <v>0.01</v>
      </c>
      <c r="E26" s="44">
        <f>ROUND((31.21*12*0.0117),2)</f>
        <v>4.38</v>
      </c>
      <c r="G26" s="39"/>
      <c r="I26" s="82"/>
    </row>
    <row r="27" spans="1:9" ht="78.75" x14ac:dyDescent="0.25">
      <c r="A27" s="401"/>
      <c r="B27" s="399"/>
      <c r="C27" s="90" t="s">
        <v>1372</v>
      </c>
      <c r="D27" s="44">
        <f t="shared" si="1"/>
        <v>0.01</v>
      </c>
      <c r="E27" s="44">
        <f>ROUND((20.2*12*0.0117),2)</f>
        <v>2.84</v>
      </c>
      <c r="G27" s="39"/>
      <c r="I27" s="82"/>
    </row>
    <row r="28" spans="1:9" ht="78.95" customHeight="1" x14ac:dyDescent="0.25">
      <c r="A28" s="401"/>
      <c r="B28" s="399"/>
      <c r="C28" s="90" t="s">
        <v>1373</v>
      </c>
      <c r="D28" s="44">
        <f t="shared" si="1"/>
        <v>0.03</v>
      </c>
      <c r="E28" s="44">
        <f>ROUND((76.51*12*0.0117),2)</f>
        <v>10.74</v>
      </c>
      <c r="G28" s="39"/>
      <c r="I28" s="82"/>
    </row>
    <row r="29" spans="1:9" ht="78" customHeight="1" x14ac:dyDescent="0.25">
      <c r="A29" s="401"/>
      <c r="B29" s="399"/>
      <c r="C29" s="142" t="s">
        <v>1376</v>
      </c>
      <c r="D29" s="44">
        <f t="shared" si="1"/>
        <v>0.12</v>
      </c>
      <c r="E29" s="44">
        <f>ROUND((316.42*12*0.0117),2)</f>
        <v>44.43</v>
      </c>
      <c r="F29" s="50"/>
      <c r="G29" s="39"/>
      <c r="I29" s="82"/>
    </row>
    <row r="30" spans="1:9" ht="77.45" customHeight="1" x14ac:dyDescent="0.25">
      <c r="A30" s="401"/>
      <c r="B30" s="399"/>
      <c r="C30" s="90" t="s">
        <v>1374</v>
      </c>
      <c r="D30" s="44">
        <f t="shared" si="1"/>
        <v>0.19</v>
      </c>
      <c r="E30" s="44">
        <f>ROUND((486.37*12*0.0117),2)</f>
        <v>68.290000000000006</v>
      </c>
      <c r="G30" s="39"/>
      <c r="I30" s="82"/>
    </row>
    <row r="31" spans="1:9" ht="94.5" x14ac:dyDescent="0.25">
      <c r="A31" s="401"/>
      <c r="B31" s="399"/>
      <c r="C31" s="90" t="s">
        <v>1375</v>
      </c>
      <c r="D31" s="44">
        <f t="shared" si="1"/>
        <v>7.0000000000000007E-2</v>
      </c>
      <c r="E31" s="44">
        <f>ROUND((180.65*12*0.0117),2)</f>
        <v>25.36</v>
      </c>
      <c r="G31" s="39"/>
      <c r="I31" s="82"/>
    </row>
    <row r="32" spans="1:9" ht="78.75" x14ac:dyDescent="0.25">
      <c r="A32" s="402"/>
      <c r="B32" s="400"/>
      <c r="C32" s="90" t="s">
        <v>1377</v>
      </c>
      <c r="D32" s="44">
        <f t="shared" si="1"/>
        <v>0.02</v>
      </c>
      <c r="E32" s="44">
        <f>ROUND((44.85*12*0.0117),2)</f>
        <v>6.3</v>
      </c>
      <c r="G32" s="39"/>
      <c r="I32" s="82"/>
    </row>
    <row r="33" spans="1:9" ht="63" customHeight="1" x14ac:dyDescent="0.25">
      <c r="A33" s="7">
        <v>1200</v>
      </c>
      <c r="B33" s="156" t="s">
        <v>11</v>
      </c>
      <c r="C33" s="91" t="s">
        <v>1538</v>
      </c>
      <c r="D33" s="86">
        <f t="shared" si="1"/>
        <v>0.11</v>
      </c>
      <c r="E33" s="86">
        <f>ROUND((170.38*0.2359),2)</f>
        <v>40.19</v>
      </c>
      <c r="I33" s="82"/>
    </row>
    <row r="34" spans="1:9" ht="15.75" x14ac:dyDescent="0.25">
      <c r="A34" s="8">
        <v>2000</v>
      </c>
      <c r="B34" s="7" t="s">
        <v>12</v>
      </c>
      <c r="C34" s="88"/>
      <c r="D34" s="43">
        <f>SUM(D35:D43)</f>
        <v>11.839999999999998</v>
      </c>
      <c r="E34" s="43">
        <f>SUM(E35:E43)</f>
        <v>4263.76</v>
      </c>
      <c r="I34" s="82"/>
    </row>
    <row r="35" spans="1:9" ht="31.5" x14ac:dyDescent="0.25">
      <c r="A35" s="4">
        <v>2221</v>
      </c>
      <c r="B35" s="84" t="s">
        <v>54</v>
      </c>
      <c r="C35" s="91" t="s">
        <v>384</v>
      </c>
      <c r="D35" s="44">
        <f>ROUND((E35/360),2)</f>
        <v>0.89</v>
      </c>
      <c r="E35" s="44">
        <f>ROUND((27311.02*0.0117),2)</f>
        <v>319.54000000000002</v>
      </c>
      <c r="I35" s="82"/>
    </row>
    <row r="36" spans="1:9" ht="31.5" x14ac:dyDescent="0.25">
      <c r="A36" s="4">
        <v>2222</v>
      </c>
      <c r="B36" s="118" t="s">
        <v>55</v>
      </c>
      <c r="C36" s="5" t="s">
        <v>385</v>
      </c>
      <c r="D36" s="44">
        <f>ROUND((E36/360),2)</f>
        <v>1.8</v>
      </c>
      <c r="E36" s="44">
        <f>ROUND((55363.67*0.0117),2)</f>
        <v>647.75</v>
      </c>
      <c r="I36" s="82"/>
    </row>
    <row r="37" spans="1:9" ht="79.5" customHeight="1" x14ac:dyDescent="0.25">
      <c r="A37" s="4">
        <v>2224</v>
      </c>
      <c r="B37" s="84" t="s">
        <v>56</v>
      </c>
      <c r="C37" s="91" t="s">
        <v>386</v>
      </c>
      <c r="D37" s="44">
        <f t="shared" ref="D37:D43" si="2">ROUND((E37/360),2)</f>
        <v>0.88</v>
      </c>
      <c r="E37" s="44">
        <f>ROUND((27012.56*0.0117),2)</f>
        <v>316.05</v>
      </c>
      <c r="I37" s="82"/>
    </row>
    <row r="38" spans="1:9" ht="33.6" customHeight="1" x14ac:dyDescent="0.25">
      <c r="A38" s="4">
        <v>2241</v>
      </c>
      <c r="B38" s="84" t="s">
        <v>58</v>
      </c>
      <c r="C38" s="166" t="s">
        <v>1606</v>
      </c>
      <c r="D38" s="44">
        <f>ROUND((E38/360),2)</f>
        <v>1.19</v>
      </c>
      <c r="E38" s="44">
        <f>ROUND((36705.92*0.0117),2)</f>
        <v>429.46</v>
      </c>
      <c r="I38" s="82"/>
    </row>
    <row r="39" spans="1:9" ht="78.75" x14ac:dyDescent="0.25">
      <c r="A39" s="4">
        <v>2243</v>
      </c>
      <c r="B39" s="84" t="s">
        <v>21</v>
      </c>
      <c r="C39" s="84" t="s">
        <v>387</v>
      </c>
      <c r="D39" s="44">
        <f t="shared" si="2"/>
        <v>0.08</v>
      </c>
      <c r="E39" s="159">
        <f>ROUND((2550.98*0.0117),2)</f>
        <v>29.85</v>
      </c>
      <c r="I39" s="82"/>
    </row>
    <row r="40" spans="1:9" ht="47.25" x14ac:dyDescent="0.25">
      <c r="A40" s="4">
        <v>2244</v>
      </c>
      <c r="B40" s="84" t="s">
        <v>22</v>
      </c>
      <c r="C40" s="91" t="s">
        <v>388</v>
      </c>
      <c r="D40" s="44">
        <f t="shared" si="2"/>
        <v>6.56</v>
      </c>
      <c r="E40" s="44">
        <f>ROUND((201856.75*0.0117),2)</f>
        <v>2361.7199999999998</v>
      </c>
      <c r="I40" s="82"/>
    </row>
    <row r="41" spans="1:9" ht="47.25" x14ac:dyDescent="0.25">
      <c r="A41" s="4">
        <v>2249</v>
      </c>
      <c r="B41" s="84" t="s">
        <v>45</v>
      </c>
      <c r="C41" s="91" t="s">
        <v>389</v>
      </c>
      <c r="D41" s="44">
        <f t="shared" si="2"/>
        <v>0.09</v>
      </c>
      <c r="E41" s="44">
        <f>ROUND((2767.46*0.0117),2)</f>
        <v>32.380000000000003</v>
      </c>
      <c r="I41" s="82"/>
    </row>
    <row r="42" spans="1:9" ht="61.5" customHeight="1" x14ac:dyDescent="0.25">
      <c r="A42" s="4">
        <v>2350</v>
      </c>
      <c r="B42" s="118" t="s">
        <v>213</v>
      </c>
      <c r="C42" s="91" t="s">
        <v>390</v>
      </c>
      <c r="D42" s="44">
        <f t="shared" si="2"/>
        <v>0.01</v>
      </c>
      <c r="E42" s="108">
        <f>ROUND((300.93*0.0117),2)</f>
        <v>3.52</v>
      </c>
      <c r="I42" s="82"/>
    </row>
    <row r="43" spans="1:9" ht="30" customHeight="1" x14ac:dyDescent="0.25">
      <c r="A43" s="4">
        <v>2513</v>
      </c>
      <c r="B43" s="118" t="s">
        <v>57</v>
      </c>
      <c r="C43" s="91" t="s">
        <v>391</v>
      </c>
      <c r="D43" s="44">
        <f t="shared" si="2"/>
        <v>0.34</v>
      </c>
      <c r="E43" s="44">
        <f>ROUND((10554.74*0.0117),2)</f>
        <v>123.49</v>
      </c>
      <c r="I43" s="82"/>
    </row>
    <row r="44" spans="1:9" ht="15.75" x14ac:dyDescent="0.25">
      <c r="A44" s="10">
        <v>5000</v>
      </c>
      <c r="B44" s="348" t="s">
        <v>17</v>
      </c>
      <c r="C44" s="88"/>
      <c r="D44" s="43">
        <f>SUM(D45:D47)</f>
        <v>0.93</v>
      </c>
      <c r="E44" s="43">
        <f>SUM(E45:E47)</f>
        <v>334.39</v>
      </c>
      <c r="I44" s="82"/>
    </row>
    <row r="45" spans="1:9" ht="31.5" x14ac:dyDescent="0.25">
      <c r="A45" s="4">
        <v>5212</v>
      </c>
      <c r="B45" s="118" t="s">
        <v>31</v>
      </c>
      <c r="C45" s="91" t="s">
        <v>776</v>
      </c>
      <c r="D45" s="44">
        <f>ROUND((E45/360),2)</f>
        <v>0.62</v>
      </c>
      <c r="E45" s="44">
        <f>ROUND((19086.29*0.0117),2)</f>
        <v>223.31</v>
      </c>
      <c r="I45" s="82"/>
    </row>
    <row r="46" spans="1:9" ht="31.5" x14ac:dyDescent="0.25">
      <c r="A46" s="4">
        <v>5213</v>
      </c>
      <c r="B46" s="118" t="s">
        <v>32</v>
      </c>
      <c r="C46" s="91" t="s">
        <v>723</v>
      </c>
      <c r="D46" s="44">
        <f>ROUND((E46/360+0.01),2)</f>
        <v>0.15</v>
      </c>
      <c r="E46" s="44">
        <f>ROUND((4441.97*0.0117),2)</f>
        <v>51.97</v>
      </c>
      <c r="I46" s="82"/>
    </row>
    <row r="47" spans="1:9" ht="47.25" x14ac:dyDescent="0.25">
      <c r="A47" s="18">
        <v>5239</v>
      </c>
      <c r="B47" s="84" t="s">
        <v>18</v>
      </c>
      <c r="C47" s="91" t="s">
        <v>724</v>
      </c>
      <c r="D47" s="44">
        <f>ROUND((E47/360),2)</f>
        <v>0.16</v>
      </c>
      <c r="E47" s="44">
        <f>ROUND((5051.93*0.0117),2)</f>
        <v>59.11</v>
      </c>
      <c r="I47" s="82"/>
    </row>
    <row r="48" spans="1:9" ht="15.75" x14ac:dyDescent="0.25">
      <c r="A48" s="161"/>
      <c r="B48" s="9" t="s">
        <v>23</v>
      </c>
      <c r="C48" s="140"/>
      <c r="D48" s="43">
        <f>SUM(D21+D34+D44)</f>
        <v>13.359999999999998</v>
      </c>
      <c r="E48" s="40">
        <f>SUM(E21+E34+E44)-13</f>
        <v>4795.72</v>
      </c>
      <c r="I48" s="82"/>
    </row>
    <row r="49" spans="1:9" ht="31.5" x14ac:dyDescent="0.25">
      <c r="A49" s="6"/>
      <c r="B49" s="11" t="s">
        <v>24</v>
      </c>
      <c r="C49" s="140"/>
      <c r="D49" s="87">
        <f>D19+D48</f>
        <v>14.059999999999997</v>
      </c>
      <c r="E49" s="41">
        <f>E19+E48</f>
        <v>5048.37</v>
      </c>
      <c r="F49" s="240"/>
      <c r="G49" s="240"/>
      <c r="I49" s="82"/>
    </row>
    <row r="50" spans="1:9" ht="15.75" x14ac:dyDescent="0.25">
      <c r="A50" s="397" t="s">
        <v>202</v>
      </c>
      <c r="B50" s="397"/>
      <c r="C50" s="397"/>
      <c r="D50" s="183">
        <f>2*2*89.62</f>
        <v>358.48</v>
      </c>
      <c r="E50" s="197" t="s">
        <v>65</v>
      </c>
    </row>
    <row r="51" spans="1:9" ht="30.6" customHeight="1" x14ac:dyDescent="0.25">
      <c r="A51" s="397" t="s">
        <v>239</v>
      </c>
      <c r="B51" s="397"/>
      <c r="C51" s="397"/>
      <c r="D51" s="179">
        <f>ROUND((E49/D50),2)-0.02</f>
        <v>14.06</v>
      </c>
      <c r="E51" s="191" t="s">
        <v>244</v>
      </c>
      <c r="F51" s="39"/>
    </row>
    <row r="52" spans="1:9" ht="15.75" x14ac:dyDescent="0.25">
      <c r="A52" s="180"/>
      <c r="B52" s="181"/>
      <c r="C52" s="181"/>
      <c r="D52" s="182"/>
      <c r="E52" s="160"/>
    </row>
    <row r="53" spans="1:9" ht="15" customHeight="1" x14ac:dyDescent="0.25">
      <c r="A53" s="397" t="s">
        <v>203</v>
      </c>
      <c r="B53" s="397"/>
      <c r="C53" s="397"/>
      <c r="D53" s="183">
        <f>2*2*7.9795</f>
        <v>31.917999999999999</v>
      </c>
      <c r="E53" s="179" t="s">
        <v>53</v>
      </c>
    </row>
    <row r="54" spans="1:9" ht="30" customHeight="1" x14ac:dyDescent="0.25">
      <c r="A54" s="411" t="s">
        <v>236</v>
      </c>
      <c r="B54" s="411"/>
      <c r="C54" s="411"/>
      <c r="D54" s="179">
        <f>ROUND((E49/D53),2)</f>
        <v>158.16999999999999</v>
      </c>
      <c r="E54" s="191" t="s">
        <v>246</v>
      </c>
    </row>
    <row r="56" spans="1:9" x14ac:dyDescent="0.25">
      <c r="G56" s="14"/>
    </row>
  </sheetData>
  <mergeCells count="9">
    <mergeCell ref="A51:C51"/>
    <mergeCell ref="A53:C53"/>
    <mergeCell ref="A54:C54"/>
    <mergeCell ref="A2:C2"/>
    <mergeCell ref="A3:E3"/>
    <mergeCell ref="A4:B4"/>
    <mergeCell ref="A24:A32"/>
    <mergeCell ref="B24:B32"/>
    <mergeCell ref="A50:C50"/>
  </mergeCells>
  <pageMargins left="0.7" right="0.7" top="0.75" bottom="0.75" header="0.3" footer="0.3"/>
  <pageSetup paperSize="9" orientation="landscape" r:id="rId1"/>
  <rowBreaks count="1" manualBreakCount="1">
    <brk id="43" max="16383" man="1"/>
  </rowBreaks>
  <ignoredErrors>
    <ignoredError sqref="D44 D34 D16:E16" formula="1"/>
  </ignoredError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9638C-CD33-417C-A82C-50148B5A9D5D}">
  <dimension ref="A1:I56"/>
  <sheetViews>
    <sheetView topLeftCell="B42" zoomScaleNormal="100" workbookViewId="0">
      <selection activeCell="D55" sqref="D55"/>
    </sheetView>
  </sheetViews>
  <sheetFormatPr defaultRowHeight="15" x14ac:dyDescent="0.25"/>
  <cols>
    <col min="1" max="1" width="12.42578125" customWidth="1"/>
    <col min="2" max="2" width="27.28515625" customWidth="1"/>
    <col min="3" max="3" width="63.5703125" customWidth="1"/>
    <col min="4" max="4" width="10.140625" style="14" customWidth="1"/>
    <col min="5" max="5" width="17.5703125" style="14" customWidth="1"/>
  </cols>
  <sheetData>
    <row r="1" spans="1:9" s="165" customFormat="1" ht="18.75" x14ac:dyDescent="0.3">
      <c r="A1" s="148" t="s">
        <v>46</v>
      </c>
      <c r="D1" s="236"/>
      <c r="E1" s="236"/>
    </row>
    <row r="2" spans="1:9" ht="18.75" x14ac:dyDescent="0.3">
      <c r="A2" s="404" t="s">
        <v>269</v>
      </c>
      <c r="B2" s="404"/>
      <c r="C2" s="404"/>
    </row>
    <row r="3" spans="1:9" ht="18.75" x14ac:dyDescent="0.25">
      <c r="A3" s="398" t="s">
        <v>253</v>
      </c>
      <c r="B3" s="398"/>
      <c r="C3" s="398"/>
      <c r="D3" s="398"/>
      <c r="E3" s="398"/>
    </row>
    <row r="4" spans="1:9" ht="15.75" x14ac:dyDescent="0.25">
      <c r="A4" s="405" t="s">
        <v>64</v>
      </c>
      <c r="B4" s="405"/>
    </row>
    <row r="6" spans="1:9" ht="78.75" x14ac:dyDescent="0.25">
      <c r="A6" s="139" t="s">
        <v>0</v>
      </c>
      <c r="B6" s="139" t="s">
        <v>1</v>
      </c>
      <c r="C6" s="139" t="s">
        <v>2</v>
      </c>
      <c r="D6" s="158" t="s">
        <v>26</v>
      </c>
      <c r="E6" s="85" t="s">
        <v>27</v>
      </c>
    </row>
    <row r="7" spans="1:9" ht="15.75" x14ac:dyDescent="0.25">
      <c r="A7" s="92">
        <v>1</v>
      </c>
      <c r="B7" s="92">
        <v>2</v>
      </c>
      <c r="C7" s="92">
        <v>3</v>
      </c>
      <c r="D7" s="44">
        <v>4</v>
      </c>
      <c r="E7" s="44">
        <v>5</v>
      </c>
    </row>
    <row r="8" spans="1:9" ht="15.75" x14ac:dyDescent="0.25">
      <c r="A8" s="4"/>
      <c r="B8" s="7" t="s">
        <v>7</v>
      </c>
      <c r="C8" s="92" t="s">
        <v>8</v>
      </c>
      <c r="D8" s="42"/>
      <c r="E8" s="42"/>
    </row>
    <row r="9" spans="1:9" ht="15.75" x14ac:dyDescent="0.25">
      <c r="A9" s="8">
        <v>1000</v>
      </c>
      <c r="B9" s="7" t="s">
        <v>9</v>
      </c>
      <c r="C9" s="269"/>
      <c r="D9" s="43">
        <f>D10+D16</f>
        <v>0.56000000000000005</v>
      </c>
      <c r="E9" s="43">
        <f>E10+E16</f>
        <v>5215.1099999999997</v>
      </c>
    </row>
    <row r="10" spans="1:9" ht="15.75" x14ac:dyDescent="0.25">
      <c r="A10" s="265">
        <v>1100</v>
      </c>
      <c r="B10" s="265" t="s">
        <v>10</v>
      </c>
      <c r="C10" s="269"/>
      <c r="D10" s="43">
        <f>SUM(D12:D15)</f>
        <v>0.44</v>
      </c>
      <c r="E10" s="43">
        <f>SUM(E12:E15)</f>
        <v>4070</v>
      </c>
    </row>
    <row r="11" spans="1:9" ht="15.75" x14ac:dyDescent="0.25">
      <c r="A11" s="16">
        <v>1110</v>
      </c>
      <c r="B11" s="16" t="s">
        <v>217</v>
      </c>
      <c r="C11" s="285" t="s">
        <v>218</v>
      </c>
      <c r="D11" s="108">
        <f>SUM(D12:D14)</f>
        <v>0.4</v>
      </c>
      <c r="E11" s="108">
        <f>SUM(E12:E14)</f>
        <v>3699.99</v>
      </c>
    </row>
    <row r="12" spans="1:9" ht="79.5" customHeight="1" x14ac:dyDescent="0.25">
      <c r="A12" s="126"/>
      <c r="B12" s="129"/>
      <c r="C12" s="142" t="s">
        <v>1378</v>
      </c>
      <c r="D12" s="108">
        <f>ROUND((E12/9450),2)</f>
        <v>0.02</v>
      </c>
      <c r="E12" s="108">
        <f>ROUND((51.33*12*0.2415),2)</f>
        <v>148.75</v>
      </c>
      <c r="G12" s="50"/>
      <c r="I12" s="82"/>
    </row>
    <row r="13" spans="1:9" ht="76.5" customHeight="1" x14ac:dyDescent="0.25">
      <c r="A13" s="143"/>
      <c r="B13" s="144"/>
      <c r="C13" s="142" t="s">
        <v>1379</v>
      </c>
      <c r="D13" s="108">
        <f t="shared" ref="D13:D18" si="0">ROUND((E13/9450),2)</f>
        <v>0.36</v>
      </c>
      <c r="E13" s="108">
        <f>ROUND((1168.83*12*0.2415),2)</f>
        <v>3387.27</v>
      </c>
      <c r="G13" s="39"/>
      <c r="I13" s="82"/>
    </row>
    <row r="14" spans="1:9" ht="78.75" x14ac:dyDescent="0.25">
      <c r="A14" s="128"/>
      <c r="B14" s="131"/>
      <c r="C14" s="142" t="s">
        <v>1380</v>
      </c>
      <c r="D14" s="108">
        <f t="shared" si="0"/>
        <v>0.02</v>
      </c>
      <c r="E14" s="108">
        <f>ROUND((56.58*12*0.2415),2)</f>
        <v>163.97</v>
      </c>
      <c r="F14" s="39"/>
      <c r="G14" s="39"/>
      <c r="I14" s="82"/>
    </row>
    <row r="15" spans="1:9" ht="63.95" customHeight="1" x14ac:dyDescent="0.25">
      <c r="A15" s="122">
        <v>1140</v>
      </c>
      <c r="B15" s="5" t="s">
        <v>214</v>
      </c>
      <c r="C15" s="142" t="s">
        <v>1381</v>
      </c>
      <c r="D15" s="108">
        <f t="shared" si="0"/>
        <v>0.04</v>
      </c>
      <c r="E15" s="108">
        <f>ROUND((148.75*0.1+3387.27*0.1+163.97*0.1+0.01),2)</f>
        <v>370.01</v>
      </c>
      <c r="F15" s="39"/>
      <c r="I15" s="82"/>
    </row>
    <row r="16" spans="1:9" ht="63" customHeight="1" x14ac:dyDescent="0.25">
      <c r="A16" s="7">
        <v>1200</v>
      </c>
      <c r="B16" s="288" t="s">
        <v>11</v>
      </c>
      <c r="C16" s="166" t="s">
        <v>1384</v>
      </c>
      <c r="D16" s="86">
        <f>ROUND((D17+D18),2)</f>
        <v>0.12</v>
      </c>
      <c r="E16" s="86">
        <f>ROUND((E17+E18),2)</f>
        <v>1145.1099999999999</v>
      </c>
      <c r="I16" s="82"/>
    </row>
    <row r="17" spans="1:9" ht="47.25" x14ac:dyDescent="0.25">
      <c r="A17" s="4">
        <v>1210</v>
      </c>
      <c r="B17" s="5" t="s">
        <v>216</v>
      </c>
      <c r="C17" s="166" t="s">
        <v>1383</v>
      </c>
      <c r="D17" s="108">
        <f t="shared" si="0"/>
        <v>0.1</v>
      </c>
      <c r="E17" s="44">
        <f>ROUND((4070*0.2359),2)</f>
        <v>960.11</v>
      </c>
      <c r="I17" s="82"/>
    </row>
    <row r="18" spans="1:9" ht="63" x14ac:dyDescent="0.25">
      <c r="A18" s="4">
        <v>1227</v>
      </c>
      <c r="B18" s="5" t="s">
        <v>215</v>
      </c>
      <c r="C18" s="142" t="s">
        <v>1382</v>
      </c>
      <c r="D18" s="108">
        <f t="shared" si="0"/>
        <v>0.02</v>
      </c>
      <c r="E18" s="108">
        <f>ROUND((148.75*0.05+3387.27*0.05+163.97*0.05),2)</f>
        <v>185</v>
      </c>
      <c r="F18" s="39"/>
      <c r="G18" s="39"/>
      <c r="H18" s="39"/>
      <c r="I18" s="82"/>
    </row>
    <row r="19" spans="1:9" ht="15.75" x14ac:dyDescent="0.25">
      <c r="A19" s="4"/>
      <c r="B19" s="9" t="s">
        <v>14</v>
      </c>
      <c r="C19" s="93" t="s">
        <v>16</v>
      </c>
      <c r="D19" s="43">
        <f>D9</f>
        <v>0.56000000000000005</v>
      </c>
      <c r="E19" s="43">
        <f>E9</f>
        <v>5215.1099999999997</v>
      </c>
      <c r="F19" s="39"/>
      <c r="I19" s="82"/>
    </row>
    <row r="20" spans="1:9" ht="15.75" x14ac:dyDescent="0.25">
      <c r="A20" s="4"/>
      <c r="B20" s="9" t="s">
        <v>15</v>
      </c>
      <c r="C20" s="92" t="s">
        <v>8</v>
      </c>
      <c r="D20" s="42"/>
      <c r="E20" s="42"/>
      <c r="I20" s="82"/>
    </row>
    <row r="21" spans="1:9" ht="15.75" x14ac:dyDescent="0.25">
      <c r="A21" s="8">
        <v>1000</v>
      </c>
      <c r="B21" s="7" t="s">
        <v>9</v>
      </c>
      <c r="C21" s="92"/>
      <c r="D21" s="86">
        <f>SUM(D22+D33)</f>
        <v>0.45999999999999996</v>
      </c>
      <c r="E21" s="86">
        <f>SUM(E22+E33)</f>
        <v>4344.74</v>
      </c>
      <c r="I21" s="82"/>
    </row>
    <row r="22" spans="1:9" ht="15.75" x14ac:dyDescent="0.25">
      <c r="A22" s="4">
        <v>1100</v>
      </c>
      <c r="B22" s="4" t="s">
        <v>10</v>
      </c>
      <c r="C22" s="137" t="s">
        <v>223</v>
      </c>
      <c r="D22" s="86">
        <f>SUM(D23:D32)</f>
        <v>0.37</v>
      </c>
      <c r="E22" s="86">
        <f>SUM(E23:E32)</f>
        <v>3515.45</v>
      </c>
      <c r="I22" s="82"/>
    </row>
    <row r="23" spans="1:9" ht="78.95" customHeight="1" x14ac:dyDescent="0.25">
      <c r="A23" s="222"/>
      <c r="B23" s="223"/>
      <c r="C23" s="94" t="s">
        <v>1385</v>
      </c>
      <c r="D23" s="44">
        <f>ROUND((E23/9450),2)</f>
        <v>0.01</v>
      </c>
      <c r="E23" s="44">
        <f>ROUND((21.91*12*0.2415),2)</f>
        <v>63.5</v>
      </c>
      <c r="F23" s="39"/>
      <c r="G23" s="39"/>
      <c r="I23" s="82"/>
    </row>
    <row r="24" spans="1:9" ht="78.599999999999994" customHeight="1" x14ac:dyDescent="0.25">
      <c r="A24" s="401"/>
      <c r="B24" s="399"/>
      <c r="C24" s="142" t="s">
        <v>1386</v>
      </c>
      <c r="D24" s="44">
        <f t="shared" ref="D24:D33" si="1">ROUND((E24/9450),2)</f>
        <v>0</v>
      </c>
      <c r="E24" s="44">
        <f>ROUND((14.31*12*0.2415),2)</f>
        <v>41.47</v>
      </c>
      <c r="F24" s="39"/>
      <c r="G24" s="39"/>
      <c r="I24" s="82"/>
    </row>
    <row r="25" spans="1:9" ht="78.75" x14ac:dyDescent="0.25">
      <c r="A25" s="401"/>
      <c r="B25" s="399"/>
      <c r="C25" s="94" t="s">
        <v>1387</v>
      </c>
      <c r="D25" s="44">
        <f t="shared" si="1"/>
        <v>0.01</v>
      </c>
      <c r="E25" s="44">
        <f>ROUND((20.99*12*0.2415),2)</f>
        <v>60.83</v>
      </c>
      <c r="G25" s="39"/>
      <c r="I25" s="82"/>
    </row>
    <row r="26" spans="1:9" ht="78" customHeight="1" x14ac:dyDescent="0.25">
      <c r="A26" s="401"/>
      <c r="B26" s="399"/>
      <c r="C26" s="142" t="s">
        <v>1388</v>
      </c>
      <c r="D26" s="44">
        <f t="shared" si="1"/>
        <v>0.01</v>
      </c>
      <c r="E26" s="44">
        <f>ROUND((31.21*12*0.2415),2)</f>
        <v>90.45</v>
      </c>
      <c r="G26" s="39"/>
      <c r="I26" s="82"/>
    </row>
    <row r="27" spans="1:9" ht="78.75" customHeight="1" x14ac:dyDescent="0.25">
      <c r="A27" s="401"/>
      <c r="B27" s="399"/>
      <c r="C27" s="94" t="s">
        <v>1389</v>
      </c>
      <c r="D27" s="44">
        <f t="shared" si="1"/>
        <v>0.01</v>
      </c>
      <c r="E27" s="44">
        <f>ROUND((20.2*12*0.2415),2)</f>
        <v>58.54</v>
      </c>
      <c r="G27" s="39"/>
      <c r="I27" s="82"/>
    </row>
    <row r="28" spans="1:9" ht="77.45" customHeight="1" x14ac:dyDescent="0.25">
      <c r="A28" s="401"/>
      <c r="B28" s="399"/>
      <c r="C28" s="94" t="s">
        <v>1390</v>
      </c>
      <c r="D28" s="44">
        <f t="shared" si="1"/>
        <v>0.02</v>
      </c>
      <c r="E28" s="44">
        <f>ROUND((76.52*12*0.2415),2)</f>
        <v>221.75</v>
      </c>
      <c r="G28" s="39"/>
      <c r="I28" s="82"/>
    </row>
    <row r="29" spans="1:9" ht="78" customHeight="1" x14ac:dyDescent="0.25">
      <c r="A29" s="401"/>
      <c r="B29" s="399"/>
      <c r="C29" s="142" t="s">
        <v>1391</v>
      </c>
      <c r="D29" s="44">
        <f t="shared" si="1"/>
        <v>0.1</v>
      </c>
      <c r="E29" s="44">
        <f>ROUND((316.42*12*0.2415),2)</f>
        <v>916.99</v>
      </c>
      <c r="F29" s="50"/>
      <c r="G29" s="39"/>
      <c r="I29" s="82"/>
    </row>
    <row r="30" spans="1:9" ht="78" customHeight="1" x14ac:dyDescent="0.25">
      <c r="A30" s="401"/>
      <c r="B30" s="399"/>
      <c r="C30" s="94" t="s">
        <v>1392</v>
      </c>
      <c r="D30" s="44">
        <f t="shared" si="1"/>
        <v>0.15</v>
      </c>
      <c r="E30" s="44">
        <f>ROUND((486.37*12*0.2415),2)</f>
        <v>1409.5</v>
      </c>
      <c r="G30" s="39"/>
      <c r="I30" s="82"/>
    </row>
    <row r="31" spans="1:9" ht="94.5" x14ac:dyDescent="0.25">
      <c r="A31" s="401"/>
      <c r="B31" s="399"/>
      <c r="C31" s="94" t="s">
        <v>1393</v>
      </c>
      <c r="D31" s="44">
        <f>ROUND((E31/9450-0.01),2)</f>
        <v>0.05</v>
      </c>
      <c r="E31" s="44">
        <f>ROUND((180.65*12*0.2415),2)</f>
        <v>523.52</v>
      </c>
      <c r="G31" s="39"/>
      <c r="I31" s="82"/>
    </row>
    <row r="32" spans="1:9" ht="78.599999999999994" customHeight="1" x14ac:dyDescent="0.25">
      <c r="A32" s="402"/>
      <c r="B32" s="400"/>
      <c r="C32" s="94" t="s">
        <v>1394</v>
      </c>
      <c r="D32" s="44">
        <f t="shared" si="1"/>
        <v>0.01</v>
      </c>
      <c r="E32" s="44">
        <f>ROUND((44.48*12*0.2415),2)</f>
        <v>128.9</v>
      </c>
      <c r="G32" s="39"/>
      <c r="I32" s="82"/>
    </row>
    <row r="33" spans="1:9" ht="62.1" customHeight="1" x14ac:dyDescent="0.25">
      <c r="A33" s="7">
        <v>1200</v>
      </c>
      <c r="B33" s="156" t="s">
        <v>11</v>
      </c>
      <c r="C33" s="95" t="s">
        <v>1395</v>
      </c>
      <c r="D33" s="86">
        <f t="shared" si="1"/>
        <v>0.09</v>
      </c>
      <c r="E33" s="86">
        <f>ROUND((3515.45*0.2359),2)</f>
        <v>829.29</v>
      </c>
      <c r="I33" s="82"/>
    </row>
    <row r="34" spans="1:9" ht="15.75" x14ac:dyDescent="0.25">
      <c r="A34" s="8">
        <v>2000</v>
      </c>
      <c r="B34" s="7" t="s">
        <v>12</v>
      </c>
      <c r="C34" s="92"/>
      <c r="D34" s="43">
        <f>SUM(D35:D43)</f>
        <v>9.31</v>
      </c>
      <c r="E34" s="43">
        <f>SUM(E35:E43)</f>
        <v>88008.41</v>
      </c>
      <c r="I34" s="82"/>
    </row>
    <row r="35" spans="1:9" ht="31.5" x14ac:dyDescent="0.25">
      <c r="A35" s="4">
        <v>2221</v>
      </c>
      <c r="B35" s="84" t="s">
        <v>54</v>
      </c>
      <c r="C35" s="95" t="s">
        <v>392</v>
      </c>
      <c r="D35" s="44">
        <f>ROUND((E35/9450),2)</f>
        <v>0.7</v>
      </c>
      <c r="E35" s="44">
        <f>ROUND((27311.02*0.2415),2)</f>
        <v>6595.61</v>
      </c>
      <c r="I35" s="82"/>
    </row>
    <row r="36" spans="1:9" ht="31.5" x14ac:dyDescent="0.25">
      <c r="A36" s="4">
        <v>2222</v>
      </c>
      <c r="B36" s="118" t="s">
        <v>55</v>
      </c>
      <c r="C36" s="5" t="s">
        <v>393</v>
      </c>
      <c r="D36" s="44">
        <f t="shared" ref="D36:D43" si="2">ROUND((E36/9450),2)</f>
        <v>1.41</v>
      </c>
      <c r="E36" s="44">
        <f>ROUND((55363.67*0.2415),2)</f>
        <v>13370.33</v>
      </c>
      <c r="I36" s="82"/>
    </row>
    <row r="37" spans="1:9" ht="77.45" customHeight="1" x14ac:dyDescent="0.25">
      <c r="A37" s="4">
        <v>2224</v>
      </c>
      <c r="B37" s="84" t="s">
        <v>56</v>
      </c>
      <c r="C37" s="95" t="s">
        <v>394</v>
      </c>
      <c r="D37" s="44">
        <f>ROUND((E37/9450),2)</f>
        <v>0.69</v>
      </c>
      <c r="E37" s="44">
        <f>ROUND((27012.56*0.2415),2)</f>
        <v>6523.53</v>
      </c>
      <c r="I37" s="82"/>
    </row>
    <row r="38" spans="1:9" ht="32.1" customHeight="1" x14ac:dyDescent="0.25">
      <c r="A38" s="4">
        <v>2241</v>
      </c>
      <c r="B38" s="84" t="s">
        <v>58</v>
      </c>
      <c r="C38" s="166" t="s">
        <v>1607</v>
      </c>
      <c r="D38" s="44">
        <f t="shared" si="2"/>
        <v>0.94</v>
      </c>
      <c r="E38" s="44">
        <f>ROUND((36705.92*0.2415),2)</f>
        <v>8864.48</v>
      </c>
      <c r="I38" s="82"/>
    </row>
    <row r="39" spans="1:9" ht="78.75" x14ac:dyDescent="0.25">
      <c r="A39" s="4">
        <v>2243</v>
      </c>
      <c r="B39" s="84" t="s">
        <v>21</v>
      </c>
      <c r="C39" s="84" t="s">
        <v>395</v>
      </c>
      <c r="D39" s="44">
        <f>ROUND((E39/9450-0.01),2)</f>
        <v>0.06</v>
      </c>
      <c r="E39" s="159">
        <f>ROUND((2550.98*0.2415),2)</f>
        <v>616.05999999999995</v>
      </c>
      <c r="I39" s="82"/>
    </row>
    <row r="40" spans="1:9" ht="47.25" x14ac:dyDescent="0.25">
      <c r="A40" s="4">
        <v>2244</v>
      </c>
      <c r="B40" s="84" t="s">
        <v>22</v>
      </c>
      <c r="C40" s="95" t="s">
        <v>396</v>
      </c>
      <c r="D40" s="44">
        <f t="shared" si="2"/>
        <v>5.16</v>
      </c>
      <c r="E40" s="44">
        <f>ROUND((201856.75*0.2415),2)</f>
        <v>48748.41</v>
      </c>
      <c r="I40" s="82"/>
    </row>
    <row r="41" spans="1:9" ht="47.25" x14ac:dyDescent="0.25">
      <c r="A41" s="4">
        <v>2249</v>
      </c>
      <c r="B41" s="84" t="s">
        <v>45</v>
      </c>
      <c r="C41" s="95" t="s">
        <v>397</v>
      </c>
      <c r="D41" s="44">
        <f t="shared" si="2"/>
        <v>7.0000000000000007E-2</v>
      </c>
      <c r="E41" s="44">
        <f>ROUND((2767.49*0.2415),2)</f>
        <v>668.35</v>
      </c>
      <c r="I41" s="82"/>
    </row>
    <row r="42" spans="1:9" ht="62.25" customHeight="1" x14ac:dyDescent="0.25">
      <c r="A42" s="4">
        <v>2350</v>
      </c>
      <c r="B42" s="118" t="s">
        <v>213</v>
      </c>
      <c r="C42" s="95" t="s">
        <v>398</v>
      </c>
      <c r="D42" s="44">
        <f t="shared" si="2"/>
        <v>0.01</v>
      </c>
      <c r="E42" s="108">
        <f>ROUND((300.93*0.2415),2)</f>
        <v>72.67</v>
      </c>
      <c r="I42" s="82"/>
    </row>
    <row r="43" spans="1:9" ht="32.25" customHeight="1" x14ac:dyDescent="0.25">
      <c r="A43" s="4">
        <v>2513</v>
      </c>
      <c r="B43" s="118" t="s">
        <v>57</v>
      </c>
      <c r="C43" s="95" t="s">
        <v>399</v>
      </c>
      <c r="D43" s="44">
        <f t="shared" si="2"/>
        <v>0.27</v>
      </c>
      <c r="E43" s="44">
        <f>ROUND((10554.74*0.2415),2)</f>
        <v>2548.9699999999998</v>
      </c>
      <c r="I43" s="82"/>
    </row>
    <row r="44" spans="1:9" ht="17.25" customHeight="1" x14ac:dyDescent="0.25">
      <c r="A44" s="10">
        <v>5000</v>
      </c>
      <c r="B44" s="345" t="s">
        <v>17</v>
      </c>
      <c r="C44" s="269"/>
      <c r="D44" s="40">
        <f>SUM(D45:D47)</f>
        <v>0.73</v>
      </c>
      <c r="E44" s="40">
        <f>SUM(E45:E47)</f>
        <v>6902.12</v>
      </c>
      <c r="I44" s="82"/>
    </row>
    <row r="45" spans="1:9" ht="31.5" x14ac:dyDescent="0.25">
      <c r="A45" s="4">
        <v>5212</v>
      </c>
      <c r="B45" s="118" t="s">
        <v>31</v>
      </c>
      <c r="C45" s="95" t="s">
        <v>777</v>
      </c>
      <c r="D45" s="44">
        <f>ROUND((E45/9450),2)</f>
        <v>0.49</v>
      </c>
      <c r="E45" s="44">
        <f>ROUND((19086.29*0.2415),2)</f>
        <v>4609.34</v>
      </c>
      <c r="I45" s="82"/>
    </row>
    <row r="46" spans="1:9" ht="31.5" x14ac:dyDescent="0.25">
      <c r="A46" s="4">
        <v>5213</v>
      </c>
      <c r="B46" s="118" t="s">
        <v>32</v>
      </c>
      <c r="C46" s="95" t="s">
        <v>725</v>
      </c>
      <c r="D46" s="44">
        <f>ROUND((E46/9450),2)</f>
        <v>0.11</v>
      </c>
      <c r="E46" s="44">
        <f>ROUND((4441.97*0.2415),2)</f>
        <v>1072.74</v>
      </c>
      <c r="I46" s="82"/>
    </row>
    <row r="47" spans="1:9" ht="47.25" x14ac:dyDescent="0.25">
      <c r="A47" s="18">
        <v>5239</v>
      </c>
      <c r="B47" s="84" t="s">
        <v>18</v>
      </c>
      <c r="C47" s="95" t="s">
        <v>726</v>
      </c>
      <c r="D47" s="44">
        <f>ROUND((E47/9450),2)</f>
        <v>0.13</v>
      </c>
      <c r="E47" s="44">
        <f>ROUND((5051.93*0.2415),2)</f>
        <v>1220.04</v>
      </c>
      <c r="I47" s="82"/>
    </row>
    <row r="48" spans="1:9" ht="18" customHeight="1" x14ac:dyDescent="0.25">
      <c r="A48" s="161"/>
      <c r="B48" s="156" t="s">
        <v>23</v>
      </c>
      <c r="C48" s="269"/>
      <c r="D48" s="40">
        <f>SUM(D21+D34+D44)</f>
        <v>10.5</v>
      </c>
      <c r="E48" s="40">
        <f>SUM(E21+E34+E44)+12</f>
        <v>99267.27</v>
      </c>
      <c r="I48" s="82"/>
    </row>
    <row r="49" spans="1:9" ht="31.5" x14ac:dyDescent="0.25">
      <c r="A49" s="6"/>
      <c r="B49" s="11" t="s">
        <v>24</v>
      </c>
      <c r="C49" s="92"/>
      <c r="D49" s="87">
        <f>D19+D48</f>
        <v>11.06</v>
      </c>
      <c r="E49" s="41">
        <f>E19+E48</f>
        <v>104482.38</v>
      </c>
      <c r="F49" s="240"/>
      <c r="G49" s="240"/>
      <c r="I49" s="82"/>
    </row>
    <row r="50" spans="1:9" ht="15.75" x14ac:dyDescent="0.25">
      <c r="A50" s="397" t="s">
        <v>204</v>
      </c>
      <c r="B50" s="397"/>
      <c r="C50" s="397"/>
      <c r="D50" s="184">
        <f>35*3*89.98</f>
        <v>9447.9</v>
      </c>
      <c r="E50" s="197" t="s">
        <v>65</v>
      </c>
      <c r="I50" s="82"/>
    </row>
    <row r="51" spans="1:9" ht="30.6" customHeight="1" x14ac:dyDescent="0.25">
      <c r="A51" s="397" t="s">
        <v>239</v>
      </c>
      <c r="B51" s="397"/>
      <c r="C51" s="397"/>
      <c r="D51" s="185">
        <f>ROUND((E49/D50),2)</f>
        <v>11.06</v>
      </c>
      <c r="E51" s="191" t="s">
        <v>247</v>
      </c>
      <c r="I51" s="82"/>
    </row>
    <row r="52" spans="1:9" ht="15.75" x14ac:dyDescent="0.25">
      <c r="A52" s="59"/>
      <c r="B52" s="59"/>
      <c r="C52" s="59"/>
      <c r="D52" s="186"/>
      <c r="E52" s="241"/>
    </row>
    <row r="53" spans="1:9" ht="15.75" x14ac:dyDescent="0.25">
      <c r="A53" s="397" t="s">
        <v>205</v>
      </c>
      <c r="B53" s="397"/>
      <c r="C53" s="397"/>
      <c r="D53" s="183">
        <f>35*3*8.001</f>
        <v>840.1049999999999</v>
      </c>
      <c r="E53" s="179" t="s">
        <v>67</v>
      </c>
    </row>
    <row r="54" spans="1:9" ht="30" customHeight="1" x14ac:dyDescent="0.25">
      <c r="A54" s="411" t="s">
        <v>236</v>
      </c>
      <c r="B54" s="411"/>
      <c r="C54" s="411"/>
      <c r="D54" s="185">
        <f>ROUND((E49/D53),2)</f>
        <v>124.37</v>
      </c>
      <c r="E54" s="191" t="s">
        <v>246</v>
      </c>
    </row>
    <row r="56" spans="1:9" x14ac:dyDescent="0.25">
      <c r="G56" s="14"/>
    </row>
  </sheetData>
  <mergeCells count="9">
    <mergeCell ref="A51:C51"/>
    <mergeCell ref="A53:C53"/>
    <mergeCell ref="A54:C54"/>
    <mergeCell ref="A2:C2"/>
    <mergeCell ref="A3:E3"/>
    <mergeCell ref="A4:B4"/>
    <mergeCell ref="A24:A32"/>
    <mergeCell ref="B24:B32"/>
    <mergeCell ref="A50:C50"/>
  </mergeCells>
  <pageMargins left="0.7" right="0.7" top="0.75" bottom="0.75" header="0.3" footer="0.3"/>
  <pageSetup paperSize="9" orientation="landscape" r:id="rId1"/>
  <rowBreaks count="1" manualBreakCount="1">
    <brk id="45" max="4"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3C0E6-A383-442A-B9FE-07BFE395146F}">
  <dimension ref="A1:J60"/>
  <sheetViews>
    <sheetView topLeftCell="A50" zoomScaleNormal="100" workbookViewId="0">
      <selection activeCell="D59" sqref="D59"/>
    </sheetView>
  </sheetViews>
  <sheetFormatPr defaultRowHeight="15" x14ac:dyDescent="0.25"/>
  <cols>
    <col min="1" max="1" width="12.42578125" customWidth="1"/>
    <col min="2" max="2" width="27" customWidth="1"/>
    <col min="3" max="3" width="59.42578125" customWidth="1"/>
    <col min="4" max="4" width="9.140625" customWidth="1"/>
    <col min="5" max="5" width="17.85546875" customWidth="1"/>
    <col min="7" max="7" width="9.5703125" bestFit="1" customWidth="1"/>
    <col min="11" max="11" width="7.5703125" customWidth="1"/>
  </cols>
  <sheetData>
    <row r="1" spans="1:8" ht="18.75" x14ac:dyDescent="0.3">
      <c r="A1" s="53" t="s">
        <v>68</v>
      </c>
      <c r="B1" s="53"/>
      <c r="C1" s="53"/>
    </row>
    <row r="2" spans="1:8" ht="18.75" x14ac:dyDescent="0.3">
      <c r="A2" s="414" t="s">
        <v>160</v>
      </c>
      <c r="B2" s="414"/>
      <c r="C2" s="414"/>
      <c r="D2" s="414"/>
      <c r="E2" s="414"/>
    </row>
    <row r="3" spans="1:8" ht="18.75" x14ac:dyDescent="0.25">
      <c r="A3" s="415" t="s">
        <v>161</v>
      </c>
      <c r="B3" s="415"/>
      <c r="C3" s="415"/>
    </row>
    <row r="4" spans="1:8" ht="18.75" x14ac:dyDescent="0.3">
      <c r="A4" s="405" t="s">
        <v>64</v>
      </c>
      <c r="B4" s="405"/>
      <c r="C4" s="53"/>
    </row>
    <row r="6" spans="1:8" ht="78.75" x14ac:dyDescent="0.25">
      <c r="A6" s="139" t="s">
        <v>0</v>
      </c>
      <c r="B6" s="139" t="s">
        <v>1</v>
      </c>
      <c r="C6" s="139" t="s">
        <v>2</v>
      </c>
      <c r="D6" s="152" t="s">
        <v>26</v>
      </c>
      <c r="E6" s="152" t="s">
        <v>27</v>
      </c>
    </row>
    <row r="7" spans="1:8" ht="15.75" x14ac:dyDescent="0.25">
      <c r="A7" s="92">
        <v>1</v>
      </c>
      <c r="B7" s="92">
        <v>2</v>
      </c>
      <c r="C7" s="92">
        <v>3</v>
      </c>
      <c r="D7" s="27">
        <v>4</v>
      </c>
      <c r="E7" s="27">
        <v>5</v>
      </c>
    </row>
    <row r="8" spans="1:8" ht="15.75" x14ac:dyDescent="0.25">
      <c r="A8" s="4"/>
      <c r="B8" s="7" t="s">
        <v>7</v>
      </c>
      <c r="C8" s="92" t="s">
        <v>8</v>
      </c>
      <c r="D8" s="24"/>
      <c r="E8" s="22"/>
    </row>
    <row r="9" spans="1:8" ht="15.75" x14ac:dyDescent="0.25">
      <c r="A9" s="8">
        <v>1000</v>
      </c>
      <c r="B9" s="7" t="s">
        <v>9</v>
      </c>
      <c r="C9" s="269"/>
      <c r="D9" s="43">
        <f>D10+D16</f>
        <v>0.85999999999999988</v>
      </c>
      <c r="E9" s="43">
        <f>E10+E16</f>
        <v>2323.21</v>
      </c>
    </row>
    <row r="10" spans="1:8" ht="15.75" x14ac:dyDescent="0.25">
      <c r="A10" s="265">
        <v>1100</v>
      </c>
      <c r="B10" s="265" t="s">
        <v>10</v>
      </c>
      <c r="C10" s="269"/>
      <c r="D10" s="43">
        <f>SUM(D12:D15)</f>
        <v>0.66999999999999993</v>
      </c>
      <c r="E10" s="43">
        <f>SUM(E12:E15)</f>
        <v>1813.09</v>
      </c>
    </row>
    <row r="11" spans="1:8" ht="15.75" x14ac:dyDescent="0.25">
      <c r="A11" s="16">
        <v>1110</v>
      </c>
      <c r="B11" s="16" t="s">
        <v>217</v>
      </c>
      <c r="C11" s="285" t="s">
        <v>218</v>
      </c>
      <c r="D11" s="108">
        <f>SUM(D12:D14)</f>
        <v>0.61</v>
      </c>
      <c r="E11" s="108">
        <f>SUM(E12:E14)</f>
        <v>1648.26</v>
      </c>
    </row>
    <row r="12" spans="1:8" ht="94.5" x14ac:dyDescent="0.25">
      <c r="A12" s="126"/>
      <c r="B12" s="129"/>
      <c r="C12" s="123" t="s">
        <v>1396</v>
      </c>
      <c r="D12" s="108">
        <f>ROUND((E12/2688),2)</f>
        <v>0.11</v>
      </c>
      <c r="E12" s="108">
        <f>ROUND((41.82*12*0.6049),2)</f>
        <v>303.56</v>
      </c>
      <c r="G12" s="39"/>
    </row>
    <row r="13" spans="1:8" ht="94.5" x14ac:dyDescent="0.25">
      <c r="A13" s="143"/>
      <c r="B13" s="144"/>
      <c r="C13" s="123" t="s">
        <v>1397</v>
      </c>
      <c r="D13" s="108">
        <f t="shared" ref="D13:D18" si="0">ROUND((E13/2688),2)</f>
        <v>0.35</v>
      </c>
      <c r="E13" s="108">
        <f>ROUND((129.97*12*0.6049),2)</f>
        <v>943.43</v>
      </c>
      <c r="G13" s="39"/>
      <c r="H13" s="39"/>
    </row>
    <row r="14" spans="1:8" ht="77.25" customHeight="1" x14ac:dyDescent="0.25">
      <c r="A14" s="127"/>
      <c r="B14" s="130"/>
      <c r="C14" s="123" t="s">
        <v>1398</v>
      </c>
      <c r="D14" s="108">
        <f t="shared" si="0"/>
        <v>0.15</v>
      </c>
      <c r="E14" s="108">
        <f>ROUND((55.28*12*0.6049),2)</f>
        <v>401.27</v>
      </c>
      <c r="F14" s="39"/>
      <c r="G14" s="39"/>
    </row>
    <row r="15" spans="1:8" ht="63" customHeight="1" x14ac:dyDescent="0.25">
      <c r="A15" s="122">
        <v>1140</v>
      </c>
      <c r="B15" s="5" t="s">
        <v>214</v>
      </c>
      <c r="C15" s="142" t="s">
        <v>1399</v>
      </c>
      <c r="D15" s="108">
        <f t="shared" si="0"/>
        <v>0.06</v>
      </c>
      <c r="E15" s="108">
        <f>ROUND((303.56*0.1+943.43*0.1+401.27*0.1),2)</f>
        <v>164.83</v>
      </c>
    </row>
    <row r="16" spans="1:8" ht="63" x14ac:dyDescent="0.25">
      <c r="A16" s="7">
        <v>1200</v>
      </c>
      <c r="B16" s="289" t="s">
        <v>11</v>
      </c>
      <c r="C16" s="166" t="s">
        <v>1402</v>
      </c>
      <c r="D16" s="86">
        <f>ROUND((D17+D18),2)</f>
        <v>0.19</v>
      </c>
      <c r="E16" s="86">
        <f>ROUND((E17+E18),2)</f>
        <v>510.12</v>
      </c>
    </row>
    <row r="17" spans="1:10" ht="47.25" x14ac:dyDescent="0.25">
      <c r="A17" s="4">
        <v>1210</v>
      </c>
      <c r="B17" s="5" t="s">
        <v>216</v>
      </c>
      <c r="C17" s="166" t="s">
        <v>1400</v>
      </c>
      <c r="D17" s="108">
        <f t="shared" si="0"/>
        <v>0.16</v>
      </c>
      <c r="E17" s="108">
        <f>ROUND((1813.09*0.2359),2)</f>
        <v>427.71</v>
      </c>
    </row>
    <row r="18" spans="1:10" ht="62.45" customHeight="1" x14ac:dyDescent="0.25">
      <c r="A18" s="4">
        <v>1227</v>
      </c>
      <c r="B18" s="5" t="s">
        <v>215</v>
      </c>
      <c r="C18" s="142" t="s">
        <v>1401</v>
      </c>
      <c r="D18" s="108">
        <f t="shared" si="0"/>
        <v>0.03</v>
      </c>
      <c r="E18" s="108">
        <f>ROUND((303.56*0.05+943.43*0.05+401.27*0.05),2)</f>
        <v>82.41</v>
      </c>
      <c r="F18" s="39"/>
      <c r="G18" s="39"/>
      <c r="H18" s="39"/>
    </row>
    <row r="19" spans="1:10" ht="15.75" x14ac:dyDescent="0.25">
      <c r="A19" s="4"/>
      <c r="B19" s="9" t="s">
        <v>14</v>
      </c>
      <c r="C19" s="93" t="s">
        <v>16</v>
      </c>
      <c r="D19" s="43">
        <f>D9</f>
        <v>0.85999999999999988</v>
      </c>
      <c r="E19" s="43">
        <f>E9</f>
        <v>2323.21</v>
      </c>
    </row>
    <row r="20" spans="1:10" ht="15.75" x14ac:dyDescent="0.25">
      <c r="A20" s="4"/>
      <c r="B20" s="9" t="s">
        <v>15</v>
      </c>
      <c r="C20" s="92" t="s">
        <v>8</v>
      </c>
      <c r="D20" s="42"/>
      <c r="E20" s="42"/>
    </row>
    <row r="21" spans="1:10" ht="15.75" x14ac:dyDescent="0.25">
      <c r="A21" s="8">
        <v>1000</v>
      </c>
      <c r="B21" s="7" t="s">
        <v>9</v>
      </c>
      <c r="C21" s="92"/>
      <c r="D21" s="86">
        <f>SUM(D22+D34)</f>
        <v>0.73000000000000009</v>
      </c>
      <c r="E21" s="86">
        <f>SUM(E22+E34)</f>
        <v>1941.62</v>
      </c>
    </row>
    <row r="22" spans="1:10" ht="15.75" x14ac:dyDescent="0.25">
      <c r="A22" s="4">
        <v>1100</v>
      </c>
      <c r="B22" s="4" t="s">
        <v>10</v>
      </c>
      <c r="C22" s="137" t="s">
        <v>223</v>
      </c>
      <c r="D22" s="86">
        <f>SUM(D23:D33)</f>
        <v>0.59000000000000008</v>
      </c>
      <c r="E22" s="86">
        <f>SUM(E23:E33)</f>
        <v>1571.02</v>
      </c>
    </row>
    <row r="23" spans="1:10" ht="92.45" customHeight="1" x14ac:dyDescent="0.25">
      <c r="A23" s="222"/>
      <c r="B23" s="223"/>
      <c r="C23" s="94" t="s">
        <v>1403</v>
      </c>
      <c r="D23" s="44">
        <f>ROUND((E23/2688),2)</f>
        <v>0.04</v>
      </c>
      <c r="E23" s="44">
        <f>ROUND((14.8*12*0.6049),2)</f>
        <v>107.43</v>
      </c>
      <c r="G23" s="39"/>
      <c r="H23" s="39"/>
      <c r="J23" s="189"/>
    </row>
    <row r="24" spans="1:10" ht="96" customHeight="1" x14ac:dyDescent="0.25">
      <c r="A24" s="227"/>
      <c r="B24" s="228"/>
      <c r="C24" s="94" t="s">
        <v>1404</v>
      </c>
      <c r="D24" s="44">
        <f t="shared" ref="D24:D34" si="1">ROUND((E24/2688),2)</f>
        <v>0.01</v>
      </c>
      <c r="E24" s="44">
        <f>ROUND((2.06*12*0.6049),2)</f>
        <v>14.95</v>
      </c>
      <c r="F24" s="39"/>
      <c r="G24" s="39"/>
      <c r="J24" s="189"/>
    </row>
    <row r="25" spans="1:10" ht="78.599999999999994" customHeight="1" x14ac:dyDescent="0.25">
      <c r="A25" s="401"/>
      <c r="B25" s="399"/>
      <c r="C25" s="142" t="s">
        <v>1405</v>
      </c>
      <c r="D25" s="44">
        <f t="shared" si="1"/>
        <v>0</v>
      </c>
      <c r="E25" s="44">
        <f>ROUND((1.3*12*0.6049),2)</f>
        <v>9.44</v>
      </c>
      <c r="F25" s="39"/>
      <c r="G25" s="39"/>
      <c r="J25" s="189"/>
    </row>
    <row r="26" spans="1:10" ht="78.599999999999994" customHeight="1" x14ac:dyDescent="0.25">
      <c r="A26" s="401"/>
      <c r="B26" s="399"/>
      <c r="C26" s="142" t="s">
        <v>1406</v>
      </c>
      <c r="D26" s="44">
        <f t="shared" si="1"/>
        <v>0.01</v>
      </c>
      <c r="E26" s="44">
        <f>ROUND((1.95*12*0.6049),2)</f>
        <v>14.15</v>
      </c>
      <c r="F26" s="39"/>
      <c r="G26" s="39"/>
      <c r="J26" s="189"/>
    </row>
    <row r="27" spans="1:10" ht="78.599999999999994" customHeight="1" x14ac:dyDescent="0.25">
      <c r="A27" s="401"/>
      <c r="B27" s="399"/>
      <c r="C27" s="142" t="s">
        <v>1407</v>
      </c>
      <c r="D27" s="44">
        <f t="shared" si="1"/>
        <v>0.01</v>
      </c>
      <c r="E27" s="44">
        <f>ROUND((5*12*0.6049),2)</f>
        <v>36.29</v>
      </c>
      <c r="F27" s="39"/>
      <c r="J27" s="189"/>
    </row>
    <row r="28" spans="1:10" ht="78.599999999999994" customHeight="1" x14ac:dyDescent="0.25">
      <c r="A28" s="401"/>
      <c r="B28" s="399"/>
      <c r="C28" s="142" t="s">
        <v>1408</v>
      </c>
      <c r="D28" s="44">
        <f t="shared" si="1"/>
        <v>0</v>
      </c>
      <c r="E28" s="44">
        <f>ROUND((1.83*12*0.6049),2)</f>
        <v>13.28</v>
      </c>
      <c r="J28" s="189"/>
    </row>
    <row r="29" spans="1:10" ht="78" customHeight="1" x14ac:dyDescent="0.25">
      <c r="A29" s="401"/>
      <c r="B29" s="399"/>
      <c r="C29" s="94" t="s">
        <v>1409</v>
      </c>
      <c r="D29" s="44">
        <f t="shared" si="1"/>
        <v>0.13</v>
      </c>
      <c r="E29" s="44">
        <f>ROUND((48.75*12*0.6049),2)</f>
        <v>353.87</v>
      </c>
      <c r="F29" s="39"/>
      <c r="G29" s="39"/>
      <c r="J29" s="189"/>
    </row>
    <row r="30" spans="1:10" ht="78" customHeight="1" x14ac:dyDescent="0.25">
      <c r="A30" s="401"/>
      <c r="B30" s="399"/>
      <c r="C30" s="94" t="s">
        <v>1410</v>
      </c>
      <c r="D30" s="44">
        <f t="shared" si="1"/>
        <v>0.14000000000000001</v>
      </c>
      <c r="E30" s="44">
        <f>ROUND((50.96*12*0.6049),2)</f>
        <v>369.91</v>
      </c>
      <c r="F30" s="267"/>
      <c r="G30" s="267"/>
      <c r="J30" s="189"/>
    </row>
    <row r="31" spans="1:10" ht="76.5" customHeight="1" x14ac:dyDescent="0.25">
      <c r="A31" s="401"/>
      <c r="B31" s="399"/>
      <c r="C31" s="142" t="s">
        <v>1411</v>
      </c>
      <c r="D31" s="44">
        <f t="shared" si="1"/>
        <v>0.19</v>
      </c>
      <c r="E31" s="44">
        <f>ROUND((68.89*12*0.6049),2)</f>
        <v>500.06</v>
      </c>
      <c r="F31" s="39"/>
      <c r="G31" s="39"/>
      <c r="J31" s="189"/>
    </row>
    <row r="32" spans="1:10" ht="92.45" customHeight="1" x14ac:dyDescent="0.25">
      <c r="A32" s="401"/>
      <c r="B32" s="399"/>
      <c r="C32" s="123" t="s">
        <v>1412</v>
      </c>
      <c r="D32" s="44">
        <f t="shared" si="1"/>
        <v>0.05</v>
      </c>
      <c r="E32" s="44">
        <f>ROUND((16.81*12*0.6049),2)</f>
        <v>122.02</v>
      </c>
      <c r="F32" s="39"/>
      <c r="G32" s="39"/>
      <c r="J32" s="189"/>
    </row>
    <row r="33" spans="1:10" ht="79.5" customHeight="1" x14ac:dyDescent="0.25">
      <c r="A33" s="402"/>
      <c r="B33" s="400"/>
      <c r="C33" s="142" t="s">
        <v>1413</v>
      </c>
      <c r="D33" s="44">
        <f t="shared" si="1"/>
        <v>0.01</v>
      </c>
      <c r="E33" s="44">
        <f>ROUND((4.08*12*0.6049),2)</f>
        <v>29.62</v>
      </c>
      <c r="F33" s="39"/>
      <c r="G33" s="39"/>
      <c r="J33" s="189"/>
    </row>
    <row r="34" spans="1:10" ht="61.5" customHeight="1" x14ac:dyDescent="0.25">
      <c r="A34" s="7">
        <v>1200</v>
      </c>
      <c r="B34" s="156" t="s">
        <v>11</v>
      </c>
      <c r="C34" s="95" t="s">
        <v>1539</v>
      </c>
      <c r="D34" s="86">
        <f t="shared" si="1"/>
        <v>0.14000000000000001</v>
      </c>
      <c r="E34" s="86">
        <f>ROUND((1571.02*0.2359),2)</f>
        <v>370.6</v>
      </c>
      <c r="J34" s="189"/>
    </row>
    <row r="35" spans="1:10" ht="15.75" x14ac:dyDescent="0.25">
      <c r="A35" s="8">
        <v>2000</v>
      </c>
      <c r="B35" s="7" t="s">
        <v>12</v>
      </c>
      <c r="C35" s="92"/>
      <c r="D35" s="43">
        <f>SUM(D36:D46)</f>
        <v>3.2</v>
      </c>
      <c r="E35" s="43">
        <f>SUM(E36:E46)</f>
        <v>8626.7799999999988</v>
      </c>
      <c r="J35" s="189"/>
    </row>
    <row r="36" spans="1:10" ht="31.5" x14ac:dyDescent="0.25">
      <c r="A36" s="4">
        <v>2221</v>
      </c>
      <c r="B36" s="118" t="s">
        <v>54</v>
      </c>
      <c r="C36" s="96" t="s">
        <v>400</v>
      </c>
      <c r="D36" s="44">
        <f>ROUND((E36/2688),2)</f>
        <v>0.74</v>
      </c>
      <c r="E36" s="44">
        <f>ROUND((3292.99*0.6049),2)</f>
        <v>1991.93</v>
      </c>
      <c r="J36" s="189"/>
    </row>
    <row r="37" spans="1:10" ht="30" customHeight="1" x14ac:dyDescent="0.25">
      <c r="A37" s="4">
        <v>2222</v>
      </c>
      <c r="B37" s="118" t="s">
        <v>55</v>
      </c>
      <c r="C37" s="166" t="s">
        <v>401</v>
      </c>
      <c r="D37" s="44">
        <f>ROUND((E37/2688-0.01),2)</f>
        <v>0.06</v>
      </c>
      <c r="E37" s="44">
        <f>ROUND((290.56*0.6049),2)</f>
        <v>175.76</v>
      </c>
      <c r="J37" s="189"/>
    </row>
    <row r="38" spans="1:10" ht="31.5" x14ac:dyDescent="0.25">
      <c r="A38" s="4">
        <v>2223</v>
      </c>
      <c r="B38" s="118" t="s">
        <v>19</v>
      </c>
      <c r="C38" s="96" t="s">
        <v>402</v>
      </c>
      <c r="D38" s="44">
        <f t="shared" ref="D38:D46" si="2">ROUND((E38/2688),2)</f>
        <v>0.48</v>
      </c>
      <c r="E38" s="44">
        <f>ROUND((2123.63*0.6049),2)</f>
        <v>1284.58</v>
      </c>
      <c r="J38" s="189"/>
    </row>
    <row r="39" spans="1:10" ht="78.75" customHeight="1" x14ac:dyDescent="0.25">
      <c r="A39" s="4">
        <v>2224</v>
      </c>
      <c r="B39" s="343" t="s">
        <v>56</v>
      </c>
      <c r="C39" s="174" t="s">
        <v>403</v>
      </c>
      <c r="D39" s="44">
        <f t="shared" si="2"/>
        <v>0.08</v>
      </c>
      <c r="E39" s="44">
        <f>ROUND((374.96*0.6049),2)</f>
        <v>226.81</v>
      </c>
      <c r="J39" s="189"/>
    </row>
    <row r="40" spans="1:10" ht="33.75" customHeight="1" x14ac:dyDescent="0.25">
      <c r="A40" s="164">
        <v>2229</v>
      </c>
      <c r="B40" s="118" t="s">
        <v>41</v>
      </c>
      <c r="C40" s="175" t="s">
        <v>404</v>
      </c>
      <c r="D40" s="187">
        <f>ROUND((E40/2688),2)</f>
        <v>0</v>
      </c>
      <c r="E40" s="44">
        <f>ROUND((16.14*0.6049),2)</f>
        <v>9.76</v>
      </c>
      <c r="J40" s="189"/>
    </row>
    <row r="41" spans="1:10" ht="34.5" customHeight="1" x14ac:dyDescent="0.25">
      <c r="A41" s="4">
        <v>2241</v>
      </c>
      <c r="B41" s="84" t="s">
        <v>58</v>
      </c>
      <c r="C41" s="166" t="s">
        <v>1608</v>
      </c>
      <c r="D41" s="44">
        <f>ROUND((E41/2688),2)</f>
        <v>1</v>
      </c>
      <c r="E41" s="44">
        <f>ROUND((4426.16*0.6049),2)</f>
        <v>2677.38</v>
      </c>
      <c r="J41" s="189"/>
    </row>
    <row r="42" spans="1:10" ht="47.25" x14ac:dyDescent="0.25">
      <c r="A42" s="4">
        <v>2243</v>
      </c>
      <c r="B42" s="84" t="s">
        <v>21</v>
      </c>
      <c r="C42" s="117" t="s">
        <v>405</v>
      </c>
      <c r="D42" s="159">
        <f t="shared" si="2"/>
        <v>0.04</v>
      </c>
      <c r="E42" s="44">
        <f>ROUND((159.67*0.6049),2)</f>
        <v>96.58</v>
      </c>
      <c r="J42" s="189"/>
    </row>
    <row r="43" spans="1:10" ht="47.25" x14ac:dyDescent="0.25">
      <c r="A43" s="4">
        <v>2244</v>
      </c>
      <c r="B43" s="118" t="s">
        <v>22</v>
      </c>
      <c r="C43" s="95" t="s">
        <v>406</v>
      </c>
      <c r="D43" s="44">
        <f t="shared" si="2"/>
        <v>0.73</v>
      </c>
      <c r="E43" s="44">
        <f>ROUND(3240.24*0.6049,2)</f>
        <v>1960.02</v>
      </c>
      <c r="J43" s="189"/>
    </row>
    <row r="44" spans="1:10" ht="47.25" x14ac:dyDescent="0.25">
      <c r="A44" s="4">
        <v>2312</v>
      </c>
      <c r="B44" s="173" t="s">
        <v>13</v>
      </c>
      <c r="C44" s="166" t="s">
        <v>407</v>
      </c>
      <c r="D44" s="44">
        <f t="shared" si="2"/>
        <v>0</v>
      </c>
      <c r="E44" s="44">
        <f>ROUND(10.76*0.6049,2)</f>
        <v>6.51</v>
      </c>
      <c r="J44" s="189"/>
    </row>
    <row r="45" spans="1:10" ht="47.25" x14ac:dyDescent="0.25">
      <c r="A45" s="4">
        <v>2350</v>
      </c>
      <c r="B45" s="118" t="s">
        <v>213</v>
      </c>
      <c r="C45" s="95" t="s">
        <v>408</v>
      </c>
      <c r="D45" s="44">
        <f t="shared" si="2"/>
        <v>0.02</v>
      </c>
      <c r="E45" s="108">
        <f>ROUND((97.89*0.6049),2)</f>
        <v>59.21</v>
      </c>
      <c r="J45" s="189"/>
    </row>
    <row r="46" spans="1:10" ht="31.5" x14ac:dyDescent="0.25">
      <c r="A46" s="4">
        <v>2513</v>
      </c>
      <c r="B46" s="118" t="s">
        <v>57</v>
      </c>
      <c r="C46" s="95" t="s">
        <v>409</v>
      </c>
      <c r="D46" s="44">
        <f t="shared" si="2"/>
        <v>0.05</v>
      </c>
      <c r="E46" s="44">
        <f>ROUND((228.53*0.6049),2)</f>
        <v>138.24</v>
      </c>
      <c r="J46" s="189"/>
    </row>
    <row r="47" spans="1:10" ht="17.25" customHeight="1" x14ac:dyDescent="0.25">
      <c r="A47" s="10">
        <v>5000</v>
      </c>
      <c r="B47" s="345" t="s">
        <v>17</v>
      </c>
      <c r="C47" s="269"/>
      <c r="D47" s="40">
        <f>SUM(D48:D51)</f>
        <v>0.4</v>
      </c>
      <c r="E47" s="40">
        <f>SUM(E48:E51)</f>
        <v>1070.47</v>
      </c>
      <c r="J47" s="189"/>
    </row>
    <row r="48" spans="1:10" ht="31.5" x14ac:dyDescent="0.25">
      <c r="A48" s="4">
        <v>5212</v>
      </c>
      <c r="B48" s="118" t="s">
        <v>31</v>
      </c>
      <c r="C48" s="95" t="s">
        <v>727</v>
      </c>
      <c r="D48" s="44">
        <f>ROUND((E48/2688),2)</f>
        <v>0.14000000000000001</v>
      </c>
      <c r="E48" s="44">
        <f>ROUND((633.07*0.6049),2)</f>
        <v>382.94</v>
      </c>
      <c r="J48" s="189"/>
    </row>
    <row r="49" spans="1:10" ht="31.5" x14ac:dyDescent="0.25">
      <c r="A49" s="4">
        <v>5213</v>
      </c>
      <c r="B49" s="118" t="s">
        <v>32</v>
      </c>
      <c r="C49" s="95" t="s">
        <v>728</v>
      </c>
      <c r="D49" s="44">
        <f t="shared" ref="D49:D51" si="3">ROUND((E49/2688),2)</f>
        <v>0.1</v>
      </c>
      <c r="E49" s="44">
        <f>ROUND((452.66*0.6049),2)</f>
        <v>273.81</v>
      </c>
      <c r="J49" s="189"/>
    </row>
    <row r="50" spans="1:10" ht="31.5" x14ac:dyDescent="0.25">
      <c r="A50" s="18">
        <v>5218</v>
      </c>
      <c r="B50" s="84" t="s">
        <v>33</v>
      </c>
      <c r="C50" s="95" t="s">
        <v>729</v>
      </c>
      <c r="D50" s="44">
        <f t="shared" si="3"/>
        <v>7.0000000000000007E-2</v>
      </c>
      <c r="E50" s="44">
        <f>ROUND((301.17*0.6049),2)</f>
        <v>182.18</v>
      </c>
      <c r="J50" s="189"/>
    </row>
    <row r="51" spans="1:10" ht="47.25" x14ac:dyDescent="0.25">
      <c r="A51" s="18">
        <v>5239</v>
      </c>
      <c r="B51" s="84" t="s">
        <v>18</v>
      </c>
      <c r="C51" s="95" t="s">
        <v>730</v>
      </c>
      <c r="D51" s="44">
        <f t="shared" si="3"/>
        <v>0.09</v>
      </c>
      <c r="E51" s="44">
        <f>ROUND((382.77*0.6049),2)</f>
        <v>231.54</v>
      </c>
      <c r="J51" s="189"/>
    </row>
    <row r="52" spans="1:10" ht="15.75" x14ac:dyDescent="0.25">
      <c r="A52" s="161"/>
      <c r="B52" s="156" t="s">
        <v>23</v>
      </c>
      <c r="C52" s="92"/>
      <c r="D52" s="43">
        <f>SUM(D21+D35+D47)</f>
        <v>4.33</v>
      </c>
      <c r="E52" s="40">
        <f>SUM(E21+E35+E47)</f>
        <v>11638.869999999997</v>
      </c>
      <c r="J52" s="189"/>
    </row>
    <row r="53" spans="1:10" ht="31.5" x14ac:dyDescent="0.25">
      <c r="A53" s="6"/>
      <c r="B53" s="11" t="s">
        <v>28</v>
      </c>
      <c r="C53" s="92"/>
      <c r="D53" s="87">
        <f>D19+D52</f>
        <v>5.1899999999999995</v>
      </c>
      <c r="E53" s="41">
        <f>E19+E52</f>
        <v>13962.079999999998</v>
      </c>
      <c r="J53" s="189"/>
    </row>
    <row r="54" spans="1:10" s="69" customFormat="1" ht="33" customHeight="1" x14ac:dyDescent="0.25">
      <c r="A54" s="397" t="s">
        <v>210</v>
      </c>
      <c r="B54" s="397"/>
      <c r="C54" s="397"/>
      <c r="D54" s="183">
        <f>4*4*168.13</f>
        <v>2690.08</v>
      </c>
      <c r="E54" s="197" t="s">
        <v>65</v>
      </c>
      <c r="J54" s="189"/>
    </row>
    <row r="55" spans="1:10" s="69" customFormat="1" ht="33.75" customHeight="1" x14ac:dyDescent="0.25">
      <c r="A55" s="397" t="s">
        <v>239</v>
      </c>
      <c r="B55" s="397"/>
      <c r="C55" s="397"/>
      <c r="D55" s="179">
        <f>ROUND((E53/D54),2)</f>
        <v>5.19</v>
      </c>
      <c r="E55" s="191" t="s">
        <v>244</v>
      </c>
      <c r="J55" s="189"/>
    </row>
    <row r="56" spans="1:10" ht="15.75" x14ac:dyDescent="0.25">
      <c r="A56" s="59"/>
      <c r="B56" s="59"/>
      <c r="C56" s="59"/>
      <c r="D56" s="200"/>
      <c r="E56" s="241"/>
    </row>
    <row r="57" spans="1:10" ht="30.75" customHeight="1" x14ac:dyDescent="0.25">
      <c r="A57" s="397" t="s">
        <v>211</v>
      </c>
      <c r="B57" s="397"/>
      <c r="C57" s="397"/>
      <c r="D57" s="183">
        <f>4*4*11</f>
        <v>176</v>
      </c>
      <c r="E57" s="179" t="s">
        <v>67</v>
      </c>
    </row>
    <row r="58" spans="1:10" ht="31.5" x14ac:dyDescent="0.25">
      <c r="A58" s="411" t="s">
        <v>236</v>
      </c>
      <c r="B58" s="411"/>
      <c r="C58" s="411"/>
      <c r="D58" s="179">
        <f>ROUND((E53/D57),2)</f>
        <v>79.33</v>
      </c>
      <c r="E58" s="191" t="s">
        <v>243</v>
      </c>
    </row>
    <row r="60" spans="1:10" x14ac:dyDescent="0.25">
      <c r="G60" s="14"/>
    </row>
  </sheetData>
  <mergeCells count="9">
    <mergeCell ref="A2:E2"/>
    <mergeCell ref="A55:C55"/>
    <mergeCell ref="A57:C57"/>
    <mergeCell ref="A58:C58"/>
    <mergeCell ref="A3:C3"/>
    <mergeCell ref="A4:B4"/>
    <mergeCell ref="A25:A33"/>
    <mergeCell ref="B25:B33"/>
    <mergeCell ref="A54:C54"/>
  </mergeCells>
  <pageMargins left="0.7" right="0.7" top="0.75" bottom="0.75" header="0.3" footer="0.3"/>
  <pageSetup paperSize="9" orientation="landscape" r:id="rId1"/>
  <rowBreaks count="1" manualBreakCount="1">
    <brk id="50"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2349F-ABA9-4816-A359-37CC105871C3}">
  <dimension ref="A1:I60"/>
  <sheetViews>
    <sheetView topLeftCell="A50" zoomScaleNormal="100" workbookViewId="0">
      <selection activeCell="D59" sqref="D59"/>
    </sheetView>
  </sheetViews>
  <sheetFormatPr defaultRowHeight="15" x14ac:dyDescent="0.25"/>
  <cols>
    <col min="1" max="1" width="12.28515625" customWidth="1"/>
    <col min="2" max="2" width="26.7109375" customWidth="1"/>
    <col min="3" max="3" width="62.5703125" customWidth="1"/>
    <col min="4" max="4" width="9.7109375" customWidth="1"/>
    <col min="5" max="5" width="17.85546875" customWidth="1"/>
    <col min="7" max="7" width="9.5703125" bestFit="1" customWidth="1"/>
  </cols>
  <sheetData>
    <row r="1" spans="1:8" ht="18.75" x14ac:dyDescent="0.3">
      <c r="A1" s="53" t="s">
        <v>68</v>
      </c>
      <c r="B1" s="53"/>
      <c r="C1" s="53"/>
      <c r="D1" s="165"/>
      <c r="E1" s="165"/>
    </row>
    <row r="2" spans="1:8" ht="18.75" x14ac:dyDescent="0.3">
      <c r="A2" s="416" t="s">
        <v>160</v>
      </c>
      <c r="B2" s="416"/>
      <c r="C2" s="416"/>
      <c r="D2" s="416"/>
      <c r="E2" s="416"/>
    </row>
    <row r="3" spans="1:8" ht="18.75" x14ac:dyDescent="0.25">
      <c r="A3" s="415" t="s">
        <v>162</v>
      </c>
      <c r="B3" s="415"/>
      <c r="C3" s="415"/>
    </row>
    <row r="4" spans="1:8" ht="18.75" x14ac:dyDescent="0.3">
      <c r="A4" s="405" t="s">
        <v>64</v>
      </c>
      <c r="B4" s="405"/>
      <c r="C4" s="53"/>
    </row>
    <row r="6" spans="1:8" ht="78.75" x14ac:dyDescent="0.25">
      <c r="A6" s="139" t="s">
        <v>0</v>
      </c>
      <c r="B6" s="139" t="s">
        <v>1</v>
      </c>
      <c r="C6" s="139" t="s">
        <v>2</v>
      </c>
      <c r="D6" s="152" t="s">
        <v>26</v>
      </c>
      <c r="E6" s="52" t="s">
        <v>27</v>
      </c>
    </row>
    <row r="7" spans="1:8" x14ac:dyDescent="0.25">
      <c r="A7" s="277">
        <v>1</v>
      </c>
      <c r="B7" s="277">
        <v>2</v>
      </c>
      <c r="C7" s="277">
        <v>3</v>
      </c>
      <c r="D7" s="277">
        <v>4</v>
      </c>
      <c r="E7" s="277">
        <v>5</v>
      </c>
    </row>
    <row r="8" spans="1:8" ht="15.75" x14ac:dyDescent="0.25">
      <c r="A8" s="4"/>
      <c r="B8" s="7" t="s">
        <v>7</v>
      </c>
      <c r="C8" s="92" t="s">
        <v>8</v>
      </c>
      <c r="D8" s="24"/>
      <c r="E8" s="22"/>
    </row>
    <row r="9" spans="1:8" ht="15.75" x14ac:dyDescent="0.25">
      <c r="A9" s="8">
        <v>1000</v>
      </c>
      <c r="B9" s="7" t="s">
        <v>9</v>
      </c>
      <c r="C9" s="269"/>
      <c r="D9" s="43">
        <f>D10+D16</f>
        <v>0.76000000000000012</v>
      </c>
      <c r="E9" s="43">
        <f>E10+E16</f>
        <v>1517.42</v>
      </c>
    </row>
    <row r="10" spans="1:8" ht="15.75" x14ac:dyDescent="0.25">
      <c r="A10" s="265">
        <v>1100</v>
      </c>
      <c r="B10" s="265" t="s">
        <v>10</v>
      </c>
      <c r="C10" s="269"/>
      <c r="D10" s="43">
        <f>SUM(D12:D15)</f>
        <v>0.59000000000000008</v>
      </c>
      <c r="E10" s="43">
        <f>SUM(E12:E15)</f>
        <v>1184.24</v>
      </c>
    </row>
    <row r="11" spans="1:8" ht="15.75" x14ac:dyDescent="0.25">
      <c r="A11" s="16">
        <v>1110</v>
      </c>
      <c r="B11" s="16" t="s">
        <v>217</v>
      </c>
      <c r="C11" s="285" t="s">
        <v>218</v>
      </c>
      <c r="D11" s="108">
        <f>SUM(D12:D14)</f>
        <v>0.54</v>
      </c>
      <c r="E11" s="108">
        <f>SUM(E12:E14)</f>
        <v>1076.58</v>
      </c>
    </row>
    <row r="12" spans="1:8" ht="78" customHeight="1" x14ac:dyDescent="0.25">
      <c r="A12" s="126"/>
      <c r="B12" s="129"/>
      <c r="C12" s="123" t="s">
        <v>1430</v>
      </c>
      <c r="D12" s="58">
        <f>ROUND((E12/2016),2)</f>
        <v>0.1</v>
      </c>
      <c r="E12" s="108">
        <f>ROUND((41.82*12*0.3951),2)</f>
        <v>198.28</v>
      </c>
      <c r="G12" s="39"/>
    </row>
    <row r="13" spans="1:8" ht="79.5" customHeight="1" x14ac:dyDescent="0.25">
      <c r="A13" s="143"/>
      <c r="B13" s="144"/>
      <c r="C13" s="123" t="s">
        <v>1431</v>
      </c>
      <c r="D13" s="58">
        <f t="shared" ref="D13:D18" si="0">ROUND((E13/2016),2)</f>
        <v>0.31</v>
      </c>
      <c r="E13" s="108">
        <f>ROUND((129.97*12*0.3951),2)</f>
        <v>616.21</v>
      </c>
      <c r="G13" s="39"/>
      <c r="H13" s="39"/>
    </row>
    <row r="14" spans="1:8" ht="78.75" x14ac:dyDescent="0.25">
      <c r="A14" s="127"/>
      <c r="B14" s="130"/>
      <c r="C14" s="123" t="s">
        <v>1432</v>
      </c>
      <c r="D14" s="58">
        <f t="shared" si="0"/>
        <v>0.13</v>
      </c>
      <c r="E14" s="108">
        <f>ROUND((55.28*12*0.3951),2)</f>
        <v>262.08999999999997</v>
      </c>
      <c r="F14" s="39"/>
      <c r="G14" s="39"/>
    </row>
    <row r="15" spans="1:8" ht="64.5" customHeight="1" x14ac:dyDescent="0.25">
      <c r="A15" s="122">
        <v>1140</v>
      </c>
      <c r="B15" s="5" t="s">
        <v>214</v>
      </c>
      <c r="C15" s="142" t="s">
        <v>1414</v>
      </c>
      <c r="D15" s="58">
        <f t="shared" si="0"/>
        <v>0.05</v>
      </c>
      <c r="E15" s="108">
        <f>ROUND((198.28*0.1+616.21*0.1+262.09*0.1),2)</f>
        <v>107.66</v>
      </c>
    </row>
    <row r="16" spans="1:8" ht="62.25" customHeight="1" x14ac:dyDescent="0.25">
      <c r="A16" s="7">
        <v>1200</v>
      </c>
      <c r="B16" s="289" t="s">
        <v>11</v>
      </c>
      <c r="C16" s="166" t="s">
        <v>1417</v>
      </c>
      <c r="D16" s="86">
        <f>ROUND((D17+D18),2)</f>
        <v>0.17</v>
      </c>
      <c r="E16" s="86">
        <f>ROUND((E17+E18),2)</f>
        <v>333.18</v>
      </c>
    </row>
    <row r="17" spans="1:8" ht="47.25" x14ac:dyDescent="0.25">
      <c r="A17" s="4">
        <v>1210</v>
      </c>
      <c r="B17" s="5" t="s">
        <v>216</v>
      </c>
      <c r="C17" s="166" t="s">
        <v>1416</v>
      </c>
      <c r="D17" s="58">
        <f t="shared" si="0"/>
        <v>0.14000000000000001</v>
      </c>
      <c r="E17" s="108">
        <f>ROUND((1184.24*0.2359),2)</f>
        <v>279.36</v>
      </c>
    </row>
    <row r="18" spans="1:8" ht="64.5" customHeight="1" x14ac:dyDescent="0.25">
      <c r="A18" s="4">
        <v>1227</v>
      </c>
      <c r="B18" s="5" t="s">
        <v>215</v>
      </c>
      <c r="C18" s="142" t="s">
        <v>1415</v>
      </c>
      <c r="D18" s="58">
        <f t="shared" si="0"/>
        <v>0.03</v>
      </c>
      <c r="E18" s="108">
        <f>ROUND((198.28*0.05+616.21*0.05+262.09*0.05-0.01),2)</f>
        <v>53.82</v>
      </c>
      <c r="F18" s="39"/>
      <c r="G18" s="39"/>
      <c r="H18" s="39"/>
    </row>
    <row r="19" spans="1:8" ht="15.75" x14ac:dyDescent="0.25">
      <c r="A19" s="4"/>
      <c r="B19" s="9" t="s">
        <v>14</v>
      </c>
      <c r="C19" s="93" t="s">
        <v>16</v>
      </c>
      <c r="D19" s="25">
        <f>D9</f>
        <v>0.76000000000000012</v>
      </c>
      <c r="E19" s="43">
        <f>E9</f>
        <v>1517.42</v>
      </c>
    </row>
    <row r="20" spans="1:8" ht="15.75" x14ac:dyDescent="0.25">
      <c r="A20" s="4"/>
      <c r="B20" s="9" t="s">
        <v>15</v>
      </c>
      <c r="C20" s="92" t="s">
        <v>8</v>
      </c>
      <c r="D20" s="22"/>
      <c r="E20" s="42"/>
    </row>
    <row r="21" spans="1:8" ht="15.75" x14ac:dyDescent="0.25">
      <c r="A21" s="8">
        <v>1000</v>
      </c>
      <c r="B21" s="7" t="s">
        <v>9</v>
      </c>
      <c r="C21" s="92"/>
      <c r="D21" s="86">
        <f>SUM(D22+D34)</f>
        <v>0.6100000000000001</v>
      </c>
      <c r="E21" s="86">
        <f>SUM(E22+E34)</f>
        <v>1268.21</v>
      </c>
    </row>
    <row r="22" spans="1:8" ht="15.75" x14ac:dyDescent="0.25">
      <c r="A22" s="4">
        <v>1100</v>
      </c>
      <c r="B22" s="4" t="s">
        <v>10</v>
      </c>
      <c r="C22" s="137" t="s">
        <v>220</v>
      </c>
      <c r="D22" s="86">
        <f>SUM(D23:D33)</f>
        <v>0.49000000000000005</v>
      </c>
      <c r="E22" s="86">
        <f>SUM(E23:E33)</f>
        <v>1026.1400000000001</v>
      </c>
    </row>
    <row r="23" spans="1:8" ht="79.5" customHeight="1" x14ac:dyDescent="0.25">
      <c r="A23" s="222"/>
      <c r="B23" s="223"/>
      <c r="C23" s="94" t="s">
        <v>1418</v>
      </c>
      <c r="D23" s="44">
        <f>ROUND((E23/2016+0.01),2)</f>
        <v>0.04</v>
      </c>
      <c r="E23" s="44">
        <f>ROUND((14.8*12*0.3951),2)</f>
        <v>70.17</v>
      </c>
      <c r="G23" s="39"/>
      <c r="H23" s="39"/>
    </row>
    <row r="24" spans="1:8" ht="78.75" x14ac:dyDescent="0.25">
      <c r="A24" s="227"/>
      <c r="B24" s="228"/>
      <c r="C24" s="142" t="s">
        <v>1419</v>
      </c>
      <c r="D24" s="44">
        <f>ROUND((E24/2016),2)</f>
        <v>0</v>
      </c>
      <c r="E24" s="44">
        <f>ROUND((2.06*12*0.3951),2)</f>
        <v>9.77</v>
      </c>
      <c r="F24" s="39"/>
      <c r="G24" s="39"/>
    </row>
    <row r="25" spans="1:8" ht="78.75" x14ac:dyDescent="0.25">
      <c r="A25" s="401"/>
      <c r="B25" s="399"/>
      <c r="C25" s="142" t="s">
        <v>1420</v>
      </c>
      <c r="D25" s="44">
        <f t="shared" ref="D25:D31" si="1">ROUND((E25/2016),2)</f>
        <v>0</v>
      </c>
      <c r="E25" s="44">
        <f>ROUND((1.3*12*0.3951),2)</f>
        <v>6.16</v>
      </c>
      <c r="F25" s="39"/>
      <c r="G25" s="39"/>
    </row>
    <row r="26" spans="1:8" ht="78.75" x14ac:dyDescent="0.25">
      <c r="A26" s="401"/>
      <c r="B26" s="399"/>
      <c r="C26" s="94" t="s">
        <v>1421</v>
      </c>
      <c r="D26" s="44">
        <f t="shared" si="1"/>
        <v>0</v>
      </c>
      <c r="E26" s="44">
        <f>ROUND((1.95*12*0.3951),2)</f>
        <v>9.25</v>
      </c>
      <c r="F26" s="39"/>
      <c r="G26" s="39"/>
    </row>
    <row r="27" spans="1:8" ht="78.75" x14ac:dyDescent="0.25">
      <c r="A27" s="401"/>
      <c r="B27" s="399"/>
      <c r="C27" s="142" t="s">
        <v>1422</v>
      </c>
      <c r="D27" s="44">
        <f t="shared" si="1"/>
        <v>0.01</v>
      </c>
      <c r="E27" s="44">
        <f>ROUND((5*12*0.3951),2)</f>
        <v>23.71</v>
      </c>
      <c r="F27" s="39"/>
      <c r="G27" s="39"/>
    </row>
    <row r="28" spans="1:8" ht="78.75" x14ac:dyDescent="0.25">
      <c r="A28" s="401"/>
      <c r="B28" s="399"/>
      <c r="C28" s="94" t="s">
        <v>1423</v>
      </c>
      <c r="D28" s="44">
        <f t="shared" si="1"/>
        <v>0</v>
      </c>
      <c r="E28" s="44">
        <f>ROUND((1.83*12*0.3951),2)</f>
        <v>8.68</v>
      </c>
      <c r="G28" s="39"/>
    </row>
    <row r="29" spans="1:8" ht="78.75" x14ac:dyDescent="0.25">
      <c r="A29" s="401"/>
      <c r="B29" s="399"/>
      <c r="C29" s="94" t="s">
        <v>1424</v>
      </c>
      <c r="D29" s="44">
        <f t="shared" si="1"/>
        <v>0.11</v>
      </c>
      <c r="E29" s="44">
        <f>ROUND((48.75*12*0.3951),2)</f>
        <v>231.13</v>
      </c>
      <c r="F29" s="39"/>
      <c r="G29" s="39"/>
    </row>
    <row r="30" spans="1:8" ht="78.75" x14ac:dyDescent="0.25">
      <c r="A30" s="401"/>
      <c r="B30" s="399"/>
      <c r="C30" s="94" t="s">
        <v>1425</v>
      </c>
      <c r="D30" s="44">
        <f t="shared" si="1"/>
        <v>0.12</v>
      </c>
      <c r="E30" s="44">
        <f>ROUND((50.96*12*0.3951),2)</f>
        <v>241.61</v>
      </c>
      <c r="F30" s="267"/>
      <c r="G30" s="267"/>
    </row>
    <row r="31" spans="1:8" ht="78.75" x14ac:dyDescent="0.25">
      <c r="A31" s="401"/>
      <c r="B31" s="399"/>
      <c r="C31" s="142" t="s">
        <v>1426</v>
      </c>
      <c r="D31" s="44">
        <f t="shared" si="1"/>
        <v>0.16</v>
      </c>
      <c r="E31" s="44">
        <f>ROUND((68.89*12*0.3951),2)</f>
        <v>326.62</v>
      </c>
      <c r="F31" s="39"/>
      <c r="G31" s="39"/>
    </row>
    <row r="32" spans="1:8" ht="94.5" x14ac:dyDescent="0.25">
      <c r="A32" s="401"/>
      <c r="B32" s="399"/>
      <c r="C32" s="123" t="s">
        <v>1427</v>
      </c>
      <c r="D32" s="44">
        <f t="shared" ref="D32:D34" si="2">ROUND((E32/2016),2)</f>
        <v>0.04</v>
      </c>
      <c r="E32" s="44">
        <f>ROUND((16.81*12*0.3951),2)</f>
        <v>79.7</v>
      </c>
      <c r="F32" s="39"/>
      <c r="G32" s="39"/>
    </row>
    <row r="33" spans="1:9" ht="78.75" x14ac:dyDescent="0.25">
      <c r="A33" s="402"/>
      <c r="B33" s="400"/>
      <c r="C33" s="142" t="s">
        <v>1428</v>
      </c>
      <c r="D33" s="44">
        <f t="shared" si="2"/>
        <v>0.01</v>
      </c>
      <c r="E33" s="44">
        <f>ROUND((4.08*12*0.3951),2)</f>
        <v>19.34</v>
      </c>
      <c r="F33" s="39"/>
      <c r="G33" s="39"/>
    </row>
    <row r="34" spans="1:9" ht="60" customHeight="1" x14ac:dyDescent="0.25">
      <c r="A34" s="7">
        <v>1200</v>
      </c>
      <c r="B34" s="156" t="s">
        <v>11</v>
      </c>
      <c r="C34" s="95" t="s">
        <v>1429</v>
      </c>
      <c r="D34" s="86">
        <f t="shared" si="2"/>
        <v>0.12</v>
      </c>
      <c r="E34" s="86">
        <f>ROUND((1026.14*0.2359),2)</f>
        <v>242.07</v>
      </c>
    </row>
    <row r="35" spans="1:9" ht="15.75" x14ac:dyDescent="0.25">
      <c r="A35" s="8">
        <v>2000</v>
      </c>
      <c r="B35" s="7" t="s">
        <v>12</v>
      </c>
      <c r="C35" s="92"/>
      <c r="D35" s="43">
        <f>SUM(D36:D46)</f>
        <v>2.8</v>
      </c>
      <c r="E35" s="43">
        <f>SUM(E36:E46)</f>
        <v>5634.7500000000009</v>
      </c>
    </row>
    <row r="36" spans="1:9" ht="31.5" x14ac:dyDescent="0.25">
      <c r="A36" s="4">
        <v>2221</v>
      </c>
      <c r="B36" s="118" t="s">
        <v>54</v>
      </c>
      <c r="C36" s="96" t="s">
        <v>410</v>
      </c>
      <c r="D36" s="44">
        <f>ROUND((E36/2016),2)</f>
        <v>0.65</v>
      </c>
      <c r="E36" s="44">
        <f>ROUND((3292.99*0.3951),2)</f>
        <v>1301.06</v>
      </c>
    </row>
    <row r="37" spans="1:9" ht="31.5" x14ac:dyDescent="0.25">
      <c r="A37" s="4">
        <v>2222</v>
      </c>
      <c r="B37" s="118" t="s">
        <v>55</v>
      </c>
      <c r="C37" s="96" t="s">
        <v>411</v>
      </c>
      <c r="D37" s="44">
        <f t="shared" ref="D37:D45" si="3">ROUND((E37/2016),2)</f>
        <v>0.06</v>
      </c>
      <c r="E37" s="44">
        <f>ROUND((290.56*0.3951),2)</f>
        <v>114.8</v>
      </c>
    </row>
    <row r="38" spans="1:9" ht="31.5" x14ac:dyDescent="0.25">
      <c r="A38" s="4">
        <v>2223</v>
      </c>
      <c r="B38" s="118" t="s">
        <v>19</v>
      </c>
      <c r="C38" s="96" t="s">
        <v>412</v>
      </c>
      <c r="D38" s="44">
        <f t="shared" si="3"/>
        <v>0.42</v>
      </c>
      <c r="E38" s="44">
        <f>ROUND((2123.63*0.3951),2)</f>
        <v>839.05</v>
      </c>
    </row>
    <row r="39" spans="1:9" ht="78.75" customHeight="1" x14ac:dyDescent="0.25">
      <c r="A39" s="4">
        <v>2224</v>
      </c>
      <c r="B39" s="118" t="s">
        <v>56</v>
      </c>
      <c r="C39" s="5" t="s">
        <v>413</v>
      </c>
      <c r="D39" s="44">
        <f t="shared" si="3"/>
        <v>7.0000000000000007E-2</v>
      </c>
      <c r="E39" s="44">
        <f>ROUND((374.96*0.3951),2)</f>
        <v>148.15</v>
      </c>
    </row>
    <row r="40" spans="1:9" ht="32.25" customHeight="1" x14ac:dyDescent="0.25">
      <c r="A40" s="4">
        <v>2229</v>
      </c>
      <c r="B40" s="118" t="s">
        <v>41</v>
      </c>
      <c r="C40" s="175" t="s">
        <v>414</v>
      </c>
      <c r="D40" s="44">
        <f t="shared" si="3"/>
        <v>0</v>
      </c>
      <c r="E40" s="44">
        <f>ROUND((16.14*0.3951),2)</f>
        <v>6.38</v>
      </c>
    </row>
    <row r="41" spans="1:9" ht="31.5" x14ac:dyDescent="0.25">
      <c r="A41" s="4">
        <v>2241</v>
      </c>
      <c r="B41" s="84" t="s">
        <v>58</v>
      </c>
      <c r="C41" s="166" t="s">
        <v>1609</v>
      </c>
      <c r="D41" s="44">
        <f t="shared" si="3"/>
        <v>0.87</v>
      </c>
      <c r="E41" s="44">
        <f>ROUND((4426.16*0.3951),2)</f>
        <v>1748.78</v>
      </c>
    </row>
    <row r="42" spans="1:9" ht="47.25" x14ac:dyDescent="0.25">
      <c r="A42" s="4">
        <v>2243</v>
      </c>
      <c r="B42" s="118" t="s">
        <v>21</v>
      </c>
      <c r="C42" s="117" t="s">
        <v>415</v>
      </c>
      <c r="D42" s="44">
        <f t="shared" si="3"/>
        <v>0.03</v>
      </c>
      <c r="E42" s="44">
        <f>ROUND((159.67*0.3951),2)</f>
        <v>63.09</v>
      </c>
    </row>
    <row r="43" spans="1:9" ht="47.25" x14ac:dyDescent="0.25">
      <c r="A43" s="4">
        <v>2244</v>
      </c>
      <c r="B43" s="118" t="s">
        <v>22</v>
      </c>
      <c r="C43" s="95" t="s">
        <v>416</v>
      </c>
      <c r="D43" s="44">
        <f t="shared" si="3"/>
        <v>0.64</v>
      </c>
      <c r="E43" s="44">
        <f>ROUND(3240.24*0.3951,2)</f>
        <v>1280.22</v>
      </c>
    </row>
    <row r="44" spans="1:9" ht="47.25" x14ac:dyDescent="0.25">
      <c r="A44" s="4">
        <v>2312</v>
      </c>
      <c r="B44" s="173" t="s">
        <v>13</v>
      </c>
      <c r="C44" s="166" t="s">
        <v>417</v>
      </c>
      <c r="D44" s="44">
        <f>ROUND((E44/2016),2)</f>
        <v>0</v>
      </c>
      <c r="E44" s="44">
        <f>ROUND(10.76*0.3951,2)</f>
        <v>4.25</v>
      </c>
    </row>
    <row r="45" spans="1:9" ht="47.25" customHeight="1" x14ac:dyDescent="0.25">
      <c r="A45" s="4">
        <v>2350</v>
      </c>
      <c r="B45" s="118" t="s">
        <v>213</v>
      </c>
      <c r="C45" s="95" t="s">
        <v>418</v>
      </c>
      <c r="D45" s="44">
        <f t="shared" si="3"/>
        <v>0.02</v>
      </c>
      <c r="E45" s="108">
        <f>ROUND((97.89*0.3951),2)</f>
        <v>38.68</v>
      </c>
    </row>
    <row r="46" spans="1:9" ht="30.75" customHeight="1" x14ac:dyDescent="0.25">
      <c r="A46" s="4">
        <v>2513</v>
      </c>
      <c r="B46" s="118" t="s">
        <v>57</v>
      </c>
      <c r="C46" s="95" t="s">
        <v>419</v>
      </c>
      <c r="D46" s="44">
        <f>ROUND((E46/2016),2)</f>
        <v>0.04</v>
      </c>
      <c r="E46" s="44">
        <f>ROUND((228.53*0.3951),2)</f>
        <v>90.29</v>
      </c>
      <c r="I46" s="50"/>
    </row>
    <row r="47" spans="1:9" ht="15.75" x14ac:dyDescent="0.25">
      <c r="A47" s="10">
        <v>5000</v>
      </c>
      <c r="B47" s="345" t="s">
        <v>17</v>
      </c>
      <c r="C47" s="269"/>
      <c r="D47" s="40">
        <f>SUM(D48:D51)</f>
        <v>0.35000000000000003</v>
      </c>
      <c r="E47" s="40">
        <f>SUM(E48:E51)</f>
        <v>699.2</v>
      </c>
    </row>
    <row r="48" spans="1:9" ht="31.5" customHeight="1" x14ac:dyDescent="0.25">
      <c r="A48" s="4">
        <v>5212</v>
      </c>
      <c r="B48" s="118" t="s">
        <v>31</v>
      </c>
      <c r="C48" s="95" t="s">
        <v>731</v>
      </c>
      <c r="D48" s="44">
        <f>ROUND((E48/2016),2)</f>
        <v>0.12</v>
      </c>
      <c r="E48" s="44">
        <f>ROUND((633.07*0.3951),2)</f>
        <v>250.13</v>
      </c>
    </row>
    <row r="49" spans="1:7" ht="31.5" customHeight="1" x14ac:dyDescent="0.25">
      <c r="A49" s="4">
        <v>5213</v>
      </c>
      <c r="B49" s="118" t="s">
        <v>32</v>
      </c>
      <c r="C49" s="95" t="s">
        <v>732</v>
      </c>
      <c r="D49" s="44">
        <f t="shared" ref="D49:D51" si="4">ROUND((E49/2016),2)</f>
        <v>0.09</v>
      </c>
      <c r="E49" s="44">
        <f>ROUND((452.66*0.3951),2)</f>
        <v>178.85</v>
      </c>
    </row>
    <row r="50" spans="1:7" ht="31.5" customHeight="1" x14ac:dyDescent="0.25">
      <c r="A50" s="18">
        <v>5218</v>
      </c>
      <c r="B50" s="84" t="s">
        <v>33</v>
      </c>
      <c r="C50" s="95" t="s">
        <v>733</v>
      </c>
      <c r="D50" s="44">
        <f t="shared" si="4"/>
        <v>0.06</v>
      </c>
      <c r="E50" s="44">
        <f>ROUND((301.17*0.3951),2)</f>
        <v>118.99</v>
      </c>
    </row>
    <row r="51" spans="1:7" ht="47.25" x14ac:dyDescent="0.25">
      <c r="A51" s="18">
        <v>5239</v>
      </c>
      <c r="B51" s="84" t="s">
        <v>18</v>
      </c>
      <c r="C51" s="95" t="s">
        <v>734</v>
      </c>
      <c r="D51" s="44">
        <f t="shared" si="4"/>
        <v>0.08</v>
      </c>
      <c r="E51" s="44">
        <f>ROUND((382.77*0.3951),2)</f>
        <v>151.22999999999999</v>
      </c>
    </row>
    <row r="52" spans="1:7" ht="15.75" x14ac:dyDescent="0.25">
      <c r="A52" s="161"/>
      <c r="B52" s="156" t="s">
        <v>23</v>
      </c>
      <c r="C52" s="92"/>
      <c r="D52" s="43">
        <f>SUM(D21+D35+D47)</f>
        <v>3.7600000000000002</v>
      </c>
      <c r="E52" s="40">
        <f>SUM(E21+E35+E47)-3.1</f>
        <v>7599.06</v>
      </c>
      <c r="F52" s="14"/>
      <c r="G52" s="14"/>
    </row>
    <row r="53" spans="1:7" ht="31.5" x14ac:dyDescent="0.25">
      <c r="A53" s="6"/>
      <c r="B53" s="11" t="s">
        <v>28</v>
      </c>
      <c r="C53" s="92"/>
      <c r="D53" s="87">
        <f>D19+D52</f>
        <v>4.5200000000000005</v>
      </c>
      <c r="E53" s="41">
        <f>E19+E52</f>
        <v>9116.48</v>
      </c>
    </row>
    <row r="54" spans="1:7" s="69" customFormat="1" ht="32.25" customHeight="1" x14ac:dyDescent="0.25">
      <c r="A54" s="397" t="s">
        <v>206</v>
      </c>
      <c r="B54" s="397"/>
      <c r="C54" s="397"/>
      <c r="D54" s="183">
        <f>2*6*168</f>
        <v>2016</v>
      </c>
      <c r="E54" s="197" t="s">
        <v>65</v>
      </c>
    </row>
    <row r="55" spans="1:7" s="69" customFormat="1" ht="34.5" customHeight="1" x14ac:dyDescent="0.25">
      <c r="A55" s="397" t="s">
        <v>239</v>
      </c>
      <c r="B55" s="397"/>
      <c r="C55" s="397"/>
      <c r="D55" s="179">
        <f>ROUND((E53/D54),2)</f>
        <v>4.5199999999999996</v>
      </c>
      <c r="E55" s="191" t="s">
        <v>248</v>
      </c>
    </row>
    <row r="56" spans="1:7" ht="15.75" x14ac:dyDescent="0.25">
      <c r="A56" s="59"/>
      <c r="B56" s="59"/>
      <c r="C56" s="59"/>
      <c r="D56" s="186"/>
      <c r="E56" s="241"/>
    </row>
    <row r="57" spans="1:7" ht="18.75" customHeight="1" x14ac:dyDescent="0.25">
      <c r="A57" s="397" t="s">
        <v>207</v>
      </c>
      <c r="B57" s="397"/>
      <c r="C57" s="397"/>
      <c r="D57" s="183">
        <f>2*6*11.996</f>
        <v>143.952</v>
      </c>
      <c r="E57" s="179" t="s">
        <v>67</v>
      </c>
    </row>
    <row r="58" spans="1:7" ht="31.5" x14ac:dyDescent="0.25">
      <c r="A58" s="411" t="s">
        <v>236</v>
      </c>
      <c r="B58" s="411"/>
      <c r="C58" s="411"/>
      <c r="D58" s="179">
        <f>ROUND((E53/D57),2)</f>
        <v>63.33</v>
      </c>
      <c r="E58" s="191" t="s">
        <v>243</v>
      </c>
    </row>
    <row r="60" spans="1:7" x14ac:dyDescent="0.25">
      <c r="G60" s="14"/>
    </row>
  </sheetData>
  <mergeCells count="9">
    <mergeCell ref="A2:E2"/>
    <mergeCell ref="A55:C55"/>
    <mergeCell ref="A57:C57"/>
    <mergeCell ref="A58:C58"/>
    <mergeCell ref="A3:C3"/>
    <mergeCell ref="A4:B4"/>
    <mergeCell ref="A25:A33"/>
    <mergeCell ref="B25:B33"/>
    <mergeCell ref="A54:C54"/>
  </mergeCells>
  <pageMargins left="0.70866141732283472" right="0.70866141732283472" top="0.74803149606299213" bottom="0.74803149606299213" header="0.31496062992125984" footer="0.31496062992125984"/>
  <pageSetup paperSize="9" orientation="landscape" r:id="rId1"/>
  <rowBreaks count="1" manualBreakCount="1">
    <brk id="38" max="4"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AC5C92-5D3A-4671-9AF6-FE3F0AB478CA}">
  <dimension ref="A1:J59"/>
  <sheetViews>
    <sheetView topLeftCell="A50" zoomScaleNormal="100" workbookViewId="0">
      <selection activeCell="D58" sqref="D58"/>
    </sheetView>
  </sheetViews>
  <sheetFormatPr defaultRowHeight="15" x14ac:dyDescent="0.25"/>
  <cols>
    <col min="1" max="1" width="12.140625" customWidth="1"/>
    <col min="2" max="2" width="26.7109375" customWidth="1"/>
    <col min="3" max="3" width="62.85546875" customWidth="1"/>
    <col min="4" max="4" width="10.140625" customWidth="1"/>
    <col min="5" max="5" width="17.85546875" customWidth="1"/>
  </cols>
  <sheetData>
    <row r="1" spans="1:10" ht="18.75" x14ac:dyDescent="0.3">
      <c r="A1" s="53" t="s">
        <v>69</v>
      </c>
      <c r="B1" s="53"/>
      <c r="C1" s="53"/>
    </row>
    <row r="2" spans="1:10" ht="18.75" x14ac:dyDescent="0.3">
      <c r="A2" s="416" t="s">
        <v>163</v>
      </c>
      <c r="B2" s="416"/>
      <c r="C2" s="416"/>
      <c r="D2" s="416"/>
      <c r="E2" s="416"/>
    </row>
    <row r="3" spans="1:10" ht="18.75" x14ac:dyDescent="0.3">
      <c r="A3" s="404" t="s">
        <v>261</v>
      </c>
      <c r="B3" s="404"/>
      <c r="C3" s="404"/>
    </row>
    <row r="4" spans="1:10" ht="18.75" x14ac:dyDescent="0.3">
      <c r="A4" s="405" t="s">
        <v>64</v>
      </c>
      <c r="B4" s="405"/>
      <c r="C4" s="53"/>
    </row>
    <row r="6" spans="1:10" ht="78.75" x14ac:dyDescent="0.25">
      <c r="A6" s="139" t="s">
        <v>0</v>
      </c>
      <c r="B6" s="139" t="s">
        <v>1</v>
      </c>
      <c r="C6" s="139" t="s">
        <v>2</v>
      </c>
      <c r="D6" s="152" t="s">
        <v>26</v>
      </c>
      <c r="E6" s="52" t="s">
        <v>27</v>
      </c>
    </row>
    <row r="7" spans="1:10" ht="15.75" x14ac:dyDescent="0.25">
      <c r="A7" s="92">
        <v>1</v>
      </c>
      <c r="B7" s="92">
        <v>2</v>
      </c>
      <c r="C7" s="92">
        <v>3</v>
      </c>
      <c r="D7" s="27">
        <v>4</v>
      </c>
      <c r="E7" s="27">
        <v>5</v>
      </c>
    </row>
    <row r="8" spans="1:10" ht="15.75" x14ac:dyDescent="0.25">
      <c r="A8" s="4"/>
      <c r="B8" s="7" t="s">
        <v>7</v>
      </c>
      <c r="C8" s="92" t="s">
        <v>8</v>
      </c>
      <c r="D8" s="24"/>
      <c r="E8" s="22"/>
    </row>
    <row r="9" spans="1:10" ht="15.75" x14ac:dyDescent="0.25">
      <c r="A9" s="8">
        <v>1000</v>
      </c>
      <c r="B9" s="7" t="s">
        <v>9</v>
      </c>
      <c r="C9" s="269"/>
      <c r="D9" s="25">
        <f>D10+D16</f>
        <v>2.5</v>
      </c>
      <c r="E9" s="25">
        <f>E10+E16</f>
        <v>837.51999999999987</v>
      </c>
    </row>
    <row r="10" spans="1:10" ht="15.75" x14ac:dyDescent="0.25">
      <c r="A10" s="265">
        <v>1100</v>
      </c>
      <c r="B10" s="265" t="s">
        <v>10</v>
      </c>
      <c r="C10" s="269"/>
      <c r="D10" s="25">
        <f>SUM(D12:D15)</f>
        <v>1.95</v>
      </c>
      <c r="E10" s="25">
        <f>SUM(E12:E15)</f>
        <v>653.61999999999989</v>
      </c>
    </row>
    <row r="11" spans="1:10" ht="15.75" x14ac:dyDescent="0.25">
      <c r="A11" s="16">
        <v>1110</v>
      </c>
      <c r="B11" s="16" t="s">
        <v>217</v>
      </c>
      <c r="C11" s="285" t="s">
        <v>218</v>
      </c>
      <c r="D11" s="58">
        <f>SUM(D12:D14)</f>
        <v>1.77</v>
      </c>
      <c r="E11" s="58">
        <f>SUM(E12:E14)</f>
        <v>594.19999999999993</v>
      </c>
    </row>
    <row r="12" spans="1:10" ht="78.75" x14ac:dyDescent="0.25">
      <c r="A12" s="126"/>
      <c r="B12" s="129"/>
      <c r="C12" s="142" t="s">
        <v>1433</v>
      </c>
      <c r="D12" s="58">
        <f>ROUND((E12/336),2)</f>
        <v>0.33</v>
      </c>
      <c r="E12" s="108">
        <f>ROUND((65.6*12*0.1422),2)</f>
        <v>111.94</v>
      </c>
      <c r="F12" s="39"/>
      <c r="G12" s="39"/>
      <c r="J12" s="189"/>
    </row>
    <row r="13" spans="1:10" ht="78.599999999999994" customHeight="1" x14ac:dyDescent="0.25">
      <c r="A13" s="143"/>
      <c r="B13" s="144"/>
      <c r="C13" s="142" t="s">
        <v>1434</v>
      </c>
      <c r="D13" s="58">
        <f>ROUND((E13/336+0.01),2)</f>
        <v>1</v>
      </c>
      <c r="E13" s="108">
        <f>ROUND((195.9*12*0.1422),2)</f>
        <v>334.28</v>
      </c>
      <c r="F13" s="39"/>
      <c r="G13" s="39"/>
      <c r="J13" s="189"/>
    </row>
    <row r="14" spans="1:10" ht="80.099999999999994" customHeight="1" x14ac:dyDescent="0.25">
      <c r="A14" s="127"/>
      <c r="B14" s="130"/>
      <c r="C14" s="142" t="s">
        <v>1435</v>
      </c>
      <c r="D14" s="58">
        <f t="shared" ref="D14:D18" si="0">ROUND((E14/336),2)</f>
        <v>0.44</v>
      </c>
      <c r="E14" s="108">
        <f>ROUND((86.72*12*0.1422),2)</f>
        <v>147.97999999999999</v>
      </c>
      <c r="J14" s="189"/>
    </row>
    <row r="15" spans="1:10" ht="63" x14ac:dyDescent="0.25">
      <c r="A15" s="122">
        <v>1140</v>
      </c>
      <c r="B15" s="5" t="s">
        <v>214</v>
      </c>
      <c r="C15" s="142" t="s">
        <v>1436</v>
      </c>
      <c r="D15" s="58">
        <f t="shared" si="0"/>
        <v>0.18</v>
      </c>
      <c r="E15" s="108">
        <f>ROUND((111.94*0.1+334.28*0.1+147.98*0.1),2)</f>
        <v>59.42</v>
      </c>
      <c r="G15" s="39"/>
      <c r="H15" s="39"/>
      <c r="I15" s="39"/>
      <c r="J15" s="189"/>
    </row>
    <row r="16" spans="1:10" ht="63.75" customHeight="1" x14ac:dyDescent="0.25">
      <c r="A16" s="7">
        <v>1200</v>
      </c>
      <c r="B16" s="289" t="s">
        <v>11</v>
      </c>
      <c r="C16" s="166" t="s">
        <v>1439</v>
      </c>
      <c r="D16" s="83">
        <f>ROUND((D17+D18),2)</f>
        <v>0.55000000000000004</v>
      </c>
      <c r="E16" s="83">
        <f>ROUND((E17+E18),2)</f>
        <v>183.9</v>
      </c>
      <c r="J16" s="189"/>
    </row>
    <row r="17" spans="1:10" ht="47.25" x14ac:dyDescent="0.25">
      <c r="A17" s="4">
        <v>1210</v>
      </c>
      <c r="B17" s="5" t="s">
        <v>216</v>
      </c>
      <c r="C17" s="166" t="s">
        <v>1437</v>
      </c>
      <c r="D17" s="58">
        <f>ROUND((E17/336),2)</f>
        <v>0.46</v>
      </c>
      <c r="E17" s="108">
        <f>ROUND((653.62*0.2359),2)</f>
        <v>154.19</v>
      </c>
      <c r="J17" s="189"/>
    </row>
    <row r="18" spans="1:10" ht="63" x14ac:dyDescent="0.25">
      <c r="A18" s="4">
        <v>1227</v>
      </c>
      <c r="B18" s="5" t="s">
        <v>215</v>
      </c>
      <c r="C18" s="142" t="s">
        <v>1438</v>
      </c>
      <c r="D18" s="58">
        <f t="shared" si="0"/>
        <v>0.09</v>
      </c>
      <c r="E18" s="108">
        <f>ROUND((111.94*0.05+334.28*0.05+147.98*0.05),2)</f>
        <v>29.71</v>
      </c>
      <c r="F18" s="50"/>
      <c r="G18" s="50"/>
      <c r="H18" s="50"/>
      <c r="J18" s="189"/>
    </row>
    <row r="19" spans="1:10" ht="15.75" x14ac:dyDescent="0.25">
      <c r="A19" s="4"/>
      <c r="B19" s="9" t="s">
        <v>14</v>
      </c>
      <c r="C19" s="93" t="s">
        <v>16</v>
      </c>
      <c r="D19" s="25">
        <f>D9</f>
        <v>2.5</v>
      </c>
      <c r="E19" s="43">
        <f>E9</f>
        <v>837.51999999999987</v>
      </c>
      <c r="J19" s="189"/>
    </row>
    <row r="20" spans="1:10" ht="15.75" x14ac:dyDescent="0.25">
      <c r="A20" s="4"/>
      <c r="B20" s="9" t="s">
        <v>15</v>
      </c>
      <c r="C20" s="92" t="s">
        <v>8</v>
      </c>
      <c r="D20" s="22"/>
      <c r="E20" s="42"/>
      <c r="J20" s="189"/>
    </row>
    <row r="21" spans="1:10" ht="15.75" x14ac:dyDescent="0.25">
      <c r="A21" s="8">
        <v>1000</v>
      </c>
      <c r="B21" s="7" t="s">
        <v>9</v>
      </c>
      <c r="C21" s="92"/>
      <c r="D21" s="83">
        <f>SUM(D22+D34)</f>
        <v>1.9100000000000001</v>
      </c>
      <c r="E21" s="83">
        <f>SUM(E22+E34)</f>
        <v>642.17000000000007</v>
      </c>
      <c r="J21" s="189"/>
    </row>
    <row r="22" spans="1:10" ht="15.75" x14ac:dyDescent="0.25">
      <c r="A22" s="4">
        <v>1100</v>
      </c>
      <c r="B22" s="4" t="s">
        <v>10</v>
      </c>
      <c r="C22" s="137" t="s">
        <v>219</v>
      </c>
      <c r="D22" s="83">
        <f>SUM(D23:D33)</f>
        <v>1.55</v>
      </c>
      <c r="E22" s="83">
        <f>SUM(E23:E33)</f>
        <v>519.6</v>
      </c>
      <c r="J22" s="189"/>
    </row>
    <row r="23" spans="1:10" ht="77.45" customHeight="1" x14ac:dyDescent="0.25">
      <c r="A23" s="222"/>
      <c r="B23" s="223"/>
      <c r="C23" s="123" t="s">
        <v>1440</v>
      </c>
      <c r="D23" s="27">
        <f>ROUND((E23/336),2)</f>
        <v>0.12</v>
      </c>
      <c r="E23" s="45">
        <f>ROUND((23.12*12*0.1422),2)</f>
        <v>39.450000000000003</v>
      </c>
      <c r="F23" s="357"/>
      <c r="H23" s="50"/>
      <c r="J23" s="189"/>
    </row>
    <row r="24" spans="1:10" ht="78.75" x14ac:dyDescent="0.25">
      <c r="A24" s="227"/>
      <c r="B24" s="228"/>
      <c r="C24" s="123" t="s">
        <v>1441</v>
      </c>
      <c r="D24" s="27">
        <f t="shared" ref="D24:D34" si="1">ROUND((E24/336),2)</f>
        <v>0.01</v>
      </c>
      <c r="E24" s="27">
        <f>ROUND((1.72*12*0.1422),2)</f>
        <v>2.94</v>
      </c>
      <c r="G24" s="39"/>
      <c r="J24" s="189"/>
    </row>
    <row r="25" spans="1:10" ht="78.75" x14ac:dyDescent="0.25">
      <c r="A25" s="401"/>
      <c r="B25" s="399"/>
      <c r="C25" s="123" t="s">
        <v>1442</v>
      </c>
      <c r="D25" s="27">
        <f t="shared" si="1"/>
        <v>0.01</v>
      </c>
      <c r="E25" s="27">
        <f>ROUND((1.07*12*0.1422),2)</f>
        <v>1.83</v>
      </c>
      <c r="G25" s="39"/>
      <c r="J25" s="189"/>
    </row>
    <row r="26" spans="1:10" ht="78.75" x14ac:dyDescent="0.25">
      <c r="A26" s="401"/>
      <c r="B26" s="399"/>
      <c r="C26" s="123" t="s">
        <v>1443</v>
      </c>
      <c r="D26" s="27">
        <f t="shared" si="1"/>
        <v>0.01</v>
      </c>
      <c r="E26" s="27">
        <f>ROUND((1.61*12*0.1422),2)</f>
        <v>2.75</v>
      </c>
      <c r="G26" s="39"/>
      <c r="J26" s="189"/>
    </row>
    <row r="27" spans="1:10" ht="79.5" customHeight="1" x14ac:dyDescent="0.25">
      <c r="A27" s="401"/>
      <c r="B27" s="399"/>
      <c r="C27" s="142" t="s">
        <v>1444</v>
      </c>
      <c r="D27" s="27">
        <f t="shared" si="1"/>
        <v>0.04</v>
      </c>
      <c r="E27" s="27">
        <f>ROUND((7.88*12*0.1422),2)</f>
        <v>13.45</v>
      </c>
      <c r="F27" s="39"/>
      <c r="G27" s="39"/>
      <c r="H27" s="39"/>
      <c r="J27" s="189"/>
    </row>
    <row r="28" spans="1:10" ht="78.75" x14ac:dyDescent="0.25">
      <c r="A28" s="401"/>
      <c r="B28" s="399"/>
      <c r="C28" s="94" t="s">
        <v>1445</v>
      </c>
      <c r="D28" s="27">
        <f t="shared" si="1"/>
        <v>0.01</v>
      </c>
      <c r="E28" s="45">
        <f>ROUND((1.58*12*0.1422),2)</f>
        <v>2.7</v>
      </c>
      <c r="F28" s="39"/>
      <c r="G28" s="39"/>
      <c r="J28" s="189"/>
    </row>
    <row r="29" spans="1:10" ht="78.95" customHeight="1" x14ac:dyDescent="0.25">
      <c r="A29" s="401"/>
      <c r="B29" s="399"/>
      <c r="C29" s="94" t="s">
        <v>1446</v>
      </c>
      <c r="D29" s="27">
        <f>ROUND((E29/336),2)</f>
        <v>0.39</v>
      </c>
      <c r="E29" s="27">
        <f>ROUND((76.52*12*0.1422),2)</f>
        <v>130.57</v>
      </c>
      <c r="F29" s="39"/>
      <c r="G29" s="39"/>
      <c r="J29" s="189"/>
    </row>
    <row r="30" spans="1:10" ht="78.75" x14ac:dyDescent="0.25">
      <c r="A30" s="401"/>
      <c r="B30" s="399"/>
      <c r="C30" s="94" t="s">
        <v>1447</v>
      </c>
      <c r="D30" s="27">
        <f t="shared" si="1"/>
        <v>0.28000000000000003</v>
      </c>
      <c r="E30" s="27">
        <f>ROUND((55.86*12*0.1422),2)</f>
        <v>95.32</v>
      </c>
      <c r="F30" s="39"/>
      <c r="G30" s="39"/>
      <c r="J30" s="189"/>
    </row>
    <row r="31" spans="1:10" ht="78.75" x14ac:dyDescent="0.25">
      <c r="A31" s="401"/>
      <c r="B31" s="399"/>
      <c r="C31" s="142" t="s">
        <v>1448</v>
      </c>
      <c r="D31" s="27">
        <f t="shared" si="1"/>
        <v>0.56999999999999995</v>
      </c>
      <c r="E31" s="27">
        <f>ROUND((112.99*12*0.1422),2)</f>
        <v>192.81</v>
      </c>
      <c r="F31" s="39"/>
      <c r="G31" s="39"/>
      <c r="H31" s="39"/>
      <c r="J31" s="189"/>
    </row>
    <row r="32" spans="1:10" ht="93.95" customHeight="1" x14ac:dyDescent="0.25">
      <c r="A32" s="401"/>
      <c r="B32" s="399"/>
      <c r="C32" s="142" t="s">
        <v>1449</v>
      </c>
      <c r="D32" s="27">
        <f t="shared" si="1"/>
        <v>0.09</v>
      </c>
      <c r="E32" s="45">
        <f>ROUND((18.06*12*0.1422),2)</f>
        <v>30.82</v>
      </c>
      <c r="F32" s="39"/>
      <c r="G32" s="50"/>
      <c r="J32" s="189"/>
    </row>
    <row r="33" spans="1:10" ht="77.45" customHeight="1" x14ac:dyDescent="0.25">
      <c r="A33" s="402"/>
      <c r="B33" s="400"/>
      <c r="C33" s="142" t="s">
        <v>1450</v>
      </c>
      <c r="D33" s="27">
        <f t="shared" si="1"/>
        <v>0.02</v>
      </c>
      <c r="E33" s="27">
        <f>ROUND((4.08*12*0.1422),2)</f>
        <v>6.96</v>
      </c>
      <c r="G33" s="50"/>
      <c r="H33" s="39"/>
      <c r="J33" s="189"/>
    </row>
    <row r="34" spans="1:10" ht="61.5" customHeight="1" x14ac:dyDescent="0.25">
      <c r="A34" s="7">
        <v>1200</v>
      </c>
      <c r="B34" s="156" t="s">
        <v>11</v>
      </c>
      <c r="C34" s="95" t="s">
        <v>1451</v>
      </c>
      <c r="D34" s="276">
        <f t="shared" si="1"/>
        <v>0.36</v>
      </c>
      <c r="E34" s="86">
        <f>ROUND((519.6*0.2359),2)</f>
        <v>122.57</v>
      </c>
      <c r="J34" s="189"/>
    </row>
    <row r="35" spans="1:10" ht="15.75" x14ac:dyDescent="0.25">
      <c r="A35" s="8">
        <v>2000</v>
      </c>
      <c r="B35" s="7" t="s">
        <v>12</v>
      </c>
      <c r="C35" s="92"/>
      <c r="D35" s="23">
        <f>SUM(D36:D47)</f>
        <v>4.96</v>
      </c>
      <c r="E35" s="43">
        <f>SUM(E36:E47)</f>
        <v>1666.8600000000001</v>
      </c>
      <c r="J35" s="189"/>
    </row>
    <row r="36" spans="1:10" ht="31.5" x14ac:dyDescent="0.25">
      <c r="A36" s="4">
        <v>2221</v>
      </c>
      <c r="B36" s="5" t="s">
        <v>54</v>
      </c>
      <c r="C36" s="96" t="s">
        <v>744</v>
      </c>
      <c r="D36" s="27">
        <f>ROUND((E36/336),2)</f>
        <v>1.1599999999999999</v>
      </c>
      <c r="E36" s="44">
        <f>ROUND((2748.69*0.1422),2)</f>
        <v>390.86</v>
      </c>
      <c r="J36" s="189"/>
    </row>
    <row r="37" spans="1:10" ht="31.5" x14ac:dyDescent="0.25">
      <c r="A37" s="4">
        <v>2222</v>
      </c>
      <c r="B37" s="5" t="s">
        <v>55</v>
      </c>
      <c r="C37" s="96" t="s">
        <v>745</v>
      </c>
      <c r="D37" s="45">
        <f t="shared" ref="D37:D46" si="2">ROUND((E37/336),2)</f>
        <v>0.1</v>
      </c>
      <c r="E37" s="44">
        <f>ROUND((229.69*0.1422),2)</f>
        <v>32.659999999999997</v>
      </c>
      <c r="J37" s="189"/>
    </row>
    <row r="38" spans="1:10" ht="31.5" x14ac:dyDescent="0.25">
      <c r="A38" s="4">
        <v>2223</v>
      </c>
      <c r="B38" s="5" t="s">
        <v>19</v>
      </c>
      <c r="C38" s="96" t="s">
        <v>746</v>
      </c>
      <c r="D38" s="27">
        <f t="shared" si="2"/>
        <v>0.53</v>
      </c>
      <c r="E38" s="44">
        <f>ROUND((1254.2*0.1422),2)</f>
        <v>178.35</v>
      </c>
      <c r="J38" s="189"/>
    </row>
    <row r="39" spans="1:10" ht="78" customHeight="1" x14ac:dyDescent="0.25">
      <c r="A39" s="4">
        <v>2224</v>
      </c>
      <c r="B39" s="5" t="s">
        <v>56</v>
      </c>
      <c r="C39" s="166" t="s">
        <v>747</v>
      </c>
      <c r="D39" s="27">
        <f t="shared" si="2"/>
        <v>0.23</v>
      </c>
      <c r="E39" s="27">
        <f>ROUND((541.62*0.1422),2)</f>
        <v>77.02</v>
      </c>
      <c r="J39" s="189"/>
    </row>
    <row r="40" spans="1:10" ht="34.5" customHeight="1" x14ac:dyDescent="0.25">
      <c r="A40" s="4">
        <v>2239</v>
      </c>
      <c r="B40" s="338" t="s">
        <v>20</v>
      </c>
      <c r="C40" s="166" t="s">
        <v>748</v>
      </c>
      <c r="D40" s="27">
        <f t="shared" si="2"/>
        <v>0.47</v>
      </c>
      <c r="E40" s="27">
        <f>ROUND((1117.32*0.1422),2)</f>
        <v>158.88</v>
      </c>
      <c r="J40" s="189"/>
    </row>
    <row r="41" spans="1:10" ht="32.25" customHeight="1" x14ac:dyDescent="0.25">
      <c r="A41" s="4">
        <v>2241</v>
      </c>
      <c r="B41" s="166" t="s">
        <v>58</v>
      </c>
      <c r="C41" s="166" t="s">
        <v>1610</v>
      </c>
      <c r="D41" s="27">
        <f>ROUND((E41/336),2)</f>
        <v>0.82</v>
      </c>
      <c r="E41" s="27">
        <f>ROUND((1942.93*0.1422),2)</f>
        <v>276.27999999999997</v>
      </c>
      <c r="J41" s="189"/>
    </row>
    <row r="42" spans="1:10" ht="47.25" x14ac:dyDescent="0.25">
      <c r="A42" s="4">
        <v>2243</v>
      </c>
      <c r="B42" s="5" t="s">
        <v>21</v>
      </c>
      <c r="C42" s="117" t="s">
        <v>749</v>
      </c>
      <c r="D42" s="27">
        <f t="shared" si="2"/>
        <v>0.04</v>
      </c>
      <c r="E42" s="27">
        <f>ROUND((87.97*0.1422),2)</f>
        <v>12.51</v>
      </c>
      <c r="J42" s="189"/>
    </row>
    <row r="43" spans="1:10" ht="47.25" customHeight="1" x14ac:dyDescent="0.25">
      <c r="A43" s="4">
        <v>2244</v>
      </c>
      <c r="B43" s="5" t="s">
        <v>22</v>
      </c>
      <c r="C43" s="95" t="s">
        <v>750</v>
      </c>
      <c r="D43" s="45">
        <f t="shared" si="2"/>
        <v>1.5</v>
      </c>
      <c r="E43" s="44">
        <f>ROUND(3534.79*0.1422,2)</f>
        <v>502.65</v>
      </c>
      <c r="J43" s="189"/>
    </row>
    <row r="44" spans="1:10" ht="47.25" x14ac:dyDescent="0.25">
      <c r="A44" s="4">
        <v>2249</v>
      </c>
      <c r="B44" s="95" t="s">
        <v>45</v>
      </c>
      <c r="C44" s="95" t="s">
        <v>751</v>
      </c>
      <c r="D44" s="27">
        <f t="shared" si="2"/>
        <v>0.03</v>
      </c>
      <c r="E44" s="44">
        <f>ROUND(80.1*0.1422,2)</f>
        <v>11.39</v>
      </c>
      <c r="J44" s="189"/>
    </row>
    <row r="45" spans="1:10" ht="33" customHeight="1" x14ac:dyDescent="0.25">
      <c r="A45" s="4">
        <v>2312</v>
      </c>
      <c r="B45" s="4" t="s">
        <v>13</v>
      </c>
      <c r="C45" s="95" t="s">
        <v>752</v>
      </c>
      <c r="D45" s="27">
        <f t="shared" si="2"/>
        <v>0.02</v>
      </c>
      <c r="E45" s="44">
        <f>ROUND(38.77*0.1422,2)</f>
        <v>5.51</v>
      </c>
      <c r="J45" s="189"/>
    </row>
    <row r="46" spans="1:10" ht="64.5" customHeight="1" x14ac:dyDescent="0.25">
      <c r="A46" s="4">
        <v>2350</v>
      </c>
      <c r="B46" s="5" t="s">
        <v>213</v>
      </c>
      <c r="C46" s="95" t="s">
        <v>753</v>
      </c>
      <c r="D46" s="27">
        <f t="shared" si="2"/>
        <v>0.03</v>
      </c>
      <c r="E46" s="46">
        <f>ROUND((69.79*0.1422),2)</f>
        <v>9.92</v>
      </c>
      <c r="J46" s="189"/>
    </row>
    <row r="47" spans="1:10" ht="31.5" x14ac:dyDescent="0.25">
      <c r="A47" s="4">
        <v>2513</v>
      </c>
      <c r="B47" s="5" t="s">
        <v>57</v>
      </c>
      <c r="C47" s="95" t="s">
        <v>754</v>
      </c>
      <c r="D47" s="27">
        <f>ROUND((E47/336),2)</f>
        <v>0.03</v>
      </c>
      <c r="E47" s="27">
        <f>ROUND((76.17*0.1422),2)</f>
        <v>10.83</v>
      </c>
      <c r="J47" s="189"/>
    </row>
    <row r="48" spans="1:10" ht="15.75" x14ac:dyDescent="0.25">
      <c r="A48" s="10">
        <v>5000</v>
      </c>
      <c r="B48" s="9" t="s">
        <v>17</v>
      </c>
      <c r="C48" s="92"/>
      <c r="D48" s="25">
        <f>SUM(D49:D50)</f>
        <v>0.19</v>
      </c>
      <c r="E48" s="25">
        <f>SUM(E49:E50)</f>
        <v>64.34</v>
      </c>
      <c r="J48" s="189"/>
    </row>
    <row r="49" spans="1:10" ht="31.5" customHeight="1" x14ac:dyDescent="0.25">
      <c r="A49" s="4">
        <v>5212</v>
      </c>
      <c r="B49" s="5" t="s">
        <v>31</v>
      </c>
      <c r="C49" s="95" t="s">
        <v>755</v>
      </c>
      <c r="D49" s="45">
        <f>ROUND((E49/336),2)</f>
        <v>7.0000000000000007E-2</v>
      </c>
      <c r="E49" s="45">
        <f>ROUND((167.61*0.1422),2)</f>
        <v>23.83</v>
      </c>
      <c r="J49" s="189"/>
    </row>
    <row r="50" spans="1:10" ht="47.25" x14ac:dyDescent="0.25">
      <c r="A50" s="18">
        <v>5239</v>
      </c>
      <c r="B50" s="95" t="s">
        <v>18</v>
      </c>
      <c r="C50" s="95" t="s">
        <v>756</v>
      </c>
      <c r="D50" s="45">
        <f>ROUND((E50/336),2)</f>
        <v>0.12</v>
      </c>
      <c r="E50" s="45">
        <f>ROUND((284.9*0.1422),2)</f>
        <v>40.51</v>
      </c>
      <c r="J50" s="189"/>
    </row>
    <row r="51" spans="1:10" ht="15.75" x14ac:dyDescent="0.25">
      <c r="A51" s="161"/>
      <c r="B51" s="9" t="s">
        <v>23</v>
      </c>
      <c r="C51" s="92"/>
      <c r="D51" s="25">
        <f>SUM(D21+D35+D48)</f>
        <v>7.0600000000000005</v>
      </c>
      <c r="E51" s="40">
        <f>SUM(E21+E35+E48)</f>
        <v>2373.3700000000003</v>
      </c>
      <c r="J51" s="189"/>
    </row>
    <row r="52" spans="1:10" ht="31.5" x14ac:dyDescent="0.25">
      <c r="A52" s="6"/>
      <c r="B52" s="11" t="s">
        <v>28</v>
      </c>
      <c r="C52" s="92"/>
      <c r="D52" s="26">
        <f>D19+D51</f>
        <v>9.56</v>
      </c>
      <c r="E52" s="41">
        <f>E19+E51</f>
        <v>3210.8900000000003</v>
      </c>
      <c r="F52" s="14"/>
      <c r="J52" s="189"/>
    </row>
    <row r="53" spans="1:10" s="69" customFormat="1" ht="18" customHeight="1" x14ac:dyDescent="0.25">
      <c r="A53" s="397" t="s">
        <v>259</v>
      </c>
      <c r="B53" s="397"/>
      <c r="C53" s="397"/>
      <c r="D53" s="183">
        <f>2*1*168</f>
        <v>336</v>
      </c>
      <c r="E53" s="197" t="s">
        <v>65</v>
      </c>
      <c r="J53" s="189"/>
    </row>
    <row r="54" spans="1:10" s="69" customFormat="1" ht="33" customHeight="1" x14ac:dyDescent="0.25">
      <c r="A54" s="397" t="s">
        <v>231</v>
      </c>
      <c r="B54" s="397"/>
      <c r="C54" s="397"/>
      <c r="D54" s="179">
        <f>ROUND((E52/D53),2)</f>
        <v>9.56</v>
      </c>
      <c r="E54" s="191" t="s">
        <v>227</v>
      </c>
      <c r="J54" s="189"/>
    </row>
    <row r="55" spans="1:10" ht="15.75" x14ac:dyDescent="0.25">
      <c r="A55" s="59"/>
      <c r="B55" s="59"/>
      <c r="C55" s="59"/>
      <c r="D55" s="200"/>
      <c r="E55" s="241"/>
    </row>
    <row r="56" spans="1:10" ht="15.75" customHeight="1" x14ac:dyDescent="0.25">
      <c r="A56" s="406" t="s">
        <v>260</v>
      </c>
      <c r="B56" s="406"/>
      <c r="C56" s="406"/>
      <c r="D56" s="183">
        <f>2*11</f>
        <v>22</v>
      </c>
      <c r="E56" s="179" t="s">
        <v>67</v>
      </c>
    </row>
    <row r="57" spans="1:10" ht="31.5" x14ac:dyDescent="0.25">
      <c r="A57" s="411" t="s">
        <v>233</v>
      </c>
      <c r="B57" s="411"/>
      <c r="C57" s="411"/>
      <c r="D57" s="179">
        <f>ROUND((E52/D56),2)</f>
        <v>145.94999999999999</v>
      </c>
      <c r="E57" s="191" t="s">
        <v>251</v>
      </c>
      <c r="G57" s="14"/>
    </row>
    <row r="59" spans="1:10" x14ac:dyDescent="0.25">
      <c r="G59" s="14"/>
    </row>
  </sheetData>
  <mergeCells count="9">
    <mergeCell ref="A2:E2"/>
    <mergeCell ref="A54:C54"/>
    <mergeCell ref="A56:C56"/>
    <mergeCell ref="A57:C57"/>
    <mergeCell ref="A3:C3"/>
    <mergeCell ref="A4:B4"/>
    <mergeCell ref="A25:A33"/>
    <mergeCell ref="B25:B33"/>
    <mergeCell ref="A53:C53"/>
  </mergeCells>
  <pageMargins left="0.7" right="0.7" top="0.75" bottom="0.75" header="0.3" footer="0.3"/>
  <pageSetup paperSize="9" orientation="landscape" r:id="rId1"/>
  <rowBreaks count="3" manualBreakCount="3">
    <brk id="23" max="16383" man="1"/>
    <brk id="28" max="16383" man="1"/>
    <brk id="34" max="16383" man="1"/>
  </rowBreaks>
  <ignoredErrors>
    <ignoredError sqref="D16:E16" formula="1"/>
  </ignoredError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23F68-CA02-4416-975D-3288B1A204B2}">
  <dimension ref="A1:J59"/>
  <sheetViews>
    <sheetView topLeftCell="A50" zoomScaleNormal="100" workbookViewId="0">
      <selection activeCell="D58" sqref="D58"/>
    </sheetView>
  </sheetViews>
  <sheetFormatPr defaultRowHeight="15" x14ac:dyDescent="0.25"/>
  <cols>
    <col min="1" max="1" width="12.42578125" customWidth="1"/>
    <col min="2" max="2" width="27" customWidth="1"/>
    <col min="3" max="3" width="60.85546875" customWidth="1"/>
    <col min="4" max="4" width="11.28515625" style="14" customWidth="1"/>
    <col min="5" max="5" width="18.140625" style="14" customWidth="1"/>
  </cols>
  <sheetData>
    <row r="1" spans="1:9" ht="18.75" x14ac:dyDescent="0.3">
      <c r="A1" s="53" t="s">
        <v>69</v>
      </c>
      <c r="B1" s="53"/>
      <c r="C1" s="53"/>
    </row>
    <row r="2" spans="1:9" ht="18.75" x14ac:dyDescent="0.3">
      <c r="A2" s="416" t="s">
        <v>163</v>
      </c>
      <c r="B2" s="416"/>
      <c r="C2" s="416"/>
      <c r="D2" s="416"/>
      <c r="E2" s="416"/>
    </row>
    <row r="3" spans="1:9" ht="18.75" x14ac:dyDescent="0.25">
      <c r="A3" s="398" t="s">
        <v>264</v>
      </c>
      <c r="B3" s="398"/>
      <c r="C3" s="398"/>
    </row>
    <row r="4" spans="1:9" ht="18.75" x14ac:dyDescent="0.3">
      <c r="A4" s="405" t="s">
        <v>64</v>
      </c>
      <c r="B4" s="405"/>
      <c r="C4" s="53"/>
    </row>
    <row r="6" spans="1:9" ht="78.75" x14ac:dyDescent="0.25">
      <c r="A6" s="139" t="s">
        <v>0</v>
      </c>
      <c r="B6" s="139" t="s">
        <v>1</v>
      </c>
      <c r="C6" s="139" t="s">
        <v>2</v>
      </c>
      <c r="D6" s="158" t="s">
        <v>26</v>
      </c>
      <c r="E6" s="85" t="s">
        <v>27</v>
      </c>
    </row>
    <row r="7" spans="1:9" ht="15.75" x14ac:dyDescent="0.25">
      <c r="A7" s="97">
        <v>1</v>
      </c>
      <c r="B7" s="97">
        <v>2</v>
      </c>
      <c r="C7" s="97">
        <v>3</v>
      </c>
      <c r="D7" s="44">
        <v>4</v>
      </c>
      <c r="E7" s="44">
        <v>5</v>
      </c>
    </row>
    <row r="8" spans="1:9" ht="15.75" x14ac:dyDescent="0.25">
      <c r="A8" s="4"/>
      <c r="B8" s="7" t="s">
        <v>7</v>
      </c>
      <c r="C8" s="97" t="s">
        <v>8</v>
      </c>
      <c r="D8" s="42"/>
      <c r="E8" s="42"/>
    </row>
    <row r="9" spans="1:9" ht="15.75" x14ac:dyDescent="0.25">
      <c r="A9" s="8">
        <v>1000</v>
      </c>
      <c r="B9" s="7" t="s">
        <v>9</v>
      </c>
      <c r="C9" s="269"/>
      <c r="D9" s="43">
        <f>D10+D16</f>
        <v>1.3</v>
      </c>
      <c r="E9" s="43">
        <f>E10+E16</f>
        <v>5052.24</v>
      </c>
    </row>
    <row r="10" spans="1:9" ht="15.75" x14ac:dyDescent="0.25">
      <c r="A10" s="265">
        <v>1100</v>
      </c>
      <c r="B10" s="265" t="s">
        <v>10</v>
      </c>
      <c r="C10" s="269"/>
      <c r="D10" s="43">
        <f>SUM(D12:D15)</f>
        <v>1.01</v>
      </c>
      <c r="E10" s="43">
        <f>SUM(E12:E15)</f>
        <v>3942.8899999999994</v>
      </c>
    </row>
    <row r="11" spans="1:9" ht="15.75" x14ac:dyDescent="0.25">
      <c r="A11" s="16">
        <v>1110</v>
      </c>
      <c r="B11" s="16" t="s">
        <v>217</v>
      </c>
      <c r="C11" s="285" t="s">
        <v>218</v>
      </c>
      <c r="D11" s="108">
        <f>SUM(D12:D14)</f>
        <v>0.92</v>
      </c>
      <c r="E11" s="108">
        <f>SUM(E12:E14)</f>
        <v>3584.4399999999996</v>
      </c>
    </row>
    <row r="12" spans="1:9" ht="78" customHeight="1" x14ac:dyDescent="0.25">
      <c r="A12" s="126"/>
      <c r="B12" s="129"/>
      <c r="C12" s="142" t="s">
        <v>1452</v>
      </c>
      <c r="D12" s="108">
        <f>ROUND((E12/3888),2)</f>
        <v>0.17</v>
      </c>
      <c r="E12" s="108">
        <f>ROUND((65.6*12*0.8578),2)</f>
        <v>675.26</v>
      </c>
      <c r="F12" s="39"/>
      <c r="G12" s="39"/>
    </row>
    <row r="13" spans="1:9" ht="94.5" x14ac:dyDescent="0.25">
      <c r="A13" s="143"/>
      <c r="B13" s="144"/>
      <c r="C13" s="142" t="s">
        <v>1453</v>
      </c>
      <c r="D13" s="108">
        <f>ROUND((E13/3888),2)</f>
        <v>0.52</v>
      </c>
      <c r="E13" s="108">
        <f>ROUND((195.9*12*0.8578),2)</f>
        <v>2016.52</v>
      </c>
      <c r="F13" s="39"/>
      <c r="G13" s="39"/>
      <c r="I13" s="50"/>
    </row>
    <row r="14" spans="1:9" ht="78" customHeight="1" x14ac:dyDescent="0.25">
      <c r="A14" s="127"/>
      <c r="B14" s="130"/>
      <c r="C14" s="142" t="s">
        <v>1454</v>
      </c>
      <c r="D14" s="108">
        <f t="shared" ref="D14:D17" si="0">ROUND((E14/3888),2)</f>
        <v>0.23</v>
      </c>
      <c r="E14" s="108">
        <f>ROUND((86.72*12*0.8578),2)</f>
        <v>892.66</v>
      </c>
      <c r="G14" s="39"/>
      <c r="I14" s="82"/>
    </row>
    <row r="15" spans="1:9" ht="63.6" customHeight="1" x14ac:dyDescent="0.25">
      <c r="A15" s="122">
        <v>1140</v>
      </c>
      <c r="B15" s="5" t="s">
        <v>214</v>
      </c>
      <c r="C15" s="142" t="s">
        <v>1455</v>
      </c>
      <c r="D15" s="108">
        <f t="shared" si="0"/>
        <v>0.09</v>
      </c>
      <c r="E15" s="108">
        <f>ROUND((675.26*0.1+2016.52*0.1+892.66*0.1+0.01),2)</f>
        <v>358.45</v>
      </c>
      <c r="G15" s="39"/>
      <c r="I15" s="82"/>
    </row>
    <row r="16" spans="1:9" ht="63" customHeight="1" x14ac:dyDescent="0.25">
      <c r="A16" s="7">
        <v>1200</v>
      </c>
      <c r="B16" s="291" t="s">
        <v>11</v>
      </c>
      <c r="C16" s="166" t="s">
        <v>1470</v>
      </c>
      <c r="D16" s="86">
        <f>ROUND((D17+D18),2)</f>
        <v>0.28999999999999998</v>
      </c>
      <c r="E16" s="86">
        <f>ROUND((E17+E18),2)</f>
        <v>1109.3499999999999</v>
      </c>
      <c r="I16" s="82"/>
    </row>
    <row r="17" spans="1:10" ht="47.25" x14ac:dyDescent="0.25">
      <c r="A17" s="4">
        <v>1210</v>
      </c>
      <c r="B17" s="5" t="s">
        <v>216</v>
      </c>
      <c r="C17" s="166" t="s">
        <v>1456</v>
      </c>
      <c r="D17" s="108">
        <f t="shared" si="0"/>
        <v>0.24</v>
      </c>
      <c r="E17" s="44">
        <f>ROUND((3942.89*0.2359),2)</f>
        <v>930.13</v>
      </c>
      <c r="I17" s="82"/>
    </row>
    <row r="18" spans="1:10" ht="62.1" customHeight="1" x14ac:dyDescent="0.25">
      <c r="A18" s="4">
        <v>1227</v>
      </c>
      <c r="B18" s="5" t="s">
        <v>215</v>
      </c>
      <c r="C18" s="142" t="s">
        <v>1457</v>
      </c>
      <c r="D18" s="108">
        <f>ROUND((E18/3888),2)</f>
        <v>0.05</v>
      </c>
      <c r="E18" s="108">
        <f>ROUND((675.26*0.05+2016.52*0.05+892.66*0.05),2)</f>
        <v>179.22</v>
      </c>
      <c r="F18" s="50"/>
      <c r="G18" s="50"/>
      <c r="I18" s="82"/>
    </row>
    <row r="19" spans="1:10" ht="15.75" x14ac:dyDescent="0.25">
      <c r="A19" s="4"/>
      <c r="B19" s="9" t="s">
        <v>14</v>
      </c>
      <c r="C19" s="98" t="s">
        <v>16</v>
      </c>
      <c r="D19" s="43">
        <f>D9</f>
        <v>1.3</v>
      </c>
      <c r="E19" s="43">
        <f>E9</f>
        <v>5052.24</v>
      </c>
      <c r="I19" s="82"/>
    </row>
    <row r="20" spans="1:10" ht="15.75" x14ac:dyDescent="0.25">
      <c r="A20" s="4"/>
      <c r="B20" s="9" t="s">
        <v>15</v>
      </c>
      <c r="C20" s="97" t="s">
        <v>8</v>
      </c>
      <c r="D20" s="42"/>
      <c r="E20" s="42"/>
      <c r="I20" s="82"/>
    </row>
    <row r="21" spans="1:10" ht="15.75" x14ac:dyDescent="0.25">
      <c r="A21" s="8">
        <v>1000</v>
      </c>
      <c r="B21" s="7" t="s">
        <v>9</v>
      </c>
      <c r="C21" s="97"/>
      <c r="D21" s="86">
        <f>SUM(D22+D34)</f>
        <v>0.98</v>
      </c>
      <c r="E21" s="86">
        <f>SUM(E22+E34)</f>
        <v>3873.6600000000003</v>
      </c>
      <c r="I21" s="82"/>
    </row>
    <row r="22" spans="1:10" ht="15.75" x14ac:dyDescent="0.25">
      <c r="A22" s="4">
        <v>1100</v>
      </c>
      <c r="B22" s="4" t="s">
        <v>10</v>
      </c>
      <c r="C22" s="137" t="s">
        <v>219</v>
      </c>
      <c r="D22" s="86">
        <f>SUM(D23:D33)</f>
        <v>0.79</v>
      </c>
      <c r="E22" s="86">
        <f>SUM(E23:E33)</f>
        <v>3134.28</v>
      </c>
      <c r="I22" s="82"/>
    </row>
    <row r="23" spans="1:10" ht="94.5" x14ac:dyDescent="0.25">
      <c r="A23" s="222"/>
      <c r="B23" s="223"/>
      <c r="C23" s="142" t="s">
        <v>1458</v>
      </c>
      <c r="D23" s="44">
        <f>ROUND((E23/3888),2)</f>
        <v>0.06</v>
      </c>
      <c r="E23" s="44">
        <f>ROUND((23.12*12*0.8578),2)</f>
        <v>237.99</v>
      </c>
      <c r="F23" s="357"/>
      <c r="I23" s="82"/>
      <c r="J23" s="82"/>
    </row>
    <row r="24" spans="1:10" ht="78.95" customHeight="1" x14ac:dyDescent="0.25">
      <c r="A24" s="227"/>
      <c r="B24" s="228"/>
      <c r="C24" s="142" t="s">
        <v>1459</v>
      </c>
      <c r="D24" s="44">
        <f>ROUND((E24/3888),2)</f>
        <v>0</v>
      </c>
      <c r="E24" s="44">
        <f>ROUND((1.72*12*0.8578),2)</f>
        <v>17.7</v>
      </c>
      <c r="G24" s="39"/>
      <c r="I24" s="82"/>
      <c r="J24" s="82"/>
    </row>
    <row r="25" spans="1:10" ht="78.75" x14ac:dyDescent="0.25">
      <c r="A25" s="401"/>
      <c r="B25" s="399"/>
      <c r="C25" s="142" t="s">
        <v>1460</v>
      </c>
      <c r="D25" s="44">
        <f t="shared" ref="D25:D34" si="1">ROUND((E25/3888),2)</f>
        <v>0</v>
      </c>
      <c r="E25" s="44">
        <f>ROUND((1.07*12*0.8578),2)</f>
        <v>11.01</v>
      </c>
      <c r="G25" s="39"/>
      <c r="I25" s="82"/>
      <c r="J25" s="82"/>
    </row>
    <row r="26" spans="1:10" ht="78.75" x14ac:dyDescent="0.25">
      <c r="A26" s="401"/>
      <c r="B26" s="399"/>
      <c r="C26" s="142" t="s">
        <v>1461</v>
      </c>
      <c r="D26" s="44">
        <f t="shared" si="1"/>
        <v>0</v>
      </c>
      <c r="E26" s="44">
        <f>ROUND((1.61*12*0.8578),2)</f>
        <v>16.57</v>
      </c>
      <c r="G26" s="39"/>
      <c r="I26" s="82"/>
      <c r="J26" s="82"/>
    </row>
    <row r="27" spans="1:10" ht="78.75" customHeight="1" x14ac:dyDescent="0.25">
      <c r="A27" s="401"/>
      <c r="B27" s="399"/>
      <c r="C27" s="142" t="s">
        <v>1462</v>
      </c>
      <c r="D27" s="44">
        <f t="shared" si="1"/>
        <v>0.02</v>
      </c>
      <c r="E27" s="44">
        <f>ROUND((7.88*12*0.8578),2)</f>
        <v>81.11</v>
      </c>
      <c r="F27" s="39"/>
      <c r="G27" s="39"/>
      <c r="I27" s="82"/>
      <c r="J27" s="82"/>
    </row>
    <row r="28" spans="1:10" ht="79.5" customHeight="1" x14ac:dyDescent="0.25">
      <c r="A28" s="401"/>
      <c r="B28" s="399"/>
      <c r="C28" s="142" t="s">
        <v>1463</v>
      </c>
      <c r="D28" s="44">
        <f t="shared" si="1"/>
        <v>0</v>
      </c>
      <c r="E28" s="44">
        <f>ROUND((1.58*12*0.8578),2)</f>
        <v>16.260000000000002</v>
      </c>
      <c r="F28" s="39"/>
      <c r="G28" s="39"/>
      <c r="I28" s="82"/>
      <c r="J28" s="82"/>
    </row>
    <row r="29" spans="1:10" ht="78.75" x14ac:dyDescent="0.25">
      <c r="A29" s="401"/>
      <c r="B29" s="399"/>
      <c r="C29" s="99" t="s">
        <v>1464</v>
      </c>
      <c r="D29" s="44">
        <f>ROUND((E29/3888),2)</f>
        <v>0.2</v>
      </c>
      <c r="E29" s="44">
        <f>ROUND((76.52*12*0.8578),2)</f>
        <v>787.67</v>
      </c>
      <c r="F29" s="39"/>
      <c r="G29" s="39"/>
      <c r="I29" s="82"/>
      <c r="J29" s="82"/>
    </row>
    <row r="30" spans="1:10" ht="78.75" x14ac:dyDescent="0.25">
      <c r="A30" s="401"/>
      <c r="B30" s="399"/>
      <c r="C30" s="99" t="s">
        <v>1465</v>
      </c>
      <c r="D30" s="44">
        <f t="shared" si="1"/>
        <v>0.15</v>
      </c>
      <c r="E30" s="44">
        <f>ROUND((55.86*12*0.8578),2)</f>
        <v>575</v>
      </c>
      <c r="F30" s="39"/>
      <c r="G30" s="39"/>
      <c r="I30" s="82"/>
      <c r="J30" s="82"/>
    </row>
    <row r="31" spans="1:10" ht="78.75" x14ac:dyDescent="0.25">
      <c r="A31" s="401"/>
      <c r="B31" s="399"/>
      <c r="C31" s="123" t="s">
        <v>1466</v>
      </c>
      <c r="D31" s="44">
        <f t="shared" si="1"/>
        <v>0.3</v>
      </c>
      <c r="E31" s="44">
        <f>ROUND((112.99*12*0.8578),2)</f>
        <v>1163.07</v>
      </c>
      <c r="F31" s="39"/>
      <c r="G31" s="39"/>
      <c r="I31" s="82"/>
      <c r="J31" s="82"/>
    </row>
    <row r="32" spans="1:10" ht="93.95" customHeight="1" x14ac:dyDescent="0.25">
      <c r="A32" s="401"/>
      <c r="B32" s="399"/>
      <c r="C32" s="123" t="s">
        <v>1467</v>
      </c>
      <c r="D32" s="44">
        <f>ROUND((E32/3888),2)</f>
        <v>0.05</v>
      </c>
      <c r="E32" s="44">
        <f>ROUND((18.06*12*0.8578),2)</f>
        <v>185.9</v>
      </c>
      <c r="F32" s="39"/>
      <c r="G32" s="50"/>
      <c r="I32" s="50"/>
      <c r="J32" s="82"/>
    </row>
    <row r="33" spans="1:10" ht="78.75" x14ac:dyDescent="0.25">
      <c r="A33" s="402"/>
      <c r="B33" s="400"/>
      <c r="C33" s="123" t="s">
        <v>1468</v>
      </c>
      <c r="D33" s="44">
        <f t="shared" si="1"/>
        <v>0.01</v>
      </c>
      <c r="E33" s="44">
        <f>ROUND((4.08*12*0.8578),2)</f>
        <v>42</v>
      </c>
      <c r="G33" s="50"/>
      <c r="I33" s="82"/>
      <c r="J33" s="82"/>
    </row>
    <row r="34" spans="1:10" ht="61.5" customHeight="1" x14ac:dyDescent="0.25">
      <c r="A34" s="7">
        <v>1200</v>
      </c>
      <c r="B34" s="156" t="s">
        <v>11</v>
      </c>
      <c r="C34" s="101" t="s">
        <v>1469</v>
      </c>
      <c r="D34" s="86">
        <f t="shared" si="1"/>
        <v>0.19</v>
      </c>
      <c r="E34" s="86">
        <f>ROUND((3134.28*0.2359),2)</f>
        <v>739.38</v>
      </c>
      <c r="I34" s="82"/>
      <c r="J34" s="82"/>
    </row>
    <row r="35" spans="1:10" ht="15.75" x14ac:dyDescent="0.25">
      <c r="A35" s="8">
        <v>2000</v>
      </c>
      <c r="B35" s="7" t="s">
        <v>12</v>
      </c>
      <c r="C35" s="97"/>
      <c r="D35" s="43">
        <f>SUM(D36:D47)</f>
        <v>2.5999999999999996</v>
      </c>
      <c r="E35" s="43">
        <f>SUM(E36:E47)</f>
        <v>10055.18</v>
      </c>
      <c r="I35" s="82"/>
      <c r="J35" s="82"/>
    </row>
    <row r="36" spans="1:10" ht="30" customHeight="1" x14ac:dyDescent="0.25">
      <c r="A36" s="4">
        <v>2221</v>
      </c>
      <c r="B36" s="5" t="s">
        <v>54</v>
      </c>
      <c r="C36" s="100" t="s">
        <v>757</v>
      </c>
      <c r="D36" s="44">
        <f>ROUND((E36/3888),2)</f>
        <v>0.61</v>
      </c>
      <c r="E36" s="44">
        <f>ROUND((2748.69*0.8578),2)</f>
        <v>2357.83</v>
      </c>
      <c r="I36" s="82"/>
      <c r="J36" s="82"/>
    </row>
    <row r="37" spans="1:10" ht="31.5" x14ac:dyDescent="0.25">
      <c r="A37" s="4">
        <v>2222</v>
      </c>
      <c r="B37" s="5" t="s">
        <v>55</v>
      </c>
      <c r="C37" s="100" t="s">
        <v>758</v>
      </c>
      <c r="D37" s="44">
        <f t="shared" ref="D37:D47" si="2">ROUND((E37/3888),2)</f>
        <v>0.05</v>
      </c>
      <c r="E37" s="44">
        <f>ROUND((229.69*0.8578),2)</f>
        <v>197.03</v>
      </c>
      <c r="I37" s="82"/>
      <c r="J37" s="82"/>
    </row>
    <row r="38" spans="1:10" ht="31.5" x14ac:dyDescent="0.25">
      <c r="A38" s="4">
        <v>2223</v>
      </c>
      <c r="B38" s="5" t="s">
        <v>19</v>
      </c>
      <c r="C38" s="100" t="s">
        <v>759</v>
      </c>
      <c r="D38" s="44">
        <f t="shared" si="2"/>
        <v>0.28000000000000003</v>
      </c>
      <c r="E38" s="44">
        <f>ROUND((1254.2*0.8578),2)</f>
        <v>1075.8499999999999</v>
      </c>
      <c r="I38" s="82"/>
      <c r="J38" s="82"/>
    </row>
    <row r="39" spans="1:10" ht="79.5" customHeight="1" x14ac:dyDescent="0.25">
      <c r="A39" s="4">
        <v>2224</v>
      </c>
      <c r="B39" s="5" t="s">
        <v>56</v>
      </c>
      <c r="C39" s="5" t="s">
        <v>760</v>
      </c>
      <c r="D39" s="44">
        <f t="shared" si="2"/>
        <v>0.12</v>
      </c>
      <c r="E39" s="44">
        <f>ROUND((541.62*0.8578),2)</f>
        <v>464.6</v>
      </c>
      <c r="I39" s="82"/>
      <c r="J39" s="82"/>
    </row>
    <row r="40" spans="1:10" ht="35.25" customHeight="1" x14ac:dyDescent="0.25">
      <c r="A40" s="4">
        <v>2239</v>
      </c>
      <c r="B40" s="84" t="s">
        <v>20</v>
      </c>
      <c r="C40" s="166" t="s">
        <v>761</v>
      </c>
      <c r="D40" s="44">
        <f t="shared" si="2"/>
        <v>0.25</v>
      </c>
      <c r="E40" s="44">
        <f>ROUND((1117.32*0.8578),2)</f>
        <v>958.44</v>
      </c>
      <c r="I40" s="82"/>
      <c r="J40" s="82"/>
    </row>
    <row r="41" spans="1:10" ht="31.5" x14ac:dyDescent="0.25">
      <c r="A41" s="4">
        <v>2241</v>
      </c>
      <c r="B41" s="1" t="s">
        <v>58</v>
      </c>
      <c r="C41" s="166" t="s">
        <v>1611</v>
      </c>
      <c r="D41" s="44">
        <f t="shared" si="2"/>
        <v>0.43</v>
      </c>
      <c r="E41" s="44">
        <f>ROUND((1942.93*0.8578),2)</f>
        <v>1666.65</v>
      </c>
      <c r="I41" s="82"/>
      <c r="J41" s="82"/>
    </row>
    <row r="42" spans="1:10" ht="47.25" x14ac:dyDescent="0.25">
      <c r="A42" s="4">
        <v>2243</v>
      </c>
      <c r="B42" s="5" t="s">
        <v>21</v>
      </c>
      <c r="C42" s="84" t="s">
        <v>762</v>
      </c>
      <c r="D42" s="44">
        <f t="shared" si="2"/>
        <v>0.02</v>
      </c>
      <c r="E42" s="44">
        <f>ROUND((87.97*0.8578),2)</f>
        <v>75.459999999999994</v>
      </c>
      <c r="I42" s="82"/>
      <c r="J42" s="82"/>
    </row>
    <row r="43" spans="1:10" ht="47.25" x14ac:dyDescent="0.25">
      <c r="A43" s="4">
        <v>2244</v>
      </c>
      <c r="B43" s="5" t="s">
        <v>22</v>
      </c>
      <c r="C43" s="115" t="s">
        <v>763</v>
      </c>
      <c r="D43" s="44">
        <f t="shared" si="2"/>
        <v>0.78</v>
      </c>
      <c r="E43" s="44">
        <f>ROUND(3534.79*0.8578,2)</f>
        <v>3032.14</v>
      </c>
      <c r="I43" s="82"/>
      <c r="J43" s="82"/>
    </row>
    <row r="44" spans="1:10" ht="47.25" x14ac:dyDescent="0.25">
      <c r="A44" s="4">
        <v>2249</v>
      </c>
      <c r="B44" s="101" t="s">
        <v>45</v>
      </c>
      <c r="C44" s="115" t="s">
        <v>764</v>
      </c>
      <c r="D44" s="44">
        <f t="shared" si="2"/>
        <v>0.02</v>
      </c>
      <c r="E44" s="44">
        <f>ROUND(80.1*0.8578,2)</f>
        <v>68.709999999999994</v>
      </c>
      <c r="I44" s="82"/>
      <c r="J44" s="82"/>
    </row>
    <row r="45" spans="1:10" ht="33" customHeight="1" x14ac:dyDescent="0.25">
      <c r="A45" s="4">
        <v>2312</v>
      </c>
      <c r="B45" s="4" t="s">
        <v>13</v>
      </c>
      <c r="C45" s="115" t="s">
        <v>765</v>
      </c>
      <c r="D45" s="44">
        <f t="shared" si="2"/>
        <v>0.01</v>
      </c>
      <c r="E45" s="44">
        <f>ROUND(38.77*0.8578,2)</f>
        <v>33.26</v>
      </c>
      <c r="I45" s="82"/>
      <c r="J45" s="82"/>
    </row>
    <row r="46" spans="1:10" ht="62.25" customHeight="1" x14ac:dyDescent="0.25">
      <c r="A46" s="4">
        <v>2350</v>
      </c>
      <c r="B46" s="5" t="s">
        <v>213</v>
      </c>
      <c r="C46" s="115" t="s">
        <v>766</v>
      </c>
      <c r="D46" s="44">
        <f>ROUND((E46/3888-0.01),2)</f>
        <v>0.01</v>
      </c>
      <c r="E46" s="108">
        <f>ROUND((69.79*0.8578),2)</f>
        <v>59.87</v>
      </c>
      <c r="I46" s="50"/>
      <c r="J46" s="82"/>
    </row>
    <row r="47" spans="1:10" ht="31.5" x14ac:dyDescent="0.25">
      <c r="A47" s="4">
        <v>2513</v>
      </c>
      <c r="B47" s="5" t="s">
        <v>57</v>
      </c>
      <c r="C47" s="115" t="s">
        <v>767</v>
      </c>
      <c r="D47" s="44">
        <f t="shared" si="2"/>
        <v>0.02</v>
      </c>
      <c r="E47" s="44">
        <f>ROUND((76.17*0.8578),2)</f>
        <v>65.34</v>
      </c>
      <c r="I47" s="82"/>
      <c r="J47" s="82"/>
    </row>
    <row r="48" spans="1:10" ht="15.75" x14ac:dyDescent="0.25">
      <c r="A48" s="10">
        <v>5000</v>
      </c>
      <c r="B48" s="9" t="s">
        <v>17</v>
      </c>
      <c r="C48" s="97"/>
      <c r="D48" s="43">
        <f>SUM(D49:D50)</f>
        <v>0.1</v>
      </c>
      <c r="E48" s="43">
        <f>SUM(E49:E50)</f>
        <v>388.16999999999996</v>
      </c>
      <c r="I48" s="82"/>
      <c r="J48" s="82"/>
    </row>
    <row r="49" spans="1:10" ht="31.5" x14ac:dyDescent="0.25">
      <c r="A49" s="4">
        <v>5212</v>
      </c>
      <c r="B49" s="5" t="s">
        <v>31</v>
      </c>
      <c r="C49" s="5" t="s">
        <v>768</v>
      </c>
      <c r="D49" s="44">
        <f>ROUND((E49/3888),2)</f>
        <v>0.04</v>
      </c>
      <c r="E49" s="44">
        <f>ROUND((167.61*0.8578),2)</f>
        <v>143.78</v>
      </c>
      <c r="I49" s="82"/>
      <c r="J49" s="82"/>
    </row>
    <row r="50" spans="1:10" ht="47.25" x14ac:dyDescent="0.25">
      <c r="A50" s="18">
        <v>5239</v>
      </c>
      <c r="B50" s="101" t="s">
        <v>18</v>
      </c>
      <c r="C50" s="5" t="s">
        <v>769</v>
      </c>
      <c r="D50" s="44">
        <f>ROUND((E50/3888),2)</f>
        <v>0.06</v>
      </c>
      <c r="E50" s="44">
        <f>ROUND((284.9*0.8578),2)</f>
        <v>244.39</v>
      </c>
      <c r="I50" s="82"/>
      <c r="J50" s="82"/>
    </row>
    <row r="51" spans="1:10" ht="15.75" x14ac:dyDescent="0.25">
      <c r="A51" s="161"/>
      <c r="B51" s="9" t="s">
        <v>23</v>
      </c>
      <c r="C51" s="97"/>
      <c r="D51" s="43">
        <f>SUM(D21+D35+D48)</f>
        <v>3.6799999999999997</v>
      </c>
      <c r="E51" s="40">
        <f>SUM(E21+E35+E48)-4</f>
        <v>14313.01</v>
      </c>
      <c r="I51" s="82"/>
      <c r="J51" s="82"/>
    </row>
    <row r="52" spans="1:10" ht="31.5" x14ac:dyDescent="0.25">
      <c r="A52" s="6"/>
      <c r="B52" s="11" t="s">
        <v>28</v>
      </c>
      <c r="C52" s="97"/>
      <c r="D52" s="87">
        <f>D19+D51</f>
        <v>4.9799999999999995</v>
      </c>
      <c r="E52" s="41">
        <f>E19+E51</f>
        <v>19365.25</v>
      </c>
      <c r="I52" s="82"/>
      <c r="J52" s="82"/>
    </row>
    <row r="53" spans="1:10" s="69" customFormat="1" ht="30.75" customHeight="1" x14ac:dyDescent="0.25">
      <c r="A53" s="397" t="s">
        <v>262</v>
      </c>
      <c r="B53" s="397"/>
      <c r="C53" s="397"/>
      <c r="D53" s="183">
        <f>12*3*108</f>
        <v>3888</v>
      </c>
      <c r="E53" s="197" t="s">
        <v>65</v>
      </c>
    </row>
    <row r="54" spans="1:10" s="69" customFormat="1" ht="33" customHeight="1" x14ac:dyDescent="0.25">
      <c r="A54" s="397" t="s">
        <v>239</v>
      </c>
      <c r="B54" s="397"/>
      <c r="C54" s="397"/>
      <c r="D54" s="179">
        <f>ROUND((E52/D53),2)</f>
        <v>4.9800000000000004</v>
      </c>
      <c r="E54" s="191" t="s">
        <v>244</v>
      </c>
    </row>
    <row r="55" spans="1:10" ht="15.75" x14ac:dyDescent="0.25">
      <c r="A55" s="1"/>
      <c r="B55" s="1"/>
      <c r="C55" s="1"/>
      <c r="D55" s="201"/>
      <c r="E55" s="242"/>
    </row>
    <row r="56" spans="1:10" ht="15.75" x14ac:dyDescent="0.25">
      <c r="A56" s="397" t="s">
        <v>263</v>
      </c>
      <c r="B56" s="397"/>
      <c r="C56" s="397"/>
      <c r="D56" s="183">
        <f>12*3*7.999</f>
        <v>287.964</v>
      </c>
      <c r="E56" s="179" t="s">
        <v>53</v>
      </c>
    </row>
    <row r="57" spans="1:10" ht="31.5" x14ac:dyDescent="0.25">
      <c r="A57" s="411" t="s">
        <v>236</v>
      </c>
      <c r="B57" s="411"/>
      <c r="C57" s="411"/>
      <c r="D57" s="179">
        <f>ROUND((E52/D56),2)</f>
        <v>67.25</v>
      </c>
      <c r="E57" s="191" t="s">
        <v>246</v>
      </c>
    </row>
    <row r="59" spans="1:10" x14ac:dyDescent="0.25">
      <c r="G59" s="14"/>
    </row>
  </sheetData>
  <mergeCells count="9">
    <mergeCell ref="A2:E2"/>
    <mergeCell ref="A54:C54"/>
    <mergeCell ref="A56:C56"/>
    <mergeCell ref="A57:C57"/>
    <mergeCell ref="A3:C3"/>
    <mergeCell ref="A4:B4"/>
    <mergeCell ref="A25:A33"/>
    <mergeCell ref="B25:B33"/>
    <mergeCell ref="A53:C53"/>
  </mergeCells>
  <pageMargins left="0.70866141732283472" right="0.70866141732283472" top="0.74803149606299213" bottom="0.74803149606299213" header="0.31496062992125984" footer="0.31496062992125984"/>
  <pageSetup paperSize="9" scale="99" orientation="landscape" r:id="rId1"/>
  <rowBreaks count="5" manualBreakCount="5">
    <brk id="13" max="4" man="1"/>
    <brk id="23" max="16383" man="1"/>
    <brk id="28" max="16383" man="1"/>
    <brk id="34" max="16383" man="1"/>
    <brk id="47" max="16383" man="1"/>
  </rowBreaks>
  <ignoredErrors>
    <ignoredError sqref="D16" formula="1"/>
  </ignoredError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F180A2-A196-4DFC-B73B-CF8945DE1BDC}">
  <dimension ref="A1:P58"/>
  <sheetViews>
    <sheetView topLeftCell="A50" zoomScaleNormal="100" workbookViewId="0">
      <selection activeCell="D57" sqref="D57"/>
    </sheetView>
  </sheetViews>
  <sheetFormatPr defaultRowHeight="15" x14ac:dyDescent="0.25"/>
  <cols>
    <col min="2" max="2" width="29.42578125" customWidth="1"/>
    <col min="3" max="3" width="60.5703125" customWidth="1"/>
    <col min="4" max="4" width="11.85546875" customWidth="1"/>
    <col min="5" max="6" width="17.42578125" customWidth="1"/>
    <col min="7" max="7" width="13.42578125" customWidth="1"/>
    <col min="9" max="9" width="19.42578125" customWidth="1"/>
    <col min="10" max="11" width="10" bestFit="1" customWidth="1"/>
    <col min="12" max="12" width="12.7109375" customWidth="1"/>
    <col min="13" max="13" width="14.7109375" customWidth="1"/>
  </cols>
  <sheetData>
    <row r="1" spans="1:16" ht="18.75" x14ac:dyDescent="0.3">
      <c r="A1" s="53" t="s">
        <v>1561</v>
      </c>
    </row>
    <row r="2" spans="1:16" ht="18.75" x14ac:dyDescent="0.3">
      <c r="G2" s="404"/>
      <c r="H2" s="404"/>
      <c r="I2" s="404"/>
    </row>
    <row r="3" spans="1:16" ht="18.75" x14ac:dyDescent="0.3">
      <c r="A3" s="404" t="s">
        <v>1591</v>
      </c>
      <c r="B3" s="404"/>
      <c r="C3" s="404"/>
      <c r="G3" s="404"/>
      <c r="H3" s="404"/>
      <c r="I3" s="404"/>
      <c r="J3" s="305"/>
      <c r="K3" s="305"/>
      <c r="L3" s="305"/>
      <c r="M3" s="305"/>
      <c r="N3" s="305"/>
      <c r="O3" s="305"/>
      <c r="P3" s="305"/>
    </row>
    <row r="4" spans="1:16" ht="18.75" x14ac:dyDescent="0.25">
      <c r="A4" s="405" t="s">
        <v>64</v>
      </c>
      <c r="B4" s="405"/>
      <c r="G4" s="398"/>
      <c r="H4" s="398"/>
      <c r="I4" s="398"/>
      <c r="J4" s="305"/>
      <c r="K4" s="305"/>
      <c r="L4" s="305"/>
      <c r="M4" s="305"/>
      <c r="N4" s="305"/>
      <c r="O4" s="305"/>
      <c r="P4" s="305"/>
    </row>
    <row r="5" spans="1:16" x14ac:dyDescent="0.25">
      <c r="G5" s="305"/>
      <c r="H5" s="305"/>
      <c r="I5" s="305"/>
      <c r="J5" s="305"/>
      <c r="K5" s="305"/>
      <c r="L5" s="305"/>
      <c r="M5" s="305"/>
      <c r="N5" s="305"/>
      <c r="O5" s="305"/>
      <c r="P5" s="305"/>
    </row>
    <row r="6" spans="1:16" ht="94.5" x14ac:dyDescent="0.25">
      <c r="A6" s="139" t="s">
        <v>0</v>
      </c>
      <c r="B6" s="139" t="s">
        <v>1</v>
      </c>
      <c r="C6" s="139" t="s">
        <v>2</v>
      </c>
      <c r="D6" s="152" t="s">
        <v>26</v>
      </c>
      <c r="E6" s="12" t="s">
        <v>27</v>
      </c>
      <c r="F6" s="358"/>
      <c r="G6" s="305"/>
      <c r="H6" s="305"/>
      <c r="I6" s="305"/>
      <c r="J6" s="305"/>
      <c r="K6" s="305"/>
      <c r="L6" s="305"/>
      <c r="M6" s="305"/>
      <c r="N6" s="305"/>
      <c r="O6" s="305"/>
      <c r="P6" s="305"/>
    </row>
    <row r="7" spans="1:16" ht="15.75" x14ac:dyDescent="0.25">
      <c r="A7" s="269">
        <v>1</v>
      </c>
      <c r="B7" s="269">
        <v>2</v>
      </c>
      <c r="C7" s="269">
        <v>3</v>
      </c>
      <c r="D7" s="27">
        <v>4</v>
      </c>
      <c r="E7" s="27">
        <v>5</v>
      </c>
      <c r="F7" s="359"/>
      <c r="G7" s="305"/>
      <c r="H7" s="305"/>
      <c r="I7" s="305"/>
      <c r="J7" s="305"/>
      <c r="K7" s="305"/>
      <c r="L7" s="305"/>
      <c r="M7" s="305"/>
      <c r="N7" s="305"/>
      <c r="O7" s="305"/>
      <c r="P7" s="305"/>
    </row>
    <row r="8" spans="1:16" ht="15.75" x14ac:dyDescent="0.25">
      <c r="A8" s="4"/>
      <c r="B8" s="7" t="s">
        <v>7</v>
      </c>
      <c r="C8" s="269" t="s">
        <v>8</v>
      </c>
      <c r="D8" s="24"/>
      <c r="E8" s="22"/>
      <c r="F8" s="51"/>
      <c r="G8" s="305"/>
      <c r="H8" s="305"/>
      <c r="I8" s="305"/>
      <c r="J8" s="305"/>
      <c r="K8" s="305"/>
      <c r="L8" s="305"/>
      <c r="M8" s="305"/>
      <c r="N8" s="305"/>
      <c r="O8" s="305"/>
      <c r="P8" s="305"/>
    </row>
    <row r="9" spans="1:16" ht="15.75" x14ac:dyDescent="0.25">
      <c r="A9" s="8">
        <v>1000</v>
      </c>
      <c r="B9" s="7" t="s">
        <v>9</v>
      </c>
      <c r="C9" s="269"/>
      <c r="D9" s="43">
        <f>ROUND((D10+D14),2)</f>
        <v>7.0000000000000007E-2</v>
      </c>
      <c r="E9" s="43">
        <f>E10+E14</f>
        <v>41.11</v>
      </c>
      <c r="F9" s="360"/>
      <c r="G9" s="305"/>
      <c r="H9" s="305"/>
      <c r="I9" s="305"/>
      <c r="J9" s="305"/>
      <c r="K9" s="305"/>
      <c r="L9" s="312"/>
      <c r="M9" s="305"/>
      <c r="N9" s="305"/>
      <c r="O9" s="305"/>
      <c r="P9" s="305"/>
    </row>
    <row r="10" spans="1:16" ht="15.75" x14ac:dyDescent="0.25">
      <c r="A10" s="271">
        <v>1100</v>
      </c>
      <c r="B10" s="272" t="s">
        <v>10</v>
      </c>
      <c r="C10" s="132"/>
      <c r="D10" s="43">
        <f>D12+D13</f>
        <v>6.2071428571428576E-2</v>
      </c>
      <c r="E10" s="43">
        <f>E12+E13</f>
        <v>32.08</v>
      </c>
      <c r="F10" s="360"/>
      <c r="G10" s="305"/>
      <c r="H10" s="305"/>
      <c r="I10" s="305"/>
      <c r="J10" s="305"/>
      <c r="K10" s="305"/>
      <c r="L10" s="305"/>
      <c r="M10" s="305"/>
      <c r="N10" s="305"/>
      <c r="O10" s="305"/>
      <c r="P10" s="305"/>
    </row>
    <row r="11" spans="1:16" ht="15.75" x14ac:dyDescent="0.25">
      <c r="A11" s="16">
        <v>1110</v>
      </c>
      <c r="B11" s="16" t="s">
        <v>217</v>
      </c>
      <c r="C11" s="247" t="s">
        <v>218</v>
      </c>
      <c r="D11" s="108">
        <f>D12</f>
        <v>5.2071428571428574E-2</v>
      </c>
      <c r="E11" s="108">
        <f>E12</f>
        <v>29.16</v>
      </c>
      <c r="F11" s="361"/>
      <c r="G11" s="305"/>
      <c r="H11" s="305"/>
      <c r="I11" s="305"/>
      <c r="J11" s="305"/>
      <c r="K11" s="305"/>
      <c r="L11" s="305"/>
      <c r="M11" s="305"/>
      <c r="N11" s="305"/>
      <c r="O11" s="305"/>
      <c r="P11" s="305"/>
    </row>
    <row r="12" spans="1:16" s="15" customFormat="1" ht="94.5" customHeight="1" x14ac:dyDescent="0.25">
      <c r="A12" s="146"/>
      <c r="B12" s="362"/>
      <c r="C12" s="142" t="s">
        <v>1562</v>
      </c>
      <c r="D12" s="108">
        <f>E12/560</f>
        <v>5.2071428571428574E-2</v>
      </c>
      <c r="E12" s="108">
        <f>ROUND((8.2*12*0.2963),2)</f>
        <v>29.16</v>
      </c>
      <c r="F12" s="361"/>
      <c r="G12" s="313"/>
      <c r="H12" s="314"/>
      <c r="I12" s="313"/>
      <c r="J12" s="315"/>
      <c r="K12" s="314"/>
      <c r="L12" s="315"/>
      <c r="M12" s="315"/>
      <c r="N12" s="315"/>
      <c r="O12" s="315"/>
      <c r="P12" s="315"/>
    </row>
    <row r="13" spans="1:16" ht="31.5" x14ac:dyDescent="0.25">
      <c r="A13" s="122">
        <v>1140</v>
      </c>
      <c r="B13" s="5" t="s">
        <v>214</v>
      </c>
      <c r="C13" s="142" t="s">
        <v>1471</v>
      </c>
      <c r="D13" s="108">
        <f>ROUND((E13/560),2)</f>
        <v>0.01</v>
      </c>
      <c r="E13" s="108">
        <f>ROUND((29.16*0.1),2)</f>
        <v>2.92</v>
      </c>
      <c r="F13" s="361"/>
      <c r="G13" s="243"/>
    </row>
    <row r="14" spans="1:16" ht="63" x14ac:dyDescent="0.25">
      <c r="A14" s="7">
        <v>1200</v>
      </c>
      <c r="B14" s="356" t="s">
        <v>11</v>
      </c>
      <c r="C14" s="166" t="s">
        <v>1472</v>
      </c>
      <c r="D14" s="86">
        <f>ROUND((D15+D16),2)</f>
        <v>0.01</v>
      </c>
      <c r="E14" s="86">
        <f>ROUND((E15+E16),2)</f>
        <v>9.0299999999999994</v>
      </c>
      <c r="F14" s="363"/>
    </row>
    <row r="15" spans="1:16" ht="47.25" x14ac:dyDescent="0.25">
      <c r="A15" s="4">
        <v>1210</v>
      </c>
      <c r="B15" s="5" t="s">
        <v>216</v>
      </c>
      <c r="C15" s="166" t="s">
        <v>1473</v>
      </c>
      <c r="D15" s="108">
        <f>ROUND((E15/560),2)</f>
        <v>0.01</v>
      </c>
      <c r="E15" s="108">
        <f>ROUND((32.08*0.2359),2)</f>
        <v>7.57</v>
      </c>
      <c r="F15" s="361"/>
    </row>
    <row r="16" spans="1:16" ht="47.25" x14ac:dyDescent="0.25">
      <c r="A16" s="4">
        <v>1227</v>
      </c>
      <c r="B16" s="5" t="s">
        <v>215</v>
      </c>
      <c r="C16" s="142" t="s">
        <v>1474</v>
      </c>
      <c r="D16" s="108">
        <f>ROUND((E16/560),2)</f>
        <v>0</v>
      </c>
      <c r="E16" s="108">
        <f>ROUND((29.16*0.05),2)</f>
        <v>1.46</v>
      </c>
      <c r="F16" s="361"/>
      <c r="G16" s="243"/>
    </row>
    <row r="17" spans="1:6" ht="15.75" x14ac:dyDescent="0.25">
      <c r="A17" s="4"/>
      <c r="B17" s="9" t="s">
        <v>14</v>
      </c>
      <c r="C17" s="141" t="s">
        <v>16</v>
      </c>
      <c r="D17" s="43">
        <f>D9</f>
        <v>7.0000000000000007E-2</v>
      </c>
      <c r="E17" s="43">
        <f>E9</f>
        <v>41.11</v>
      </c>
      <c r="F17" s="360"/>
    </row>
    <row r="18" spans="1:6" ht="15.75" x14ac:dyDescent="0.25">
      <c r="A18" s="4"/>
      <c r="B18" s="9" t="s">
        <v>15</v>
      </c>
      <c r="C18" s="269" t="s">
        <v>8</v>
      </c>
      <c r="D18" s="42"/>
      <c r="E18" s="42"/>
      <c r="F18" s="364"/>
    </row>
    <row r="19" spans="1:6" ht="15.75" x14ac:dyDescent="0.25">
      <c r="A19" s="8">
        <v>1000</v>
      </c>
      <c r="B19" s="7" t="s">
        <v>9</v>
      </c>
      <c r="C19" s="269"/>
      <c r="D19" s="86">
        <f>SUM(D20+D31)</f>
        <v>0.23</v>
      </c>
      <c r="E19" s="86">
        <f>SUM(E20+E31)</f>
        <v>127.27000000000001</v>
      </c>
      <c r="F19" s="363"/>
    </row>
    <row r="20" spans="1:6" ht="15.75" x14ac:dyDescent="0.25">
      <c r="A20" s="4">
        <v>1100</v>
      </c>
      <c r="B20" s="4" t="s">
        <v>10</v>
      </c>
      <c r="C20" s="137" t="s">
        <v>219</v>
      </c>
      <c r="D20" s="86">
        <f>SUM(D21:D30)</f>
        <v>0.19</v>
      </c>
      <c r="E20" s="86">
        <f>SUM(E21:E30)</f>
        <v>102.98</v>
      </c>
      <c r="F20" s="363"/>
    </row>
    <row r="21" spans="1:6" ht="94.5" customHeight="1" x14ac:dyDescent="0.25">
      <c r="A21" s="222"/>
      <c r="B21" s="365"/>
      <c r="C21" s="142" t="s">
        <v>1563</v>
      </c>
      <c r="D21" s="108">
        <f>ROUND((E21/D56),2)</f>
        <v>0.04</v>
      </c>
      <c r="E21" s="108">
        <f>ROUND((5.8*12*0.2963),2)</f>
        <v>20.62</v>
      </c>
      <c r="F21" s="366"/>
    </row>
    <row r="22" spans="1:6" ht="95.25" customHeight="1" x14ac:dyDescent="0.25">
      <c r="A22" s="401"/>
      <c r="B22" s="417"/>
      <c r="C22" s="142" t="s">
        <v>1564</v>
      </c>
      <c r="D22" s="108">
        <f>ROUND((E22/D56),2)</f>
        <v>0</v>
      </c>
      <c r="E22" s="108">
        <f>ROUND((0.53*12*0.2963),2)</f>
        <v>1.88</v>
      </c>
      <c r="F22" s="367"/>
    </row>
    <row r="23" spans="1:6" ht="93.75" customHeight="1" x14ac:dyDescent="0.25">
      <c r="A23" s="401"/>
      <c r="B23" s="417"/>
      <c r="C23" s="142" t="s">
        <v>1565</v>
      </c>
      <c r="D23" s="108">
        <f>ROUND((E23/D56),2)</f>
        <v>0.01</v>
      </c>
      <c r="E23" s="108">
        <f>ROUND((1.92*12*0.2963),2)</f>
        <v>6.83</v>
      </c>
      <c r="F23" s="367"/>
    </row>
    <row r="24" spans="1:6" ht="94.5" x14ac:dyDescent="0.25">
      <c r="A24" s="401"/>
      <c r="B24" s="417"/>
      <c r="C24" s="142" t="s">
        <v>1566</v>
      </c>
      <c r="D24" s="108">
        <f>ROUND((E24/D56),2)</f>
        <v>0.02</v>
      </c>
      <c r="E24" s="108">
        <f>ROUND((3.79*12*0.2963),2)</f>
        <v>13.48</v>
      </c>
      <c r="F24" s="367"/>
    </row>
    <row r="25" spans="1:6" ht="94.5" x14ac:dyDescent="0.25">
      <c r="A25" s="401"/>
      <c r="B25" s="417"/>
      <c r="C25" s="142" t="s">
        <v>1567</v>
      </c>
      <c r="D25" s="108">
        <f>ROUND((E25/D56),2)</f>
        <v>0.01</v>
      </c>
      <c r="E25" s="108">
        <f>ROUND((0.97*12*0.2963),2)</f>
        <v>3.45</v>
      </c>
      <c r="F25" s="367"/>
    </row>
    <row r="26" spans="1:6" ht="94.5" x14ac:dyDescent="0.25">
      <c r="A26" s="401"/>
      <c r="B26" s="417"/>
      <c r="C26" s="142" t="s">
        <v>1568</v>
      </c>
      <c r="D26" s="108">
        <f>ROUND((E26/D56),2)</f>
        <v>0.03</v>
      </c>
      <c r="E26" s="108">
        <f>ROUND((4.15*12*0.2963),2)</f>
        <v>14.76</v>
      </c>
      <c r="F26" s="367"/>
    </row>
    <row r="27" spans="1:6" ht="94.5" x14ac:dyDescent="0.25">
      <c r="A27" s="401"/>
      <c r="B27" s="417"/>
      <c r="C27" s="142" t="s">
        <v>1569</v>
      </c>
      <c r="D27" s="108">
        <f>ROUND((E27/D56),2)</f>
        <v>0.03</v>
      </c>
      <c r="E27" s="108">
        <f>ROUND((4.71*12*0.2963),2)</f>
        <v>16.75</v>
      </c>
      <c r="F27" s="367"/>
    </row>
    <row r="28" spans="1:6" ht="94.5" x14ac:dyDescent="0.25">
      <c r="A28" s="401"/>
      <c r="B28" s="417"/>
      <c r="C28" s="123" t="s">
        <v>1589</v>
      </c>
      <c r="D28" s="108">
        <f>ROUND((E28/D56),2)</f>
        <v>0.02</v>
      </c>
      <c r="E28" s="108">
        <f>ROUND((2.74*12*0.2963),2)</f>
        <v>9.74</v>
      </c>
      <c r="F28" s="367"/>
    </row>
    <row r="29" spans="1:6" ht="110.25" x14ac:dyDescent="0.25">
      <c r="A29" s="401"/>
      <c r="B29" s="417"/>
      <c r="C29" s="123" t="s">
        <v>1570</v>
      </c>
      <c r="D29" s="108">
        <f>ROUND((E29/D56),2)</f>
        <v>0.02</v>
      </c>
      <c r="E29" s="108">
        <f>ROUND((2.45*12*0.2963),2)</f>
        <v>8.7100000000000009</v>
      </c>
      <c r="F29" s="367"/>
    </row>
    <row r="30" spans="1:6" ht="94.5" x14ac:dyDescent="0.25">
      <c r="A30" s="402"/>
      <c r="B30" s="418"/>
      <c r="C30" s="123" t="s">
        <v>1571</v>
      </c>
      <c r="D30" s="108">
        <f>ROUND((E30/D56),2)</f>
        <v>0.01</v>
      </c>
      <c r="E30" s="108">
        <f>ROUND((1.9*12*0.2963),2)</f>
        <v>6.76</v>
      </c>
      <c r="F30" s="367"/>
    </row>
    <row r="31" spans="1:6" ht="63" x14ac:dyDescent="0.25">
      <c r="A31" s="7">
        <v>1200</v>
      </c>
      <c r="B31" s="156" t="s">
        <v>11</v>
      </c>
      <c r="C31" s="166" t="s">
        <v>1475</v>
      </c>
      <c r="D31" s="86">
        <f>ROUND((E31/D56),2)</f>
        <v>0.04</v>
      </c>
      <c r="E31" s="86">
        <f>ROUND((102.98*0.2359),2)</f>
        <v>24.29</v>
      </c>
      <c r="F31" s="367"/>
    </row>
    <row r="32" spans="1:6" ht="15.75" x14ac:dyDescent="0.25">
      <c r="A32" s="8">
        <v>2000</v>
      </c>
      <c r="B32" s="7" t="s">
        <v>12</v>
      </c>
      <c r="C32" s="269"/>
      <c r="D32" s="43">
        <f>SUM(D33:D48)</f>
        <v>15.72</v>
      </c>
      <c r="E32" s="43">
        <f>SUM(E33:E49)</f>
        <v>8804.4301623339779</v>
      </c>
      <c r="F32" s="367"/>
    </row>
    <row r="33" spans="1:13" ht="47.25" x14ac:dyDescent="0.25">
      <c r="A33" s="4">
        <v>2221</v>
      </c>
      <c r="B33" s="5" t="s">
        <v>54</v>
      </c>
      <c r="C33" s="114" t="s">
        <v>1572</v>
      </c>
      <c r="D33" s="44">
        <f>ROUND((E33/D56),2)</f>
        <v>3.25</v>
      </c>
      <c r="E33" s="44">
        <f>(3181609.87*1000/517977.82)*0.2963</f>
        <v>1819.9833430724891</v>
      </c>
      <c r="F33" s="367"/>
    </row>
    <row r="34" spans="1:13" ht="47.25" x14ac:dyDescent="0.25">
      <c r="A34" s="4">
        <v>2222</v>
      </c>
      <c r="B34" s="5" t="s">
        <v>55</v>
      </c>
      <c r="C34" s="114" t="s">
        <v>1573</v>
      </c>
      <c r="D34" s="44">
        <f>ROUND((E34/D56),2)</f>
        <v>0.44</v>
      </c>
      <c r="E34" s="44">
        <f>(431957.55*1000/517977.82)*0.2963</f>
        <v>247.09363436642906</v>
      </c>
      <c r="F34" s="366"/>
    </row>
    <row r="35" spans="1:13" ht="47.25" x14ac:dyDescent="0.25">
      <c r="A35" s="4">
        <v>2223</v>
      </c>
      <c r="B35" s="5" t="s">
        <v>19</v>
      </c>
      <c r="C35" s="114" t="s">
        <v>1574</v>
      </c>
      <c r="D35" s="44">
        <f>ROUND((E35/D56),2)</f>
        <v>3.66</v>
      </c>
      <c r="E35" s="44">
        <f>(3583763.24*1000/517977.82)*0.2963</f>
        <v>2050.0280263197369</v>
      </c>
      <c r="F35" s="366"/>
    </row>
    <row r="36" spans="1:13" ht="78.75" x14ac:dyDescent="0.25">
      <c r="A36" s="4">
        <v>2224</v>
      </c>
      <c r="B36" s="5" t="s">
        <v>56</v>
      </c>
      <c r="C36" s="5" t="s">
        <v>1575</v>
      </c>
      <c r="D36" s="44">
        <f>ROUND((E36/D56),2)</f>
        <v>0.52</v>
      </c>
      <c r="E36" s="44">
        <f>(510209.48*1000/517977.82)*0.2963</f>
        <v>291.85625925835978</v>
      </c>
      <c r="F36" s="366"/>
    </row>
    <row r="37" spans="1:13" ht="48.75" customHeight="1" x14ac:dyDescent="0.25">
      <c r="A37" s="4">
        <v>2232</v>
      </c>
      <c r="B37" s="5" t="s">
        <v>1476</v>
      </c>
      <c r="C37" s="5" t="s">
        <v>1576</v>
      </c>
      <c r="D37" s="44">
        <f>ROUND((E37/D56),2)</f>
        <v>0.04</v>
      </c>
      <c r="E37" s="44">
        <f>(39465.53*1000/517977.82)*0.2963</f>
        <v>22.575554565251466</v>
      </c>
      <c r="F37" s="366"/>
    </row>
    <row r="38" spans="1:13" ht="48.95" customHeight="1" x14ac:dyDescent="0.25">
      <c r="A38" s="4">
        <v>2239</v>
      </c>
      <c r="B38" s="5" t="s">
        <v>20</v>
      </c>
      <c r="C38" s="5" t="s">
        <v>1577</v>
      </c>
      <c r="D38" s="255">
        <f>ROUND((E38/D56),2)</f>
        <v>0.03</v>
      </c>
      <c r="E38" s="255">
        <f>(31908.35*1000/517977.82)*0.2963</f>
        <v>18.252604146254757</v>
      </c>
      <c r="F38" s="366"/>
    </row>
    <row r="39" spans="1:13" ht="47.25" x14ac:dyDescent="0.25">
      <c r="A39" s="4">
        <v>2241</v>
      </c>
      <c r="B39" s="1" t="s">
        <v>58</v>
      </c>
      <c r="C39" s="166" t="s">
        <v>1612</v>
      </c>
      <c r="D39" s="255">
        <f>ROUND((E39/D56),2)</f>
        <v>0.99</v>
      </c>
      <c r="E39" s="255">
        <f>(967883.68*1000/517977.82)*0.2963</f>
        <v>553.66064590178792</v>
      </c>
      <c r="F39" s="366"/>
    </row>
    <row r="40" spans="1:13" ht="50.25" customHeight="1" x14ac:dyDescent="0.25">
      <c r="A40" s="4">
        <v>2242</v>
      </c>
      <c r="B40" s="368" t="s">
        <v>1477</v>
      </c>
      <c r="C40" s="5" t="s">
        <v>1578</v>
      </c>
      <c r="D40" s="255">
        <f>ROUND((E40/D56),2)</f>
        <v>0.27</v>
      </c>
      <c r="E40" s="255">
        <f>(266778.04*1000/517977.82)*0.2963</f>
        <v>152.60563329140231</v>
      </c>
      <c r="F40" s="366"/>
    </row>
    <row r="41" spans="1:13" ht="47.25" customHeight="1" x14ac:dyDescent="0.25">
      <c r="A41" s="4">
        <v>2243</v>
      </c>
      <c r="B41" s="5" t="s">
        <v>21</v>
      </c>
      <c r="C41" s="84" t="s">
        <v>1579</v>
      </c>
      <c r="D41" s="255">
        <f>ROUND((E41/D56),2)</f>
        <v>0.42</v>
      </c>
      <c r="E41" s="255">
        <f>(414248.01*1000/517977.82)*0.2963</f>
        <v>236.9632069631862</v>
      </c>
      <c r="F41" s="366"/>
    </row>
    <row r="42" spans="1:13" ht="48" customHeight="1" x14ac:dyDescent="0.25">
      <c r="A42" s="4">
        <v>2244</v>
      </c>
      <c r="B42" s="5" t="s">
        <v>22</v>
      </c>
      <c r="C42" s="166" t="s">
        <v>1580</v>
      </c>
      <c r="D42" s="255">
        <f>ROUND((E42/D56),2)</f>
        <v>3.35</v>
      </c>
      <c r="E42" s="255">
        <f>(3275906.57*1000/517977.82)*0.2963</f>
        <v>1873.9240932961184</v>
      </c>
      <c r="F42" s="366"/>
      <c r="I42" s="14"/>
      <c r="J42" s="14"/>
      <c r="K42" s="14"/>
      <c r="L42" s="14"/>
      <c r="M42" s="14"/>
    </row>
    <row r="43" spans="1:13" ht="47.25" x14ac:dyDescent="0.25">
      <c r="A43" s="4">
        <v>2249</v>
      </c>
      <c r="B43" s="166" t="s">
        <v>45</v>
      </c>
      <c r="C43" s="166" t="s">
        <v>1581</v>
      </c>
      <c r="D43" s="44">
        <f>ROUND((E43/D56+0.01),2)</f>
        <v>7.0000000000000007E-2</v>
      </c>
      <c r="E43" s="44">
        <f>(62597.22*1000/517977.82)*0.2963</f>
        <v>35.807626446244363</v>
      </c>
      <c r="F43" s="366"/>
      <c r="I43" s="14"/>
      <c r="J43" s="14"/>
      <c r="K43" s="14"/>
      <c r="L43" s="14"/>
      <c r="M43" s="14"/>
    </row>
    <row r="44" spans="1:13" ht="49.5" customHeight="1" x14ac:dyDescent="0.25">
      <c r="A44" s="4">
        <v>2261</v>
      </c>
      <c r="B44" s="5" t="s">
        <v>1478</v>
      </c>
      <c r="C44" s="166" t="s">
        <v>1582</v>
      </c>
      <c r="D44" s="44">
        <f>ROUND((E44/D56),2)</f>
        <v>1.73</v>
      </c>
      <c r="E44" s="44">
        <f>(1689383.72*1000/517977.82)*0.2963</f>
        <v>966.38191232975953</v>
      </c>
      <c r="F44" s="366"/>
    </row>
    <row r="45" spans="1:13" ht="47.25" x14ac:dyDescent="0.25">
      <c r="A45" s="4">
        <v>2312</v>
      </c>
      <c r="B45" s="4" t="s">
        <v>13</v>
      </c>
      <c r="C45" s="166" t="s">
        <v>1583</v>
      </c>
      <c r="D45" s="44">
        <f>ROUND((E45/D56),2)</f>
        <v>0.05</v>
      </c>
      <c r="E45" s="44">
        <f>(47962.28*1000/517977.82)*0.2963</f>
        <v>27.43596929304811</v>
      </c>
      <c r="F45" s="366"/>
    </row>
    <row r="46" spans="1:13" ht="47.25" x14ac:dyDescent="0.25">
      <c r="A46" s="4">
        <v>2321</v>
      </c>
      <c r="B46" s="4" t="s">
        <v>1479</v>
      </c>
      <c r="C46" s="166" t="s">
        <v>1584</v>
      </c>
      <c r="D46" s="44">
        <f>ROUND((E46/D56),2)</f>
        <v>0.74</v>
      </c>
      <c r="E46" s="44">
        <f>(725769.68*1000/517977.82)*0.2963</f>
        <v>415.16363805693453</v>
      </c>
      <c r="F46" s="366"/>
    </row>
    <row r="47" spans="1:13" ht="47.25" customHeight="1" x14ac:dyDescent="0.25">
      <c r="A47" s="4">
        <v>2350</v>
      </c>
      <c r="B47" s="5" t="s">
        <v>213</v>
      </c>
      <c r="C47" s="166" t="s">
        <v>1585</v>
      </c>
      <c r="D47" s="44">
        <f>ROUND((E47/D56+0.01),2)</f>
        <v>0.1</v>
      </c>
      <c r="E47" s="108">
        <f>(92521.12*1000/517977.82)*0.2963</f>
        <v>52.925061262275669</v>
      </c>
      <c r="F47" s="367"/>
    </row>
    <row r="48" spans="1:13" ht="48" customHeight="1" x14ac:dyDescent="0.25">
      <c r="A48" s="4">
        <v>2513</v>
      </c>
      <c r="B48" s="5" t="s">
        <v>57</v>
      </c>
      <c r="C48" s="166" t="s">
        <v>1586</v>
      </c>
      <c r="D48" s="108">
        <f>ROUND((E48/D56),2)</f>
        <v>0.06</v>
      </c>
      <c r="E48" s="108">
        <f>(56976.44*1000/517977.82)*0.2963</f>
        <v>32.592359209512097</v>
      </c>
      <c r="F48" s="366"/>
    </row>
    <row r="49" spans="1:6" ht="46.5" customHeight="1" x14ac:dyDescent="0.25">
      <c r="A49" s="4">
        <v>2515</v>
      </c>
      <c r="B49" s="5" t="s">
        <v>44</v>
      </c>
      <c r="C49" s="166" t="s">
        <v>1587</v>
      </c>
      <c r="D49" s="44">
        <f>ROUND((E49/D56),2)</f>
        <v>0.01</v>
      </c>
      <c r="E49" s="44">
        <f>(12552.78*1000/517977.82)*0.2963</f>
        <v>7.1805945551877102</v>
      </c>
      <c r="F49" s="366"/>
    </row>
    <row r="50" spans="1:6" ht="15.75" x14ac:dyDescent="0.25">
      <c r="A50" s="10">
        <v>5000</v>
      </c>
      <c r="B50" s="9" t="s">
        <v>17</v>
      </c>
      <c r="C50" s="269"/>
      <c r="D50" s="43">
        <f>SUM(D51:D51)</f>
        <v>1.29</v>
      </c>
      <c r="E50" s="43">
        <f>SUM(E51:E51)</f>
        <v>722.65199600000005</v>
      </c>
      <c r="F50" s="366"/>
    </row>
    <row r="51" spans="1:6" ht="47.25" x14ac:dyDescent="0.25">
      <c r="A51" s="4">
        <v>5212</v>
      </c>
      <c r="B51" s="5" t="s">
        <v>31</v>
      </c>
      <c r="C51" s="5" t="s">
        <v>1588</v>
      </c>
      <c r="D51" s="108">
        <f>ROUND((E51/D56),2)</f>
        <v>1.29</v>
      </c>
      <c r="E51" s="108">
        <f>2438.92*0.2963</f>
        <v>722.65199600000005</v>
      </c>
      <c r="F51" s="366"/>
    </row>
    <row r="52" spans="1:6" ht="15.75" x14ac:dyDescent="0.25">
      <c r="A52" s="161"/>
      <c r="B52" s="9" t="s">
        <v>23</v>
      </c>
      <c r="C52" s="269"/>
      <c r="D52" s="43">
        <f>SUM(D19+D32+D50)</f>
        <v>17.240000000000002</v>
      </c>
      <c r="E52" s="40">
        <f>SUM(E19+E32+E50)</f>
        <v>9654.3521583339789</v>
      </c>
      <c r="F52" s="366"/>
    </row>
    <row r="53" spans="1:6" ht="31.5" x14ac:dyDescent="0.25">
      <c r="A53" s="6"/>
      <c r="B53" s="11" t="s">
        <v>28</v>
      </c>
      <c r="C53" s="269"/>
      <c r="D53" s="87">
        <f>D17+D52</f>
        <v>17.310000000000002</v>
      </c>
      <c r="E53" s="41">
        <f>E17+E52</f>
        <v>9695.4621583339795</v>
      </c>
      <c r="F53" s="366"/>
    </row>
    <row r="54" spans="1:6" ht="15.75" x14ac:dyDescent="0.25">
      <c r="A54" s="6"/>
      <c r="B54" s="13" t="s">
        <v>29</v>
      </c>
      <c r="C54" s="269"/>
      <c r="D54" s="87">
        <f>D53*0.21</f>
        <v>3.6351000000000004</v>
      </c>
      <c r="E54" s="87">
        <f>E53*0.21</f>
        <v>2036.0470532501356</v>
      </c>
      <c r="F54" s="369"/>
    </row>
    <row r="55" spans="1:6" ht="31.5" x14ac:dyDescent="0.25">
      <c r="A55" s="6"/>
      <c r="B55" s="169" t="s">
        <v>30</v>
      </c>
      <c r="C55" s="170"/>
      <c r="D55" s="176">
        <f>D53*1.21</f>
        <v>20.945100000000004</v>
      </c>
      <c r="E55" s="176">
        <f>E53*1.21</f>
        <v>11731.509211584114</v>
      </c>
      <c r="F55" s="369"/>
    </row>
    <row r="56" spans="1:6" ht="15.75" x14ac:dyDescent="0.25">
      <c r="A56" s="406" t="s">
        <v>1480</v>
      </c>
      <c r="B56" s="406"/>
      <c r="C56" s="406"/>
      <c r="D56" s="183">
        <v>560</v>
      </c>
      <c r="E56" s="179" t="s">
        <v>186</v>
      </c>
      <c r="F56" s="370"/>
    </row>
    <row r="57" spans="1:6" ht="30.95" customHeight="1" x14ac:dyDescent="0.25">
      <c r="A57" s="397" t="s">
        <v>59</v>
      </c>
      <c r="B57" s="397"/>
      <c r="C57" s="397"/>
      <c r="D57" s="179">
        <f>ROUND((E55/D56),2)</f>
        <v>20.95</v>
      </c>
      <c r="E57" s="191" t="s">
        <v>1481</v>
      </c>
      <c r="F57" s="371"/>
    </row>
    <row r="58" spans="1:6" ht="15.75" x14ac:dyDescent="0.25">
      <c r="A58" s="372"/>
      <c r="B58" s="372"/>
      <c r="C58" s="372"/>
      <c r="D58" s="373"/>
      <c r="E58" s="374"/>
      <c r="F58" s="374"/>
    </row>
  </sheetData>
  <mergeCells count="9">
    <mergeCell ref="A22:A30"/>
    <mergeCell ref="B22:B30"/>
    <mergeCell ref="A56:C56"/>
    <mergeCell ref="A57:C57"/>
    <mergeCell ref="G2:I2"/>
    <mergeCell ref="A3:C3"/>
    <mergeCell ref="G3:I3"/>
    <mergeCell ref="A4:B4"/>
    <mergeCell ref="G4:I4"/>
  </mergeCells>
  <pageMargins left="0.70866141732283472" right="0.70866141732283472" top="0.74803149606299213" bottom="0.74803149606299213" header="0.31496062992125984" footer="0.31496062992125984"/>
  <pageSetup paperSize="9" scale="95" orientation="landscape" verticalDpi="0" r:id="rId1"/>
  <rowBreaks count="1" manualBreakCount="1">
    <brk id="13" max="4" man="1"/>
  </rowBreaks>
  <colBreaks count="1" manualBreakCount="1">
    <brk id="5" max="57"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61311E-77C9-49D3-9F90-17AFBC15F143}">
  <dimension ref="A1:E48"/>
  <sheetViews>
    <sheetView zoomScaleNormal="100" workbookViewId="0"/>
  </sheetViews>
  <sheetFormatPr defaultColWidth="9.140625" defaultRowHeight="15.75" x14ac:dyDescent="0.25"/>
  <cols>
    <col min="1" max="1" width="9.42578125" style="1" customWidth="1"/>
    <col min="2" max="2" width="26.5703125" style="1" customWidth="1"/>
    <col min="3" max="3" width="65.28515625" style="1" customWidth="1"/>
    <col min="4" max="4" width="9.140625" style="1"/>
    <col min="5" max="5" width="17.5703125" style="1" customWidth="1"/>
    <col min="6" max="6" width="17.42578125" style="1" customWidth="1"/>
    <col min="7" max="16384" width="9.140625" style="1"/>
  </cols>
  <sheetData>
    <row r="1" spans="1:5" ht="18.75" x14ac:dyDescent="0.3">
      <c r="A1" s="53" t="s">
        <v>1628</v>
      </c>
      <c r="B1" s="2"/>
      <c r="C1" s="2"/>
      <c r="D1" s="2"/>
    </row>
    <row r="2" spans="1:5" ht="18.75" x14ac:dyDescent="0.3">
      <c r="A2" s="2"/>
      <c r="B2" s="2"/>
      <c r="C2" s="2"/>
      <c r="D2" s="2"/>
    </row>
    <row r="3" spans="1:5" ht="18.75" x14ac:dyDescent="0.3">
      <c r="A3" s="404" t="s">
        <v>1629</v>
      </c>
      <c r="B3" s="404"/>
      <c r="C3" s="404"/>
      <c r="D3" s="2"/>
    </row>
    <row r="4" spans="1:5" ht="18.75" x14ac:dyDescent="0.3">
      <c r="A4" s="419" t="s">
        <v>64</v>
      </c>
      <c r="B4" s="419"/>
      <c r="C4" s="2"/>
      <c r="D4" s="2"/>
    </row>
    <row r="6" spans="1:5" ht="78.75" x14ac:dyDescent="0.25">
      <c r="A6" s="139" t="s">
        <v>0</v>
      </c>
      <c r="B6" s="139" t="s">
        <v>1</v>
      </c>
      <c r="C6" s="139" t="s">
        <v>2</v>
      </c>
      <c r="D6" s="152" t="s">
        <v>26</v>
      </c>
      <c r="E6" s="12" t="s">
        <v>27</v>
      </c>
    </row>
    <row r="7" spans="1:5" x14ac:dyDescent="0.25">
      <c r="A7" s="269">
        <v>1</v>
      </c>
      <c r="B7" s="269">
        <v>2</v>
      </c>
      <c r="C7" s="269">
        <v>3</v>
      </c>
      <c r="D7" s="269">
        <v>4</v>
      </c>
      <c r="E7" s="269">
        <v>5</v>
      </c>
    </row>
    <row r="8" spans="1:5" x14ac:dyDescent="0.25">
      <c r="A8" s="4"/>
      <c r="B8" s="7" t="s">
        <v>7</v>
      </c>
      <c r="C8" s="269" t="s">
        <v>8</v>
      </c>
      <c r="D8" s="376"/>
      <c r="E8" s="4"/>
    </row>
    <row r="9" spans="1:5" x14ac:dyDescent="0.25">
      <c r="A9" s="8">
        <v>1000</v>
      </c>
      <c r="B9" s="7" t="s">
        <v>9</v>
      </c>
      <c r="C9" s="269"/>
      <c r="D9" s="261">
        <f>ROUND((D10+D14),2)</f>
        <v>0.06</v>
      </c>
      <c r="E9" s="261">
        <f>E10+E14</f>
        <v>11.09</v>
      </c>
    </row>
    <row r="10" spans="1:5" x14ac:dyDescent="0.25">
      <c r="A10" s="271">
        <v>1100</v>
      </c>
      <c r="B10" s="272" t="s">
        <v>10</v>
      </c>
      <c r="C10" s="132"/>
      <c r="D10" s="261">
        <f>D12+D13</f>
        <v>4.9187500000000002E-2</v>
      </c>
      <c r="E10" s="261">
        <f>E12+E13</f>
        <v>8.66</v>
      </c>
    </row>
    <row r="11" spans="1:5" x14ac:dyDescent="0.25">
      <c r="A11" s="16">
        <v>1110</v>
      </c>
      <c r="B11" s="16" t="s">
        <v>217</v>
      </c>
      <c r="C11" s="247" t="s">
        <v>218</v>
      </c>
      <c r="D11" s="326">
        <f>D12</f>
        <v>4.9187500000000002E-2</v>
      </c>
      <c r="E11" s="326">
        <f>E12</f>
        <v>7.87</v>
      </c>
    </row>
    <row r="12" spans="1:5" ht="94.5" x14ac:dyDescent="0.25">
      <c r="A12" s="127"/>
      <c r="B12" s="130"/>
      <c r="C12" s="142" t="s">
        <v>1540</v>
      </c>
      <c r="D12" s="326">
        <f>E12/160</f>
        <v>4.9187500000000002E-2</v>
      </c>
      <c r="E12" s="326">
        <f>ROUND((8.2*12*0.08),2)</f>
        <v>7.87</v>
      </c>
    </row>
    <row r="13" spans="1:5" ht="31.5" x14ac:dyDescent="0.25">
      <c r="A13" s="122">
        <v>1140</v>
      </c>
      <c r="B13" s="5" t="s">
        <v>214</v>
      </c>
      <c r="C13" s="142" t="s">
        <v>1482</v>
      </c>
      <c r="D13" s="326">
        <f>ROUND((E13/160),2)</f>
        <v>0</v>
      </c>
      <c r="E13" s="326">
        <f>ROUND((7.87*0.1),2)</f>
        <v>0.79</v>
      </c>
    </row>
    <row r="14" spans="1:5" ht="66.75" customHeight="1" x14ac:dyDescent="0.25">
      <c r="A14" s="7">
        <v>1200</v>
      </c>
      <c r="B14" s="356" t="s">
        <v>11</v>
      </c>
      <c r="C14" s="166" t="s">
        <v>1483</v>
      </c>
      <c r="D14" s="328">
        <f>ROUND((D15+D16),2)</f>
        <v>0.01</v>
      </c>
      <c r="E14" s="328">
        <f>ROUND((E15+E16),2)</f>
        <v>2.4300000000000002</v>
      </c>
    </row>
    <row r="15" spans="1:5" ht="47.25" x14ac:dyDescent="0.25">
      <c r="A15" s="4">
        <v>1210</v>
      </c>
      <c r="B15" s="5" t="s">
        <v>216</v>
      </c>
      <c r="C15" s="166" t="s">
        <v>1484</v>
      </c>
      <c r="D15" s="326">
        <f>ROUND((E15/160),2)</f>
        <v>0.01</v>
      </c>
      <c r="E15" s="326">
        <f>ROUND((8.66*0.2359),2)</f>
        <v>2.04</v>
      </c>
    </row>
    <row r="16" spans="1:5" ht="63" x14ac:dyDescent="0.25">
      <c r="A16" s="4">
        <v>1227</v>
      </c>
      <c r="B16" s="5" t="s">
        <v>215</v>
      </c>
      <c r="C16" s="142" t="s">
        <v>1485</v>
      </c>
      <c r="D16" s="326">
        <f>ROUND((E16/160),2)</f>
        <v>0</v>
      </c>
      <c r="E16" s="326">
        <f>ROUND((7.87*0.05),2)</f>
        <v>0.39</v>
      </c>
    </row>
    <row r="17" spans="1:5" x14ac:dyDescent="0.25">
      <c r="A17" s="4"/>
      <c r="B17" s="9" t="s">
        <v>14</v>
      </c>
      <c r="C17" s="141" t="s">
        <v>16</v>
      </c>
      <c r="D17" s="261">
        <f>D9</f>
        <v>0.06</v>
      </c>
      <c r="E17" s="261">
        <f>E9</f>
        <v>11.09</v>
      </c>
    </row>
    <row r="18" spans="1:5" x14ac:dyDescent="0.25">
      <c r="A18" s="4"/>
      <c r="B18" s="9" t="s">
        <v>15</v>
      </c>
      <c r="C18" s="269" t="s">
        <v>8</v>
      </c>
      <c r="D18" s="329"/>
      <c r="E18" s="329"/>
    </row>
    <row r="19" spans="1:5" x14ac:dyDescent="0.25">
      <c r="A19" s="8">
        <v>1000</v>
      </c>
      <c r="B19" s="7" t="s">
        <v>9</v>
      </c>
      <c r="C19" s="269"/>
      <c r="D19" s="328">
        <f>SUM(D20+D31)</f>
        <v>0.22</v>
      </c>
      <c r="E19" s="328">
        <f>SUM(E20+E31)</f>
        <v>34.64</v>
      </c>
    </row>
    <row r="20" spans="1:5" x14ac:dyDescent="0.25">
      <c r="A20" s="4">
        <v>1100</v>
      </c>
      <c r="B20" s="4" t="s">
        <v>10</v>
      </c>
      <c r="C20" s="137" t="s">
        <v>219</v>
      </c>
      <c r="D20" s="328">
        <f>SUM(D21:D30)</f>
        <v>0.18</v>
      </c>
      <c r="E20" s="328">
        <f>SUM(E21:E30)</f>
        <v>28.03</v>
      </c>
    </row>
    <row r="21" spans="1:5" ht="94.5" x14ac:dyDescent="0.25">
      <c r="A21" s="222"/>
      <c r="B21" s="365"/>
      <c r="C21" s="142" t="s">
        <v>1541</v>
      </c>
      <c r="D21" s="326">
        <f>ROUND((E21/D40),2)</f>
        <v>0.03</v>
      </c>
      <c r="E21" s="326">
        <f>ROUND((5.8*12*0.08),2)</f>
        <v>5.57</v>
      </c>
    </row>
    <row r="22" spans="1:5" ht="90.95" customHeight="1" x14ac:dyDescent="0.25">
      <c r="A22" s="401"/>
      <c r="B22" s="417"/>
      <c r="C22" s="142" t="s">
        <v>1542</v>
      </c>
      <c r="D22" s="326">
        <f>ROUND((E22/D40),2)</f>
        <v>0</v>
      </c>
      <c r="E22" s="326">
        <f>ROUND((0.53*12*0.08),2)</f>
        <v>0.51</v>
      </c>
    </row>
    <row r="23" spans="1:5" ht="78" customHeight="1" x14ac:dyDescent="0.25">
      <c r="A23" s="401"/>
      <c r="B23" s="417"/>
      <c r="C23" s="142" t="s">
        <v>1543</v>
      </c>
      <c r="D23" s="326">
        <f>ROUND((E23/D40),2)</f>
        <v>0.01</v>
      </c>
      <c r="E23" s="326">
        <f>ROUND((1.92*12*0.08),2)</f>
        <v>1.84</v>
      </c>
    </row>
    <row r="24" spans="1:5" ht="94.5" x14ac:dyDescent="0.25">
      <c r="A24" s="401"/>
      <c r="B24" s="417"/>
      <c r="C24" s="142" t="s">
        <v>1544</v>
      </c>
      <c r="D24" s="326">
        <f>ROUND((E24/D40),2)</f>
        <v>0.02</v>
      </c>
      <c r="E24" s="326">
        <f>ROUND((3.79*12*0.08),2)</f>
        <v>3.64</v>
      </c>
    </row>
    <row r="25" spans="1:5" ht="94.5" x14ac:dyDescent="0.25">
      <c r="A25" s="401"/>
      <c r="B25" s="417"/>
      <c r="C25" s="142" t="s">
        <v>1545</v>
      </c>
      <c r="D25" s="326">
        <f>ROUND((E25/D40),2)</f>
        <v>0.01</v>
      </c>
      <c r="E25" s="326">
        <f>ROUND((1.22*12*0.08),2)</f>
        <v>1.17</v>
      </c>
    </row>
    <row r="26" spans="1:5" ht="94.5" x14ac:dyDescent="0.25">
      <c r="A26" s="401"/>
      <c r="B26" s="417"/>
      <c r="C26" s="142" t="s">
        <v>1546</v>
      </c>
      <c r="D26" s="326">
        <f>ROUND((E26/D40+0.01),2)</f>
        <v>0.03</v>
      </c>
      <c r="E26" s="326">
        <f>ROUND((4.15*12*0.08),2)</f>
        <v>3.98</v>
      </c>
    </row>
    <row r="27" spans="1:5" ht="94.5" x14ac:dyDescent="0.25">
      <c r="A27" s="401"/>
      <c r="B27" s="417"/>
      <c r="C27" s="142" t="s">
        <v>1547</v>
      </c>
      <c r="D27" s="326">
        <f>ROUND((E27/D40),2)</f>
        <v>0.03</v>
      </c>
      <c r="E27" s="326">
        <f>ROUND((4.71*12*0.08),2)</f>
        <v>4.5199999999999996</v>
      </c>
    </row>
    <row r="28" spans="1:5" ht="94.5" x14ac:dyDescent="0.25">
      <c r="A28" s="401"/>
      <c r="B28" s="417"/>
      <c r="C28" s="123" t="s">
        <v>1548</v>
      </c>
      <c r="D28" s="326">
        <f>ROUND((E28/D40),2)</f>
        <v>0.02</v>
      </c>
      <c r="E28" s="326">
        <f>ROUND((2.74*12*0.08),2)</f>
        <v>2.63</v>
      </c>
    </row>
    <row r="29" spans="1:5" ht="90.95" customHeight="1" x14ac:dyDescent="0.25">
      <c r="A29" s="401"/>
      <c r="B29" s="417"/>
      <c r="C29" s="123" t="s">
        <v>1549</v>
      </c>
      <c r="D29" s="326">
        <f>ROUND((E29/D40+0.01),2)</f>
        <v>0.02</v>
      </c>
      <c r="E29" s="326">
        <f>ROUND((2.45*12*0.08),2)</f>
        <v>2.35</v>
      </c>
    </row>
    <row r="30" spans="1:5" ht="94.5" x14ac:dyDescent="0.25">
      <c r="A30" s="402"/>
      <c r="B30" s="418"/>
      <c r="C30" s="123" t="s">
        <v>1550</v>
      </c>
      <c r="D30" s="326">
        <f>ROUND((E30/D40),2)</f>
        <v>0.01</v>
      </c>
      <c r="E30" s="326">
        <f>ROUND((1.9*12*0.08),2)</f>
        <v>1.82</v>
      </c>
    </row>
    <row r="31" spans="1:5" ht="63" x14ac:dyDescent="0.25">
      <c r="A31" s="7">
        <v>1200</v>
      </c>
      <c r="B31" s="156" t="s">
        <v>11</v>
      </c>
      <c r="C31" s="166" t="s">
        <v>1486</v>
      </c>
      <c r="D31" s="328">
        <f>ROUND((E31/D40),2)</f>
        <v>0.04</v>
      </c>
      <c r="E31" s="328">
        <f>ROUND((28.03*0.2359),2)</f>
        <v>6.61</v>
      </c>
    </row>
    <row r="32" spans="1:5" x14ac:dyDescent="0.25">
      <c r="A32" s="8">
        <v>2000</v>
      </c>
      <c r="B32" s="7" t="s">
        <v>12</v>
      </c>
      <c r="C32" s="269"/>
      <c r="D32" s="261">
        <f>SUM(D33:D35)</f>
        <v>0.44000000000000006</v>
      </c>
      <c r="E32" s="261">
        <f>SUM(E33:E35)</f>
        <v>69.717472219536987</v>
      </c>
    </row>
    <row r="33" spans="1:5" ht="47.25" x14ac:dyDescent="0.25">
      <c r="A33" s="4">
        <v>2244</v>
      </c>
      <c r="B33" s="5" t="s">
        <v>22</v>
      </c>
      <c r="C33" s="166" t="s">
        <v>1551</v>
      </c>
      <c r="D33" s="326">
        <f>ROUND((E33/D40),2)</f>
        <v>0.39</v>
      </c>
      <c r="E33" s="326">
        <f>(1571781.92*1000/2025470.2)*0.08</f>
        <v>62.080673218495143</v>
      </c>
    </row>
    <row r="34" spans="1:5" ht="47.25" x14ac:dyDescent="0.25">
      <c r="A34" s="4">
        <v>2263</v>
      </c>
      <c r="B34" s="5" t="s">
        <v>1487</v>
      </c>
      <c r="C34" s="166" t="s">
        <v>1552</v>
      </c>
      <c r="D34" s="326">
        <f>ROUND((E34/D40),2)</f>
        <v>0.02</v>
      </c>
      <c r="E34" s="353">
        <f>(70640.08*1000/2025470.2)*0.08</f>
        <v>2.7900713621953064</v>
      </c>
    </row>
    <row r="35" spans="1:5" ht="47.25" x14ac:dyDescent="0.25">
      <c r="A35" s="4">
        <v>2513</v>
      </c>
      <c r="B35" s="5" t="s">
        <v>57</v>
      </c>
      <c r="C35" s="166" t="s">
        <v>1553</v>
      </c>
      <c r="D35" s="326">
        <f>ROUND((E35/D40),2)</f>
        <v>0.03</v>
      </c>
      <c r="E35" s="326">
        <f>(122711.28*1000/2025470.2)*0.08</f>
        <v>4.8467276388465255</v>
      </c>
    </row>
    <row r="36" spans="1:5" x14ac:dyDescent="0.25">
      <c r="A36" s="161"/>
      <c r="B36" s="9" t="s">
        <v>23</v>
      </c>
      <c r="C36" s="269"/>
      <c r="D36" s="261">
        <f>SUM(D19+D32)</f>
        <v>0.66</v>
      </c>
      <c r="E36" s="375">
        <f>SUM(E19+E32)-0.3</f>
        <v>104.05747221953699</v>
      </c>
    </row>
    <row r="37" spans="1:5" ht="31.5" x14ac:dyDescent="0.25">
      <c r="A37" s="6"/>
      <c r="B37" s="11" t="s">
        <v>28</v>
      </c>
      <c r="C37" s="269"/>
      <c r="D37" s="261">
        <f>D17+D36</f>
        <v>0.72</v>
      </c>
      <c r="E37" s="375">
        <f>E17+E36</f>
        <v>115.14747221953699</v>
      </c>
    </row>
    <row r="38" spans="1:5" x14ac:dyDescent="0.25">
      <c r="A38" s="6"/>
      <c r="B38" s="13" t="s">
        <v>29</v>
      </c>
      <c r="C38" s="269"/>
      <c r="D38" s="261">
        <f>D37*0.21</f>
        <v>0.1512</v>
      </c>
      <c r="E38" s="261">
        <f>E37*0.21</f>
        <v>24.180969166102766</v>
      </c>
    </row>
    <row r="39" spans="1:5" ht="31.5" x14ac:dyDescent="0.25">
      <c r="A39" s="6"/>
      <c r="B39" s="169" t="s">
        <v>30</v>
      </c>
      <c r="C39" s="170"/>
      <c r="D39" s="262">
        <f>D37*1.21</f>
        <v>0.87119999999999997</v>
      </c>
      <c r="E39" s="262">
        <f>E37*1.21</f>
        <v>139.32844138563976</v>
      </c>
    </row>
    <row r="40" spans="1:5" x14ac:dyDescent="0.25">
      <c r="A40" s="406" t="s">
        <v>62</v>
      </c>
      <c r="B40" s="406"/>
      <c r="C40" s="406"/>
      <c r="D40" s="183">
        <v>160</v>
      </c>
      <c r="E40" s="179" t="s">
        <v>186</v>
      </c>
    </row>
    <row r="41" spans="1:5" x14ac:dyDescent="0.25">
      <c r="A41" s="397" t="s">
        <v>59</v>
      </c>
      <c r="B41" s="397"/>
      <c r="C41" s="397"/>
      <c r="D41" s="179">
        <f>ROUND((E39/D40),2)</f>
        <v>0.87</v>
      </c>
      <c r="E41" s="191" t="s">
        <v>1481</v>
      </c>
    </row>
    <row r="42" spans="1:5" x14ac:dyDescent="0.25">
      <c r="A42" s="372"/>
      <c r="B42" s="372"/>
      <c r="C42" s="372"/>
      <c r="D42" s="373"/>
      <c r="E42" s="374"/>
    </row>
    <row r="48" spans="1:5" x14ac:dyDescent="0.25">
      <c r="E48" s="386"/>
    </row>
  </sheetData>
  <mergeCells count="6">
    <mergeCell ref="A41:C41"/>
    <mergeCell ref="A3:C3"/>
    <mergeCell ref="A4:B4"/>
    <mergeCell ref="A22:A30"/>
    <mergeCell ref="B22:B30"/>
    <mergeCell ref="A40:C40"/>
  </mergeCells>
  <pageMargins left="0.70866141732283472" right="0.70866141732283472" top="0.74803149606299213" bottom="0.74803149606299213" header="0.31496062992125984" footer="0.31496062992125984"/>
  <pageSetup paperSize="9" scale="95" orientation="landscape" verticalDpi="0" r:id="rId1"/>
  <rowBreaks count="2" manualBreakCount="2">
    <brk id="15" max="4" man="1"/>
    <brk id="2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41</vt:i4>
      </vt:variant>
      <vt:variant>
        <vt:lpstr>Named Ranges</vt:lpstr>
      </vt:variant>
      <vt:variant>
        <vt:i4>3</vt:i4>
      </vt:variant>
    </vt:vector>
  </HeadingPairs>
  <TitlesOfParts>
    <vt:vector size="44" baseType="lpstr">
      <vt:lpstr>Saturs</vt:lpstr>
      <vt:lpstr>1.1.1.</vt:lpstr>
      <vt:lpstr>1.1.2.</vt:lpstr>
      <vt:lpstr>1.2.1.</vt:lpstr>
      <vt:lpstr>1.2.2.</vt:lpstr>
      <vt:lpstr>1.3.</vt:lpstr>
      <vt:lpstr>1.4.1.</vt:lpstr>
      <vt:lpstr>1.4.2.</vt:lpstr>
      <vt:lpstr>1.5.</vt:lpstr>
      <vt:lpstr>1.6.</vt:lpstr>
      <vt:lpstr>1.7.1.</vt:lpstr>
      <vt:lpstr>1.7.2.</vt:lpstr>
      <vt:lpstr>2.1.1.</vt:lpstr>
      <vt:lpstr>2.1.2.</vt:lpstr>
      <vt:lpstr>2.1.3.</vt:lpstr>
      <vt:lpstr>2.1.4.</vt:lpstr>
      <vt:lpstr>2.1.5.</vt:lpstr>
      <vt:lpstr>2.2.1.</vt:lpstr>
      <vt:lpstr>2.2.2.</vt:lpstr>
      <vt:lpstr>2.2.3.</vt:lpstr>
      <vt:lpstr>2.3.1.</vt:lpstr>
      <vt:lpstr>2.3.2.</vt:lpstr>
      <vt:lpstr>2.3.3.</vt:lpstr>
      <vt:lpstr>2.4.1.</vt:lpstr>
      <vt:lpstr>2.4.2.</vt:lpstr>
      <vt:lpstr>2.5.</vt:lpstr>
      <vt:lpstr>2.6.1.</vt:lpstr>
      <vt:lpstr>2.6.2.</vt:lpstr>
      <vt:lpstr>2.6.3.</vt:lpstr>
      <vt:lpstr>2.6.4.</vt:lpstr>
      <vt:lpstr>2.6.5.</vt:lpstr>
      <vt:lpstr>2.6.6.</vt:lpstr>
      <vt:lpstr>2.6.7.</vt:lpstr>
      <vt:lpstr>2.6.8.</vt:lpstr>
      <vt:lpstr>2.6.9.</vt:lpstr>
      <vt:lpstr>2.7.1.</vt:lpstr>
      <vt:lpstr>2.7.2.</vt:lpstr>
      <vt:lpstr>2.8.1.</vt:lpstr>
      <vt:lpstr>2.8.2.</vt:lpstr>
      <vt:lpstr>3.1.</vt:lpstr>
      <vt:lpstr>3.2.</vt:lpstr>
      <vt:lpstr>'1.4.1.'!Print_Area</vt:lpstr>
      <vt:lpstr>'2.3.1.'!Print_Area</vt:lpstr>
      <vt:lpstr>'3.1.'!Print_Area</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Gita Grīnfelde-Funka</dc:creator>
  <cp:lastModifiedBy>Laura Supe</cp:lastModifiedBy>
  <cp:lastPrinted>2025-04-03T07:42:23Z</cp:lastPrinted>
  <dcterms:created xsi:type="dcterms:W3CDTF">2023-12-15T07:15:39Z</dcterms:created>
  <dcterms:modified xsi:type="dcterms:W3CDTF">2025-12-10T11:34:20Z</dcterms:modified>
</cp:coreProperties>
</file>