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arisa.tumanana\Desktop\Dažādi\15 KPC un Jelgava\ERAF\MKnotKPC\UZ MK_GALA\"/>
    </mc:Choice>
  </mc:AlternateContent>
  <xr:revisionPtr revIDLastSave="0" documentId="13_ncr:1_{4BD6761F-B76F-4B21-847E-2665C51AD079}" xr6:coauthVersionLast="47" xr6:coauthVersionMax="47" xr10:uidLastSave="{00000000-0000-0000-0000-000000000000}"/>
  <bookViews>
    <workbookView xWindow="-120" yWindow="-120" windowWidth="29040" windowHeight="15720" activeTab="1" xr2:uid="{02715975-2E30-4897-AC1C-16B6682B9886}"/>
  </bookViews>
  <sheets>
    <sheet name="1.pielikums_proj.vad. un admin." sheetId="2" r:id="rId1"/>
    <sheet name="2.pielikums_pārskats par finan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F8" i="1"/>
  <c r="Z11" i="2" l="1"/>
  <c r="Z8" i="2"/>
  <c r="Z9" i="2"/>
  <c r="Z10" i="2"/>
  <c r="X12" i="2"/>
  <c r="V12" i="2"/>
  <c r="T12" i="2"/>
  <c r="R12" i="2"/>
  <c r="P12" i="2"/>
  <c r="Z12" i="2" l="1"/>
  <c r="I8" i="2" l="1"/>
  <c r="W8" i="2" s="1"/>
  <c r="I9" i="2"/>
  <c r="I10" i="2"/>
  <c r="I11" i="2"/>
  <c r="I7" i="2"/>
  <c r="K7" i="2" l="1"/>
  <c r="AA7" i="2" s="1"/>
  <c r="Y7" i="2"/>
  <c r="U7" i="2"/>
  <c r="Q7" i="2"/>
  <c r="W7" i="2"/>
  <c r="S7" i="2"/>
  <c r="K10" i="2"/>
  <c r="AA10" i="2" s="1"/>
  <c r="Q10" i="2"/>
  <c r="Y10" i="2"/>
  <c r="S10" i="2"/>
  <c r="U10" i="2"/>
  <c r="W10" i="2"/>
  <c r="K8" i="2"/>
  <c r="Y8" i="2"/>
  <c r="Q8" i="2"/>
  <c r="S8" i="2"/>
  <c r="U8" i="2"/>
  <c r="K11" i="2"/>
  <c r="Y11" i="2"/>
  <c r="S11" i="2"/>
  <c r="U11" i="2"/>
  <c r="W11" i="2"/>
  <c r="Q11" i="2"/>
  <c r="K9" i="2"/>
  <c r="AA9" i="2" s="1"/>
  <c r="W9" i="2"/>
  <c r="Q9" i="2"/>
  <c r="Y9" i="2"/>
  <c r="S9" i="2"/>
  <c r="U9" i="2"/>
  <c r="L9" i="2" l="1"/>
  <c r="N9" i="2" s="1"/>
  <c r="S12" i="2"/>
  <c r="L10" i="2"/>
  <c r="N10" i="2" s="1"/>
  <c r="L7" i="2"/>
  <c r="N7" i="2" s="1"/>
  <c r="N12" i="2" s="1"/>
  <c r="L8" i="2"/>
  <c r="N8" i="2" s="1"/>
  <c r="AA8" i="2"/>
  <c r="L11" i="2"/>
  <c r="N11" i="2" s="1"/>
  <c r="AA11" i="2"/>
  <c r="W12" i="2"/>
  <c r="Q12" i="2"/>
  <c r="L16" i="2" s="1"/>
  <c r="L18" i="2" s="1"/>
  <c r="U12" i="2"/>
  <c r="P16" i="2" s="1"/>
  <c r="P18" i="2" s="1"/>
  <c r="Y12" i="2"/>
  <c r="X16" i="2" s="1"/>
  <c r="X18" i="2" s="1"/>
  <c r="T16" i="2" l="1"/>
  <c r="T18" i="2" s="1"/>
  <c r="M7" i="2"/>
  <c r="O7" i="2" s="1"/>
  <c r="O10" i="2"/>
  <c r="O8" i="2" l="1"/>
  <c r="O11" i="2" l="1"/>
  <c r="O9" i="2"/>
  <c r="O12" i="2" s="1"/>
  <c r="F16" i="2" s="1"/>
  <c r="F18" i="2" l="1"/>
  <c r="AJ34" i="1"/>
  <c r="AJ33" i="1"/>
  <c r="AI41" i="1"/>
  <c r="I11" i="1" s="1"/>
  <c r="AF37" i="1"/>
  <c r="AJ37" i="1" s="1"/>
  <c r="AF34" i="1"/>
  <c r="AF33" i="1"/>
  <c r="H11" i="1"/>
  <c r="F11" i="1"/>
  <c r="E9" i="1"/>
  <c r="AH41" i="1"/>
  <c r="AG41" i="1"/>
  <c r="AE37" i="1"/>
  <c r="AE41" i="1" s="1"/>
  <c r="O31" i="1"/>
  <c r="N41" i="1"/>
  <c r="U40" i="1"/>
  <c r="U41" i="1" s="1"/>
  <c r="T40" i="1"/>
  <c r="H10" i="1" s="1"/>
  <c r="R40" i="1"/>
  <c r="S40" i="1" s="1"/>
  <c r="O40" i="1"/>
  <c r="Q40" i="1" s="1"/>
  <c r="J40" i="1"/>
  <c r="V39" i="1"/>
  <c r="V36" i="1"/>
  <c r="V31" i="1"/>
  <c r="V35" i="1"/>
  <c r="F10" i="1" l="1"/>
  <c r="AJ41" i="1"/>
  <c r="J11" i="1"/>
  <c r="I10" i="1"/>
  <c r="AF41" i="1"/>
  <c r="AC41" i="1"/>
  <c r="V40" i="1"/>
  <c r="C28" i="1" l="1"/>
  <c r="D28" i="1"/>
  <c r="F28" i="1"/>
  <c r="G28" i="1"/>
  <c r="H28" i="1"/>
  <c r="B28" i="1"/>
  <c r="C29" i="1"/>
  <c r="D29" i="1"/>
  <c r="E29" i="1"/>
  <c r="F29" i="1"/>
  <c r="G29" i="1"/>
  <c r="H29" i="1"/>
  <c r="B29" i="1"/>
  <c r="C8" i="1" l="1"/>
  <c r="D8" i="1"/>
  <c r="G8" i="1"/>
  <c r="H8" i="1"/>
  <c r="B8" i="1"/>
  <c r="T27" i="1"/>
  <c r="S27" i="1"/>
  <c r="R27" i="1"/>
  <c r="T26" i="1"/>
  <c r="S26" i="1"/>
  <c r="R26" i="1"/>
  <c r="Q27" i="1"/>
  <c r="O27" i="1" s="1"/>
  <c r="Q26" i="1"/>
  <c r="F9" i="1" s="1"/>
  <c r="J27" i="1"/>
  <c r="V27" i="1" s="1"/>
  <c r="J26" i="1"/>
  <c r="V26" i="1" s="1"/>
  <c r="J25" i="1"/>
  <c r="AC24" i="1"/>
  <c r="AJ24" i="1" s="1"/>
  <c r="W22" i="1"/>
  <c r="V22" i="1"/>
  <c r="AJ20" i="1"/>
  <c r="AF15" i="1"/>
  <c r="AC15" i="1"/>
  <c r="AA15" i="1"/>
  <c r="Z15" i="1"/>
  <c r="J14" i="1"/>
  <c r="G9" i="1" l="1"/>
  <c r="T41" i="1"/>
  <c r="H9" i="1"/>
  <c r="O26" i="1"/>
  <c r="V14" i="1"/>
  <c r="J29" i="1"/>
  <c r="AJ15" i="1"/>
  <c r="S39" i="1"/>
  <c r="Q39" i="1"/>
  <c r="M39" i="1"/>
  <c r="J39" i="1"/>
  <c r="W39" i="1" s="1"/>
  <c r="J38" i="1"/>
  <c r="W27" i="1" s="1"/>
  <c r="J37" i="1"/>
  <c r="S36" i="1"/>
  <c r="Q36" i="1"/>
  <c r="M36" i="1"/>
  <c r="J36" i="1"/>
  <c r="W36" i="1" s="1"/>
  <c r="S35" i="1"/>
  <c r="Q35" i="1"/>
  <c r="M35" i="1"/>
  <c r="J35" i="1"/>
  <c r="W35" i="1" s="1"/>
  <c r="J34" i="1"/>
  <c r="J33" i="1"/>
  <c r="J32" i="1"/>
  <c r="W26" i="1" s="1"/>
  <c r="J31" i="1"/>
  <c r="W31" i="1" s="1"/>
  <c r="H30" i="1"/>
  <c r="G30" i="1"/>
  <c r="F30" i="1"/>
  <c r="J24" i="1"/>
  <c r="W23" i="1"/>
  <c r="V23" i="1"/>
  <c r="O23" i="1"/>
  <c r="M23" i="1"/>
  <c r="O22" i="1"/>
  <c r="M22" i="1"/>
  <c r="J21" i="1"/>
  <c r="E21" i="1"/>
  <c r="W19" i="1"/>
  <c r="V19" i="1"/>
  <c r="O19" i="1"/>
  <c r="M19" i="1"/>
  <c r="W18" i="1"/>
  <c r="V18" i="1"/>
  <c r="O18" i="1"/>
  <c r="M18" i="1"/>
  <c r="J17" i="1"/>
  <c r="E17" i="1"/>
  <c r="J16" i="1"/>
  <c r="E16" i="1"/>
  <c r="J15" i="1"/>
  <c r="W14" i="1"/>
  <c r="R14" i="1"/>
  <c r="M14" i="1"/>
  <c r="J13" i="1"/>
  <c r="E13" i="1"/>
  <c r="J12" i="1"/>
  <c r="G7" i="1"/>
  <c r="F7" i="1"/>
  <c r="D7" i="1"/>
  <c r="B7" i="1"/>
  <c r="G10" i="1" l="1"/>
  <c r="J10" i="1" s="1"/>
  <c r="J9" i="1"/>
  <c r="J8" i="1"/>
  <c r="X18" i="1"/>
  <c r="P41" i="1"/>
  <c r="S41" i="1"/>
  <c r="V41" i="1"/>
  <c r="J28" i="1"/>
  <c r="E28" i="1"/>
  <c r="E8" i="1"/>
  <c r="X19" i="1"/>
  <c r="X22" i="1"/>
  <c r="W37" i="1"/>
  <c r="X23" i="1"/>
  <c r="X14" i="1"/>
  <c r="J30" i="1"/>
  <c r="J7" i="1"/>
  <c r="W38" i="1"/>
  <c r="O14" i="1"/>
  <c r="W41" i="1" l="1"/>
</calcChain>
</file>

<file path=xl/sharedStrings.xml><?xml version="1.0" encoding="utf-8"?>
<sst xmlns="http://schemas.openxmlformats.org/spreadsheetml/2006/main" count="176" uniqueCount="118">
  <si>
    <t>Mērķis</t>
  </si>
  <si>
    <t>PIEŠĶIRTS</t>
  </si>
  <si>
    <t>IZPILDE</t>
  </si>
  <si>
    <t>KOPĀ</t>
  </si>
  <si>
    <t>Komentāri</t>
  </si>
  <si>
    <t>rezervēts finansējums</t>
  </si>
  <si>
    <t>Varētu attiecināt uz ERAF</t>
  </si>
  <si>
    <t>2024 IZPILDE</t>
  </si>
  <si>
    <t xml:space="preserve">2026 PROGNOZE </t>
  </si>
  <si>
    <t>rezervēts finansējums 2023.-2025.gadam</t>
  </si>
  <si>
    <t>TUKUMS (ar saistītajiem pakalpojumiem)</t>
  </si>
  <si>
    <t>Inženierkonsultantu pakalpojumi ANM objektiem</t>
  </si>
  <si>
    <r>
      <t xml:space="preserve">piešķirts finansējums  </t>
    </r>
    <r>
      <rPr>
        <b/>
        <sz val="10"/>
        <color rgb="FF000000"/>
        <rFont val="Times New Roman"/>
        <family val="1"/>
        <charset val="186"/>
      </rPr>
      <t>(katastrofu pārvaldības centra būvniecības pabeigšanai Aizputē, Rūjienā, Kandavā un Saulkrastos) (AGP ZENG objekti)</t>
    </r>
    <r>
      <rPr>
        <sz val="10"/>
        <color rgb="FF000000"/>
        <rFont val="Times New Roman"/>
        <family val="1"/>
        <charset val="186"/>
      </rPr>
      <t xml:space="preserve">
MK 13.02.2024. sēdes prot.Nr.7 30.§. (24-TA-190),
MK rīk.13.08.2024. Nr.661; MK 13.08.2024.prot.Nr.31 57. §) (24-TA-1676)</t>
    </r>
  </si>
  <si>
    <t>BOLDERAJA ((ar saistītajiem pakalpojumiem)</t>
  </si>
  <si>
    <t>KULDĪGA (ar saistītajiem pakalpojumiem)</t>
  </si>
  <si>
    <t>DZINTARI (ar saistītajiem pakalpojumiem)</t>
  </si>
  <si>
    <r>
      <t xml:space="preserve">piešķirts finansējums </t>
    </r>
    <r>
      <rPr>
        <b/>
        <sz val="10"/>
        <color rgb="FF000000"/>
        <rFont val="Times New Roman"/>
        <family val="1"/>
        <charset val="186"/>
      </rPr>
      <t>(katastrofu pārvaldības centra būvniecībai Siguldā un Preiļos) (II grupa)</t>
    </r>
    <r>
      <rPr>
        <sz val="10"/>
        <color rgb="FF000000"/>
        <rFont val="Times New Roman"/>
        <family val="1"/>
        <charset val="186"/>
      </rPr>
      <t xml:space="preserve">
MK 26.09.2024.rīk.Nr. 778; MK 24.09.2024. prot.Nr.39 24. § (24-TA-1964)</t>
    </r>
  </si>
  <si>
    <t xml:space="preserve">Saeimā otrajā lasījumā 2025.gads
MK atbalstīts 12.11.2024.prot.Nr.48 46.§ 
</t>
  </si>
  <si>
    <t>PREIĻI (ar saistītajiem pakalpojumiem)</t>
  </si>
  <si>
    <t>SIGULDA (ar saistītajiem pakalpojumiem)</t>
  </si>
  <si>
    <r>
      <t>piešķirts finansējums</t>
    </r>
    <r>
      <rPr>
        <b/>
        <sz val="10"/>
        <color rgb="FF000000"/>
        <rFont val="Times New Roman"/>
        <family val="1"/>
        <charset val="186"/>
      </rPr>
      <t xml:space="preserve"> (katastrofu pārvaldības centru Liepājā, Daugavpilī, Madonā, Līvānos, Salacgrīvā, Viļānos, Alsungā, Alūksnē, Talsos un Tukumā darbības nodrošināšanai) (ANM objektu aprīkošanai)</t>
    </r>
    <r>
      <rPr>
        <sz val="10"/>
        <color rgb="FF000000"/>
        <rFont val="Times New Roman"/>
        <family val="1"/>
        <charset val="186"/>
      </rPr>
      <t xml:space="preserve">
MK 29.10.2024.prot.Nr.46 78. §. ) (24-TA-2084)</t>
    </r>
  </si>
  <si>
    <t>LUDZA (ar saistītajiem pakalpojumiem)</t>
  </si>
  <si>
    <t>AIZKRAUKLE (ar saistītajiem pakalpojumiem)</t>
  </si>
  <si>
    <t>RĒZEKNE (ar saistītajiem pakalpojumiem)</t>
  </si>
  <si>
    <t>KRĀSLAVA (ar saistītajiem pakalpojumiem)</t>
  </si>
  <si>
    <t>KAUGURI (ar saistītajiem pakalpojumiem)</t>
  </si>
  <si>
    <t>DOBELE (ar saistītajiem pakalpojumiem)</t>
  </si>
  <si>
    <t>BALVI (ar saistītajiem pakalpojumiem)</t>
  </si>
  <si>
    <t>LIMBAŽI (ar saistītajiem pakalpojumiem)</t>
  </si>
  <si>
    <t>SALDUS (ar saistītajiem pakalpojumiem)</t>
  </si>
  <si>
    <t>2025 PROGNOZE 01.01.-31.08.</t>
  </si>
  <si>
    <t>2025 PROGNOZE 01.09.-31.12.</t>
  </si>
  <si>
    <t>Nav plānots pārattiecināt uz ERAF</t>
  </si>
  <si>
    <t>Piešķirts papildu finansējums 2026.gadā 1 971 938 euro (2024-2026.gada 2.lasījums). Plānots daļēji pārattiecināt uz ERAF - sk.pa labi!</t>
  </si>
  <si>
    <t>Plānots daļēji pārattiecināt uz ERAF - sk.pa labi!</t>
  </si>
  <si>
    <t>ERAF</t>
  </si>
  <si>
    <t>ANM objektu aprīkošana</t>
  </si>
  <si>
    <t>Plānots pārattiecināt uz ERAF. Viss finansējums paprasīts, vairs netiks prasīts ne no kādas programmas</t>
  </si>
  <si>
    <t>Zemāk prognoze atbilstoši TA, pa labi aktualizēta prognoze</t>
  </si>
  <si>
    <t>prognoze par nepieciešamo finansējumu 14 KPC izbūves pabeigšanai (24-TA-3009), tajā skaitā zemāk atšifrēts</t>
  </si>
  <si>
    <t>KOPĀ NO 18.00.00.</t>
  </si>
  <si>
    <t>tajā smaitā KPC, kurus plānots attiecināt uz ERAF</t>
  </si>
  <si>
    <t>Plānots pārattiecināt uz ERAF. Viss nepieciešais finansējums ir piešķirts.</t>
  </si>
  <si>
    <t>Saeimā otrajā lasījumā 2025.gads
MK atbalstīts 12.11.2024.prot.Nr.48 46.§
1 585 464 euro kopā ar VM 
Nav plānots pārattiecināt uz ERAF</t>
  </si>
  <si>
    <t>Iepirkums ir noslēdzies, nepieciešamais finansējums piešķirts (sk. augstāk)</t>
  </si>
  <si>
    <t>Lēmums nav pieņemts. Plānots pieprasīt no 18.00.00 (sk.pa labi)</t>
  </si>
  <si>
    <t>Iepirkums ir noslēdzies. Plānots segt no ERAF, pieprasot finansējumu no 18.00.00</t>
  </si>
  <si>
    <r>
      <t xml:space="preserve">plānots piešķirt finansējumu </t>
    </r>
    <r>
      <rPr>
        <b/>
        <sz val="10"/>
        <color rgb="FF000000"/>
        <rFont val="Times New Roman"/>
        <family val="1"/>
        <charset val="186"/>
      </rPr>
      <t>(katastrofu pārvaldības centra būvniecībai Aizkrauklē un Limbažos</t>
    </r>
    <r>
      <rPr>
        <sz val="10"/>
        <color rgb="FF000000"/>
        <rFont val="Times New Roman"/>
        <family val="1"/>
        <charset val="186"/>
      </rPr>
      <t xml:space="preserve">
(MK 08.04.2025. sēdes prot. Nr. 14 32. §, MK 09.04.2025. rīk. Nr.202 ) (25-TA-538)</t>
    </r>
  </si>
  <si>
    <t>MAKSĀJUMU PROGNOZE (25-TA-1013)</t>
  </si>
  <si>
    <t>BOLDERAJA (ar saistītajiem pakalpojumiem)</t>
  </si>
  <si>
    <t>PROJEKTA ĪSTENOŠANAS UN ADMINISTRĒŠANAS IZMAKSAS (ERAF)</t>
  </si>
  <si>
    <t>PIEŠĶIRTS/TRŪKST</t>
  </si>
  <si>
    <t>Ietaupījums pret sākotnējo prognozi</t>
  </si>
  <si>
    <t>PROGNOZE (ERAF)</t>
  </si>
  <si>
    <t>Paliek uz/nepieciešams no budžeta/u</t>
  </si>
  <si>
    <t>NEPIECIEŠAMS PAPILDUS NO 18.00.00 (AKT.PROGNOZE)</t>
  </si>
  <si>
    <t>Pēc iepirkuma nepieciešams no 18.00</t>
  </si>
  <si>
    <t>VALSTS BUDŽETS</t>
  </si>
  <si>
    <t>Finansējums piešķirts</t>
  </si>
  <si>
    <t>piešķirts finansējums ar MK lēmumiem, tajā skaitā</t>
  </si>
  <si>
    <t>pārattiecināšana uz ERAF</t>
  </si>
  <si>
    <t>sedzams no ERAF</t>
  </si>
  <si>
    <t>KONTROLE/STARPĪBA PRET PROGNOZI</t>
  </si>
  <si>
    <t>KOPĀ ERAF: 106 424 959 euro</t>
  </si>
  <si>
    <t>nepieciešamais 18.00.00 (nav beigušies iepirkumi)</t>
  </si>
  <si>
    <r>
      <t>piešķirts finansējums</t>
    </r>
    <r>
      <rPr>
        <b/>
        <sz val="10"/>
        <color rgb="FF000000"/>
        <rFont val="Times New Roman"/>
        <family val="1"/>
        <charset val="186"/>
      </rPr>
      <t xml:space="preserve"> (katastrofu pārvaldības centra būvniecībai Tukumā, inženierpakalpojumi 10 KPC (Tukums + ANM))</t>
    </r>
    <r>
      <rPr>
        <sz val="10"/>
        <color rgb="FF000000"/>
        <rFont val="Times New Roman"/>
        <family val="1"/>
        <charset val="186"/>
      </rPr>
      <t xml:space="preserve">
MK 27.10.2023. rīk. Nr. 708 (MK 24.10.2023.prrot.Nr.53 59.§), tajā skaitā</t>
    </r>
  </si>
  <si>
    <r>
      <t xml:space="preserve">piešķirts finansējums </t>
    </r>
    <r>
      <rPr>
        <b/>
        <sz val="10"/>
        <color rgb="FF000000"/>
        <rFont val="Times New Roman"/>
        <family val="1"/>
        <charset val="186"/>
      </rPr>
      <t>(katastrofu pārvaldības centra būvniecībai Rīgā (Bolderājā), Jūrmalā (Dzintaros), Kuldīgā) (I grupa)</t>
    </r>
    <r>
      <rPr>
        <sz val="10"/>
        <color rgb="FF000000"/>
        <rFont val="Times New Roman"/>
        <family val="1"/>
        <charset val="186"/>
      </rPr>
      <t xml:space="preserve">
MK rīk.13.08.2024. Nr.662; MK 13.08.2024.prot.Nr.31 58. §. ) (24-TA-533)</t>
    </r>
  </si>
  <si>
    <t>Nr.p.k.</t>
  </si>
  <si>
    <t>Iesaiste būvniecības projektos</t>
  </si>
  <si>
    <t>Amata saime, līmens</t>
  </si>
  <si>
    <r>
      <rPr>
        <b/>
        <sz val="11"/>
        <color theme="1"/>
        <rFont val="Times New Roman"/>
        <family val="1"/>
        <charset val="186"/>
      </rPr>
      <t>KOPĀ</t>
    </r>
    <r>
      <rPr>
        <sz val="11"/>
        <color theme="1"/>
        <rFont val="Times New Roman"/>
        <family val="1"/>
        <charset val="186"/>
      </rPr>
      <t xml:space="preserve"> aptuveni uz visu periodu, </t>
    </r>
    <r>
      <rPr>
        <i/>
        <sz val="11"/>
        <color theme="1"/>
        <rFont val="Times New Roman"/>
        <family val="1"/>
        <charset val="186"/>
      </rPr>
      <t>euro</t>
    </r>
    <r>
      <rPr>
        <sz val="11"/>
        <color theme="1"/>
        <rFont val="Times New Roman"/>
        <family val="1"/>
        <charset val="186"/>
      </rPr>
      <t>, tajā skaitā:</t>
    </r>
  </si>
  <si>
    <t>`</t>
  </si>
  <si>
    <t>euro</t>
  </si>
  <si>
    <t>39.1., IVA</t>
  </si>
  <si>
    <t>Izmaksu pozīcija</t>
  </si>
  <si>
    <t>Apraksts</t>
  </si>
  <si>
    <t>KOPĀ, tajā skaitā:</t>
  </si>
  <si>
    <t>Personāla izmaksas</t>
  </si>
  <si>
    <t>Publicitātes izmaksas</t>
  </si>
  <si>
    <t>plānots izgatavot 11 informatīvos stendus, 11 plāksnes (tiks uzstādītas pie uzbūvētām ēkām), kā arī organizēt 1 publicitātes pasākumu</t>
  </si>
  <si>
    <t>Kopējās administrēšanas un īstenošanas izmaksas</t>
  </si>
  <si>
    <t xml:space="preserve">tajā skaitā priekšfinansējums 2025 </t>
  </si>
  <si>
    <t>2.1.3.3. pasākums 4. kārta</t>
  </si>
  <si>
    <t>Pārskats par Pasākuma īstenošanai piešķirtajiem līdzekļiem</t>
  </si>
  <si>
    <t xml:space="preserve">Projekta faktiskās/ plānotās slodzes apmērs </t>
  </si>
  <si>
    <t>Plānotais iesaistes periods projektā</t>
  </si>
  <si>
    <t xml:space="preserve">no 01.07.2025. līdz 31.03.2028. </t>
  </si>
  <si>
    <t>no 17.06.2025. līdz 30.09.2028.</t>
  </si>
  <si>
    <t>no 01.07.2025. līdz 31.03.2028.</t>
  </si>
  <si>
    <t>Nodrošināt projekta vadību un administrēšanu savas kompetences jomas ietvaros.</t>
  </si>
  <si>
    <t>*Izdevumu sadalījums var tikt precizēts atbilstoši faktiskai nepieciešamībai, nepārsniedzot kopējo finansējuma apmēru.</t>
  </si>
  <si>
    <t>sk. augstāk</t>
  </si>
  <si>
    <t xml:space="preserve">Projekta koordinators </t>
  </si>
  <si>
    <t>Projekta vadības, īstenošanas un administrēšanas izmaksu aprēķins/ prognoze (ERAF 2.1.3.3. pasākums, 4. kārta)*</t>
  </si>
  <si>
    <t>Projekta amata vieta</t>
  </si>
  <si>
    <t xml:space="preserve">Projekta vadītājs </t>
  </si>
  <si>
    <t>Būvprojektu vadošais eksperts</t>
  </si>
  <si>
    <t>Projekta amata saime, līmenis</t>
  </si>
  <si>
    <t>Projekta mēnešalgas grupa</t>
  </si>
  <si>
    <r>
      <t xml:space="preserve">Projekta slodzes mēnešalga, </t>
    </r>
    <r>
      <rPr>
        <b/>
        <i/>
        <sz val="10"/>
        <color theme="1"/>
        <rFont val="Times New Roman"/>
        <family val="1"/>
      </rPr>
      <t>euro</t>
    </r>
  </si>
  <si>
    <t>-</t>
  </si>
  <si>
    <t>no 01.07.2025. līdz 31.03.2027.</t>
  </si>
  <si>
    <r>
      <t xml:space="preserve">Veselības apdrošināšana uz visu periodu </t>
    </r>
    <r>
      <rPr>
        <b/>
        <i/>
        <sz val="10"/>
        <color theme="1"/>
        <rFont val="Times New Roman"/>
        <family val="1"/>
      </rPr>
      <t>(ja slodze), euro</t>
    </r>
  </si>
  <si>
    <t>Plānotais nostrādāto mēnešu skaits projektā</t>
  </si>
  <si>
    <r>
      <t xml:space="preserve">Atalgojums uz visu iesaistes periodu, </t>
    </r>
    <r>
      <rPr>
        <b/>
        <i/>
        <sz val="10"/>
        <color theme="1"/>
        <rFont val="Times New Roman"/>
        <family val="1"/>
      </rPr>
      <t>euro</t>
    </r>
  </si>
  <si>
    <r>
      <t xml:space="preserve">DD VSAOI (likme 23.59% vai 20,77%), </t>
    </r>
    <r>
      <rPr>
        <b/>
        <i/>
        <sz val="10"/>
        <color theme="1"/>
        <rFont val="Times New Roman"/>
        <family val="1"/>
      </rPr>
      <t>euro</t>
    </r>
  </si>
  <si>
    <r>
      <t xml:space="preserve">KOPĒJĀ vidējā atlīdzība uz visu iesaistes periodu, </t>
    </r>
    <r>
      <rPr>
        <b/>
        <i/>
        <sz val="10"/>
        <color theme="1"/>
        <rFont val="Times New Roman"/>
        <family val="1"/>
      </rPr>
      <t>euro</t>
    </r>
  </si>
  <si>
    <t>Papildus informācija:</t>
  </si>
  <si>
    <t>mēneši</t>
  </si>
  <si>
    <t xml:space="preserve">no 01.07.2025. līdz 31.03.2027. </t>
  </si>
  <si>
    <t>Provizoriski plānotais nostrādāto stundu skaits projektā</t>
  </si>
  <si>
    <t>a) piedalīties iknedēļas būvdarbu sapulcēs, kontrolēt būvniecībā iesaistīto pušu darbu un sadarbību gan objektā, gan ārpus objekta;
b) piedalīties projektēšanas posmā pie būvprojekta izstrādes;
c) izskatīt un sniegt atbildes uz būvniecības dalībnieku iesniegumiem un atzinumiem;
d) sekot līdzi sasniedzamajiem rezultātiem un atbilstībai pret projekta dokumentāciju, t.sk., veicot būvdarbu procesa virsuzraudzību;
e) nodrošināt komunikāciju ar lietotājiem par sistēmu ekspluatācijas gatavību un saistītu procesu tālāku virzīšanai kā pakalpojumu līgumu slēgšana u.tml.;
f) piedalīties objekta pieņemšanā, defektācijā, tai skaitā izpilddokumentācijas pārbaude.</t>
  </si>
  <si>
    <t>1.pielikums tiesību akta projekta “Eiropas Savienības kohēzijas politikas programmas 2021.–2027.gadam 2.1.3. specifiskā atbalsta mērķa “Veicināt pielāgošanos klimata pārmaiņām, risku novēršanu un noturību pret katastrofām” 2.1.3.3. pasākuma “Katastrofu risku mazināšanas pasākumi” ceturtās projektu iesniegumu atlases kārtas īstenošanas noteikumi” sākotnējās ietekmes (ex-ante) novērtējuma ziņojumam (anotācijai)</t>
  </si>
  <si>
    <t>2.pielikums tiesību akta projekta “Eiropas Savienības kohēzijas politikas programmas 2021.–2027.gadam 2.1.3. specifiskā atbalsta mērķa “Veicināt pielāgošanos klimata pārmaiņām, risku novēršanu un noturību pret katastrofām” 2.1.3.3. pasākuma “Katastrofu risku mazināšanas pasākumi” ceturtās projektu iesniegumu atlases kārtas īstenošanas noteikumi” sākotnējās ietekmes (ex-ante) novērtējuma ziņojumam (anotācijai)</t>
  </si>
  <si>
    <t>Izmaiņas veiktas, ņemot vērā personāla izmaksu pārrēķinu 1.pielikumā pie 25-TA-305 (sākotnējais pārskats skatāms pie informatīvā ziņojuma Nr. 25-TA-1013)</t>
  </si>
  <si>
    <t>39.1., V</t>
  </si>
  <si>
    <r>
      <t>Uz projektu attiecināmā mēnešalga</t>
    </r>
    <r>
      <rPr>
        <b/>
        <i/>
        <sz val="10"/>
        <rFont val="Times New Roman"/>
        <family val="1"/>
      </rPr>
      <t>,</t>
    </r>
    <r>
      <rPr>
        <b/>
        <sz val="10"/>
        <rFont val="Times New Roman"/>
        <family val="1"/>
      </rPr>
      <t xml:space="preserve"> </t>
    </r>
    <r>
      <rPr>
        <b/>
        <i/>
        <sz val="10"/>
        <rFont val="Times New Roman"/>
        <family val="1"/>
      </rPr>
      <t>euro</t>
    </r>
  </si>
  <si>
    <r>
      <t xml:space="preserve">Vidējā stundas likme atbilstoši iesaistei projektā </t>
    </r>
    <r>
      <rPr>
        <b/>
        <i/>
        <sz val="10"/>
        <rFont val="Times New Roman"/>
        <family val="1"/>
      </rPr>
      <t>(neietverot Darba devēja VSAOI),</t>
    </r>
    <r>
      <rPr>
        <b/>
        <sz val="10"/>
        <rFont val="Times New Roman"/>
        <family val="1"/>
      </rPr>
      <t xml:space="preserve"> </t>
    </r>
    <r>
      <rPr>
        <b/>
        <i/>
        <sz val="10"/>
        <rFont val="Times New Roman"/>
        <family val="1"/>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</si>
</sst>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 _€_-;\-* #,##0.00\ _€_-;_-* &quot;-&quot;??\ _€_-;_-@_-"/>
    <numFmt numFmtId="165" formatCode="#,##0_ ;\-#,##0\ "/>
    <numFmt numFmtId="166" formatCode="#,##0.00000"/>
    <numFmt numFmtId="167" formatCode="#,##0.000"/>
    <numFmt numFmtId="168" formatCode="#,##0.00000_ ;\-#,##0.00000\ "/>
  </numFmts>
  <fonts count="35" x14ac:knownFonts="1">
    <font>
      <sz val="11"/>
      <color theme="1"/>
      <name val="Calibri"/>
      <family val="2"/>
      <charset val="186"/>
      <scheme val="minor"/>
    </font>
    <font>
      <b/>
      <sz val="10"/>
      <name val="Times New Roman"/>
      <family val="1"/>
      <charset val="186"/>
    </font>
    <font>
      <b/>
      <sz val="10"/>
      <color rgb="FF000000"/>
      <name val="Times New Roman"/>
      <family val="1"/>
      <charset val="186"/>
    </font>
    <font>
      <b/>
      <i/>
      <sz val="10"/>
      <name val="Times New Roman"/>
      <family val="1"/>
      <charset val="186"/>
    </font>
    <font>
      <sz val="10"/>
      <color rgb="FF000000"/>
      <name val="Times New Roman"/>
      <family val="1"/>
      <charset val="186"/>
    </font>
    <font>
      <sz val="10"/>
      <color rgb="FFFF0000"/>
      <name val="Times New Roman"/>
      <family val="1"/>
      <charset val="186"/>
    </font>
    <font>
      <sz val="10"/>
      <color theme="1"/>
      <name val="Times New Roman"/>
      <family val="1"/>
      <charset val="186"/>
    </font>
    <font>
      <sz val="10"/>
      <name val="Times New Roman"/>
      <family val="1"/>
      <charset val="186"/>
    </font>
    <font>
      <b/>
      <sz val="10"/>
      <color theme="1"/>
      <name val="Times New Roman"/>
      <family val="1"/>
      <charset val="186"/>
    </font>
    <font>
      <sz val="11"/>
      <color theme="1"/>
      <name val="Calibri"/>
      <family val="2"/>
      <charset val="186"/>
      <scheme val="minor"/>
    </font>
    <font>
      <sz val="11"/>
      <color theme="1"/>
      <name val="Times New Roman"/>
      <family val="1"/>
      <charset val="186"/>
    </font>
    <font>
      <b/>
      <sz val="14"/>
      <color theme="1"/>
      <name val="Times New Roman"/>
      <family val="1"/>
      <charset val="186"/>
    </font>
    <font>
      <b/>
      <sz val="11"/>
      <color theme="1"/>
      <name val="Times New Roman"/>
      <family val="1"/>
      <charset val="186"/>
    </font>
    <font>
      <b/>
      <i/>
      <sz val="10"/>
      <color theme="1"/>
      <name val="Times New Roman"/>
      <family val="1"/>
      <charset val="186"/>
    </font>
    <font>
      <i/>
      <sz val="11"/>
      <color theme="1"/>
      <name val="Times New Roman"/>
      <family val="1"/>
      <charset val="186"/>
    </font>
    <font>
      <sz val="11"/>
      <color theme="1"/>
      <name val="Times New Roman"/>
      <family val="1"/>
    </font>
    <font>
      <sz val="11"/>
      <name val="Times New Roman"/>
      <family val="1"/>
    </font>
    <font>
      <b/>
      <sz val="11"/>
      <name val="Times New Roman"/>
      <family val="1"/>
      <charset val="186"/>
    </font>
    <font>
      <sz val="11"/>
      <name val="Times New Roman"/>
      <family val="1"/>
      <charset val="186"/>
    </font>
    <font>
      <b/>
      <sz val="10"/>
      <color rgb="FFFF0000"/>
      <name val="Times New Roman"/>
      <family val="1"/>
    </font>
    <font>
      <b/>
      <i/>
      <sz val="10"/>
      <color theme="1"/>
      <name val="Times New Roman"/>
      <family val="1"/>
    </font>
    <font>
      <b/>
      <sz val="11"/>
      <color theme="1"/>
      <name val="Times New Roman"/>
      <family val="1"/>
    </font>
    <font>
      <b/>
      <sz val="10"/>
      <color theme="1"/>
      <name val="Times New Roman"/>
      <family val="1"/>
    </font>
    <font>
      <i/>
      <sz val="11"/>
      <color theme="1"/>
      <name val="Times New Roman"/>
      <family val="1"/>
    </font>
    <font>
      <b/>
      <sz val="14"/>
      <color theme="1"/>
      <name val="Times New Roman"/>
      <family val="1"/>
    </font>
    <font>
      <b/>
      <sz val="10"/>
      <name val="Times New Roman"/>
      <family val="1"/>
    </font>
    <font>
      <sz val="10"/>
      <color rgb="FF000000"/>
      <name val="Times New Roman"/>
      <family val="1"/>
    </font>
    <font>
      <sz val="10"/>
      <name val="Times New Roman"/>
      <family val="1"/>
    </font>
    <font>
      <b/>
      <sz val="10"/>
      <color rgb="FF000000"/>
      <name val="Times New Roman"/>
      <family val="1"/>
    </font>
    <font>
      <sz val="10"/>
      <color rgb="FFFF0000"/>
      <name val="Times New Roman"/>
      <family val="1"/>
    </font>
    <font>
      <sz val="10"/>
      <color theme="1"/>
      <name val="Times New Roman"/>
      <family val="1"/>
    </font>
    <font>
      <b/>
      <i/>
      <sz val="12"/>
      <name val="Times New Roman"/>
      <family val="1"/>
    </font>
    <font>
      <b/>
      <i/>
      <sz val="10"/>
      <name val="Times New Roman"/>
      <family val="1"/>
    </font>
    <font>
      <b/>
      <sz val="11"/>
      <name val="Times New Roman"/>
      <family val="1"/>
    </font>
    <font>
      <b/>
      <i/>
      <sz val="12"/>
      <name val="Times New Roman"/>
      <family val="1"/>
      <charset val="186"/>
    </font>
  </fonts>
  <fills count="18">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theme="2"/>
        <bgColor indexed="64"/>
      </patternFill>
    </fill>
    <fill>
      <patternFill patternType="solid">
        <fgColor theme="5"/>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0" fontId="9" fillId="0" borderId="0"/>
    <xf numFmtId="43" fontId="9" fillId="0" borderId="0" applyFont="0" applyFill="0" applyBorder="0" applyAlignment="0" applyProtection="0"/>
  </cellStyleXfs>
  <cellXfs count="263">
    <xf numFmtId="0" fontId="0" fillId="0" borderId="0" xfId="0"/>
    <xf numFmtId="0" fontId="0" fillId="2" borderId="0" xfId="0" applyFill="1"/>
    <xf numFmtId="0" fontId="2" fillId="4" borderId="1" xfId="0" applyFont="1" applyFill="1" applyBorder="1" applyAlignment="1">
      <alignment horizontal="center" vertical="center" wrapText="1" readingOrder="1"/>
    </xf>
    <xf numFmtId="0" fontId="2" fillId="3" borderId="1" xfId="0" applyFont="1" applyFill="1" applyBorder="1" applyAlignment="1">
      <alignment horizontal="center" vertical="center" wrapText="1" readingOrder="1"/>
    </xf>
    <xf numFmtId="0" fontId="2" fillId="4" borderId="1" xfId="0" applyFont="1" applyFill="1" applyBorder="1" applyAlignment="1">
      <alignment horizontal="left" vertical="center" wrapText="1" readingOrder="1"/>
    </xf>
    <xf numFmtId="0" fontId="1" fillId="5" borderId="1" xfId="0" applyFont="1" applyFill="1" applyBorder="1" applyAlignment="1">
      <alignment vertical="center" wrapText="1" readingOrder="1"/>
    </xf>
    <xf numFmtId="3" fontId="1" fillId="5" borderId="1" xfId="0" applyNumberFormat="1" applyFont="1" applyFill="1" applyBorder="1" applyAlignment="1">
      <alignment vertical="center" wrapText="1" readingOrder="1"/>
    </xf>
    <xf numFmtId="3" fontId="1" fillId="3" borderId="1" xfId="0" applyNumberFormat="1" applyFont="1" applyFill="1" applyBorder="1" applyAlignment="1">
      <alignment vertical="center" wrapText="1" readingOrder="1"/>
    </xf>
    <xf numFmtId="0" fontId="1" fillId="5" borderId="1" xfId="0" applyFont="1" applyFill="1" applyBorder="1" applyAlignment="1">
      <alignment horizontal="left" vertical="center" wrapText="1" readingOrder="1"/>
    </xf>
    <xf numFmtId="3" fontId="1" fillId="5" borderId="1" xfId="0" applyNumberFormat="1" applyFont="1" applyFill="1" applyBorder="1" applyAlignment="1">
      <alignment horizontal="right" vertical="center" wrapText="1" readingOrder="1"/>
    </xf>
    <xf numFmtId="0" fontId="3" fillId="5" borderId="1" xfId="0" applyFont="1" applyFill="1" applyBorder="1" applyAlignment="1">
      <alignment horizontal="left" vertical="center" wrapText="1" readingOrder="1"/>
    </xf>
    <xf numFmtId="0" fontId="2" fillId="5" borderId="1" xfId="0" applyFont="1" applyFill="1" applyBorder="1" applyAlignment="1">
      <alignment horizontal="left" vertical="center" wrapText="1" readingOrder="1"/>
    </xf>
    <xf numFmtId="0" fontId="2" fillId="6" borderId="1" xfId="0" applyFont="1" applyFill="1" applyBorder="1" applyAlignment="1">
      <alignment horizontal="left" vertical="center" wrapText="1" readingOrder="1"/>
    </xf>
    <xf numFmtId="3" fontId="2" fillId="6" borderId="1" xfId="0" applyNumberFormat="1" applyFont="1" applyFill="1" applyBorder="1" applyAlignment="1">
      <alignment horizontal="right" vertical="center" wrapText="1" readingOrder="1"/>
    </xf>
    <xf numFmtId="0" fontId="4" fillId="7" borderId="1" xfId="0" applyFont="1" applyFill="1" applyBorder="1" applyAlignment="1">
      <alignment horizontal="left" vertical="center" wrapText="1" readingOrder="1"/>
    </xf>
    <xf numFmtId="3" fontId="4" fillId="7" borderId="1" xfId="0" applyNumberFormat="1" applyFont="1" applyFill="1" applyBorder="1" applyAlignment="1">
      <alignment horizontal="right" vertical="center" wrapText="1" readingOrder="1"/>
    </xf>
    <xf numFmtId="3" fontId="5" fillId="7" borderId="1" xfId="0" applyNumberFormat="1" applyFont="1" applyFill="1" applyBorder="1" applyAlignment="1">
      <alignment horizontal="right" vertical="center" wrapText="1" readingOrder="1"/>
    </xf>
    <xf numFmtId="3" fontId="1" fillId="7" borderId="1" xfId="0" applyNumberFormat="1" applyFont="1" applyFill="1" applyBorder="1" applyAlignment="1">
      <alignment vertical="center" wrapText="1" readingOrder="1"/>
    </xf>
    <xf numFmtId="3" fontId="0" fillId="0" borderId="0" xfId="0" applyNumberFormat="1"/>
    <xf numFmtId="0" fontId="4" fillId="8" borderId="1" xfId="0" applyFont="1" applyFill="1" applyBorder="1" applyAlignment="1">
      <alignment horizontal="left" vertical="center" wrapText="1" readingOrder="1"/>
    </xf>
    <xf numFmtId="3" fontId="4" fillId="8" borderId="1" xfId="0" applyNumberFormat="1" applyFont="1" applyFill="1" applyBorder="1" applyAlignment="1">
      <alignment horizontal="right" vertical="center" wrapText="1" readingOrder="1"/>
    </xf>
    <xf numFmtId="3" fontId="5" fillId="8" borderId="1" xfId="0" applyNumberFormat="1" applyFont="1" applyFill="1" applyBorder="1" applyAlignment="1">
      <alignment horizontal="right" vertical="center" wrapText="1" readingOrder="1"/>
    </xf>
    <xf numFmtId="3" fontId="1" fillId="8" borderId="1" xfId="0" applyNumberFormat="1" applyFont="1" applyFill="1" applyBorder="1" applyAlignment="1">
      <alignment vertical="center" wrapText="1" readingOrder="1"/>
    </xf>
    <xf numFmtId="0" fontId="4" fillId="6" borderId="1" xfId="0" applyFont="1" applyFill="1" applyBorder="1" applyAlignment="1">
      <alignment horizontal="left" vertical="center" wrapText="1" readingOrder="1"/>
    </xf>
    <xf numFmtId="3" fontId="4" fillId="6" borderId="1" xfId="0" applyNumberFormat="1" applyFont="1" applyFill="1" applyBorder="1" applyAlignment="1">
      <alignment horizontal="right" vertical="center" wrapText="1" readingOrder="1"/>
    </xf>
    <xf numFmtId="0" fontId="4" fillId="9" borderId="1" xfId="0" applyFont="1" applyFill="1" applyBorder="1" applyAlignment="1">
      <alignment horizontal="left" vertical="center" wrapText="1" readingOrder="1"/>
    </xf>
    <xf numFmtId="3" fontId="4" fillId="9" borderId="1" xfId="0" applyNumberFormat="1" applyFont="1" applyFill="1" applyBorder="1" applyAlignment="1">
      <alignment horizontal="right" vertical="center" wrapText="1" readingOrder="1"/>
    </xf>
    <xf numFmtId="3" fontId="1" fillId="9" borderId="1" xfId="0" applyNumberFormat="1" applyFont="1" applyFill="1" applyBorder="1" applyAlignment="1">
      <alignment vertical="center" wrapText="1" readingOrder="1"/>
    </xf>
    <xf numFmtId="0" fontId="6" fillId="9" borderId="1" xfId="0" applyFont="1" applyFill="1" applyBorder="1" applyAlignment="1">
      <alignment horizontal="left" vertical="center" wrapText="1"/>
    </xf>
    <xf numFmtId="0" fontId="0" fillId="10" borderId="0" xfId="0" applyFill="1"/>
    <xf numFmtId="0" fontId="4" fillId="6" borderId="1" xfId="0" applyFont="1" applyFill="1" applyBorder="1" applyAlignment="1">
      <alignment horizontal="right" vertical="center" wrapText="1" readingOrder="1"/>
    </xf>
    <xf numFmtId="3" fontId="7" fillId="8" borderId="1" xfId="0" applyNumberFormat="1" applyFont="1" applyFill="1" applyBorder="1" applyAlignment="1">
      <alignment horizontal="right" vertical="center" wrapText="1" readingOrder="1"/>
    </xf>
    <xf numFmtId="0" fontId="4" fillId="11" borderId="1" xfId="0" applyFont="1" applyFill="1" applyBorder="1" applyAlignment="1">
      <alignment horizontal="left" vertical="center" wrapText="1" readingOrder="1"/>
    </xf>
    <xf numFmtId="3" fontId="4" fillId="11" borderId="1" xfId="0" applyNumberFormat="1" applyFont="1" applyFill="1" applyBorder="1" applyAlignment="1">
      <alignment horizontal="right" vertical="center" wrapText="1" readingOrder="1"/>
    </xf>
    <xf numFmtId="3" fontId="1" fillId="11" borderId="1" xfId="0" applyNumberFormat="1" applyFont="1" applyFill="1" applyBorder="1" applyAlignment="1">
      <alignment vertical="center" wrapText="1" readingOrder="1"/>
    </xf>
    <xf numFmtId="0" fontId="0" fillId="3" borderId="0" xfId="0" applyFill="1"/>
    <xf numFmtId="0" fontId="0" fillId="0" borderId="0" xfId="0" applyAlignment="1">
      <alignment horizontal="left"/>
    </xf>
    <xf numFmtId="3" fontId="0" fillId="6" borderId="1" xfId="0" applyNumberFormat="1" applyFill="1" applyBorder="1" applyAlignment="1">
      <alignment horizontal="left"/>
    </xf>
    <xf numFmtId="0" fontId="5" fillId="8" borderId="1" xfId="0" applyFont="1" applyFill="1" applyBorder="1" applyAlignment="1">
      <alignment horizontal="left" vertical="center" wrapText="1"/>
    </xf>
    <xf numFmtId="3" fontId="0" fillId="10" borderId="0" xfId="0" applyNumberFormat="1" applyFill="1"/>
    <xf numFmtId="0" fontId="5" fillId="9" borderId="1" xfId="0" applyFont="1" applyFill="1" applyBorder="1" applyAlignment="1">
      <alignment horizontal="left" vertical="center" wrapText="1" readingOrder="1"/>
    </xf>
    <xf numFmtId="3" fontId="0" fillId="10" borderId="0" xfId="0" applyNumberFormat="1" applyFill="1" applyBorder="1"/>
    <xf numFmtId="0" fontId="0" fillId="10" borderId="0" xfId="0" applyFill="1" applyBorder="1"/>
    <xf numFmtId="0" fontId="5" fillId="6" borderId="1" xfId="0" applyFont="1" applyFill="1" applyBorder="1" applyAlignment="1">
      <alignment horizontal="right" vertical="center" wrapText="1" readingOrder="1"/>
    </xf>
    <xf numFmtId="3" fontId="5" fillId="6" borderId="1" xfId="0" applyNumberFormat="1" applyFont="1" applyFill="1" applyBorder="1" applyAlignment="1">
      <alignment horizontal="right" vertical="center" wrapText="1" readingOrder="1"/>
    </xf>
    <xf numFmtId="0" fontId="1" fillId="4" borderId="1" xfId="0" applyFont="1" applyFill="1" applyBorder="1" applyAlignment="1">
      <alignment horizontal="center" vertical="center" wrapText="1"/>
    </xf>
    <xf numFmtId="0" fontId="2" fillId="8" borderId="1" xfId="0" applyFont="1" applyFill="1" applyBorder="1" applyAlignment="1">
      <alignment horizontal="right" vertical="center" wrapText="1" readingOrder="1"/>
    </xf>
    <xf numFmtId="3" fontId="2" fillId="8" borderId="1" xfId="0" applyNumberFormat="1" applyFont="1" applyFill="1" applyBorder="1" applyAlignment="1">
      <alignment horizontal="right" vertical="center" wrapText="1" readingOrder="1"/>
    </xf>
    <xf numFmtId="3" fontId="0" fillId="3" borderId="0" xfId="0" applyNumberFormat="1" applyFill="1"/>
    <xf numFmtId="3" fontId="7" fillId="7" borderId="1" xfId="0" applyNumberFormat="1" applyFont="1" applyFill="1" applyBorder="1" applyAlignment="1">
      <alignment horizontal="right" vertical="center" wrapText="1" readingOrder="1"/>
    </xf>
    <xf numFmtId="0" fontId="7" fillId="7" borderId="1" xfId="0" applyFont="1" applyFill="1" applyBorder="1" applyAlignment="1">
      <alignment horizontal="left" vertical="center" wrapText="1"/>
    </xf>
    <xf numFmtId="0" fontId="7" fillId="8" borderId="1" xfId="0" applyFont="1" applyFill="1" applyBorder="1" applyAlignment="1">
      <alignment horizontal="left" vertical="center" wrapText="1"/>
    </xf>
    <xf numFmtId="0" fontId="7" fillId="6" borderId="1" xfId="0" applyFont="1" applyFill="1" applyBorder="1" applyAlignment="1">
      <alignment horizontal="left" vertical="center" wrapText="1"/>
    </xf>
    <xf numFmtId="0" fontId="7" fillId="9" borderId="1" xfId="0" applyFont="1" applyFill="1" applyBorder="1" applyAlignment="1">
      <alignment horizontal="left" vertical="center" wrapText="1"/>
    </xf>
    <xf numFmtId="0" fontId="7" fillId="11" borderId="1" xfId="0" applyFont="1" applyFill="1" applyBorder="1" applyAlignment="1">
      <alignment horizontal="left" vertical="center" wrapText="1"/>
    </xf>
    <xf numFmtId="0" fontId="7" fillId="6" borderId="1" xfId="0" applyFont="1" applyFill="1" applyBorder="1" applyAlignment="1">
      <alignment horizontal="left" vertical="center" wrapText="1" readingOrder="1"/>
    </xf>
    <xf numFmtId="0" fontId="7" fillId="8" borderId="1" xfId="0" applyFont="1" applyFill="1" applyBorder="1" applyAlignment="1">
      <alignment horizontal="left" vertical="center" wrapText="1" readingOrder="1"/>
    </xf>
    <xf numFmtId="3" fontId="7" fillId="6" borderId="1" xfId="0" applyNumberFormat="1" applyFont="1" applyFill="1" applyBorder="1" applyAlignment="1">
      <alignment horizontal="right" vertical="center" wrapText="1" readingOrder="1"/>
    </xf>
    <xf numFmtId="3" fontId="1" fillId="6" borderId="1" xfId="0" applyNumberFormat="1" applyFont="1" applyFill="1" applyBorder="1" applyAlignment="1">
      <alignment horizontal="right" vertical="center" wrapText="1" readingOrder="1"/>
    </xf>
    <xf numFmtId="3" fontId="7" fillId="6" borderId="1" xfId="0" applyNumberFormat="1" applyFont="1" applyFill="1" applyBorder="1" applyAlignment="1">
      <alignment horizontal="left" vertical="center" wrapText="1" readingOrder="1"/>
    </xf>
    <xf numFmtId="3" fontId="4" fillId="10" borderId="0" xfId="0" applyNumberFormat="1" applyFont="1" applyFill="1" applyBorder="1" applyAlignment="1">
      <alignment horizontal="center" vertical="center" wrapText="1"/>
    </xf>
    <xf numFmtId="3" fontId="2" fillId="10" borderId="0" xfId="0" applyNumberFormat="1" applyFont="1" applyFill="1" applyBorder="1" applyAlignment="1">
      <alignment horizontal="center" vertical="center" wrapText="1"/>
    </xf>
    <xf numFmtId="0" fontId="2" fillId="10" borderId="0" xfId="0" applyFont="1" applyFill="1" applyBorder="1" applyAlignment="1">
      <alignment horizontal="center" vertical="center" wrapText="1"/>
    </xf>
    <xf numFmtId="0" fontId="8" fillId="10" borderId="0" xfId="0" applyFont="1" applyFill="1" applyBorder="1" applyAlignment="1">
      <alignment horizontal="center" vertical="center" wrapText="1"/>
    </xf>
    <xf numFmtId="0" fontId="5" fillId="8" borderId="1" xfId="0" applyFont="1" applyFill="1" applyBorder="1" applyAlignment="1">
      <alignment horizontal="center" vertical="center" wrapText="1" readingOrder="1"/>
    </xf>
    <xf numFmtId="3" fontId="1" fillId="14" borderId="1" xfId="0" applyNumberFormat="1" applyFont="1" applyFill="1" applyBorder="1" applyAlignment="1">
      <alignment horizontal="right" vertical="center" wrapText="1" readingOrder="1"/>
    </xf>
    <xf numFmtId="0" fontId="2" fillId="14" borderId="1" xfId="0" applyFont="1" applyFill="1" applyBorder="1" applyAlignment="1">
      <alignment horizontal="left" vertical="center" wrapText="1" readingOrder="1"/>
    </xf>
    <xf numFmtId="0" fontId="10" fillId="0" borderId="0" xfId="1" applyFont="1"/>
    <xf numFmtId="0" fontId="16" fillId="0" borderId="0" xfId="1" applyFont="1"/>
    <xf numFmtId="43" fontId="12" fillId="8" borderId="1" xfId="1" applyNumberFormat="1" applyFont="1" applyFill="1" applyBorder="1" applyAlignment="1">
      <alignment vertical="center"/>
    </xf>
    <xf numFmtId="0" fontId="10" fillId="0" borderId="0" xfId="1" applyFont="1" applyAlignment="1">
      <alignment vertical="center"/>
    </xf>
    <xf numFmtId="164" fontId="10" fillId="0" borderId="0" xfId="1" applyNumberFormat="1" applyFont="1"/>
    <xf numFmtId="0" fontId="10" fillId="10" borderId="0" xfId="1" applyFont="1" applyFill="1"/>
    <xf numFmtId="0" fontId="8" fillId="10" borderId="0" xfId="1" applyFont="1" applyFill="1"/>
    <xf numFmtId="0" fontId="13" fillId="10" borderId="0" xfId="1" applyFont="1" applyFill="1"/>
    <xf numFmtId="165" fontId="18" fillId="10" borderId="0" xfId="2" applyNumberFormat="1" applyFont="1" applyFill="1" applyBorder="1" applyAlignment="1">
      <alignment horizontal="center" vertical="center"/>
    </xf>
    <xf numFmtId="164" fontId="18" fillId="10" borderId="0" xfId="2" applyNumberFormat="1" applyFont="1" applyFill="1" applyBorder="1" applyAlignment="1">
      <alignment horizontal="center" vertical="center"/>
    </xf>
    <xf numFmtId="1" fontId="18" fillId="10" borderId="0" xfId="2" applyNumberFormat="1" applyFont="1" applyFill="1" applyBorder="1" applyAlignment="1">
      <alignment horizontal="center"/>
    </xf>
    <xf numFmtId="164" fontId="18" fillId="10" borderId="0" xfId="2" applyNumberFormat="1" applyFont="1" applyFill="1" applyBorder="1" applyAlignment="1">
      <alignment horizontal="center"/>
    </xf>
    <xf numFmtId="164" fontId="16" fillId="0" borderId="1" xfId="2" applyNumberFormat="1" applyFont="1" applyFill="1" applyBorder="1" applyAlignment="1">
      <alignment horizontal="center" vertical="center" wrapText="1"/>
    </xf>
    <xf numFmtId="43" fontId="16" fillId="0" borderId="1" xfId="2" applyFont="1" applyFill="1" applyBorder="1" applyAlignment="1">
      <alignment horizontal="center" vertical="center" wrapText="1"/>
    </xf>
    <xf numFmtId="0" fontId="15" fillId="0" borderId="0" xfId="1" applyFont="1"/>
    <xf numFmtId="43" fontId="21" fillId="8" borderId="1" xfId="1" applyNumberFormat="1" applyFont="1" applyFill="1" applyBorder="1" applyAlignment="1">
      <alignment vertical="center"/>
    </xf>
    <xf numFmtId="43" fontId="21" fillId="3" borderId="1" xfId="1" applyNumberFormat="1" applyFont="1" applyFill="1" applyBorder="1" applyAlignment="1">
      <alignment vertical="center"/>
    </xf>
    <xf numFmtId="2" fontId="10" fillId="0" borderId="0" xfId="1" applyNumberFormat="1" applyFont="1"/>
    <xf numFmtId="3" fontId="16" fillId="0" borderId="1" xfId="0" applyNumberFormat="1" applyFont="1" applyFill="1" applyBorder="1" applyAlignment="1">
      <alignment horizontal="center" vertical="center"/>
    </xf>
    <xf numFmtId="0" fontId="16" fillId="0" borderId="1" xfId="0" applyFont="1" applyFill="1" applyBorder="1" applyAlignment="1">
      <alignment horizontal="center" vertical="center"/>
    </xf>
    <xf numFmtId="0" fontId="23" fillId="0" borderId="0" xfId="1" applyFont="1"/>
    <xf numFmtId="0" fontId="12" fillId="17" borderId="1" xfId="1" applyFont="1" applyFill="1" applyBorder="1" applyAlignment="1">
      <alignment horizontal="center" vertical="center"/>
    </xf>
    <xf numFmtId="167" fontId="15" fillId="0" borderId="0" xfId="1" applyNumberFormat="1" applyFont="1"/>
    <xf numFmtId="166" fontId="15" fillId="0" borderId="0" xfId="1" applyNumberFormat="1" applyFont="1"/>
    <xf numFmtId="0" fontId="24" fillId="15" borderId="0" xfId="1" applyFont="1" applyFill="1" applyBorder="1" applyAlignment="1">
      <alignment horizontal="center" vertical="center"/>
    </xf>
    <xf numFmtId="43" fontId="12" fillId="8" borderId="1" xfId="1" applyNumberFormat="1" applyFont="1" applyFill="1" applyBorder="1" applyAlignment="1">
      <alignment horizontal="center" vertical="center"/>
    </xf>
    <xf numFmtId="0" fontId="12" fillId="0" borderId="1" xfId="1" applyFont="1" applyBorder="1" applyAlignment="1">
      <alignment horizontal="left" vertical="center" wrapText="1"/>
    </xf>
    <xf numFmtId="0" fontId="10" fillId="0" borderId="1" xfId="1" applyFont="1" applyBorder="1" applyAlignment="1">
      <alignment horizontal="left" vertical="center" wrapText="1"/>
    </xf>
    <xf numFmtId="0" fontId="26" fillId="8" borderId="11" xfId="0" applyFont="1" applyFill="1" applyBorder="1" applyAlignment="1">
      <alignment horizontal="left" vertical="center" wrapText="1" readingOrder="1"/>
    </xf>
    <xf numFmtId="3" fontId="27" fillId="8" borderId="1" xfId="0" applyNumberFormat="1" applyFont="1" applyFill="1" applyBorder="1" applyAlignment="1">
      <alignment vertical="center" wrapText="1" readingOrder="1"/>
    </xf>
    <xf numFmtId="3" fontId="27" fillId="2" borderId="1" xfId="0" applyNumberFormat="1" applyFont="1" applyFill="1" applyBorder="1" applyAlignment="1">
      <alignment vertical="center" wrapText="1" readingOrder="1"/>
    </xf>
    <xf numFmtId="3" fontId="26" fillId="8" borderId="1" xfId="0" applyNumberFormat="1" applyFont="1" applyFill="1" applyBorder="1" applyAlignment="1">
      <alignment horizontal="right" vertical="center" wrapText="1" readingOrder="1"/>
    </xf>
    <xf numFmtId="3" fontId="26" fillId="2" borderId="1" xfId="0" applyNumberFormat="1" applyFont="1" applyFill="1" applyBorder="1" applyAlignment="1">
      <alignment horizontal="right" vertical="center" wrapText="1" readingOrder="1"/>
    </xf>
    <xf numFmtId="3" fontId="25" fillId="8" borderId="1" xfId="0" applyNumberFormat="1" applyFont="1" applyFill="1" applyBorder="1" applyAlignment="1">
      <alignment vertical="center" wrapText="1" readingOrder="1"/>
    </xf>
    <xf numFmtId="0" fontId="26" fillId="7" borderId="1" xfId="0" applyFont="1" applyFill="1" applyBorder="1" applyAlignment="1">
      <alignment horizontal="left" vertical="center" wrapText="1" readingOrder="1"/>
    </xf>
    <xf numFmtId="3" fontId="26" fillId="7" borderId="1" xfId="0" applyNumberFormat="1" applyFont="1" applyFill="1" applyBorder="1" applyAlignment="1">
      <alignment horizontal="right" vertical="center" wrapText="1" readingOrder="1"/>
    </xf>
    <xf numFmtId="3" fontId="28" fillId="7" borderId="1" xfId="0" applyNumberFormat="1" applyFont="1" applyFill="1" applyBorder="1" applyAlignment="1">
      <alignment horizontal="right" vertical="center" wrapText="1" readingOrder="1"/>
    </xf>
    <xf numFmtId="3" fontId="26" fillId="7" borderId="1" xfId="0" applyNumberFormat="1" applyFont="1" applyFill="1" applyBorder="1" applyAlignment="1">
      <alignment horizontal="left" vertical="center" wrapText="1" readingOrder="1"/>
    </xf>
    <xf numFmtId="0" fontId="26" fillId="10" borderId="0" xfId="0" applyFont="1" applyFill="1" applyBorder="1" applyAlignment="1">
      <alignment horizontal="left" vertical="center" wrapText="1" readingOrder="1"/>
    </xf>
    <xf numFmtId="3" fontId="26" fillId="10" borderId="0" xfId="0" applyNumberFormat="1" applyFont="1" applyFill="1" applyBorder="1" applyAlignment="1">
      <alignment horizontal="right" vertical="center" wrapText="1" readingOrder="1"/>
    </xf>
    <xf numFmtId="3" fontId="28" fillId="10" borderId="0" xfId="0" applyNumberFormat="1" applyFont="1" applyFill="1" applyBorder="1" applyAlignment="1">
      <alignment horizontal="right" vertical="center" wrapText="1" readingOrder="1"/>
    </xf>
    <xf numFmtId="0" fontId="26" fillId="11" borderId="1" xfId="0" applyFont="1" applyFill="1" applyBorder="1" applyAlignment="1">
      <alignment horizontal="left" vertical="center" wrapText="1" readingOrder="1"/>
    </xf>
    <xf numFmtId="1" fontId="26" fillId="11" borderId="1" xfId="0" applyNumberFormat="1" applyFont="1" applyFill="1" applyBorder="1" applyAlignment="1">
      <alignment horizontal="right" vertical="center" wrapText="1" readingOrder="1"/>
    </xf>
    <xf numFmtId="3" fontId="26" fillId="11" borderId="1" xfId="0" applyNumberFormat="1" applyFont="1" applyFill="1" applyBorder="1" applyAlignment="1">
      <alignment horizontal="right" vertical="center" wrapText="1" readingOrder="1"/>
    </xf>
    <xf numFmtId="3" fontId="27" fillId="2" borderId="1" xfId="0" applyNumberFormat="1" applyFont="1" applyFill="1" applyBorder="1" applyAlignment="1">
      <alignment horizontal="right" vertical="center" wrapText="1" readingOrder="1"/>
    </xf>
    <xf numFmtId="3" fontId="26" fillId="10" borderId="0" xfId="0" applyNumberFormat="1" applyFont="1" applyFill="1" applyBorder="1" applyAlignment="1">
      <alignment horizontal="left" vertical="center" wrapText="1" readingOrder="1"/>
    </xf>
    <xf numFmtId="3" fontId="26" fillId="12" borderId="3" xfId="0" applyNumberFormat="1" applyFont="1" applyFill="1" applyBorder="1" applyAlignment="1">
      <alignment horizontal="right" vertical="center" wrapText="1" readingOrder="1"/>
    </xf>
    <xf numFmtId="0" fontId="26" fillId="3" borderId="0" xfId="0" applyFont="1" applyFill="1" applyBorder="1" applyAlignment="1">
      <alignment horizontal="left" vertical="center" wrapText="1" readingOrder="1"/>
    </xf>
    <xf numFmtId="3" fontId="27" fillId="3" borderId="0" xfId="0" applyNumberFormat="1" applyFont="1" applyFill="1" applyBorder="1" applyAlignment="1">
      <alignment vertical="center" wrapText="1" readingOrder="1"/>
    </xf>
    <xf numFmtId="3" fontId="26" fillId="3" borderId="0" xfId="0" applyNumberFormat="1" applyFont="1" applyFill="1" applyBorder="1" applyAlignment="1">
      <alignment horizontal="right" vertical="center" wrapText="1" readingOrder="1"/>
    </xf>
    <xf numFmtId="3" fontId="27" fillId="3" borderId="0" xfId="0" applyNumberFormat="1" applyFont="1" applyFill="1" applyBorder="1" applyAlignment="1">
      <alignment horizontal="right" vertical="center" wrapText="1" readingOrder="1"/>
    </xf>
    <xf numFmtId="3" fontId="25" fillId="3" borderId="0" xfId="0" applyNumberFormat="1" applyFont="1" applyFill="1" applyBorder="1" applyAlignment="1">
      <alignment vertical="center" wrapText="1" readingOrder="1"/>
    </xf>
    <xf numFmtId="0" fontId="27" fillId="10" borderId="0" xfId="0" applyFont="1" applyFill="1" applyBorder="1" applyAlignment="1">
      <alignment horizontal="left" vertical="center" wrapText="1" readingOrder="1"/>
    </xf>
    <xf numFmtId="3" fontId="25" fillId="10" borderId="0" xfId="0" applyNumberFormat="1" applyFont="1" applyFill="1" applyBorder="1" applyAlignment="1">
      <alignment horizontal="right" vertical="center" wrapText="1" readingOrder="1"/>
    </xf>
    <xf numFmtId="3" fontId="27" fillId="10" borderId="0" xfId="0" applyNumberFormat="1" applyFont="1" applyFill="1" applyBorder="1" applyAlignment="1">
      <alignment horizontal="right" vertical="center" wrapText="1" readingOrder="1"/>
    </xf>
    <xf numFmtId="3" fontId="27" fillId="10" borderId="0" xfId="0" applyNumberFormat="1" applyFont="1" applyFill="1" applyBorder="1" applyAlignment="1">
      <alignment horizontal="left" vertical="center" wrapText="1" readingOrder="1"/>
    </xf>
    <xf numFmtId="3" fontId="27" fillId="10" borderId="0" xfId="0" applyNumberFormat="1" applyFont="1" applyFill="1" applyBorder="1" applyAlignment="1">
      <alignment vertical="center" wrapText="1" readingOrder="1"/>
    </xf>
    <xf numFmtId="3" fontId="25" fillId="10" borderId="0" xfId="0" applyNumberFormat="1" applyFont="1" applyFill="1" applyBorder="1" applyAlignment="1">
      <alignment vertical="center" wrapText="1" readingOrder="1"/>
    </xf>
    <xf numFmtId="3" fontId="30" fillId="0" borderId="0" xfId="0" applyNumberFormat="1" applyFont="1" applyBorder="1" applyAlignment="1">
      <alignment horizontal="center" vertical="center" wrapText="1"/>
    </xf>
    <xf numFmtId="0" fontId="26" fillId="0" borderId="0" xfId="0" applyFont="1" applyBorder="1" applyAlignment="1">
      <alignment horizontal="center" vertical="center" wrapText="1"/>
    </xf>
    <xf numFmtId="3" fontId="26" fillId="10" borderId="0" xfId="0" applyNumberFormat="1" applyFont="1" applyFill="1" applyBorder="1" applyAlignment="1">
      <alignment horizontal="center" vertical="center" wrapText="1"/>
    </xf>
    <xf numFmtId="3" fontId="27" fillId="2" borderId="3" xfId="0" applyNumberFormat="1" applyFont="1" applyFill="1" applyBorder="1" applyAlignment="1">
      <alignment vertical="center" wrapText="1" readingOrder="1"/>
    </xf>
    <xf numFmtId="3" fontId="27" fillId="2" borderId="3" xfId="0" applyNumberFormat="1" applyFont="1" applyFill="1" applyBorder="1" applyAlignment="1">
      <alignment horizontal="right" vertical="center" wrapText="1" readingOrder="1"/>
    </xf>
    <xf numFmtId="0" fontId="26" fillId="8" borderId="7" xfId="0" applyFont="1" applyFill="1" applyBorder="1" applyAlignment="1">
      <alignment horizontal="left" vertical="center" wrapText="1" readingOrder="1"/>
    </xf>
    <xf numFmtId="3" fontId="27" fillId="8" borderId="2" xfId="0" applyNumberFormat="1" applyFont="1" applyFill="1" applyBorder="1" applyAlignment="1">
      <alignment vertical="center" wrapText="1" readingOrder="1"/>
    </xf>
    <xf numFmtId="3" fontId="27" fillId="2" borderId="4" xfId="0" applyNumberFormat="1" applyFont="1" applyFill="1" applyBorder="1" applyAlignment="1">
      <alignment vertical="center" wrapText="1" readingOrder="1"/>
    </xf>
    <xf numFmtId="3" fontId="26" fillId="12" borderId="4" xfId="0" applyNumberFormat="1" applyFont="1" applyFill="1" applyBorder="1" applyAlignment="1">
      <alignment horizontal="right" vertical="center" wrapText="1" readingOrder="1"/>
    </xf>
    <xf numFmtId="3" fontId="27" fillId="2" borderId="4" xfId="0" applyNumberFormat="1" applyFont="1" applyFill="1" applyBorder="1" applyAlignment="1">
      <alignment horizontal="right" vertical="center" wrapText="1" readingOrder="1"/>
    </xf>
    <xf numFmtId="3" fontId="26" fillId="8" borderId="2" xfId="0" applyNumberFormat="1" applyFont="1" applyFill="1" applyBorder="1" applyAlignment="1">
      <alignment horizontal="right" vertical="center" wrapText="1" readingOrder="1"/>
    </xf>
    <xf numFmtId="3" fontId="25" fillId="8" borderId="2" xfId="0" applyNumberFormat="1" applyFont="1" applyFill="1" applyBorder="1" applyAlignment="1">
      <alignment vertical="center" wrapText="1" readingOrder="1"/>
    </xf>
    <xf numFmtId="0" fontId="29" fillId="10" borderId="0" xfId="0" applyFont="1" applyFill="1" applyBorder="1" applyAlignment="1">
      <alignment horizontal="left" vertical="center" wrapText="1" readingOrder="1"/>
    </xf>
    <xf numFmtId="3" fontId="29" fillId="10" borderId="0" xfId="0" applyNumberFormat="1" applyFont="1" applyFill="1" applyBorder="1" applyAlignment="1">
      <alignment vertical="center" wrapText="1" readingOrder="1"/>
    </xf>
    <xf numFmtId="3" fontId="29" fillId="10" borderId="0" xfId="0" applyNumberFormat="1" applyFont="1" applyFill="1" applyBorder="1" applyAlignment="1">
      <alignment horizontal="right" vertical="center" wrapText="1" readingOrder="1"/>
    </xf>
    <xf numFmtId="3" fontId="19" fillId="10" borderId="0" xfId="0" applyNumberFormat="1" applyFont="1" applyFill="1" applyBorder="1" applyAlignment="1">
      <alignment vertical="center" wrapText="1" readingOrder="1"/>
    </xf>
    <xf numFmtId="3" fontId="26" fillId="8" borderId="3" xfId="0" applyNumberFormat="1" applyFont="1" applyFill="1" applyBorder="1" applyAlignment="1">
      <alignment horizontal="right" vertical="center" wrapText="1" readingOrder="1"/>
    </xf>
    <xf numFmtId="3" fontId="25" fillId="8" borderId="3" xfId="0" applyNumberFormat="1" applyFont="1" applyFill="1" applyBorder="1" applyAlignment="1">
      <alignment vertical="center" wrapText="1" readingOrder="1"/>
    </xf>
    <xf numFmtId="3" fontId="25" fillId="5" borderId="11" xfId="0" applyNumberFormat="1" applyFont="1" applyFill="1" applyBorder="1" applyAlignment="1">
      <alignment horizontal="right" vertical="center" wrapText="1" readingOrder="1"/>
    </xf>
    <xf numFmtId="3" fontId="25" fillId="5" borderId="1" xfId="0" applyNumberFormat="1" applyFont="1" applyFill="1" applyBorder="1" applyAlignment="1">
      <alignment horizontal="right" vertical="center" wrapText="1" readingOrder="1"/>
    </xf>
    <xf numFmtId="3" fontId="25" fillId="3" borderId="1" xfId="0" applyNumberFormat="1" applyFont="1" applyFill="1" applyBorder="1" applyAlignment="1">
      <alignment horizontal="center" vertical="center" wrapText="1" readingOrder="1"/>
    </xf>
    <xf numFmtId="0" fontId="28" fillId="11" borderId="1" xfId="0" applyFont="1" applyFill="1" applyBorder="1" applyAlignment="1">
      <alignment horizontal="left" vertical="center" wrapText="1" readingOrder="1"/>
    </xf>
    <xf numFmtId="0" fontId="30" fillId="0" borderId="0" xfId="0" applyFont="1"/>
    <xf numFmtId="0" fontId="22" fillId="2" borderId="0" xfId="0" applyFont="1" applyFill="1" applyBorder="1" applyAlignment="1">
      <alignment horizontal="center"/>
    </xf>
    <xf numFmtId="3" fontId="30" fillId="10" borderId="0" xfId="0" applyNumberFormat="1" applyFont="1" applyFill="1"/>
    <xf numFmtId="0" fontId="30" fillId="10" borderId="0" xfId="0" applyFont="1" applyFill="1"/>
    <xf numFmtId="3" fontId="30" fillId="0" borderId="0" xfId="0" applyNumberFormat="1" applyFont="1"/>
    <xf numFmtId="0" fontId="30" fillId="10" borderId="0" xfId="0" applyFont="1" applyFill="1" applyBorder="1"/>
    <xf numFmtId="3" fontId="27" fillId="0" borderId="0" xfId="0" applyNumberFormat="1" applyFont="1"/>
    <xf numFmtId="3" fontId="29" fillId="0" borderId="0" xfId="0" applyNumberFormat="1" applyFont="1"/>
    <xf numFmtId="0" fontId="27" fillId="0" borderId="0" xfId="0" applyFont="1" applyBorder="1"/>
    <xf numFmtId="3" fontId="27" fillId="0" borderId="0" xfId="0" applyNumberFormat="1" applyFont="1" applyBorder="1"/>
    <xf numFmtId="3" fontId="30" fillId="10" borderId="0" xfId="0" applyNumberFormat="1" applyFont="1" applyFill="1" applyBorder="1"/>
    <xf numFmtId="3" fontId="30" fillId="0" borderId="0" xfId="0" applyNumberFormat="1" applyFont="1" applyBorder="1"/>
    <xf numFmtId="0" fontId="22" fillId="12" borderId="1" xfId="0" applyFont="1" applyFill="1" applyBorder="1"/>
    <xf numFmtId="0" fontId="30" fillId="2" borderId="0" xfId="0" applyFont="1" applyFill="1"/>
    <xf numFmtId="0" fontId="30" fillId="3" borderId="1" xfId="0" applyFont="1" applyFill="1" applyBorder="1" applyAlignment="1">
      <alignment horizontal="center" wrapText="1"/>
    </xf>
    <xf numFmtId="0" fontId="7" fillId="8" borderId="1" xfId="0" applyFont="1" applyFill="1" applyBorder="1" applyAlignment="1">
      <alignment horizontal="left" vertical="center" wrapText="1"/>
    </xf>
    <xf numFmtId="164" fontId="10" fillId="0" borderId="0" xfId="1" applyNumberFormat="1" applyFont="1" applyAlignment="1">
      <alignment horizontal="center"/>
    </xf>
    <xf numFmtId="0" fontId="12" fillId="16" borderId="9" xfId="1" applyFont="1" applyFill="1" applyBorder="1" applyAlignment="1">
      <alignment horizontal="right" vertical="center"/>
    </xf>
    <xf numFmtId="0" fontId="12" fillId="16" borderId="13" xfId="1" applyFont="1" applyFill="1" applyBorder="1" applyAlignment="1">
      <alignment horizontal="right" vertical="center"/>
    </xf>
    <xf numFmtId="164" fontId="8" fillId="16" borderId="2" xfId="1" applyNumberFormat="1" applyFont="1" applyFill="1" applyBorder="1" applyAlignment="1">
      <alignment horizontal="center" vertical="center" wrapText="1"/>
    </xf>
    <xf numFmtId="164" fontId="8" fillId="16" borderId="4" xfId="1" applyNumberFormat="1" applyFont="1" applyFill="1" applyBorder="1" applyAlignment="1">
      <alignment horizontal="center" vertical="center" wrapText="1"/>
    </xf>
    <xf numFmtId="164" fontId="8" fillId="16" borderId="3" xfId="1" applyNumberFormat="1" applyFont="1" applyFill="1" applyBorder="1" applyAlignment="1">
      <alignment horizontal="center" vertical="center" wrapText="1"/>
    </xf>
    <xf numFmtId="0" fontId="24" fillId="15" borderId="12" xfId="1" applyFont="1" applyFill="1" applyBorder="1" applyAlignment="1">
      <alignment horizontal="center" vertical="center"/>
    </xf>
    <xf numFmtId="0" fontId="24" fillId="15" borderId="5" xfId="1" applyFont="1" applyFill="1" applyBorder="1" applyAlignment="1">
      <alignment horizontal="center" vertical="center"/>
    </xf>
    <xf numFmtId="0" fontId="12" fillId="16" borderId="2" xfId="1" applyFont="1" applyFill="1" applyBorder="1" applyAlignment="1">
      <alignment horizontal="center" vertical="center" wrapText="1"/>
    </xf>
    <xf numFmtId="0" fontId="12" fillId="16" borderId="4" xfId="1" applyFont="1" applyFill="1" applyBorder="1" applyAlignment="1">
      <alignment horizontal="center" vertical="center" wrapText="1"/>
    </xf>
    <xf numFmtId="0" fontId="12" fillId="16" borderId="3" xfId="1" applyFont="1" applyFill="1" applyBorder="1" applyAlignment="1">
      <alignment horizontal="center" vertical="center" wrapText="1"/>
    </xf>
    <xf numFmtId="0" fontId="21" fillId="16" borderId="2" xfId="1" applyFont="1" applyFill="1" applyBorder="1" applyAlignment="1">
      <alignment horizontal="center" vertical="center" wrapText="1"/>
    </xf>
    <xf numFmtId="0" fontId="21" fillId="16" borderId="4" xfId="1" applyFont="1" applyFill="1" applyBorder="1" applyAlignment="1">
      <alignment horizontal="center" vertical="center" wrapText="1"/>
    </xf>
    <xf numFmtId="0" fontId="21" fillId="16" borderId="3" xfId="1" applyFont="1" applyFill="1" applyBorder="1" applyAlignment="1">
      <alignment horizontal="center" vertical="center" wrapText="1"/>
    </xf>
    <xf numFmtId="0" fontId="21" fillId="16" borderId="1" xfId="1" applyFont="1" applyFill="1" applyBorder="1" applyAlignment="1">
      <alignment horizontal="center" vertical="center" wrapText="1"/>
    </xf>
    <xf numFmtId="0" fontId="22" fillId="16" borderId="1" xfId="1" applyFont="1" applyFill="1" applyBorder="1" applyAlignment="1">
      <alignment horizontal="center" vertical="center" wrapText="1"/>
    </xf>
    <xf numFmtId="0" fontId="22" fillId="16" borderId="2" xfId="1" applyFont="1" applyFill="1" applyBorder="1" applyAlignment="1">
      <alignment horizontal="center" vertical="center" wrapText="1"/>
    </xf>
    <xf numFmtId="0" fontId="22" fillId="16" borderId="4" xfId="1" applyFont="1" applyFill="1" applyBorder="1" applyAlignment="1">
      <alignment horizontal="center" vertical="center" wrapText="1"/>
    </xf>
    <xf numFmtId="0" fontId="22" fillId="16" borderId="3" xfId="1" applyFont="1" applyFill="1" applyBorder="1" applyAlignment="1">
      <alignment horizontal="center" vertical="center" wrapText="1"/>
    </xf>
    <xf numFmtId="0" fontId="10" fillId="0" borderId="1" xfId="1" applyFont="1" applyBorder="1" applyAlignment="1">
      <alignment horizontal="center" vertical="center" wrapText="1"/>
    </xf>
    <xf numFmtId="0" fontId="10" fillId="0" borderId="1" xfId="1" applyFont="1" applyBorder="1" applyAlignment="1">
      <alignment horizontal="center" vertical="center"/>
    </xf>
    <xf numFmtId="3" fontId="10" fillId="17" borderId="9" xfId="1" applyNumberFormat="1" applyFont="1" applyFill="1" applyBorder="1" applyAlignment="1">
      <alignment horizontal="center" vertical="center"/>
    </xf>
    <xf numFmtId="3" fontId="10" fillId="17" borderId="13" xfId="1" applyNumberFormat="1" applyFont="1" applyFill="1" applyBorder="1" applyAlignment="1">
      <alignment horizontal="center" vertical="center"/>
    </xf>
    <xf numFmtId="3" fontId="10" fillId="17" borderId="11" xfId="1" applyNumberFormat="1" applyFont="1" applyFill="1" applyBorder="1" applyAlignment="1">
      <alignment horizontal="center" vertical="center"/>
    </xf>
    <xf numFmtId="0" fontId="12" fillId="17" borderId="9" xfId="1" applyFont="1" applyFill="1" applyBorder="1" applyAlignment="1">
      <alignment horizontal="center" vertical="center"/>
    </xf>
    <xf numFmtId="0" fontId="12" fillId="17" borderId="13" xfId="1" applyFont="1" applyFill="1" applyBorder="1" applyAlignment="1">
      <alignment horizontal="center" vertical="center"/>
    </xf>
    <xf numFmtId="0" fontId="12" fillId="17" borderId="11" xfId="1" applyFont="1" applyFill="1" applyBorder="1" applyAlignment="1">
      <alignment horizontal="center" vertical="center"/>
    </xf>
    <xf numFmtId="0" fontId="12" fillId="17" borderId="1" xfId="1" applyFont="1" applyFill="1" applyBorder="1" applyAlignment="1">
      <alignment horizontal="center" vertical="center"/>
    </xf>
    <xf numFmtId="0" fontId="10" fillId="16" borderId="2" xfId="1" applyFont="1" applyFill="1" applyBorder="1" applyAlignment="1">
      <alignment horizontal="center" vertical="center" wrapText="1"/>
    </xf>
    <xf numFmtId="0" fontId="10" fillId="16" borderId="4" xfId="1" applyFont="1" applyFill="1" applyBorder="1" applyAlignment="1">
      <alignment horizontal="center" vertical="center" wrapText="1"/>
    </xf>
    <xf numFmtId="0" fontId="10" fillId="16" borderId="3" xfId="1" applyFont="1" applyFill="1" applyBorder="1" applyAlignment="1">
      <alignment horizontal="center" vertical="center" wrapText="1"/>
    </xf>
    <xf numFmtId="3" fontId="17" fillId="17" borderId="9" xfId="1" applyNumberFormat="1" applyFont="1" applyFill="1" applyBorder="1" applyAlignment="1">
      <alignment horizontal="center" vertical="center"/>
    </xf>
    <xf numFmtId="3" fontId="17" fillId="17" borderId="13" xfId="1" applyNumberFormat="1" applyFont="1" applyFill="1" applyBorder="1" applyAlignment="1">
      <alignment horizontal="center" vertical="center"/>
    </xf>
    <xf numFmtId="3" fontId="17" fillId="17" borderId="11" xfId="1" applyNumberFormat="1" applyFont="1" applyFill="1" applyBorder="1" applyAlignment="1">
      <alignment horizontal="center" vertical="center"/>
    </xf>
    <xf numFmtId="0" fontId="11" fillId="15" borderId="14" xfId="1" applyFont="1" applyFill="1" applyBorder="1" applyAlignment="1">
      <alignment horizontal="center" vertical="center"/>
    </xf>
    <xf numFmtId="0" fontId="11" fillId="15" borderId="0" xfId="1" applyFont="1" applyFill="1" applyBorder="1" applyAlignment="1">
      <alignment horizontal="center" vertical="center"/>
    </xf>
    <xf numFmtId="0" fontId="1" fillId="4" borderId="1" xfId="0" applyFont="1" applyFill="1" applyBorder="1" applyAlignment="1">
      <alignment horizontal="center" vertical="center" wrapText="1"/>
    </xf>
    <xf numFmtId="0" fontId="25" fillId="5" borderId="7" xfId="0" applyFont="1" applyFill="1" applyBorder="1" applyAlignment="1">
      <alignment horizontal="center" vertical="center" wrapText="1" readingOrder="1"/>
    </xf>
    <xf numFmtId="0" fontId="25" fillId="5" borderId="10" xfId="0" applyFont="1" applyFill="1" applyBorder="1" applyAlignment="1">
      <alignment horizontal="center" vertical="center" wrapText="1" readingOrder="1"/>
    </xf>
    <xf numFmtId="0" fontId="25" fillId="5" borderId="8" xfId="0" applyFont="1" applyFill="1" applyBorder="1" applyAlignment="1">
      <alignment horizontal="center" vertical="center" wrapText="1" readingOrder="1"/>
    </xf>
    <xf numFmtId="0" fontId="25" fillId="5" borderId="2" xfId="0" applyFont="1" applyFill="1" applyBorder="1" applyAlignment="1">
      <alignment horizontal="center" vertical="center" wrapText="1" readingOrder="1"/>
    </xf>
    <xf numFmtId="0" fontId="25" fillId="5" borderId="4" xfId="0" applyFont="1" applyFill="1" applyBorder="1" applyAlignment="1">
      <alignment horizontal="center" vertical="center" wrapText="1" readingOrder="1"/>
    </xf>
    <xf numFmtId="0" fontId="25" fillId="5" borderId="3" xfId="0" applyFont="1" applyFill="1" applyBorder="1" applyAlignment="1">
      <alignment horizontal="center" vertical="center" wrapText="1" readingOrder="1"/>
    </xf>
    <xf numFmtId="0" fontId="22" fillId="2" borderId="3" xfId="0" applyFont="1" applyFill="1" applyBorder="1" applyAlignment="1">
      <alignment horizontal="center"/>
    </xf>
    <xf numFmtId="0" fontId="25" fillId="2" borderId="2" xfId="0" applyFont="1" applyFill="1" applyBorder="1" applyAlignment="1">
      <alignment horizontal="center" vertical="center" wrapText="1" readingOrder="1"/>
    </xf>
    <xf numFmtId="0" fontId="25" fillId="2" borderId="4" xfId="0" applyFont="1" applyFill="1" applyBorder="1" applyAlignment="1">
      <alignment horizontal="center" vertical="center" wrapText="1" readingOrder="1"/>
    </xf>
    <xf numFmtId="0" fontId="25" fillId="2" borderId="3" xfId="0" applyFont="1" applyFill="1" applyBorder="1" applyAlignment="1">
      <alignment horizontal="center" vertical="center" wrapText="1" readingOrder="1"/>
    </xf>
    <xf numFmtId="0" fontId="7" fillId="8" borderId="1" xfId="0" applyFont="1" applyFill="1" applyBorder="1" applyAlignment="1">
      <alignment horizontal="left" vertical="center" wrapText="1" readingOrder="1"/>
    </xf>
    <xf numFmtId="0" fontId="7" fillId="8" borderId="1" xfId="0" applyFont="1" applyFill="1" applyBorder="1" applyAlignment="1">
      <alignment horizontal="left" vertical="center" wrapText="1"/>
    </xf>
    <xf numFmtId="3" fontId="3" fillId="3" borderId="2" xfId="0" applyNumberFormat="1" applyFont="1" applyFill="1" applyBorder="1" applyAlignment="1">
      <alignment horizontal="center" vertical="center" wrapText="1" readingOrder="1"/>
    </xf>
    <xf numFmtId="3" fontId="3" fillId="3" borderId="3" xfId="0" applyNumberFormat="1" applyFont="1" applyFill="1" applyBorder="1" applyAlignment="1">
      <alignment horizontal="center" vertical="center" wrapText="1" readingOrder="1"/>
    </xf>
    <xf numFmtId="0" fontId="30" fillId="13" borderId="0" xfId="0" applyFont="1" applyFill="1" applyAlignment="1">
      <alignment horizontal="center"/>
    </xf>
    <xf numFmtId="0" fontId="22" fillId="2" borderId="6" xfId="0" applyFont="1" applyFill="1" applyBorder="1" applyAlignment="1">
      <alignment horizontal="center"/>
    </xf>
    <xf numFmtId="0" fontId="22" fillId="2" borderId="7" xfId="0" applyFont="1" applyFill="1" applyBorder="1" applyAlignment="1">
      <alignment horizontal="center"/>
    </xf>
    <xf numFmtId="0" fontId="22" fillId="2" borderId="5" xfId="0" applyFont="1" applyFill="1" applyBorder="1" applyAlignment="1">
      <alignment horizontal="center"/>
    </xf>
    <xf numFmtId="0" fontId="22" fillId="2" borderId="8" xfId="0" applyFont="1" applyFill="1" applyBorder="1" applyAlignment="1">
      <alignment horizontal="center"/>
    </xf>
    <xf numFmtId="0" fontId="31" fillId="0" borderId="0" xfId="1" applyFont="1" applyAlignment="1">
      <alignment horizontal="right"/>
    </xf>
    <xf numFmtId="0" fontId="16" fillId="0" borderId="1" xfId="1" applyFont="1" applyBorder="1" applyAlignment="1">
      <alignment horizontal="center" vertical="center"/>
    </xf>
    <xf numFmtId="0" fontId="16" fillId="0" borderId="1" xfId="0" applyFont="1" applyFill="1" applyBorder="1" applyAlignment="1">
      <alignment vertical="center" wrapText="1"/>
    </xf>
    <xf numFmtId="0" fontId="16" fillId="0" borderId="2" xfId="0" applyFont="1" applyFill="1" applyBorder="1" applyAlignment="1">
      <alignment horizontal="left" vertical="center" wrapText="1"/>
    </xf>
    <xf numFmtId="165" fontId="16" fillId="0" borderId="1" xfId="2" applyNumberFormat="1" applyFont="1" applyFill="1" applyBorder="1" applyAlignment="1">
      <alignment horizontal="center" vertical="center" wrapText="1"/>
    </xf>
    <xf numFmtId="4" fontId="16" fillId="0" borderId="1" xfId="0" applyNumberFormat="1" applyFont="1" applyFill="1" applyBorder="1" applyAlignment="1">
      <alignment horizontal="center" vertical="center"/>
    </xf>
    <xf numFmtId="164" fontId="16" fillId="0" borderId="1" xfId="2" applyNumberFormat="1" applyFont="1" applyFill="1" applyBorder="1" applyAlignment="1" applyProtection="1">
      <alignment horizontal="center" vertical="center" wrapText="1"/>
    </xf>
    <xf numFmtId="43" fontId="16" fillId="15" borderId="1" xfId="1" applyNumberFormat="1" applyFont="1" applyFill="1" applyBorder="1" applyAlignment="1">
      <alignment horizontal="center" vertical="center"/>
    </xf>
    <xf numFmtId="3" fontId="16" fillId="17" borderId="1" xfId="1" applyNumberFormat="1" applyFont="1" applyFill="1" applyBorder="1" applyAlignment="1">
      <alignment horizontal="center" vertical="center"/>
    </xf>
    <xf numFmtId="43" fontId="16" fillId="17" borderId="1" xfId="1" applyNumberFormat="1" applyFont="1" applyFill="1" applyBorder="1" applyAlignment="1">
      <alignment horizontal="center" vertical="center"/>
    </xf>
    <xf numFmtId="3" fontId="16" fillId="3" borderId="1" xfId="1" applyNumberFormat="1" applyFont="1" applyFill="1" applyBorder="1" applyAlignment="1">
      <alignment horizontal="center" vertical="center"/>
    </xf>
    <xf numFmtId="4" fontId="16" fillId="3" borderId="1" xfId="1" applyNumberFormat="1" applyFont="1" applyFill="1" applyBorder="1" applyAlignment="1">
      <alignment horizontal="center" vertical="center"/>
    </xf>
    <xf numFmtId="4" fontId="16" fillId="17" borderId="1" xfId="1" applyNumberFormat="1" applyFont="1" applyFill="1" applyBorder="1" applyAlignment="1">
      <alignment horizontal="center" vertical="center"/>
    </xf>
    <xf numFmtId="4" fontId="16" fillId="0" borderId="1" xfId="2" applyNumberFormat="1" applyFont="1" applyFill="1" applyBorder="1" applyAlignment="1">
      <alignment horizontal="center" vertical="center" wrapText="1"/>
    </xf>
    <xf numFmtId="166" fontId="16" fillId="0" borderId="1" xfId="2" applyNumberFormat="1" applyFont="1" applyFill="1" applyBorder="1" applyAlignment="1">
      <alignment horizontal="center" vertical="center" wrapText="1"/>
    </xf>
    <xf numFmtId="0" fontId="16" fillId="0" borderId="3" xfId="0" applyFont="1" applyFill="1" applyBorder="1" applyAlignment="1">
      <alignment horizontal="left" vertical="center" wrapText="1"/>
    </xf>
    <xf numFmtId="168" fontId="16" fillId="0" borderId="1" xfId="2" applyNumberFormat="1" applyFont="1" applyFill="1" applyBorder="1" applyAlignment="1">
      <alignment horizontal="center" vertical="center" wrapText="1"/>
    </xf>
    <xf numFmtId="166" fontId="16" fillId="17" borderId="1" xfId="1" applyNumberFormat="1" applyFont="1" applyFill="1" applyBorder="1" applyAlignment="1">
      <alignment horizontal="center" vertical="center"/>
    </xf>
    <xf numFmtId="0" fontId="16" fillId="0" borderId="4" xfId="0" applyFont="1" applyFill="1" applyBorder="1" applyAlignment="1">
      <alignment horizontal="left" vertical="center" wrapText="1"/>
    </xf>
    <xf numFmtId="4" fontId="25" fillId="16" borderId="2" xfId="1" applyNumberFormat="1" applyFont="1" applyFill="1" applyBorder="1" applyAlignment="1">
      <alignment horizontal="center" vertical="center" wrapText="1"/>
    </xf>
    <xf numFmtId="4" fontId="25" fillId="16" borderId="4" xfId="1" applyNumberFormat="1" applyFont="1" applyFill="1" applyBorder="1" applyAlignment="1">
      <alignment horizontal="center" vertical="center" wrapText="1"/>
    </xf>
    <xf numFmtId="4" fontId="25" fillId="16" borderId="3" xfId="1" applyNumberFormat="1" applyFont="1" applyFill="1" applyBorder="1" applyAlignment="1">
      <alignment horizontal="center" vertical="center" wrapText="1"/>
    </xf>
    <xf numFmtId="1" fontId="33" fillId="17" borderId="1" xfId="1" applyNumberFormat="1" applyFont="1" applyFill="1" applyBorder="1" applyAlignment="1">
      <alignment horizontal="center" vertical="center"/>
    </xf>
    <xf numFmtId="1" fontId="33" fillId="3" borderId="1" xfId="1" applyNumberFormat="1" applyFont="1" applyFill="1" applyBorder="1" applyAlignment="1">
      <alignment horizontal="center" vertical="center" wrapText="1"/>
    </xf>
    <xf numFmtId="4" fontId="25" fillId="16" borderId="9" xfId="1" applyNumberFormat="1" applyFont="1" applyFill="1" applyBorder="1" applyAlignment="1">
      <alignment horizontal="center" vertical="center" wrapText="1"/>
    </xf>
    <xf numFmtId="4" fontId="25" fillId="16" borderId="11" xfId="1" applyNumberFormat="1" applyFont="1" applyFill="1" applyBorder="1" applyAlignment="1">
      <alignment horizontal="center" vertical="center" wrapText="1"/>
    </xf>
    <xf numFmtId="3" fontId="33" fillId="17" borderId="1" xfId="1" applyNumberFormat="1" applyFont="1" applyFill="1" applyBorder="1" applyAlignment="1">
      <alignment horizontal="center" vertical="center"/>
    </xf>
    <xf numFmtId="3" fontId="33" fillId="3" borderId="1" xfId="1" applyNumberFormat="1" applyFont="1" applyFill="1" applyBorder="1" applyAlignment="1">
      <alignment horizontal="center" vertical="center"/>
    </xf>
    <xf numFmtId="3" fontId="16" fillId="17" borderId="9" xfId="1" applyNumberFormat="1" applyFont="1" applyFill="1" applyBorder="1" applyAlignment="1">
      <alignment horizontal="center" vertical="center"/>
    </xf>
    <xf numFmtId="3" fontId="16" fillId="17" borderId="13" xfId="1" applyNumberFormat="1" applyFont="1" applyFill="1" applyBorder="1" applyAlignment="1">
      <alignment horizontal="center" vertical="center"/>
    </xf>
    <xf numFmtId="3" fontId="16" fillId="17" borderId="11" xfId="1" applyNumberFormat="1" applyFont="1" applyFill="1" applyBorder="1" applyAlignment="1">
      <alignment horizontal="center" vertical="center"/>
    </xf>
    <xf numFmtId="3" fontId="16" fillId="17" borderId="1" xfId="1" applyNumberFormat="1" applyFont="1" applyFill="1" applyBorder="1" applyAlignment="1">
      <alignment horizontal="center" vertical="center"/>
    </xf>
    <xf numFmtId="3" fontId="33" fillId="17" borderId="9" xfId="1" applyNumberFormat="1" applyFont="1" applyFill="1" applyBorder="1" applyAlignment="1">
      <alignment horizontal="center" vertical="center"/>
    </xf>
    <xf numFmtId="3" fontId="33" fillId="17" borderId="13" xfId="1" applyNumberFormat="1" applyFont="1" applyFill="1" applyBorder="1" applyAlignment="1">
      <alignment horizontal="center" vertical="center"/>
    </xf>
    <xf numFmtId="3" fontId="33" fillId="17" borderId="11" xfId="1" applyNumberFormat="1" applyFont="1" applyFill="1" applyBorder="1" applyAlignment="1">
      <alignment horizontal="center" vertical="center"/>
    </xf>
    <xf numFmtId="3" fontId="33" fillId="17" borderId="1" xfId="1" applyNumberFormat="1" applyFont="1" applyFill="1" applyBorder="1" applyAlignment="1">
      <alignment horizontal="center" vertical="center"/>
    </xf>
    <xf numFmtId="0" fontId="34" fillId="0" borderId="0" xfId="0" applyFont="1" applyAlignment="1">
      <alignment horizontal="right" wrapText="1"/>
    </xf>
    <xf numFmtId="3" fontId="27" fillId="12" borderId="3" xfId="0" applyNumberFormat="1" applyFont="1" applyFill="1" applyBorder="1" applyAlignment="1">
      <alignment horizontal="right" vertical="center" wrapText="1" readingOrder="1"/>
    </xf>
    <xf numFmtId="3" fontId="27" fillId="5" borderId="1" xfId="0" applyNumberFormat="1" applyFont="1" applyFill="1" applyBorder="1" applyAlignment="1">
      <alignment horizontal="right" vertical="center" wrapText="1" readingOrder="1"/>
    </xf>
    <xf numFmtId="3" fontId="25" fillId="12" borderId="3" xfId="0" applyNumberFormat="1" applyFont="1" applyFill="1" applyBorder="1" applyAlignment="1">
      <alignment horizontal="right" vertical="center" wrapText="1" readingOrder="1"/>
    </xf>
    <xf numFmtId="3" fontId="25" fillId="12" borderId="9" xfId="0" applyNumberFormat="1" applyFont="1" applyFill="1" applyBorder="1" applyAlignment="1">
      <alignment horizontal="center" vertical="center" wrapText="1" readingOrder="1"/>
    </xf>
    <xf numFmtId="3" fontId="25" fillId="12" borderId="11" xfId="0" applyNumberFormat="1" applyFont="1" applyFill="1" applyBorder="1" applyAlignment="1">
      <alignment horizontal="center" vertical="center" wrapText="1" readingOrder="1"/>
    </xf>
    <xf numFmtId="3" fontId="27" fillId="7" borderId="1" xfId="0" applyNumberFormat="1" applyFont="1" applyFill="1" applyBorder="1" applyAlignment="1">
      <alignment horizontal="left" vertical="center" wrapText="1" readingOrder="1"/>
    </xf>
    <xf numFmtId="3" fontId="25" fillId="7" borderId="1" xfId="0" applyNumberFormat="1" applyFont="1" applyFill="1" applyBorder="1" applyAlignment="1">
      <alignment horizontal="left" vertical="center" wrapText="1" readingOrder="1"/>
    </xf>
  </cellXfs>
  <cellStyles count="3">
    <cellStyle name="Comma 2" xfId="2" xr:uid="{B2B169E0-2818-4131-A8CE-7948476F130C}"/>
    <cellStyle name="Normal" xfId="0" builtinId="0"/>
    <cellStyle name="Normal 2" xfId="1" xr:uid="{D99654E6-2B22-40CC-A703-1B0500AC54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FD4EF-43E8-4CA6-9396-868BF2A37788}">
  <dimension ref="A1:AB21"/>
  <sheetViews>
    <sheetView zoomScaleNormal="100" workbookViewId="0">
      <selection activeCell="P11" sqref="P11"/>
    </sheetView>
  </sheetViews>
  <sheetFormatPr defaultColWidth="9.5703125" defaultRowHeight="15" x14ac:dyDescent="0.25"/>
  <cols>
    <col min="1" max="1" width="9" style="67" customWidth="1"/>
    <col min="2" max="2" width="39.28515625" style="67" customWidth="1"/>
    <col min="3" max="3" width="53.42578125" style="67" customWidth="1"/>
    <col min="4" max="4" width="13.140625" style="67" customWidth="1"/>
    <col min="5" max="5" width="11" style="67" customWidth="1"/>
    <col min="6" max="6" width="10.42578125" style="67" customWidth="1"/>
    <col min="7" max="7" width="13.5703125" style="71" customWidth="1"/>
    <col min="8" max="8" width="18" style="71" customWidth="1"/>
    <col min="9" max="11" width="13.7109375" style="71" customWidth="1"/>
    <col min="12" max="12" width="12.85546875" style="71" customWidth="1"/>
    <col min="13" max="13" width="15.28515625" style="67" customWidth="1"/>
    <col min="14" max="14" width="13.7109375" style="67" customWidth="1"/>
    <col min="15" max="15" width="13.85546875" style="67" customWidth="1"/>
    <col min="16" max="16" width="10.85546875" style="67" customWidth="1"/>
    <col min="17" max="17" width="12.140625" style="67" customWidth="1"/>
    <col min="18" max="18" width="10.42578125" style="67" customWidth="1"/>
    <col min="19" max="19" width="12" style="67" customWidth="1"/>
    <col min="20" max="20" width="10.140625" style="67" customWidth="1"/>
    <col min="21" max="21" width="13.7109375" style="67" customWidth="1"/>
    <col min="22" max="22" width="10.42578125" style="67" customWidth="1"/>
    <col min="23" max="23" width="13.28515625" style="67" customWidth="1"/>
    <col min="24" max="24" width="10.140625" style="67" customWidth="1"/>
    <col min="25" max="25" width="13.7109375" style="67" customWidth="1"/>
    <col min="26" max="26" width="12.140625" style="67" customWidth="1"/>
    <col min="27" max="27" width="15" style="67" customWidth="1"/>
    <col min="28" max="16384" width="9.5703125" style="67"/>
  </cols>
  <sheetData>
    <row r="1" spans="1:28" ht="15.75" x14ac:dyDescent="0.25">
      <c r="A1" s="219" t="s">
        <v>112</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row>
    <row r="3" spans="1:28" s="81" customFormat="1" ht="18.75" x14ac:dyDescent="0.25">
      <c r="A3" s="169" t="s">
        <v>93</v>
      </c>
      <c r="B3" s="170"/>
      <c r="C3" s="170"/>
      <c r="D3" s="170"/>
      <c r="E3" s="170"/>
      <c r="F3" s="170"/>
      <c r="G3" s="170"/>
      <c r="H3" s="170"/>
      <c r="I3" s="170"/>
      <c r="J3" s="170"/>
      <c r="K3" s="170"/>
      <c r="L3" s="170"/>
      <c r="M3" s="170"/>
      <c r="N3" s="170"/>
      <c r="O3" s="170"/>
      <c r="P3" s="170"/>
      <c r="Q3" s="170"/>
      <c r="R3" s="170"/>
      <c r="S3" s="170"/>
      <c r="T3" s="170"/>
      <c r="U3" s="170"/>
      <c r="V3" s="170"/>
      <c r="W3" s="170"/>
      <c r="X3" s="170"/>
      <c r="Y3" s="170"/>
      <c r="Z3" s="91"/>
      <c r="AA3" s="91"/>
    </row>
    <row r="4" spans="1:28" ht="22.5" customHeight="1" x14ac:dyDescent="0.25">
      <c r="A4" s="171" t="s">
        <v>67</v>
      </c>
      <c r="B4" s="174" t="s">
        <v>94</v>
      </c>
      <c r="C4" s="171" t="s">
        <v>68</v>
      </c>
      <c r="D4" s="177" t="s">
        <v>97</v>
      </c>
      <c r="E4" s="178" t="s">
        <v>98</v>
      </c>
      <c r="F4" s="179" t="s">
        <v>99</v>
      </c>
      <c r="G4" s="166" t="s">
        <v>84</v>
      </c>
      <c r="H4" s="166" t="s">
        <v>85</v>
      </c>
      <c r="I4" s="238" t="s">
        <v>116</v>
      </c>
      <c r="J4" s="238" t="s">
        <v>103</v>
      </c>
      <c r="K4" s="179" t="s">
        <v>104</v>
      </c>
      <c r="L4" s="179" t="s">
        <v>105</v>
      </c>
      <c r="M4" s="179" t="s">
        <v>102</v>
      </c>
      <c r="N4" s="179" t="s">
        <v>106</v>
      </c>
      <c r="O4" s="191" t="s">
        <v>70</v>
      </c>
      <c r="P4" s="241">
        <v>2025</v>
      </c>
      <c r="Q4" s="241"/>
      <c r="R4" s="242" t="s">
        <v>81</v>
      </c>
      <c r="S4" s="242"/>
      <c r="T4" s="241">
        <v>2026</v>
      </c>
      <c r="U4" s="241"/>
      <c r="V4" s="241">
        <v>2027</v>
      </c>
      <c r="W4" s="241"/>
      <c r="X4" s="241">
        <v>2028</v>
      </c>
      <c r="Y4" s="241"/>
      <c r="Z4" s="243" t="s">
        <v>107</v>
      </c>
      <c r="AA4" s="244"/>
    </row>
    <row r="5" spans="1:28" ht="34.5" customHeight="1" x14ac:dyDescent="0.25">
      <c r="A5" s="172"/>
      <c r="B5" s="175"/>
      <c r="C5" s="172"/>
      <c r="D5" s="177" t="s">
        <v>71</v>
      </c>
      <c r="E5" s="178"/>
      <c r="F5" s="180"/>
      <c r="G5" s="167"/>
      <c r="H5" s="167"/>
      <c r="I5" s="239"/>
      <c r="J5" s="239"/>
      <c r="K5" s="180"/>
      <c r="L5" s="180"/>
      <c r="M5" s="180"/>
      <c r="N5" s="180"/>
      <c r="O5" s="192"/>
      <c r="P5" s="241"/>
      <c r="Q5" s="241"/>
      <c r="R5" s="242"/>
      <c r="S5" s="242"/>
      <c r="T5" s="241"/>
      <c r="U5" s="241"/>
      <c r="V5" s="241"/>
      <c r="W5" s="241"/>
      <c r="X5" s="241"/>
      <c r="Y5" s="241"/>
      <c r="Z5" s="238" t="s">
        <v>110</v>
      </c>
      <c r="AA5" s="238" t="s">
        <v>117</v>
      </c>
    </row>
    <row r="6" spans="1:28" ht="54.75" customHeight="1" x14ac:dyDescent="0.25">
      <c r="A6" s="173"/>
      <c r="B6" s="176"/>
      <c r="C6" s="173"/>
      <c r="D6" s="177" t="s">
        <v>69</v>
      </c>
      <c r="E6" s="178"/>
      <c r="F6" s="181"/>
      <c r="G6" s="168"/>
      <c r="H6" s="168"/>
      <c r="I6" s="240"/>
      <c r="J6" s="240"/>
      <c r="K6" s="181"/>
      <c r="L6" s="181"/>
      <c r="M6" s="181"/>
      <c r="N6" s="181"/>
      <c r="O6" s="193"/>
      <c r="P6" s="245" t="s">
        <v>108</v>
      </c>
      <c r="Q6" s="245" t="s">
        <v>72</v>
      </c>
      <c r="R6" s="246" t="s">
        <v>108</v>
      </c>
      <c r="S6" s="246" t="s">
        <v>72</v>
      </c>
      <c r="T6" s="245" t="s">
        <v>108</v>
      </c>
      <c r="U6" s="245" t="s">
        <v>72</v>
      </c>
      <c r="V6" s="245" t="s">
        <v>108</v>
      </c>
      <c r="W6" s="245" t="s">
        <v>72</v>
      </c>
      <c r="X6" s="245" t="s">
        <v>108</v>
      </c>
      <c r="Y6" s="245" t="s">
        <v>72</v>
      </c>
      <c r="Z6" s="240"/>
      <c r="AA6" s="240"/>
    </row>
    <row r="7" spans="1:28" s="81" customFormat="1" ht="33.75" customHeight="1" x14ac:dyDescent="0.25">
      <c r="A7" s="220">
        <v>1</v>
      </c>
      <c r="B7" s="221" t="s">
        <v>95</v>
      </c>
      <c r="C7" s="222" t="s">
        <v>89</v>
      </c>
      <c r="D7" s="86" t="s">
        <v>73</v>
      </c>
      <c r="E7" s="86">
        <v>11</v>
      </c>
      <c r="F7" s="85">
        <v>2714</v>
      </c>
      <c r="G7" s="79">
        <v>1</v>
      </c>
      <c r="H7" s="79" t="s">
        <v>87</v>
      </c>
      <c r="I7" s="79">
        <f>F7*G7</f>
        <v>2714</v>
      </c>
      <c r="J7" s="223">
        <v>40</v>
      </c>
      <c r="K7" s="224">
        <f>I7*J7</f>
        <v>108560</v>
      </c>
      <c r="L7" s="225">
        <f>ROUND(K7*0.2359,2)</f>
        <v>25609.3</v>
      </c>
      <c r="M7" s="80">
        <f>750*4</f>
        <v>3000</v>
      </c>
      <c r="N7" s="225">
        <f>K7+L7</f>
        <v>134169.29999999999</v>
      </c>
      <c r="O7" s="226">
        <f>M7+N7</f>
        <v>137169.29999999999</v>
      </c>
      <c r="P7" s="227">
        <v>7</v>
      </c>
      <c r="Q7" s="228">
        <f>(I7*P7)+(18998*0.2359)+750</f>
        <v>24229.628199999999</v>
      </c>
      <c r="R7" s="229">
        <v>4</v>
      </c>
      <c r="S7" s="230">
        <f>(I7*R7)+(10856*0.2359)</f>
        <v>13416.930400000001</v>
      </c>
      <c r="T7" s="227">
        <v>12</v>
      </c>
      <c r="U7" s="228">
        <f>(I7*T7)+(32568*0.2359)+750</f>
        <v>41000.7912</v>
      </c>
      <c r="V7" s="227">
        <v>12</v>
      </c>
      <c r="W7" s="228">
        <f>(I7*V7)+(32568*0.2359)+750</f>
        <v>41000.7912</v>
      </c>
      <c r="X7" s="227">
        <v>9</v>
      </c>
      <c r="Y7" s="231">
        <f>(I7*X7)+(24426*0.2359)+750</f>
        <v>30938.093399999998</v>
      </c>
      <c r="Z7" s="232">
        <v>6592</v>
      </c>
      <c r="AA7" s="233">
        <f>K7/Z7</f>
        <v>16.468446601941746</v>
      </c>
      <c r="AB7" s="89"/>
    </row>
    <row r="8" spans="1:28" s="81" customFormat="1" ht="33.75" customHeight="1" x14ac:dyDescent="0.25">
      <c r="A8" s="220">
        <v>2</v>
      </c>
      <c r="B8" s="221" t="s">
        <v>92</v>
      </c>
      <c r="C8" s="234"/>
      <c r="D8" s="86" t="s">
        <v>73</v>
      </c>
      <c r="E8" s="86">
        <v>11</v>
      </c>
      <c r="F8" s="85">
        <v>2330</v>
      </c>
      <c r="G8" s="79">
        <v>0.75</v>
      </c>
      <c r="H8" s="79" t="s">
        <v>88</v>
      </c>
      <c r="I8" s="79">
        <f t="shared" ref="I8:I11" si="0">F8*G8</f>
        <v>1747.5</v>
      </c>
      <c r="J8" s="235">
        <v>27.509429999999998</v>
      </c>
      <c r="K8" s="224">
        <f t="shared" ref="K8:K11" si="1">I8*J8</f>
        <v>48072.728924999996</v>
      </c>
      <c r="L8" s="225">
        <f>ROUND(K8*0.2359,2)</f>
        <v>11340.36</v>
      </c>
      <c r="M8" s="80"/>
      <c r="N8" s="225">
        <f t="shared" ref="N8:N11" si="2">K8+L8</f>
        <v>59413.088924999996</v>
      </c>
      <c r="O8" s="226">
        <f>M8+N8</f>
        <v>59413.088924999996</v>
      </c>
      <c r="P8" s="227">
        <v>6</v>
      </c>
      <c r="Q8" s="228">
        <f>(I8*P8)+(10485*0.2359)</f>
        <v>12958.4115</v>
      </c>
      <c r="R8" s="229">
        <v>4</v>
      </c>
      <c r="S8" s="230">
        <f>(I8*R8)+(6990*0.2359)</f>
        <v>8638.9410000000007</v>
      </c>
      <c r="T8" s="227">
        <v>10</v>
      </c>
      <c r="U8" s="228">
        <f>(I8*T8)+(17475*0.2359)</f>
        <v>21597.352500000001</v>
      </c>
      <c r="V8" s="236">
        <v>8.50943</v>
      </c>
      <c r="W8" s="228">
        <f>(I8*V8)+(14870.22*0.2359)</f>
        <v>18378.113823</v>
      </c>
      <c r="X8" s="227">
        <v>3</v>
      </c>
      <c r="Y8" s="231">
        <f>(I8*X8)+(5242.5*0.2359)</f>
        <v>6479.2057500000001</v>
      </c>
      <c r="Z8" s="232">
        <f>760+1258+1065+390</f>
        <v>3473</v>
      </c>
      <c r="AA8" s="233">
        <f>K8/Z8</f>
        <v>13.841845357040022</v>
      </c>
      <c r="AB8" s="90"/>
    </row>
    <row r="9" spans="1:28" s="81" customFormat="1" ht="69.75" customHeight="1" x14ac:dyDescent="0.25">
      <c r="A9" s="220">
        <v>3</v>
      </c>
      <c r="B9" s="221" t="s">
        <v>96</v>
      </c>
      <c r="C9" s="222" t="s">
        <v>111</v>
      </c>
      <c r="D9" s="86" t="s">
        <v>115</v>
      </c>
      <c r="E9" s="86">
        <v>12</v>
      </c>
      <c r="F9" s="85">
        <v>3080</v>
      </c>
      <c r="G9" s="79">
        <v>0.75</v>
      </c>
      <c r="H9" s="79" t="s">
        <v>101</v>
      </c>
      <c r="I9" s="79">
        <f t="shared" si="0"/>
        <v>2310</v>
      </c>
      <c r="J9" s="223">
        <v>19</v>
      </c>
      <c r="K9" s="224">
        <f t="shared" si="1"/>
        <v>43890</v>
      </c>
      <c r="L9" s="225">
        <f>ROUND(K9*0.2359,2)</f>
        <v>10353.65</v>
      </c>
      <c r="M9" s="80"/>
      <c r="N9" s="225">
        <f t="shared" si="2"/>
        <v>54243.65</v>
      </c>
      <c r="O9" s="226">
        <f>M9+N9</f>
        <v>54243.65</v>
      </c>
      <c r="P9" s="227">
        <v>6</v>
      </c>
      <c r="Q9" s="228">
        <f>(I9*P9)+(13860*0.2359)</f>
        <v>17129.574000000001</v>
      </c>
      <c r="R9" s="229">
        <v>4</v>
      </c>
      <c r="S9" s="230">
        <f>(I9*R9)+(9240*0.2359)</f>
        <v>11419.716</v>
      </c>
      <c r="T9" s="227">
        <v>10</v>
      </c>
      <c r="U9" s="228">
        <f>(I9*T9)+(23100*0.2359)</f>
        <v>28549.29</v>
      </c>
      <c r="V9" s="227">
        <v>3</v>
      </c>
      <c r="W9" s="228">
        <f>(I9*V9)+(6930*0.2359)</f>
        <v>8564.7870000000003</v>
      </c>
      <c r="X9" s="227">
        <v>0</v>
      </c>
      <c r="Y9" s="231">
        <f>(I9*X9)+(0*0.2359)</f>
        <v>0</v>
      </c>
      <c r="Z9" s="232">
        <f>760+1258+364.5</f>
        <v>2382.5</v>
      </c>
      <c r="AA9" s="233">
        <f>K9/Z9</f>
        <v>18.421825813221407</v>
      </c>
      <c r="AB9" s="89"/>
    </row>
    <row r="10" spans="1:28" s="68" customFormat="1" ht="68.25" customHeight="1" x14ac:dyDescent="0.25">
      <c r="A10" s="220">
        <v>4</v>
      </c>
      <c r="B10" s="221" t="s">
        <v>96</v>
      </c>
      <c r="C10" s="237"/>
      <c r="D10" s="86" t="s">
        <v>115</v>
      </c>
      <c r="E10" s="86">
        <v>12</v>
      </c>
      <c r="F10" s="85">
        <v>3080</v>
      </c>
      <c r="G10" s="79">
        <v>0.75</v>
      </c>
      <c r="H10" s="79" t="s">
        <v>109</v>
      </c>
      <c r="I10" s="79">
        <f t="shared" si="0"/>
        <v>2310</v>
      </c>
      <c r="J10" s="223">
        <v>19</v>
      </c>
      <c r="K10" s="224">
        <f t="shared" si="1"/>
        <v>43890</v>
      </c>
      <c r="L10" s="225">
        <f>ROUND(K10*0.2077,2)</f>
        <v>9115.9500000000007</v>
      </c>
      <c r="M10" s="80"/>
      <c r="N10" s="225">
        <f t="shared" si="2"/>
        <v>53005.95</v>
      </c>
      <c r="O10" s="226">
        <f>M10+N10</f>
        <v>53005.95</v>
      </c>
      <c r="P10" s="227">
        <v>6</v>
      </c>
      <c r="Q10" s="228">
        <f>(I10*P10)+(13860*0.2077)</f>
        <v>16738.722000000002</v>
      </c>
      <c r="R10" s="229">
        <v>4</v>
      </c>
      <c r="S10" s="230">
        <f>(I10*R10)+(9240*0.2077)</f>
        <v>11159.147999999999</v>
      </c>
      <c r="T10" s="227">
        <v>10</v>
      </c>
      <c r="U10" s="228">
        <f>(I10*T10)+(23100*0.2077)</f>
        <v>27897.87</v>
      </c>
      <c r="V10" s="227">
        <v>3</v>
      </c>
      <c r="W10" s="228">
        <f>(I10*V10)+(6930*0.2077)</f>
        <v>8369.3610000000008</v>
      </c>
      <c r="X10" s="227">
        <v>0</v>
      </c>
      <c r="Y10" s="231">
        <f>(I10*X10)+(0*0.2077)</f>
        <v>0</v>
      </c>
      <c r="Z10" s="232">
        <f>760+1258+364.5</f>
        <v>2382.5</v>
      </c>
      <c r="AA10" s="233">
        <f>K10/Z10</f>
        <v>18.421825813221407</v>
      </c>
      <c r="AB10" s="89"/>
    </row>
    <row r="11" spans="1:28" s="68" customFormat="1" ht="80.25" customHeight="1" x14ac:dyDescent="0.25">
      <c r="A11" s="220">
        <v>5</v>
      </c>
      <c r="B11" s="221" t="s">
        <v>96</v>
      </c>
      <c r="C11" s="234"/>
      <c r="D11" s="86" t="s">
        <v>115</v>
      </c>
      <c r="E11" s="86">
        <v>12</v>
      </c>
      <c r="F11" s="85">
        <v>3080</v>
      </c>
      <c r="G11" s="79">
        <v>0.75</v>
      </c>
      <c r="H11" s="79" t="s">
        <v>86</v>
      </c>
      <c r="I11" s="79">
        <f t="shared" si="0"/>
        <v>2310</v>
      </c>
      <c r="J11" s="223">
        <v>28</v>
      </c>
      <c r="K11" s="224">
        <f t="shared" si="1"/>
        <v>64680</v>
      </c>
      <c r="L11" s="225">
        <f>ROUND(K11*0.2359,2)</f>
        <v>15258.01</v>
      </c>
      <c r="M11" s="80"/>
      <c r="N11" s="225">
        <f t="shared" si="2"/>
        <v>79938.009999999995</v>
      </c>
      <c r="O11" s="226">
        <f>M11+N11</f>
        <v>79938.009999999995</v>
      </c>
      <c r="P11" s="227">
        <v>6</v>
      </c>
      <c r="Q11" s="228">
        <f>(I11*P11)+(13860*0.2359)</f>
        <v>17129.574000000001</v>
      </c>
      <c r="R11" s="229">
        <v>4</v>
      </c>
      <c r="S11" s="230">
        <f>(I11*R11)+(9240*0.2359)</f>
        <v>11419.716</v>
      </c>
      <c r="T11" s="227">
        <v>10</v>
      </c>
      <c r="U11" s="228">
        <f>(I11*T11)+(23100*0.2359)</f>
        <v>28549.29</v>
      </c>
      <c r="V11" s="227">
        <v>9</v>
      </c>
      <c r="W11" s="228">
        <f>(I11*V11)+(20790*0.2359)</f>
        <v>25694.361000000001</v>
      </c>
      <c r="X11" s="227">
        <v>3</v>
      </c>
      <c r="Y11" s="231">
        <f>(I11*X11)+(6930*0.2359)</f>
        <v>8564.7870000000003</v>
      </c>
      <c r="Z11" s="232">
        <f>760+1258+1130+390</f>
        <v>3538</v>
      </c>
      <c r="AA11" s="233">
        <f>K11/Z11</f>
        <v>18.281514980214812</v>
      </c>
      <c r="AB11" s="89"/>
    </row>
    <row r="12" spans="1:28" s="70" customFormat="1" x14ac:dyDescent="0.25">
      <c r="A12" s="164" t="s">
        <v>3</v>
      </c>
      <c r="B12" s="165"/>
      <c r="C12" s="165"/>
      <c r="D12" s="165"/>
      <c r="E12" s="165"/>
      <c r="F12" s="165"/>
      <c r="G12" s="165"/>
      <c r="H12" s="165"/>
      <c r="I12" s="165"/>
      <c r="J12" s="165"/>
      <c r="K12" s="165"/>
      <c r="L12" s="165"/>
      <c r="M12" s="165"/>
      <c r="N12" s="69">
        <f t="shared" ref="N12:Z12" si="3">SUM(N7:N11)</f>
        <v>380769.99892499996</v>
      </c>
      <c r="O12" s="69">
        <f t="shared" si="3"/>
        <v>383769.99892499996</v>
      </c>
      <c r="P12" s="82">
        <f t="shared" si="3"/>
        <v>31</v>
      </c>
      <c r="Q12" s="82">
        <f t="shared" si="3"/>
        <v>88185.909699999989</v>
      </c>
      <c r="R12" s="83">
        <f t="shared" si="3"/>
        <v>20</v>
      </c>
      <c r="S12" s="83">
        <f t="shared" si="3"/>
        <v>56054.451400000005</v>
      </c>
      <c r="T12" s="82">
        <f t="shared" si="3"/>
        <v>52</v>
      </c>
      <c r="U12" s="82">
        <f t="shared" si="3"/>
        <v>147594.5937</v>
      </c>
      <c r="V12" s="82">
        <f t="shared" si="3"/>
        <v>35.509430000000002</v>
      </c>
      <c r="W12" s="82">
        <f t="shared" si="3"/>
        <v>102007.414023</v>
      </c>
      <c r="X12" s="69">
        <f t="shared" si="3"/>
        <v>15</v>
      </c>
      <c r="Y12" s="69">
        <f t="shared" si="3"/>
        <v>45982.086150000003</v>
      </c>
      <c r="Z12" s="69">
        <f t="shared" si="3"/>
        <v>18368</v>
      </c>
      <c r="AA12" s="92" t="s">
        <v>100</v>
      </c>
    </row>
    <row r="13" spans="1:28" x14ac:dyDescent="0.25">
      <c r="M13" s="72"/>
    </row>
    <row r="14" spans="1:28" s="70" customFormat="1" ht="20.25" customHeight="1" x14ac:dyDescent="0.25">
      <c r="B14" s="187" t="s">
        <v>82</v>
      </c>
      <c r="C14" s="188"/>
      <c r="D14" s="188"/>
      <c r="E14" s="188"/>
      <c r="F14" s="188"/>
      <c r="G14" s="188"/>
      <c r="H14" s="188"/>
      <c r="I14" s="188"/>
      <c r="J14" s="188"/>
      <c r="K14" s="188"/>
      <c r="L14" s="188"/>
      <c r="M14" s="188"/>
      <c r="N14" s="188"/>
      <c r="O14" s="188"/>
      <c r="P14" s="188"/>
      <c r="Q14" s="188"/>
      <c r="R14" s="188"/>
      <c r="S14" s="188"/>
      <c r="T14" s="188"/>
      <c r="U14" s="188"/>
      <c r="V14" s="188"/>
      <c r="W14" s="188"/>
      <c r="X14" s="188"/>
      <c r="Y14" s="188"/>
      <c r="Z14" s="188"/>
      <c r="AA14" s="189"/>
    </row>
    <row r="15" spans="1:28" s="70" customFormat="1" ht="20.25" customHeight="1" x14ac:dyDescent="0.25">
      <c r="B15" s="88" t="s">
        <v>74</v>
      </c>
      <c r="C15" s="190" t="s">
        <v>75</v>
      </c>
      <c r="D15" s="190"/>
      <c r="E15" s="190"/>
      <c r="F15" s="187" t="s">
        <v>76</v>
      </c>
      <c r="G15" s="188"/>
      <c r="H15" s="188"/>
      <c r="I15" s="188"/>
      <c r="J15" s="188"/>
      <c r="K15" s="189"/>
      <c r="L15" s="187">
        <v>2025</v>
      </c>
      <c r="M15" s="188"/>
      <c r="N15" s="188"/>
      <c r="O15" s="189"/>
      <c r="P15" s="187">
        <v>2026</v>
      </c>
      <c r="Q15" s="188"/>
      <c r="R15" s="188"/>
      <c r="S15" s="189"/>
      <c r="T15" s="190">
        <v>2027</v>
      </c>
      <c r="U15" s="190"/>
      <c r="V15" s="190"/>
      <c r="W15" s="190"/>
      <c r="X15" s="187">
        <v>2028</v>
      </c>
      <c r="Y15" s="188"/>
      <c r="Z15" s="188"/>
      <c r="AA15" s="189"/>
    </row>
    <row r="16" spans="1:28" s="70" customFormat="1" ht="20.25" customHeight="1" x14ac:dyDescent="0.25">
      <c r="B16" s="93" t="s">
        <v>77</v>
      </c>
      <c r="C16" s="183" t="s">
        <v>91</v>
      </c>
      <c r="D16" s="183"/>
      <c r="E16" s="183"/>
      <c r="F16" s="184">
        <f>O12</f>
        <v>383769.99892499996</v>
      </c>
      <c r="G16" s="185"/>
      <c r="H16" s="185"/>
      <c r="I16" s="185"/>
      <c r="J16" s="185"/>
      <c r="K16" s="186"/>
      <c r="L16" s="247">
        <f>Q12</f>
        <v>88185.909699999989</v>
      </c>
      <c r="M16" s="248"/>
      <c r="N16" s="248"/>
      <c r="O16" s="249"/>
      <c r="P16" s="247">
        <f>U12</f>
        <v>147594.5937</v>
      </c>
      <c r="Q16" s="248"/>
      <c r="R16" s="248"/>
      <c r="S16" s="249"/>
      <c r="T16" s="250">
        <f>W12</f>
        <v>102007.414023</v>
      </c>
      <c r="U16" s="250"/>
      <c r="V16" s="250"/>
      <c r="W16" s="250"/>
      <c r="X16" s="247">
        <f>Y12</f>
        <v>45982.086150000003</v>
      </c>
      <c r="Y16" s="248"/>
      <c r="Z16" s="248"/>
      <c r="AA16" s="249"/>
    </row>
    <row r="17" spans="1:27" s="70" customFormat="1" ht="42" customHeight="1" x14ac:dyDescent="0.25">
      <c r="B17" s="94" t="s">
        <v>78</v>
      </c>
      <c r="C17" s="182" t="s">
        <v>79</v>
      </c>
      <c r="D17" s="182"/>
      <c r="E17" s="182"/>
      <c r="F17" s="184">
        <v>12000</v>
      </c>
      <c r="G17" s="185"/>
      <c r="H17" s="185"/>
      <c r="I17" s="185"/>
      <c r="J17" s="185"/>
      <c r="K17" s="186"/>
      <c r="L17" s="247">
        <v>4350</v>
      </c>
      <c r="M17" s="248"/>
      <c r="N17" s="248"/>
      <c r="O17" s="249"/>
      <c r="P17" s="247">
        <v>750</v>
      </c>
      <c r="Q17" s="248"/>
      <c r="R17" s="248"/>
      <c r="S17" s="249"/>
      <c r="T17" s="250">
        <v>6900</v>
      </c>
      <c r="U17" s="250"/>
      <c r="V17" s="250"/>
      <c r="W17" s="250"/>
      <c r="X17" s="247"/>
      <c r="Y17" s="248"/>
      <c r="Z17" s="248"/>
      <c r="AA17" s="249"/>
    </row>
    <row r="18" spans="1:27" s="70" customFormat="1" ht="33.75" customHeight="1" x14ac:dyDescent="0.25">
      <c r="B18" s="93" t="s">
        <v>80</v>
      </c>
      <c r="C18" s="183"/>
      <c r="D18" s="183"/>
      <c r="E18" s="183"/>
      <c r="F18" s="194">
        <f>F16+F17</f>
        <v>395769.99892499996</v>
      </c>
      <c r="G18" s="195"/>
      <c r="H18" s="195"/>
      <c r="I18" s="195"/>
      <c r="J18" s="195"/>
      <c r="K18" s="196"/>
      <c r="L18" s="251">
        <f>L16+L17</f>
        <v>92535.909699999989</v>
      </c>
      <c r="M18" s="252"/>
      <c r="N18" s="252"/>
      <c r="O18" s="253"/>
      <c r="P18" s="251">
        <f>P16+P17</f>
        <v>148344.5937</v>
      </c>
      <c r="Q18" s="252"/>
      <c r="R18" s="252"/>
      <c r="S18" s="253"/>
      <c r="T18" s="254">
        <f>T16+T17</f>
        <v>108907.414023</v>
      </c>
      <c r="U18" s="254"/>
      <c r="V18" s="254"/>
      <c r="W18" s="254"/>
      <c r="X18" s="251">
        <f>X16+X17</f>
        <v>45982.086150000003</v>
      </c>
      <c r="Y18" s="252"/>
      <c r="Z18" s="252"/>
      <c r="AA18" s="253"/>
    </row>
    <row r="19" spans="1:27" x14ac:dyDescent="0.25">
      <c r="B19" s="73"/>
      <c r="C19" s="73"/>
      <c r="D19" s="74"/>
      <c r="E19" s="74"/>
      <c r="F19" s="75"/>
      <c r="G19" s="76"/>
      <c r="H19" s="76"/>
      <c r="I19" s="76"/>
      <c r="J19" s="76"/>
      <c r="K19" s="76"/>
      <c r="L19" s="76"/>
      <c r="Z19" s="75"/>
      <c r="AA19" s="75"/>
    </row>
    <row r="20" spans="1:27" x14ac:dyDescent="0.25">
      <c r="A20" s="87" t="s">
        <v>90</v>
      </c>
      <c r="B20" s="74"/>
      <c r="C20" s="74"/>
      <c r="D20" s="74"/>
      <c r="E20" s="74"/>
      <c r="F20" s="77"/>
      <c r="G20" s="78"/>
      <c r="H20" s="78"/>
      <c r="I20" s="78"/>
      <c r="J20" s="78"/>
      <c r="K20" s="78"/>
      <c r="L20" s="78"/>
      <c r="W20" s="84"/>
      <c r="Z20" s="77"/>
      <c r="AA20" s="77"/>
    </row>
    <row r="21" spans="1:27" x14ac:dyDescent="0.25">
      <c r="R21" s="163"/>
      <c r="S21" s="163"/>
    </row>
  </sheetData>
  <mergeCells count="54">
    <mergeCell ref="A1:AA1"/>
    <mergeCell ref="L17:O17"/>
    <mergeCell ref="L18:O18"/>
    <mergeCell ref="F15:K15"/>
    <mergeCell ref="F16:K16"/>
    <mergeCell ref="F17:K17"/>
    <mergeCell ref="F18:K18"/>
    <mergeCell ref="X15:AA15"/>
    <mergeCell ref="X16:AA16"/>
    <mergeCell ref="X17:AA17"/>
    <mergeCell ref="X18:AA18"/>
    <mergeCell ref="T15:W15"/>
    <mergeCell ref="T16:W16"/>
    <mergeCell ref="T17:W17"/>
    <mergeCell ref="T18:W18"/>
    <mergeCell ref="P15:S15"/>
    <mergeCell ref="Z4:AA4"/>
    <mergeCell ref="Z5:Z6"/>
    <mergeCell ref="AA5:AA6"/>
    <mergeCell ref="L15:O15"/>
    <mergeCell ref="B14:AA14"/>
    <mergeCell ref="C7:C8"/>
    <mergeCell ref="I4:I6"/>
    <mergeCell ref="K4:K6"/>
    <mergeCell ref="L4:L6"/>
    <mergeCell ref="J4:J6"/>
    <mergeCell ref="C15:E15"/>
    <mergeCell ref="N4:N6"/>
    <mergeCell ref="O4:O6"/>
    <mergeCell ref="P4:Q5"/>
    <mergeCell ref="T4:U5"/>
    <mergeCell ref="C9:C11"/>
    <mergeCell ref="C18:E18"/>
    <mergeCell ref="P17:S17"/>
    <mergeCell ref="P18:S18"/>
    <mergeCell ref="C16:E16"/>
    <mergeCell ref="P16:S16"/>
    <mergeCell ref="L16:O16"/>
    <mergeCell ref="R21:S21"/>
    <mergeCell ref="A12:M12"/>
    <mergeCell ref="H4:H6"/>
    <mergeCell ref="A3:Y3"/>
    <mergeCell ref="A4:A6"/>
    <mergeCell ref="B4:B6"/>
    <mergeCell ref="C4:C6"/>
    <mergeCell ref="D4:D6"/>
    <mergeCell ref="E4:E6"/>
    <mergeCell ref="F4:F6"/>
    <mergeCell ref="G4:G6"/>
    <mergeCell ref="V4:W5"/>
    <mergeCell ref="X4:Y5"/>
    <mergeCell ref="R4:S5"/>
    <mergeCell ref="M4:M6"/>
    <mergeCell ref="C17:E17"/>
  </mergeCells>
  <pageMargins left="0.31496062992125984" right="0.31496062992125984" top="0.74803149606299213" bottom="0.74803149606299213" header="0.31496062992125984" footer="0.31496062992125984"/>
  <pageSetup paperSize="8" scale="85"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7643A-5B70-46A0-BF9A-67FC5069130D}">
  <dimension ref="A1:AL45"/>
  <sheetViews>
    <sheetView tabSelected="1" topLeftCell="H1" zoomScale="95" zoomScaleNormal="95" workbookViewId="0">
      <pane ySplit="11" topLeftCell="A12" activePane="bottomLeft" state="frozen"/>
      <selection pane="bottomLeft" activeCell="AK41" sqref="AK41"/>
    </sheetView>
  </sheetViews>
  <sheetFormatPr defaultRowHeight="15" x14ac:dyDescent="0.25"/>
  <cols>
    <col min="1" max="1" width="45.85546875" customWidth="1"/>
    <col min="2" max="2" width="12.28515625" customWidth="1"/>
    <col min="3" max="3" width="9.5703125" customWidth="1"/>
    <col min="4" max="4" width="12.5703125" customWidth="1"/>
    <col min="5" max="5" width="10.5703125" customWidth="1"/>
    <col min="6" max="6" width="11.7109375" customWidth="1"/>
    <col min="7" max="7" width="12" customWidth="1"/>
    <col min="8" max="9" width="12.140625" customWidth="1"/>
    <col min="10" max="10" width="14.140625" style="35" customWidth="1"/>
    <col min="11" max="11" width="27.85546875" style="36" customWidth="1"/>
    <col min="12" max="12" width="25.42578125" customWidth="1"/>
    <col min="13" max="13" width="9.85546875" customWidth="1"/>
    <col min="14" max="14" width="10" style="1" customWidth="1"/>
    <col min="15" max="15" width="11.140625" customWidth="1"/>
    <col min="16" max="16" width="13.7109375" style="1" customWidth="1"/>
    <col min="17" max="17" width="13.85546875" style="1" customWidth="1"/>
    <col min="18" max="18" width="11.5703125" customWidth="1"/>
    <col min="19" max="19" width="13.42578125" style="1" customWidth="1"/>
    <col min="20" max="21" width="12.140625" customWidth="1"/>
    <col min="22" max="22" width="12.5703125" customWidth="1"/>
    <col min="23" max="23" width="18.28515625" customWidth="1"/>
    <col min="24" max="24" width="4.140625" customWidth="1"/>
    <col min="25" max="25" width="22.85546875" customWidth="1"/>
    <col min="26" max="26" width="11.42578125" customWidth="1"/>
    <col min="28" max="28" width="10.7109375" customWidth="1"/>
    <col min="29" max="29" width="10.42578125" customWidth="1"/>
    <col min="30" max="30" width="12.28515625" customWidth="1"/>
    <col min="31" max="31" width="12.5703125" customWidth="1"/>
    <col min="32" max="32" width="10" customWidth="1"/>
    <col min="33" max="33" width="12.42578125" customWidth="1"/>
    <col min="34" max="36" width="10.85546875" customWidth="1"/>
    <col min="37" max="37" width="13.42578125" customWidth="1"/>
  </cols>
  <sheetData>
    <row r="1" spans="1:38" ht="15" customHeight="1" x14ac:dyDescent="0.25">
      <c r="A1" s="255" t="s">
        <v>113</v>
      </c>
      <c r="B1" s="255"/>
      <c r="C1" s="255"/>
      <c r="D1" s="255"/>
      <c r="E1" s="255"/>
      <c r="F1" s="255"/>
      <c r="G1" s="255"/>
      <c r="H1" s="255"/>
      <c r="I1" s="255"/>
      <c r="J1" s="255"/>
      <c r="K1" s="255"/>
      <c r="L1" s="255"/>
      <c r="M1" s="255"/>
      <c r="N1" s="255"/>
      <c r="O1" s="255"/>
      <c r="P1" s="255"/>
      <c r="Q1" s="255"/>
      <c r="R1" s="255"/>
      <c r="S1" s="255"/>
      <c r="T1" s="255"/>
      <c r="U1" s="255"/>
      <c r="V1" s="255"/>
      <c r="W1" s="255"/>
      <c r="X1" s="255"/>
      <c r="Y1" s="255"/>
      <c r="Z1" s="255"/>
      <c r="AA1" s="255"/>
      <c r="AB1" s="255"/>
      <c r="AC1" s="255"/>
      <c r="AD1" s="255"/>
      <c r="AE1" s="255"/>
      <c r="AF1" s="255"/>
      <c r="AG1" s="255"/>
      <c r="AH1" s="255"/>
      <c r="AI1" s="255"/>
      <c r="AJ1" s="255"/>
      <c r="AK1" s="255"/>
    </row>
    <row r="2" spans="1:38" ht="15" customHeight="1" x14ac:dyDescent="0.25">
      <c r="A2" s="255"/>
      <c r="B2" s="255"/>
      <c r="C2" s="255"/>
      <c r="D2" s="255"/>
      <c r="E2" s="255"/>
      <c r="F2" s="255"/>
      <c r="G2" s="255"/>
      <c r="H2" s="255"/>
      <c r="I2" s="255"/>
      <c r="J2" s="255"/>
      <c r="K2" s="255"/>
      <c r="L2" s="255"/>
      <c r="M2" s="255"/>
      <c r="N2" s="255"/>
      <c r="O2" s="255"/>
      <c r="P2" s="255"/>
      <c r="Q2" s="255"/>
      <c r="R2" s="255"/>
      <c r="S2" s="255"/>
      <c r="T2" s="255"/>
      <c r="U2" s="255"/>
      <c r="V2" s="255"/>
      <c r="W2" s="255"/>
      <c r="X2" s="255"/>
      <c r="Y2" s="255"/>
      <c r="Z2" s="255"/>
      <c r="AA2" s="255"/>
      <c r="AB2" s="255"/>
      <c r="AC2" s="255"/>
      <c r="AD2" s="255"/>
      <c r="AE2" s="255"/>
      <c r="AF2" s="255"/>
      <c r="AG2" s="255"/>
      <c r="AH2" s="255"/>
      <c r="AI2" s="255"/>
      <c r="AJ2" s="255"/>
      <c r="AK2" s="255"/>
    </row>
    <row r="3" spans="1:38" s="67" customFormat="1" ht="18.75" x14ac:dyDescent="0.25">
      <c r="A3" s="197" t="s">
        <v>83</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8"/>
      <c r="AK3" s="198"/>
    </row>
    <row r="4" spans="1:38" x14ac:dyDescent="0.25">
      <c r="A4" s="199"/>
      <c r="B4" s="199"/>
      <c r="C4" s="199"/>
      <c r="D4" s="199"/>
      <c r="E4" s="199"/>
      <c r="F4" s="199"/>
      <c r="G4" s="199"/>
      <c r="H4" s="199"/>
      <c r="I4" s="199"/>
      <c r="J4" s="199"/>
      <c r="K4" s="199"/>
      <c r="L4" s="215" t="s">
        <v>35</v>
      </c>
      <c r="M4" s="215"/>
      <c r="N4" s="215"/>
      <c r="O4" s="215"/>
      <c r="P4" s="215"/>
      <c r="Q4" s="215"/>
      <c r="R4" s="215"/>
      <c r="S4" s="215"/>
      <c r="T4" s="215"/>
      <c r="U4" s="215"/>
      <c r="V4" s="215"/>
      <c r="W4" s="216"/>
      <c r="X4" s="147"/>
      <c r="Y4" s="214" t="s">
        <v>57</v>
      </c>
      <c r="Z4" s="214"/>
      <c r="AA4" s="214"/>
      <c r="AB4" s="214"/>
      <c r="AC4" s="214"/>
      <c r="AD4" s="214"/>
      <c r="AE4" s="214"/>
      <c r="AF4" s="214"/>
      <c r="AG4" s="214"/>
      <c r="AH4" s="214"/>
      <c r="AI4" s="214"/>
      <c r="AJ4" s="214"/>
      <c r="AK4" s="214"/>
    </row>
    <row r="5" spans="1:38" ht="27.75" customHeight="1" x14ac:dyDescent="0.25">
      <c r="A5" s="199" t="s">
        <v>0</v>
      </c>
      <c r="B5" s="45" t="s">
        <v>1</v>
      </c>
      <c r="C5" s="45" t="s">
        <v>2</v>
      </c>
      <c r="D5" s="45" t="s">
        <v>1</v>
      </c>
      <c r="E5" s="45" t="s">
        <v>2</v>
      </c>
      <c r="F5" s="45" t="s">
        <v>51</v>
      </c>
      <c r="G5" s="45" t="s">
        <v>51</v>
      </c>
      <c r="H5" s="45" t="s">
        <v>51</v>
      </c>
      <c r="I5" s="45" t="s">
        <v>51</v>
      </c>
      <c r="J5" s="45"/>
      <c r="K5" s="45"/>
      <c r="L5" s="217"/>
      <c r="M5" s="217"/>
      <c r="N5" s="217"/>
      <c r="O5" s="217"/>
      <c r="P5" s="217"/>
      <c r="Q5" s="217"/>
      <c r="R5" s="217"/>
      <c r="S5" s="217"/>
      <c r="T5" s="217"/>
      <c r="U5" s="217"/>
      <c r="V5" s="217"/>
      <c r="W5" s="218"/>
      <c r="X5" s="147"/>
      <c r="Y5" s="214"/>
      <c r="Z5" s="214"/>
      <c r="AA5" s="214"/>
      <c r="AB5" s="214"/>
      <c r="AC5" s="214"/>
      <c r="AD5" s="214"/>
      <c r="AE5" s="214"/>
      <c r="AF5" s="214"/>
      <c r="AG5" s="214"/>
      <c r="AH5" s="214"/>
      <c r="AI5" s="214"/>
      <c r="AJ5" s="214"/>
      <c r="AK5" s="214"/>
    </row>
    <row r="6" spans="1:38" x14ac:dyDescent="0.25">
      <c r="A6" s="199"/>
      <c r="B6" s="2">
        <v>2023</v>
      </c>
      <c r="C6" s="2">
        <v>2023</v>
      </c>
      <c r="D6" s="2">
        <v>2024</v>
      </c>
      <c r="E6" s="2">
        <v>2024</v>
      </c>
      <c r="F6" s="2">
        <v>2025</v>
      </c>
      <c r="G6" s="2">
        <v>2026</v>
      </c>
      <c r="H6" s="2">
        <v>2027</v>
      </c>
      <c r="I6" s="2">
        <v>2028</v>
      </c>
      <c r="J6" s="3" t="s">
        <v>3</v>
      </c>
      <c r="K6" s="4" t="s">
        <v>4</v>
      </c>
      <c r="L6" s="147"/>
      <c r="M6" s="206" t="s">
        <v>48</v>
      </c>
      <c r="N6" s="206"/>
      <c r="O6" s="206"/>
      <c r="P6" s="206"/>
      <c r="Q6" s="206"/>
      <c r="R6" s="206"/>
      <c r="S6" s="206"/>
      <c r="T6" s="206"/>
      <c r="U6" s="148"/>
      <c r="V6" s="147"/>
      <c r="W6" s="147"/>
      <c r="X6" s="147"/>
      <c r="Y6" s="147"/>
      <c r="Z6" s="147"/>
      <c r="AA6" s="147"/>
      <c r="AB6" s="147"/>
      <c r="AC6" s="147"/>
      <c r="AD6" s="147"/>
      <c r="AE6" s="147"/>
      <c r="AF6" s="147"/>
      <c r="AG6" s="147"/>
      <c r="AH6" s="147"/>
      <c r="AI6" s="147"/>
      <c r="AJ6" s="147"/>
      <c r="AK6" s="147"/>
    </row>
    <row r="7" spans="1:38" ht="18.600000000000001" customHeight="1" x14ac:dyDescent="0.25">
      <c r="A7" s="5" t="s">
        <v>5</v>
      </c>
      <c r="B7" s="6">
        <f>B12</f>
        <v>3645459</v>
      </c>
      <c r="C7" s="6"/>
      <c r="D7" s="6">
        <f t="shared" ref="D7:G7" si="0">D12</f>
        <v>35958953</v>
      </c>
      <c r="E7" s="6"/>
      <c r="F7" s="6">
        <f t="shared" si="0"/>
        <v>63547374</v>
      </c>
      <c r="G7" s="6">
        <f t="shared" si="0"/>
        <v>0</v>
      </c>
      <c r="H7" s="6"/>
      <c r="I7" s="6"/>
      <c r="J7" s="7">
        <f t="shared" ref="J7:J24" si="1">B7+D7+F7+G7</f>
        <v>103151786</v>
      </c>
      <c r="K7" s="8"/>
      <c r="L7" s="200" t="s">
        <v>6</v>
      </c>
      <c r="M7" s="203">
        <v>2024</v>
      </c>
      <c r="N7" s="207" t="s">
        <v>7</v>
      </c>
      <c r="O7" s="203">
        <v>2025</v>
      </c>
      <c r="P7" s="207" t="s">
        <v>30</v>
      </c>
      <c r="Q7" s="207" t="s">
        <v>31</v>
      </c>
      <c r="R7" s="203">
        <v>2026</v>
      </c>
      <c r="S7" s="207" t="s">
        <v>8</v>
      </c>
      <c r="T7" s="203">
        <v>2027</v>
      </c>
      <c r="U7" s="203">
        <v>2028</v>
      </c>
      <c r="V7" s="203" t="s">
        <v>3</v>
      </c>
      <c r="W7" s="203" t="s">
        <v>62</v>
      </c>
      <c r="X7" s="147"/>
      <c r="Y7" s="203" t="s">
        <v>54</v>
      </c>
      <c r="Z7" s="203">
        <v>2023</v>
      </c>
      <c r="AA7" s="203">
        <v>2024</v>
      </c>
      <c r="AB7" s="207" t="s">
        <v>7</v>
      </c>
      <c r="AC7" s="203">
        <v>2025</v>
      </c>
      <c r="AD7" s="207" t="s">
        <v>30</v>
      </c>
      <c r="AE7" s="207" t="s">
        <v>31</v>
      </c>
      <c r="AF7" s="203">
        <v>2026</v>
      </c>
      <c r="AG7" s="207" t="s">
        <v>8</v>
      </c>
      <c r="AH7" s="203">
        <v>2027</v>
      </c>
      <c r="AI7" s="203">
        <v>2028</v>
      </c>
      <c r="AJ7" s="203" t="s">
        <v>3</v>
      </c>
      <c r="AK7" s="203" t="s">
        <v>4</v>
      </c>
    </row>
    <row r="8" spans="1:38" ht="18.600000000000001" customHeight="1" x14ac:dyDescent="0.25">
      <c r="A8" s="5" t="s">
        <v>59</v>
      </c>
      <c r="B8" s="9">
        <f>B13+B16+B17+B21+B24+B25</f>
        <v>264918</v>
      </c>
      <c r="C8" s="9">
        <f t="shared" ref="C8:H8" si="2">C13+C16+C17+C21+C24+C25</f>
        <v>219867.08</v>
      </c>
      <c r="D8" s="9">
        <f t="shared" si="2"/>
        <v>6875299</v>
      </c>
      <c r="E8" s="9">
        <f t="shared" si="2"/>
        <v>4968803.9200000009</v>
      </c>
      <c r="F8" s="9">
        <f>F13+F16+F17+F21+F24+F25</f>
        <v>44508179</v>
      </c>
      <c r="G8" s="9">
        <f t="shared" si="2"/>
        <v>16786367</v>
      </c>
      <c r="H8" s="9">
        <f t="shared" si="2"/>
        <v>4238091</v>
      </c>
      <c r="I8" s="9"/>
      <c r="J8" s="7">
        <f>J13+J16+J17+J21+J24+J25</f>
        <v>70700916</v>
      </c>
      <c r="K8" s="10"/>
      <c r="L8" s="201"/>
      <c r="M8" s="204"/>
      <c r="N8" s="208"/>
      <c r="O8" s="204"/>
      <c r="P8" s="208"/>
      <c r="Q8" s="208"/>
      <c r="R8" s="204"/>
      <c r="S8" s="208"/>
      <c r="T8" s="204"/>
      <c r="U8" s="204"/>
      <c r="V8" s="204"/>
      <c r="W8" s="204"/>
      <c r="X8" s="147"/>
      <c r="Y8" s="204"/>
      <c r="Z8" s="204"/>
      <c r="AA8" s="204"/>
      <c r="AB8" s="208"/>
      <c r="AC8" s="204"/>
      <c r="AD8" s="208"/>
      <c r="AE8" s="208"/>
      <c r="AF8" s="204"/>
      <c r="AG8" s="208"/>
      <c r="AH8" s="204"/>
      <c r="AI8" s="204"/>
      <c r="AJ8" s="204"/>
      <c r="AK8" s="204"/>
    </row>
    <row r="9" spans="1:38" ht="18.600000000000001" customHeight="1" x14ac:dyDescent="0.25">
      <c r="A9" s="5" t="s">
        <v>60</v>
      </c>
      <c r="B9" s="9"/>
      <c r="C9" s="9"/>
      <c r="D9" s="9"/>
      <c r="E9" s="9">
        <f>N14+N18+N19+N22+N23</f>
        <v>2251429.21</v>
      </c>
      <c r="F9" s="9">
        <f>P14+Q14+P18+Q18+P19+Q19+P22+Q22+P23+Q23+Q26+Q27</f>
        <v>21280967</v>
      </c>
      <c r="G9" s="9">
        <f>S14+S18+S19+S22+S23+S26+S27</f>
        <v>32134048</v>
      </c>
      <c r="H9" s="9">
        <f>T26+T27</f>
        <v>4238091</v>
      </c>
      <c r="I9" s="9"/>
      <c r="J9" s="7">
        <f>E9+F9+G9+H9+I9</f>
        <v>59904535.210000001</v>
      </c>
      <c r="K9" s="212" t="s">
        <v>63</v>
      </c>
      <c r="L9" s="201"/>
      <c r="M9" s="204"/>
      <c r="N9" s="208"/>
      <c r="O9" s="204"/>
      <c r="P9" s="208"/>
      <c r="Q9" s="208"/>
      <c r="R9" s="204"/>
      <c r="S9" s="208"/>
      <c r="T9" s="204"/>
      <c r="U9" s="204"/>
      <c r="V9" s="204"/>
      <c r="W9" s="204"/>
      <c r="X9" s="147"/>
      <c r="Y9" s="204"/>
      <c r="Z9" s="204"/>
      <c r="AA9" s="204"/>
      <c r="AB9" s="208"/>
      <c r="AC9" s="204"/>
      <c r="AD9" s="208"/>
      <c r="AE9" s="208"/>
      <c r="AF9" s="204"/>
      <c r="AG9" s="208"/>
      <c r="AH9" s="204"/>
      <c r="AI9" s="204"/>
      <c r="AJ9" s="204"/>
      <c r="AK9" s="204"/>
    </row>
    <row r="10" spans="1:38" ht="18.600000000000001" customHeight="1" x14ac:dyDescent="0.25">
      <c r="A10" s="5" t="s">
        <v>61</v>
      </c>
      <c r="B10" s="9"/>
      <c r="C10" s="9"/>
      <c r="D10" s="9"/>
      <c r="E10" s="9"/>
      <c r="F10" s="9">
        <f>O31+O35+O36+O39+O40</f>
        <v>1043415</v>
      </c>
      <c r="G10" s="9">
        <f>S31+S35+S36+S39+S40</f>
        <v>21965640</v>
      </c>
      <c r="H10" s="9">
        <f>T31+T35+T36+T39+T40</f>
        <v>23465387</v>
      </c>
      <c r="I10" s="9">
        <f>U40</f>
        <v>45982</v>
      </c>
      <c r="J10" s="7">
        <f>F10+G10+H10+I10</f>
        <v>46520424</v>
      </c>
      <c r="K10" s="213"/>
      <c r="L10" s="201"/>
      <c r="M10" s="204"/>
      <c r="N10" s="208"/>
      <c r="O10" s="204"/>
      <c r="P10" s="208"/>
      <c r="Q10" s="208"/>
      <c r="R10" s="204"/>
      <c r="S10" s="208"/>
      <c r="T10" s="204"/>
      <c r="U10" s="204"/>
      <c r="V10" s="204"/>
      <c r="W10" s="204"/>
      <c r="X10" s="147"/>
      <c r="Y10" s="204"/>
      <c r="Z10" s="204"/>
      <c r="AA10" s="204"/>
      <c r="AB10" s="208"/>
      <c r="AC10" s="204"/>
      <c r="AD10" s="208"/>
      <c r="AE10" s="208"/>
      <c r="AF10" s="204"/>
      <c r="AG10" s="208"/>
      <c r="AH10" s="204"/>
      <c r="AI10" s="204"/>
      <c r="AJ10" s="204"/>
      <c r="AK10" s="204"/>
    </row>
    <row r="11" spans="1:38" ht="16.5" customHeight="1" x14ac:dyDescent="0.25">
      <c r="A11" s="66" t="s">
        <v>64</v>
      </c>
      <c r="B11" s="9"/>
      <c r="C11" s="9"/>
      <c r="D11" s="9"/>
      <c r="E11" s="9"/>
      <c r="F11" s="9">
        <f>AC33+AC34+AC37</f>
        <v>0</v>
      </c>
      <c r="G11" s="65">
        <f>AG33+AG34+AG37</f>
        <v>7069931.9100000001</v>
      </c>
      <c r="H11" s="65">
        <f>AH33+AH34+AH37</f>
        <v>20866543.649999999</v>
      </c>
      <c r="I11" s="65">
        <f>AI41</f>
        <v>3951862.4400000004</v>
      </c>
      <c r="J11" s="65">
        <f>F11+G11+H11+I11</f>
        <v>31888338</v>
      </c>
      <c r="K11" s="8"/>
      <c r="L11" s="201"/>
      <c r="M11" s="204"/>
      <c r="N11" s="208"/>
      <c r="O11" s="204"/>
      <c r="P11" s="208"/>
      <c r="Q11" s="208"/>
      <c r="R11" s="204"/>
      <c r="S11" s="208"/>
      <c r="T11" s="204"/>
      <c r="U11" s="204"/>
      <c r="V11" s="204"/>
      <c r="W11" s="204"/>
      <c r="X11" s="147"/>
      <c r="Y11" s="204"/>
      <c r="Z11" s="204"/>
      <c r="AA11" s="204"/>
      <c r="AB11" s="208"/>
      <c r="AC11" s="204"/>
      <c r="AD11" s="208"/>
      <c r="AE11" s="208"/>
      <c r="AF11" s="204"/>
      <c r="AG11" s="208"/>
      <c r="AH11" s="204"/>
      <c r="AI11" s="204"/>
      <c r="AJ11" s="204"/>
      <c r="AK11" s="204"/>
    </row>
    <row r="12" spans="1:38" ht="16.5" customHeight="1" x14ac:dyDescent="0.25">
      <c r="A12" s="12" t="s">
        <v>9</v>
      </c>
      <c r="B12" s="13">
        <v>3645459</v>
      </c>
      <c r="C12" s="13"/>
      <c r="D12" s="13">
        <v>35958953</v>
      </c>
      <c r="E12" s="13"/>
      <c r="F12" s="13">
        <v>63547374</v>
      </c>
      <c r="G12" s="13">
        <v>0</v>
      </c>
      <c r="H12" s="13"/>
      <c r="I12" s="13"/>
      <c r="J12" s="13">
        <f t="shared" si="1"/>
        <v>103151786</v>
      </c>
      <c r="K12" s="37"/>
      <c r="L12" s="202"/>
      <c r="M12" s="205"/>
      <c r="N12" s="209"/>
      <c r="O12" s="205"/>
      <c r="P12" s="209"/>
      <c r="Q12" s="209"/>
      <c r="R12" s="205"/>
      <c r="S12" s="209"/>
      <c r="T12" s="205"/>
      <c r="U12" s="205"/>
      <c r="V12" s="205"/>
      <c r="W12" s="205"/>
      <c r="X12" s="147"/>
      <c r="Y12" s="205"/>
      <c r="Z12" s="205"/>
      <c r="AA12" s="205"/>
      <c r="AB12" s="209"/>
      <c r="AC12" s="205"/>
      <c r="AD12" s="209"/>
      <c r="AE12" s="209"/>
      <c r="AF12" s="205"/>
      <c r="AG12" s="209"/>
      <c r="AH12" s="205"/>
      <c r="AI12" s="205"/>
      <c r="AJ12" s="205"/>
      <c r="AK12" s="205"/>
    </row>
    <row r="13" spans="1:38" ht="63.75" x14ac:dyDescent="0.25">
      <c r="A13" s="14" t="s">
        <v>65</v>
      </c>
      <c r="B13" s="15">
        <v>264918</v>
      </c>
      <c r="C13" s="15">
        <v>219867.08</v>
      </c>
      <c r="D13" s="15">
        <v>2941073</v>
      </c>
      <c r="E13" s="15">
        <f>2131956.98+41101.66+1706.1+64614+29645+64614+41101.66+64614+41101.66+41101.68+62489.08+1210</f>
        <v>2585255.8200000008</v>
      </c>
      <c r="F13" s="15">
        <v>6987363</v>
      </c>
      <c r="G13" s="49">
        <v>1971938</v>
      </c>
      <c r="H13" s="16"/>
      <c r="I13" s="16"/>
      <c r="J13" s="13">
        <f>B13+D13+F13+H13</f>
        <v>10193354</v>
      </c>
      <c r="K13" s="50" t="s">
        <v>33</v>
      </c>
      <c r="L13" s="149"/>
      <c r="M13" s="150"/>
      <c r="N13" s="150"/>
      <c r="O13" s="150"/>
      <c r="P13" s="150"/>
      <c r="Q13" s="150"/>
      <c r="R13" s="150"/>
      <c r="S13" s="150"/>
      <c r="T13" s="150"/>
      <c r="U13" s="150"/>
      <c r="V13" s="150"/>
      <c r="W13" s="150"/>
      <c r="X13" s="147"/>
      <c r="Y13" s="147"/>
      <c r="Z13" s="151"/>
      <c r="AA13" s="151"/>
      <c r="AB13" s="151"/>
      <c r="AC13" s="151"/>
      <c r="AD13" s="151"/>
      <c r="AE13" s="151"/>
      <c r="AF13" s="151"/>
      <c r="AG13" s="151"/>
      <c r="AH13" s="151"/>
      <c r="AI13" s="151"/>
      <c r="AJ13" s="151"/>
      <c r="AK13" s="151"/>
      <c r="AL13" s="18"/>
    </row>
    <row r="14" spans="1:38" ht="39" customHeight="1" x14ac:dyDescent="0.25">
      <c r="A14" s="19" t="s">
        <v>10</v>
      </c>
      <c r="B14" s="20"/>
      <c r="C14" s="20"/>
      <c r="D14" s="20">
        <v>2256161</v>
      </c>
      <c r="E14" s="20">
        <v>2133663</v>
      </c>
      <c r="F14" s="20">
        <v>6302451</v>
      </c>
      <c r="G14" s="31">
        <v>1800700</v>
      </c>
      <c r="H14" s="21"/>
      <c r="I14" s="21"/>
      <c r="J14" s="22">
        <f>D14+F14+G14</f>
        <v>10359312</v>
      </c>
      <c r="K14" s="51" t="s">
        <v>42</v>
      </c>
      <c r="L14" s="95" t="s">
        <v>10</v>
      </c>
      <c r="M14" s="96">
        <f>D14</f>
        <v>2256161</v>
      </c>
      <c r="N14" s="97">
        <v>2132589</v>
      </c>
      <c r="O14" s="98">
        <f>F14+(D14-M14)</f>
        <v>6302451</v>
      </c>
      <c r="P14" s="99">
        <v>3071600</v>
      </c>
      <c r="Q14" s="99">
        <v>4005123</v>
      </c>
      <c r="R14" s="98">
        <f>G14</f>
        <v>1800700</v>
      </c>
      <c r="S14" s="99">
        <v>1150000</v>
      </c>
      <c r="T14" s="98"/>
      <c r="U14" s="98"/>
      <c r="V14" s="100">
        <f>J14</f>
        <v>10359312</v>
      </c>
      <c r="W14" s="151">
        <f>N14+P14+Q14+S14+T14</f>
        <v>10359312</v>
      </c>
      <c r="X14" s="151">
        <f>V14-W14</f>
        <v>0</v>
      </c>
      <c r="Y14" s="147"/>
      <c r="Z14" s="151"/>
      <c r="AA14" s="151"/>
      <c r="AB14" s="151"/>
      <c r="AC14" s="151"/>
      <c r="AD14" s="151"/>
      <c r="AE14" s="151"/>
      <c r="AF14" s="151"/>
      <c r="AG14" s="151"/>
      <c r="AH14" s="151"/>
      <c r="AI14" s="151"/>
      <c r="AJ14" s="151"/>
      <c r="AK14" s="151"/>
      <c r="AL14" s="18"/>
    </row>
    <row r="15" spans="1:38" ht="38.25" x14ac:dyDescent="0.25">
      <c r="A15" s="14" t="s">
        <v>11</v>
      </c>
      <c r="B15" s="15">
        <v>264918</v>
      </c>
      <c r="C15" s="15"/>
      <c r="D15" s="15">
        <v>684912</v>
      </c>
      <c r="E15" s="15"/>
      <c r="F15" s="15">
        <v>684912</v>
      </c>
      <c r="G15" s="15">
        <v>171228</v>
      </c>
      <c r="H15" s="15"/>
      <c r="I15" s="15"/>
      <c r="J15" s="17">
        <f>B15+D15+F15+G15</f>
        <v>1805970</v>
      </c>
      <c r="K15" s="50" t="s">
        <v>32</v>
      </c>
      <c r="L15" s="149"/>
      <c r="M15" s="150"/>
      <c r="N15" s="150"/>
      <c r="O15" s="150"/>
      <c r="P15" s="150"/>
      <c r="Q15" s="150"/>
      <c r="R15" s="150"/>
      <c r="S15" s="150"/>
      <c r="T15" s="150"/>
      <c r="U15" s="150"/>
      <c r="V15" s="150"/>
      <c r="W15" s="147"/>
      <c r="X15" s="147"/>
      <c r="Y15" s="101" t="s">
        <v>11</v>
      </c>
      <c r="Z15" s="102">
        <f>B15</f>
        <v>264918</v>
      </c>
      <c r="AA15" s="102">
        <f>D15</f>
        <v>684912</v>
      </c>
      <c r="AB15" s="102"/>
      <c r="AC15" s="102">
        <f>F15</f>
        <v>684912</v>
      </c>
      <c r="AD15" s="102"/>
      <c r="AE15" s="102"/>
      <c r="AF15" s="102">
        <f>G15</f>
        <v>171228</v>
      </c>
      <c r="AG15" s="102"/>
      <c r="AH15" s="102"/>
      <c r="AI15" s="102"/>
      <c r="AJ15" s="103">
        <f>Z15+AA15+AC15+AF15+AH15</f>
        <v>1805970</v>
      </c>
      <c r="AK15" s="104" t="s">
        <v>58</v>
      </c>
      <c r="AL15" s="18"/>
    </row>
    <row r="16" spans="1:38" ht="76.5" x14ac:dyDescent="0.25">
      <c r="A16" s="23" t="s">
        <v>12</v>
      </c>
      <c r="B16" s="24"/>
      <c r="C16" s="24"/>
      <c r="D16" s="24">
        <v>3500692</v>
      </c>
      <c r="E16" s="24">
        <f>575978.56+584725.32+374813.7+668292.95</f>
        <v>2203810.5299999998</v>
      </c>
      <c r="F16" s="24">
        <v>781860</v>
      </c>
      <c r="G16" s="24"/>
      <c r="H16" s="24"/>
      <c r="I16" s="24"/>
      <c r="J16" s="24">
        <f t="shared" si="1"/>
        <v>4282552</v>
      </c>
      <c r="K16" s="52" t="s">
        <v>32</v>
      </c>
      <c r="L16" s="149"/>
      <c r="M16" s="150"/>
      <c r="N16" s="150"/>
      <c r="O16" s="150"/>
      <c r="P16" s="150"/>
      <c r="Q16" s="150"/>
      <c r="R16" s="150"/>
      <c r="S16" s="150"/>
      <c r="T16" s="150"/>
      <c r="U16" s="150"/>
      <c r="V16" s="150"/>
      <c r="W16" s="147"/>
      <c r="X16" s="147"/>
      <c r="Y16" s="147"/>
      <c r="Z16" s="151"/>
      <c r="AA16" s="151"/>
      <c r="AB16" s="151"/>
      <c r="AC16" s="151"/>
      <c r="AD16" s="151"/>
      <c r="AE16" s="151"/>
      <c r="AF16" s="151"/>
      <c r="AG16" s="151"/>
      <c r="AH16" s="151"/>
      <c r="AI16" s="151"/>
      <c r="AJ16" s="151"/>
      <c r="AK16" s="151"/>
      <c r="AL16" s="18"/>
    </row>
    <row r="17" spans="1:38" s="29" customFormat="1" ht="63.75" x14ac:dyDescent="0.25">
      <c r="A17" s="25" t="s">
        <v>66</v>
      </c>
      <c r="B17" s="26"/>
      <c r="C17" s="26"/>
      <c r="D17" s="26">
        <v>392696</v>
      </c>
      <c r="E17" s="26">
        <f>16133.33+60897.36+86313.34</f>
        <v>163344.03</v>
      </c>
      <c r="F17" s="26">
        <v>14840421</v>
      </c>
      <c r="G17" s="26"/>
      <c r="H17" s="26"/>
      <c r="I17" s="26"/>
      <c r="J17" s="27">
        <f t="shared" si="1"/>
        <v>15233117</v>
      </c>
      <c r="K17" s="53" t="s">
        <v>34</v>
      </c>
      <c r="L17" s="150"/>
      <c r="M17" s="150"/>
      <c r="N17" s="150"/>
      <c r="O17" s="150"/>
      <c r="P17" s="150"/>
      <c r="Q17" s="150"/>
      <c r="R17" s="150"/>
      <c r="S17" s="150"/>
      <c r="T17" s="150"/>
      <c r="U17" s="150"/>
      <c r="V17" s="150"/>
      <c r="W17" s="150"/>
      <c r="X17" s="150"/>
      <c r="Y17" s="150"/>
      <c r="Z17" s="149"/>
      <c r="AA17" s="149"/>
      <c r="AB17" s="149"/>
      <c r="AC17" s="149"/>
      <c r="AD17" s="149"/>
      <c r="AE17" s="149"/>
      <c r="AF17" s="149"/>
      <c r="AG17" s="149"/>
      <c r="AH17" s="149"/>
      <c r="AI17" s="149"/>
      <c r="AJ17" s="149"/>
      <c r="AK17" s="149"/>
      <c r="AL17" s="39"/>
    </row>
    <row r="18" spans="1:38" s="29" customFormat="1" ht="32.1" customHeight="1" x14ac:dyDescent="0.25">
      <c r="A18" s="19" t="s">
        <v>13</v>
      </c>
      <c r="B18" s="20"/>
      <c r="C18" s="20"/>
      <c r="D18" s="20">
        <v>98174</v>
      </c>
      <c r="E18" s="20"/>
      <c r="F18" s="20">
        <v>3895616</v>
      </c>
      <c r="G18" s="20"/>
      <c r="H18" s="21"/>
      <c r="I18" s="21"/>
      <c r="J18" s="22">
        <v>3993790</v>
      </c>
      <c r="K18" s="211" t="s">
        <v>42</v>
      </c>
      <c r="L18" s="95" t="s">
        <v>49</v>
      </c>
      <c r="M18" s="96">
        <f>D18</f>
        <v>98174</v>
      </c>
      <c r="N18" s="97">
        <v>16133.33</v>
      </c>
      <c r="O18" s="98">
        <f>F18</f>
        <v>3895616</v>
      </c>
      <c r="P18" s="99">
        <v>989741</v>
      </c>
      <c r="Q18" s="99">
        <v>1039984</v>
      </c>
      <c r="R18" s="98"/>
      <c r="S18" s="99">
        <v>1947932</v>
      </c>
      <c r="T18" s="98"/>
      <c r="U18" s="98"/>
      <c r="V18" s="100">
        <f>J18</f>
        <v>3993790</v>
      </c>
      <c r="W18" s="151">
        <f>N18+P18+Q18+S18+T18</f>
        <v>3993790.33</v>
      </c>
      <c r="X18" s="151">
        <f>V18-W18</f>
        <v>-0.33000000007450581</v>
      </c>
      <c r="Y18" s="150"/>
      <c r="Z18" s="149"/>
      <c r="AA18" s="149"/>
      <c r="AB18" s="149"/>
      <c r="AC18" s="149"/>
      <c r="AD18" s="149"/>
      <c r="AE18" s="149"/>
      <c r="AF18" s="149"/>
      <c r="AG18" s="149"/>
      <c r="AH18" s="149"/>
      <c r="AI18" s="149"/>
      <c r="AJ18" s="149"/>
      <c r="AK18" s="149"/>
      <c r="AL18" s="39"/>
    </row>
    <row r="19" spans="1:38" s="29" customFormat="1" ht="32.1" customHeight="1" x14ac:dyDescent="0.25">
      <c r="A19" s="19" t="s">
        <v>14</v>
      </c>
      <c r="B19" s="20"/>
      <c r="C19" s="20"/>
      <c r="D19" s="20">
        <v>149660</v>
      </c>
      <c r="E19" s="20"/>
      <c r="F19" s="20">
        <v>6076319</v>
      </c>
      <c r="G19" s="20"/>
      <c r="H19" s="21"/>
      <c r="I19" s="21"/>
      <c r="J19" s="22">
        <v>6225979</v>
      </c>
      <c r="K19" s="211"/>
      <c r="L19" s="95" t="s">
        <v>14</v>
      </c>
      <c r="M19" s="96">
        <f>D19</f>
        <v>149660</v>
      </c>
      <c r="N19" s="97">
        <v>86313.34</v>
      </c>
      <c r="O19" s="98">
        <f>F19</f>
        <v>6076319</v>
      </c>
      <c r="P19" s="99">
        <v>2098453</v>
      </c>
      <c r="Q19" s="99">
        <v>1410144</v>
      </c>
      <c r="R19" s="98"/>
      <c r="S19" s="99">
        <v>2631069</v>
      </c>
      <c r="T19" s="98"/>
      <c r="U19" s="98"/>
      <c r="V19" s="100">
        <f>J19</f>
        <v>6225979</v>
      </c>
      <c r="W19" s="151">
        <f>N19+P19+Q19+S19+T19</f>
        <v>6225979.3399999999</v>
      </c>
      <c r="X19" s="151">
        <f>V19-W19</f>
        <v>-0.33999999985098839</v>
      </c>
      <c r="Y19" s="150"/>
      <c r="Z19" s="149"/>
      <c r="AA19" s="149"/>
      <c r="AB19" s="149"/>
      <c r="AC19" s="149"/>
      <c r="AD19" s="149"/>
      <c r="AE19" s="149"/>
      <c r="AF19" s="149"/>
      <c r="AG19" s="149"/>
      <c r="AH19" s="149"/>
      <c r="AI19" s="149"/>
      <c r="AJ19" s="149"/>
      <c r="AK19" s="149"/>
      <c r="AL19" s="39"/>
    </row>
    <row r="20" spans="1:38" s="29" customFormat="1" ht="25.5" x14ac:dyDescent="0.25">
      <c r="A20" s="32" t="s">
        <v>15</v>
      </c>
      <c r="B20" s="33"/>
      <c r="C20" s="33"/>
      <c r="D20" s="33">
        <v>144862</v>
      </c>
      <c r="E20" s="33"/>
      <c r="F20" s="33">
        <v>4868486</v>
      </c>
      <c r="G20" s="33"/>
      <c r="H20" s="33"/>
      <c r="I20" s="33"/>
      <c r="J20" s="34">
        <v>5013348</v>
      </c>
      <c r="K20" s="54" t="s">
        <v>32</v>
      </c>
      <c r="L20" s="105"/>
      <c r="M20" s="106"/>
      <c r="N20" s="106"/>
      <c r="O20" s="106"/>
      <c r="P20" s="106"/>
      <c r="Q20" s="106"/>
      <c r="R20" s="106"/>
      <c r="S20" s="106"/>
      <c r="T20" s="106"/>
      <c r="U20" s="106"/>
      <c r="V20" s="107"/>
      <c r="W20" s="149"/>
      <c r="X20" s="149"/>
      <c r="Y20" s="108" t="s">
        <v>15</v>
      </c>
      <c r="Z20" s="109"/>
      <c r="AA20" s="110">
        <v>144862</v>
      </c>
      <c r="AB20" s="110">
        <v>60897.36</v>
      </c>
      <c r="AC20" s="110">
        <v>4868486</v>
      </c>
      <c r="AD20" s="110">
        <v>472419.08999999997</v>
      </c>
      <c r="AE20" s="110">
        <v>1464817</v>
      </c>
      <c r="AF20" s="110"/>
      <c r="AG20" s="110">
        <v>3015214.91</v>
      </c>
      <c r="AH20" s="109"/>
      <c r="AI20" s="109"/>
      <c r="AJ20" s="103">
        <f>Z20+AA20+AC20+AF20+AH20</f>
        <v>5013348</v>
      </c>
      <c r="AK20" s="104" t="s">
        <v>58</v>
      </c>
      <c r="AL20" s="39"/>
    </row>
    <row r="21" spans="1:38" s="29" customFormat="1" ht="60" customHeight="1" x14ac:dyDescent="0.25">
      <c r="A21" s="25" t="s">
        <v>16</v>
      </c>
      <c r="B21" s="26"/>
      <c r="C21" s="26"/>
      <c r="D21" s="26">
        <v>40838</v>
      </c>
      <c r="E21" s="26">
        <f>8196.77+8196.77</f>
        <v>16393.54</v>
      </c>
      <c r="F21" s="26">
        <v>19276860</v>
      </c>
      <c r="G21" s="26"/>
      <c r="H21" s="26"/>
      <c r="I21" s="26"/>
      <c r="J21" s="27">
        <f t="shared" si="1"/>
        <v>19317698</v>
      </c>
      <c r="K21" s="28" t="s">
        <v>17</v>
      </c>
      <c r="L21" s="150"/>
      <c r="M21" s="152"/>
      <c r="N21" s="152"/>
      <c r="O21" s="152"/>
      <c r="P21" s="152"/>
      <c r="Q21" s="152"/>
      <c r="R21" s="152"/>
      <c r="S21" s="152"/>
      <c r="T21" s="152"/>
      <c r="U21" s="152"/>
      <c r="V21" s="152"/>
      <c r="W21" s="150"/>
      <c r="X21" s="150"/>
      <c r="Y21" s="150"/>
      <c r="Z21" s="149"/>
      <c r="AA21" s="149"/>
      <c r="AB21" s="149"/>
      <c r="AC21" s="149"/>
      <c r="AD21" s="149"/>
      <c r="AE21" s="149"/>
      <c r="AF21" s="149"/>
      <c r="AG21" s="149"/>
      <c r="AH21" s="149"/>
      <c r="AI21" s="149"/>
      <c r="AJ21" s="149"/>
      <c r="AK21" s="149"/>
      <c r="AL21" s="39"/>
    </row>
    <row r="22" spans="1:38" s="29" customFormat="1" ht="32.1" customHeight="1" x14ac:dyDescent="0.25">
      <c r="A22" s="19" t="s">
        <v>18</v>
      </c>
      <c r="B22" s="20"/>
      <c r="C22" s="20"/>
      <c r="D22" s="20">
        <v>20419</v>
      </c>
      <c r="E22" s="20"/>
      <c r="F22" s="20">
        <v>10053332</v>
      </c>
      <c r="G22" s="20"/>
      <c r="H22" s="21"/>
      <c r="I22" s="21"/>
      <c r="J22" s="22">
        <v>10073751</v>
      </c>
      <c r="K22" s="211" t="s">
        <v>42</v>
      </c>
      <c r="L22" s="95" t="s">
        <v>18</v>
      </c>
      <c r="M22" s="96">
        <f>D22</f>
        <v>20419</v>
      </c>
      <c r="N22" s="97">
        <v>8196.77</v>
      </c>
      <c r="O22" s="98">
        <f>F22</f>
        <v>10053332</v>
      </c>
      <c r="P22" s="111">
        <v>453673</v>
      </c>
      <c r="Q22" s="111">
        <v>3567631</v>
      </c>
      <c r="R22" s="98"/>
      <c r="S22" s="111">
        <v>6044250</v>
      </c>
      <c r="T22" s="98"/>
      <c r="U22" s="98"/>
      <c r="V22" s="100">
        <f>J22</f>
        <v>10073751</v>
      </c>
      <c r="W22" s="151">
        <f>N22+P22+Q22+S22+T22</f>
        <v>10073750.77</v>
      </c>
      <c r="X22" s="153">
        <f>V22-W22</f>
        <v>0.23000000044703484</v>
      </c>
      <c r="Y22" s="150"/>
      <c r="Z22" s="149"/>
      <c r="AA22" s="149"/>
      <c r="AB22" s="149"/>
      <c r="AC22" s="149"/>
      <c r="AD22" s="149"/>
      <c r="AE22" s="149"/>
      <c r="AF22" s="149"/>
      <c r="AG22" s="149"/>
      <c r="AH22" s="149"/>
      <c r="AI22" s="149"/>
      <c r="AJ22" s="149"/>
      <c r="AK22" s="149"/>
      <c r="AL22" s="39"/>
    </row>
    <row r="23" spans="1:38" s="29" customFormat="1" ht="32.1" customHeight="1" x14ac:dyDescent="0.25">
      <c r="A23" s="19" t="s">
        <v>19</v>
      </c>
      <c r="B23" s="20"/>
      <c r="C23" s="20"/>
      <c r="D23" s="20">
        <v>20419</v>
      </c>
      <c r="E23" s="20"/>
      <c r="F23" s="20">
        <v>9223528</v>
      </c>
      <c r="G23" s="20"/>
      <c r="H23" s="21"/>
      <c r="I23" s="21"/>
      <c r="J23" s="22">
        <v>9243947</v>
      </c>
      <c r="K23" s="211"/>
      <c r="L23" s="95" t="s">
        <v>19</v>
      </c>
      <c r="M23" s="96">
        <f>D23</f>
        <v>20419</v>
      </c>
      <c r="N23" s="97">
        <v>8196.77</v>
      </c>
      <c r="O23" s="98">
        <f>F23</f>
        <v>9223528</v>
      </c>
      <c r="P23" s="111">
        <v>489659</v>
      </c>
      <c r="Q23" s="111">
        <v>3199723</v>
      </c>
      <c r="R23" s="98"/>
      <c r="S23" s="111">
        <v>5546368</v>
      </c>
      <c r="T23" s="98"/>
      <c r="U23" s="98"/>
      <c r="V23" s="100">
        <f>J23</f>
        <v>9243947</v>
      </c>
      <c r="W23" s="151">
        <f>N23+P23+Q23+S23+T23</f>
        <v>9243946.7699999996</v>
      </c>
      <c r="X23" s="151">
        <f>V23-W23</f>
        <v>0.23000000044703484</v>
      </c>
      <c r="Y23" s="150"/>
      <c r="Z23" s="149"/>
      <c r="AA23" s="149"/>
      <c r="AB23" s="149"/>
      <c r="AC23" s="149"/>
      <c r="AD23" s="149"/>
      <c r="AE23" s="149"/>
      <c r="AF23" s="149"/>
      <c r="AG23" s="149"/>
      <c r="AH23" s="149"/>
      <c r="AI23" s="149"/>
      <c r="AJ23" s="149"/>
      <c r="AK23" s="149"/>
      <c r="AL23" s="39"/>
    </row>
    <row r="24" spans="1:38" ht="63.75" x14ac:dyDescent="0.25">
      <c r="A24" s="23" t="s">
        <v>20</v>
      </c>
      <c r="B24" s="30"/>
      <c r="C24" s="30"/>
      <c r="D24" s="24"/>
      <c r="E24" s="24"/>
      <c r="F24" s="24">
        <v>1666439</v>
      </c>
      <c r="G24" s="24"/>
      <c r="H24" s="24"/>
      <c r="I24" s="24"/>
      <c r="J24" s="7">
        <f t="shared" si="1"/>
        <v>1666439</v>
      </c>
      <c r="K24" s="55" t="s">
        <v>43</v>
      </c>
      <c r="L24" s="147"/>
      <c r="M24" s="150"/>
      <c r="N24" s="150"/>
      <c r="O24" s="150"/>
      <c r="P24" s="150"/>
      <c r="Q24" s="150"/>
      <c r="R24" s="150"/>
      <c r="S24" s="150"/>
      <c r="T24" s="150"/>
      <c r="U24" s="150"/>
      <c r="V24" s="147"/>
      <c r="W24" s="147"/>
      <c r="X24" s="147"/>
      <c r="Y24" s="108" t="s">
        <v>36</v>
      </c>
      <c r="Z24" s="103"/>
      <c r="AA24" s="103"/>
      <c r="AB24" s="103"/>
      <c r="AC24" s="102">
        <f>F24</f>
        <v>1666439</v>
      </c>
      <c r="AD24" s="103"/>
      <c r="AE24" s="103"/>
      <c r="AF24" s="103"/>
      <c r="AG24" s="103"/>
      <c r="AH24" s="103"/>
      <c r="AI24" s="103"/>
      <c r="AJ24" s="103">
        <f>Z24+AA24+AC24+AF24+AH24</f>
        <v>1666439</v>
      </c>
      <c r="AK24" s="104" t="s">
        <v>58</v>
      </c>
      <c r="AL24" s="18"/>
    </row>
    <row r="25" spans="1:38" ht="51" customHeight="1" x14ac:dyDescent="0.25">
      <c r="A25" s="25" t="s">
        <v>47</v>
      </c>
      <c r="B25" s="26"/>
      <c r="C25" s="26"/>
      <c r="D25" s="26"/>
      <c r="E25" s="26"/>
      <c r="F25" s="26">
        <v>955236</v>
      </c>
      <c r="G25" s="26">
        <v>14814429</v>
      </c>
      <c r="H25" s="26">
        <v>4238091</v>
      </c>
      <c r="I25" s="26"/>
      <c r="J25" s="27">
        <f>B25+D25+F25+G25+H25</f>
        <v>20007756</v>
      </c>
      <c r="K25" s="40"/>
      <c r="L25" s="147"/>
      <c r="M25" s="150"/>
      <c r="N25" s="150"/>
      <c r="O25" s="150"/>
      <c r="P25" s="150"/>
      <c r="Q25" s="150"/>
      <c r="R25" s="150"/>
      <c r="S25" s="150"/>
      <c r="T25" s="150"/>
      <c r="U25" s="150"/>
      <c r="V25" s="147"/>
      <c r="W25" s="147"/>
      <c r="X25" s="147"/>
      <c r="Y25" s="105"/>
      <c r="Z25" s="107"/>
      <c r="AA25" s="107"/>
      <c r="AB25" s="107"/>
      <c r="AC25" s="106"/>
      <c r="AD25" s="107"/>
      <c r="AE25" s="107"/>
      <c r="AF25" s="107"/>
      <c r="AG25" s="107"/>
      <c r="AH25" s="107"/>
      <c r="AI25" s="107"/>
      <c r="AJ25" s="107"/>
      <c r="AK25" s="112"/>
      <c r="AL25" s="18"/>
    </row>
    <row r="26" spans="1:38" ht="30.6" customHeight="1" x14ac:dyDescent="0.25">
      <c r="A26" s="19" t="s">
        <v>22</v>
      </c>
      <c r="B26" s="20"/>
      <c r="C26" s="20"/>
      <c r="D26" s="20"/>
      <c r="E26" s="20"/>
      <c r="F26" s="20">
        <v>492376</v>
      </c>
      <c r="G26" s="20">
        <v>7952364</v>
      </c>
      <c r="H26" s="20">
        <v>2052479</v>
      </c>
      <c r="I26" s="20"/>
      <c r="J26" s="22">
        <f>B26+D26+F26+G26+H26</f>
        <v>10497219</v>
      </c>
      <c r="K26" s="210" t="s">
        <v>37</v>
      </c>
      <c r="L26" s="95" t="s">
        <v>22</v>
      </c>
      <c r="M26" s="96"/>
      <c r="N26" s="97"/>
      <c r="O26" s="113">
        <f>Q26</f>
        <v>492376</v>
      </c>
      <c r="P26" s="111"/>
      <c r="Q26" s="111">
        <f>F26</f>
        <v>492376</v>
      </c>
      <c r="R26" s="98">
        <f t="shared" ref="R26" si="3">G26</f>
        <v>7952364</v>
      </c>
      <c r="S26" s="111">
        <f>G26</f>
        <v>7952364</v>
      </c>
      <c r="T26" s="98">
        <f>H26</f>
        <v>2052479</v>
      </c>
      <c r="U26" s="98"/>
      <c r="V26" s="100">
        <f t="shared" ref="V26:V27" si="4">J26</f>
        <v>10497219</v>
      </c>
      <c r="W26" s="151">
        <f>V26-J32</f>
        <v>-1026415</v>
      </c>
      <c r="X26" s="154"/>
      <c r="Y26" s="105"/>
      <c r="Z26" s="107"/>
      <c r="AA26" s="107"/>
      <c r="AB26" s="107"/>
      <c r="AC26" s="106"/>
      <c r="AD26" s="107"/>
      <c r="AE26" s="107"/>
      <c r="AF26" s="107"/>
      <c r="AG26" s="107"/>
      <c r="AH26" s="107"/>
      <c r="AI26" s="107"/>
      <c r="AJ26" s="107"/>
      <c r="AK26" s="112"/>
      <c r="AL26" s="18"/>
    </row>
    <row r="27" spans="1:38" ht="30.6" customHeight="1" x14ac:dyDescent="0.25">
      <c r="A27" s="19" t="s">
        <v>28</v>
      </c>
      <c r="B27" s="20"/>
      <c r="C27" s="20"/>
      <c r="D27" s="20"/>
      <c r="E27" s="20"/>
      <c r="F27" s="20">
        <v>462860</v>
      </c>
      <c r="G27" s="20">
        <v>6862065</v>
      </c>
      <c r="H27" s="20">
        <v>2185612</v>
      </c>
      <c r="I27" s="20"/>
      <c r="J27" s="22">
        <f>B27+D27+F27+G27+H27</f>
        <v>9510537</v>
      </c>
      <c r="K27" s="210"/>
      <c r="L27" s="95" t="s">
        <v>28</v>
      </c>
      <c r="M27" s="96"/>
      <c r="N27" s="97"/>
      <c r="O27" s="113">
        <f>Q27</f>
        <v>462860</v>
      </c>
      <c r="P27" s="111"/>
      <c r="Q27" s="111">
        <f>F27</f>
        <v>462860</v>
      </c>
      <c r="R27" s="98">
        <f>G27</f>
        <v>6862065</v>
      </c>
      <c r="S27" s="111">
        <f>G27</f>
        <v>6862065</v>
      </c>
      <c r="T27" s="98">
        <f>H27</f>
        <v>2185612</v>
      </c>
      <c r="U27" s="98"/>
      <c r="V27" s="100">
        <f t="shared" si="4"/>
        <v>9510537</v>
      </c>
      <c r="W27" s="151">
        <f>V27-J38</f>
        <v>-1348542</v>
      </c>
      <c r="X27" s="151"/>
      <c r="Y27" s="105"/>
      <c r="Z27" s="107"/>
      <c r="AA27" s="107"/>
      <c r="AB27" s="107"/>
      <c r="AC27" s="106"/>
      <c r="AD27" s="107"/>
      <c r="AE27" s="107"/>
      <c r="AF27" s="107"/>
      <c r="AG27" s="107"/>
      <c r="AH27" s="107"/>
      <c r="AI27" s="107"/>
      <c r="AJ27" s="107"/>
      <c r="AK27" s="112"/>
      <c r="AL27" s="18"/>
    </row>
    <row r="28" spans="1:38" ht="17.45" customHeight="1" x14ac:dyDescent="0.25">
      <c r="A28" s="46" t="s">
        <v>40</v>
      </c>
      <c r="B28" s="47">
        <f>B13+B16+B17+B21+B24+B25</f>
        <v>264918</v>
      </c>
      <c r="C28" s="47">
        <f t="shared" ref="C28:J28" si="5">C13+C16+C17+C21+C24+C25</f>
        <v>219867.08</v>
      </c>
      <c r="D28" s="47">
        <f t="shared" si="5"/>
        <v>6875299</v>
      </c>
      <c r="E28" s="47">
        <f t="shared" si="5"/>
        <v>4968803.9200000009</v>
      </c>
      <c r="F28" s="47">
        <f t="shared" si="5"/>
        <v>44508179</v>
      </c>
      <c r="G28" s="47">
        <f t="shared" si="5"/>
        <v>16786367</v>
      </c>
      <c r="H28" s="47">
        <f t="shared" si="5"/>
        <v>4238091</v>
      </c>
      <c r="I28" s="47"/>
      <c r="J28" s="47">
        <f t="shared" si="5"/>
        <v>70700916</v>
      </c>
      <c r="K28" s="64"/>
      <c r="L28" s="114"/>
      <c r="M28" s="115"/>
      <c r="N28" s="115"/>
      <c r="O28" s="116"/>
      <c r="P28" s="117"/>
      <c r="Q28" s="117"/>
      <c r="R28" s="116"/>
      <c r="S28" s="117"/>
      <c r="T28" s="116"/>
      <c r="U28" s="116"/>
      <c r="V28" s="118"/>
      <c r="W28" s="151"/>
      <c r="X28" s="151"/>
      <c r="Y28" s="105"/>
      <c r="Z28" s="107"/>
      <c r="AA28" s="107"/>
      <c r="AB28" s="107"/>
      <c r="AC28" s="106"/>
      <c r="AD28" s="107"/>
      <c r="AE28" s="107"/>
      <c r="AF28" s="107"/>
      <c r="AG28" s="107"/>
      <c r="AH28" s="107"/>
      <c r="AI28" s="107"/>
      <c r="AJ28" s="107"/>
      <c r="AK28" s="112"/>
      <c r="AL28" s="18"/>
    </row>
    <row r="29" spans="1:38" ht="17.45" customHeight="1" x14ac:dyDescent="0.25">
      <c r="A29" s="46" t="s">
        <v>41</v>
      </c>
      <c r="B29" s="47">
        <f>B14+B18+B19+B22+B23+B26+B27</f>
        <v>0</v>
      </c>
      <c r="C29" s="47">
        <f t="shared" ref="C29:H29" si="6">C14+C18+C19+C22+C23+C26+C27</f>
        <v>0</v>
      </c>
      <c r="D29" s="47">
        <f t="shared" si="6"/>
        <v>2544833</v>
      </c>
      <c r="E29" s="47">
        <f t="shared" si="6"/>
        <v>2133663</v>
      </c>
      <c r="F29" s="47">
        <f t="shared" si="6"/>
        <v>36506482</v>
      </c>
      <c r="G29" s="47">
        <f t="shared" si="6"/>
        <v>16615129</v>
      </c>
      <c r="H29" s="47">
        <f t="shared" si="6"/>
        <v>4238091</v>
      </c>
      <c r="I29" s="47"/>
      <c r="J29" s="47">
        <f>J14+J18+J19+J22+J23+J26+J27</f>
        <v>59904535</v>
      </c>
      <c r="K29" s="64"/>
      <c r="L29" s="114"/>
      <c r="M29" s="115"/>
      <c r="N29" s="115"/>
      <c r="O29" s="116"/>
      <c r="P29" s="117"/>
      <c r="Q29" s="117"/>
      <c r="R29" s="116"/>
      <c r="S29" s="117"/>
      <c r="T29" s="116"/>
      <c r="U29" s="116"/>
      <c r="V29" s="118"/>
      <c r="W29" s="151"/>
      <c r="X29" s="151"/>
      <c r="Y29" s="105"/>
      <c r="Z29" s="107"/>
      <c r="AA29" s="107"/>
      <c r="AB29" s="107"/>
      <c r="AC29" s="106"/>
      <c r="AD29" s="107"/>
      <c r="AE29" s="107"/>
      <c r="AF29" s="107"/>
      <c r="AG29" s="107"/>
      <c r="AH29" s="107"/>
      <c r="AI29" s="107"/>
      <c r="AJ29" s="107"/>
      <c r="AK29" s="112"/>
      <c r="AL29" s="18"/>
    </row>
    <row r="30" spans="1:38" ht="31.5" customHeight="1" x14ac:dyDescent="0.25">
      <c r="A30" s="55" t="s">
        <v>39</v>
      </c>
      <c r="B30" s="43"/>
      <c r="C30" s="43"/>
      <c r="D30" s="44"/>
      <c r="E30" s="44"/>
      <c r="F30" s="57">
        <f>SUM(F31:F39)</f>
        <v>2733222</v>
      </c>
      <c r="G30" s="57">
        <f>SUM(G31:G39)</f>
        <v>67056315</v>
      </c>
      <c r="H30" s="57">
        <f>SUM(H31:H39)</f>
        <v>32597036</v>
      </c>
      <c r="I30" s="57"/>
      <c r="J30" s="58">
        <f>SUM(J31:J39)</f>
        <v>102386573</v>
      </c>
      <c r="K30" s="59" t="s">
        <v>38</v>
      </c>
      <c r="L30" s="147"/>
      <c r="M30" s="147"/>
      <c r="N30" s="150"/>
      <c r="O30" s="150"/>
      <c r="P30" s="150"/>
      <c r="Q30" s="150"/>
      <c r="R30" s="150"/>
      <c r="S30" s="150"/>
      <c r="T30" s="147"/>
      <c r="U30" s="147"/>
      <c r="V30" s="147"/>
      <c r="W30" s="147"/>
      <c r="X30" s="147"/>
      <c r="Y30" s="155"/>
      <c r="Z30" s="156"/>
      <c r="AA30" s="156"/>
      <c r="AB30" s="156"/>
      <c r="AC30" s="156"/>
      <c r="AD30" s="156"/>
      <c r="AE30" s="156"/>
      <c r="AF30" s="156"/>
      <c r="AG30" s="156"/>
      <c r="AH30" s="156"/>
      <c r="AI30" s="156"/>
      <c r="AJ30" s="156"/>
      <c r="AK30" s="156"/>
      <c r="AL30" s="18"/>
    </row>
    <row r="31" spans="1:38" ht="25.5" x14ac:dyDescent="0.25">
      <c r="A31" s="19" t="s">
        <v>21</v>
      </c>
      <c r="B31" s="20"/>
      <c r="C31" s="20"/>
      <c r="D31" s="20"/>
      <c r="E31" s="20"/>
      <c r="F31" s="20">
        <v>397806</v>
      </c>
      <c r="G31" s="20">
        <v>8562389</v>
      </c>
      <c r="H31" s="31">
        <v>3014447</v>
      </c>
      <c r="I31" s="31"/>
      <c r="J31" s="22">
        <f>F31+G31+H31</f>
        <v>11974642</v>
      </c>
      <c r="K31" s="38"/>
      <c r="L31" s="95" t="s">
        <v>21</v>
      </c>
      <c r="M31" s="96"/>
      <c r="N31" s="97"/>
      <c r="O31" s="113">
        <f>Q31</f>
        <v>452573</v>
      </c>
      <c r="P31" s="111"/>
      <c r="Q31" s="111">
        <v>452573</v>
      </c>
      <c r="R31" s="98">
        <v>5815433</v>
      </c>
      <c r="S31" s="111">
        <v>5815433</v>
      </c>
      <c r="T31" s="98">
        <v>5705562</v>
      </c>
      <c r="U31" s="98"/>
      <c r="V31" s="100">
        <f>Q31+R31+T31</f>
        <v>11973568</v>
      </c>
      <c r="W31" s="151">
        <f>V31-J31</f>
        <v>-1074</v>
      </c>
      <c r="X31" s="151"/>
      <c r="Y31" s="119"/>
      <c r="Z31" s="120"/>
      <c r="AA31" s="121"/>
      <c r="AB31" s="121"/>
      <c r="AC31" s="121"/>
      <c r="AD31" s="121"/>
      <c r="AE31" s="121"/>
      <c r="AF31" s="121"/>
      <c r="AG31" s="121"/>
      <c r="AH31" s="121"/>
      <c r="AI31" s="121"/>
      <c r="AJ31" s="120"/>
      <c r="AK31" s="122"/>
      <c r="AL31" s="18"/>
    </row>
    <row r="32" spans="1:38" ht="38.25" x14ac:dyDescent="0.25">
      <c r="A32" s="56" t="s">
        <v>22</v>
      </c>
      <c r="B32" s="20"/>
      <c r="C32" s="20"/>
      <c r="D32" s="20"/>
      <c r="E32" s="20"/>
      <c r="F32" s="20">
        <v>238611</v>
      </c>
      <c r="G32" s="20">
        <v>7586557</v>
      </c>
      <c r="H32" s="31">
        <v>3698466</v>
      </c>
      <c r="I32" s="31"/>
      <c r="J32" s="22">
        <f t="shared" ref="J32:J39" si="7">F32+G32+H32</f>
        <v>11523634</v>
      </c>
      <c r="K32" s="51" t="s">
        <v>44</v>
      </c>
      <c r="L32" s="105"/>
      <c r="M32" s="123"/>
      <c r="N32" s="123"/>
      <c r="O32" s="106"/>
      <c r="P32" s="106"/>
      <c r="Q32" s="106"/>
      <c r="R32" s="106"/>
      <c r="S32" s="106"/>
      <c r="T32" s="106"/>
      <c r="U32" s="106"/>
      <c r="V32" s="106"/>
      <c r="W32" s="157"/>
      <c r="X32" s="149"/>
      <c r="Y32" s="150"/>
      <c r="Z32" s="151"/>
      <c r="AA32" s="151"/>
      <c r="AB32" s="151"/>
      <c r="AC32" s="151"/>
      <c r="AD32" s="151"/>
      <c r="AE32" s="151"/>
      <c r="AF32" s="151"/>
      <c r="AG32" s="151"/>
      <c r="AH32" s="151"/>
      <c r="AI32" s="151"/>
      <c r="AJ32" s="151"/>
      <c r="AK32" s="151"/>
      <c r="AL32" s="18"/>
    </row>
    <row r="33" spans="1:38" ht="38.25" x14ac:dyDescent="0.25">
      <c r="A33" s="19" t="s">
        <v>23</v>
      </c>
      <c r="B33" s="20"/>
      <c r="C33" s="20"/>
      <c r="D33" s="20"/>
      <c r="E33" s="20"/>
      <c r="F33" s="20">
        <v>344607</v>
      </c>
      <c r="G33" s="20">
        <v>7058290</v>
      </c>
      <c r="H33" s="31">
        <v>2516639</v>
      </c>
      <c r="I33" s="31"/>
      <c r="J33" s="22">
        <f t="shared" si="7"/>
        <v>9919536</v>
      </c>
      <c r="K33" s="162" t="s">
        <v>45</v>
      </c>
      <c r="L33" s="105"/>
      <c r="M33" s="123"/>
      <c r="N33" s="123"/>
      <c r="O33" s="106"/>
      <c r="P33" s="123"/>
      <c r="Q33" s="123"/>
      <c r="R33" s="106"/>
      <c r="S33" s="123"/>
      <c r="T33" s="106"/>
      <c r="U33" s="106"/>
      <c r="V33" s="124"/>
      <c r="W33" s="157"/>
      <c r="X33" s="157"/>
      <c r="Y33" s="108" t="s">
        <v>23</v>
      </c>
      <c r="Z33" s="103"/>
      <c r="AA33" s="102">
        <v>0</v>
      </c>
      <c r="AB33" s="102"/>
      <c r="AC33" s="102"/>
      <c r="AD33" s="102"/>
      <c r="AE33" s="102">
        <v>344607</v>
      </c>
      <c r="AF33" s="102">
        <f>AG33</f>
        <v>2388159.67</v>
      </c>
      <c r="AG33" s="102">
        <v>2388159.67</v>
      </c>
      <c r="AH33" s="102">
        <v>7150725.75</v>
      </c>
      <c r="AI33" s="102">
        <v>1349775.58</v>
      </c>
      <c r="AJ33" s="103">
        <f>Z33+AA33+AC33+AF33+AH33+AI33</f>
        <v>10888661</v>
      </c>
      <c r="AK33" s="261" t="s">
        <v>56</v>
      </c>
      <c r="AL33" s="18"/>
    </row>
    <row r="34" spans="1:38" ht="38.25" x14ac:dyDescent="0.25">
      <c r="A34" s="19" t="s">
        <v>24</v>
      </c>
      <c r="B34" s="20"/>
      <c r="C34" s="20"/>
      <c r="D34" s="20"/>
      <c r="E34" s="20"/>
      <c r="F34" s="20">
        <v>344171</v>
      </c>
      <c r="G34" s="20">
        <v>6297134</v>
      </c>
      <c r="H34" s="31">
        <v>2761353</v>
      </c>
      <c r="I34" s="31"/>
      <c r="J34" s="22">
        <f t="shared" si="7"/>
        <v>9402658</v>
      </c>
      <c r="K34" s="162" t="s">
        <v>45</v>
      </c>
      <c r="L34" s="105"/>
      <c r="M34" s="123"/>
      <c r="N34" s="123"/>
      <c r="O34" s="125"/>
      <c r="P34" s="125"/>
      <c r="Q34" s="125"/>
      <c r="R34" s="126"/>
      <c r="S34" s="127"/>
      <c r="T34" s="106"/>
      <c r="U34" s="106"/>
      <c r="V34" s="124"/>
      <c r="W34" s="157"/>
      <c r="X34" s="157"/>
      <c r="Y34" s="108" t="s">
        <v>24</v>
      </c>
      <c r="Z34" s="103"/>
      <c r="AA34" s="102">
        <v>0</v>
      </c>
      <c r="AB34" s="102"/>
      <c r="AC34" s="102"/>
      <c r="AD34" s="102"/>
      <c r="AE34" s="102">
        <v>344171</v>
      </c>
      <c r="AF34" s="102">
        <f>AG34</f>
        <v>2311954.0699999998</v>
      </c>
      <c r="AG34" s="102">
        <v>2311954.0699999998</v>
      </c>
      <c r="AH34" s="102">
        <v>6723852.1500000004</v>
      </c>
      <c r="AI34" s="102">
        <v>1282078.78</v>
      </c>
      <c r="AJ34" s="103">
        <f>Z34+AA34+AC34+AF34+AH34+AI34</f>
        <v>10317885</v>
      </c>
      <c r="AK34" s="261" t="s">
        <v>56</v>
      </c>
      <c r="AL34" s="18"/>
    </row>
    <row r="35" spans="1:38" ht="38.25" x14ac:dyDescent="0.25">
      <c r="A35" s="19" t="s">
        <v>25</v>
      </c>
      <c r="B35" s="20"/>
      <c r="C35" s="20"/>
      <c r="D35" s="20"/>
      <c r="E35" s="20"/>
      <c r="F35" s="20">
        <v>338886</v>
      </c>
      <c r="G35" s="20">
        <v>9402237</v>
      </c>
      <c r="H35" s="31">
        <v>4113219</v>
      </c>
      <c r="I35" s="31"/>
      <c r="J35" s="22">
        <f t="shared" si="7"/>
        <v>13854342</v>
      </c>
      <c r="K35" s="162" t="s">
        <v>46</v>
      </c>
      <c r="L35" s="95" t="s">
        <v>25</v>
      </c>
      <c r="M35" s="96">
        <f t="shared" ref="M35:M39" si="8">D35</f>
        <v>0</v>
      </c>
      <c r="N35" s="128"/>
      <c r="O35" s="113">
        <v>145164</v>
      </c>
      <c r="P35" s="129"/>
      <c r="Q35" s="129">
        <f t="shared" ref="Q35:Q39" si="9">O35</f>
        <v>145164</v>
      </c>
      <c r="R35" s="98">
        <v>6678062</v>
      </c>
      <c r="S35" s="129">
        <f t="shared" ref="S35:S39" si="10">R35</f>
        <v>6678062</v>
      </c>
      <c r="T35" s="98">
        <v>6324200</v>
      </c>
      <c r="U35" s="98"/>
      <c r="V35" s="100">
        <f>O35+R35+T35</f>
        <v>13147426</v>
      </c>
      <c r="W35" s="151">
        <f>V35-J35</f>
        <v>-706916</v>
      </c>
      <c r="X35" s="151"/>
      <c r="Y35" s="147"/>
      <c r="Z35" s="151"/>
      <c r="AA35" s="151"/>
      <c r="AB35" s="151"/>
      <c r="AC35" s="151"/>
      <c r="AD35" s="151"/>
      <c r="AE35" s="151"/>
      <c r="AF35" s="151"/>
      <c r="AG35" s="151"/>
      <c r="AH35" s="151"/>
      <c r="AI35" s="151"/>
      <c r="AJ35" s="151"/>
      <c r="AK35" s="153"/>
      <c r="AL35" s="18"/>
    </row>
    <row r="36" spans="1:38" ht="38.25" x14ac:dyDescent="0.25">
      <c r="A36" s="19" t="s">
        <v>26</v>
      </c>
      <c r="B36" s="20"/>
      <c r="C36" s="20"/>
      <c r="D36" s="20"/>
      <c r="E36" s="20"/>
      <c r="F36" s="20">
        <v>261626</v>
      </c>
      <c r="G36" s="20">
        <v>7754572</v>
      </c>
      <c r="H36" s="31">
        <v>5166078</v>
      </c>
      <c r="I36" s="31"/>
      <c r="J36" s="22">
        <f t="shared" si="7"/>
        <v>13182276</v>
      </c>
      <c r="K36" s="162" t="s">
        <v>46</v>
      </c>
      <c r="L36" s="130" t="s">
        <v>26</v>
      </c>
      <c r="M36" s="131">
        <f t="shared" si="8"/>
        <v>0</v>
      </c>
      <c r="N36" s="132"/>
      <c r="O36" s="133">
        <v>176442</v>
      </c>
      <c r="P36" s="134"/>
      <c r="Q36" s="134">
        <f t="shared" si="9"/>
        <v>176442</v>
      </c>
      <c r="R36" s="135">
        <v>5236340</v>
      </c>
      <c r="S36" s="134">
        <f t="shared" si="10"/>
        <v>5236340</v>
      </c>
      <c r="T36" s="135">
        <v>5341314</v>
      </c>
      <c r="U36" s="135"/>
      <c r="V36" s="136">
        <f>O36+R36+T36</f>
        <v>10754096</v>
      </c>
      <c r="W36" s="151">
        <f>V36-J36</f>
        <v>-2428180</v>
      </c>
      <c r="X36" s="151"/>
      <c r="Y36" s="147"/>
      <c r="Z36" s="151"/>
      <c r="AA36" s="151"/>
      <c r="AB36" s="151"/>
      <c r="AC36" s="151"/>
      <c r="AD36" s="151"/>
      <c r="AE36" s="151"/>
      <c r="AF36" s="151"/>
      <c r="AG36" s="151"/>
      <c r="AH36" s="151"/>
      <c r="AI36" s="151"/>
      <c r="AJ36" s="151"/>
      <c r="AK36" s="153"/>
      <c r="AL36" s="18"/>
    </row>
    <row r="37" spans="1:38" ht="42" customHeight="1" x14ac:dyDescent="0.25">
      <c r="A37" s="19" t="s">
        <v>27</v>
      </c>
      <c r="B37" s="20"/>
      <c r="C37" s="20"/>
      <c r="D37" s="20"/>
      <c r="E37" s="20"/>
      <c r="F37" s="20">
        <v>277652</v>
      </c>
      <c r="G37" s="20">
        <v>7648185</v>
      </c>
      <c r="H37" s="31">
        <v>2743877</v>
      </c>
      <c r="I37" s="31"/>
      <c r="J37" s="22">
        <f t="shared" si="7"/>
        <v>10669714</v>
      </c>
      <c r="K37" s="162" t="s">
        <v>45</v>
      </c>
      <c r="L37" s="137"/>
      <c r="M37" s="138"/>
      <c r="N37" s="138"/>
      <c r="O37" s="139"/>
      <c r="P37" s="139"/>
      <c r="Q37" s="139"/>
      <c r="R37" s="139"/>
      <c r="S37" s="139"/>
      <c r="T37" s="139"/>
      <c r="U37" s="139"/>
      <c r="V37" s="140"/>
      <c r="W37" s="151">
        <f>N37+P37+Q37+S37+T37</f>
        <v>0</v>
      </c>
      <c r="X37" s="151"/>
      <c r="Y37" s="108" t="s">
        <v>27</v>
      </c>
      <c r="Z37" s="103"/>
      <c r="AA37" s="102">
        <v>0</v>
      </c>
      <c r="AB37" s="102"/>
      <c r="AC37" s="102"/>
      <c r="AD37" s="102"/>
      <c r="AE37" s="102">
        <f>AC37</f>
        <v>0</v>
      </c>
      <c r="AF37" s="102">
        <f>AG37</f>
        <v>2369818.17</v>
      </c>
      <c r="AG37" s="102">
        <v>2369818.17</v>
      </c>
      <c r="AH37" s="102">
        <v>6991965.75</v>
      </c>
      <c r="AI37" s="102">
        <v>1320008.08</v>
      </c>
      <c r="AJ37" s="103">
        <f>Z37+AA37+AC37+AF37+AH37+AI37</f>
        <v>10681792</v>
      </c>
      <c r="AK37" s="261" t="s">
        <v>56</v>
      </c>
      <c r="AL37" s="18"/>
    </row>
    <row r="38" spans="1:38" ht="38.25" x14ac:dyDescent="0.25">
      <c r="A38" s="56" t="s">
        <v>28</v>
      </c>
      <c r="B38" s="20"/>
      <c r="C38" s="20"/>
      <c r="D38" s="20"/>
      <c r="E38" s="20"/>
      <c r="F38" s="20">
        <v>265548</v>
      </c>
      <c r="G38" s="20">
        <v>6523898</v>
      </c>
      <c r="H38" s="31">
        <v>4069633</v>
      </c>
      <c r="I38" s="31"/>
      <c r="J38" s="22">
        <f t="shared" si="7"/>
        <v>10859079</v>
      </c>
      <c r="K38" s="162" t="s">
        <v>44</v>
      </c>
      <c r="L38" s="105"/>
      <c r="M38" s="123"/>
      <c r="N38" s="123"/>
      <c r="O38" s="106"/>
      <c r="P38" s="123"/>
      <c r="Q38" s="125"/>
      <c r="R38" s="125"/>
      <c r="S38" s="125"/>
      <c r="T38" s="126"/>
      <c r="U38" s="126"/>
      <c r="V38" s="127"/>
      <c r="W38" s="158">
        <f>N38+P38+Q38+S38+T38</f>
        <v>0</v>
      </c>
      <c r="X38" s="151"/>
      <c r="Y38" s="147"/>
      <c r="Z38" s="151"/>
      <c r="AA38" s="151"/>
      <c r="AB38" s="151"/>
      <c r="AC38" s="151"/>
      <c r="AD38" s="151"/>
      <c r="AE38" s="151"/>
      <c r="AF38" s="151"/>
      <c r="AG38" s="151"/>
      <c r="AH38" s="151"/>
      <c r="AI38" s="151"/>
      <c r="AJ38" s="151"/>
      <c r="AK38" s="151"/>
      <c r="AL38" s="18"/>
    </row>
    <row r="39" spans="1:38" ht="38.25" x14ac:dyDescent="0.25">
      <c r="A39" s="19" t="s">
        <v>29</v>
      </c>
      <c r="B39" s="20"/>
      <c r="C39" s="20"/>
      <c r="D39" s="20"/>
      <c r="E39" s="20"/>
      <c r="F39" s="20">
        <v>264315</v>
      </c>
      <c r="G39" s="20">
        <v>6223053</v>
      </c>
      <c r="H39" s="31">
        <v>4513324</v>
      </c>
      <c r="I39" s="31"/>
      <c r="J39" s="22">
        <f t="shared" si="7"/>
        <v>11000692</v>
      </c>
      <c r="K39" s="162" t="s">
        <v>46</v>
      </c>
      <c r="L39" s="95" t="s">
        <v>29</v>
      </c>
      <c r="M39" s="96">
        <f t="shared" si="8"/>
        <v>0</v>
      </c>
      <c r="N39" s="97"/>
      <c r="O39" s="113">
        <v>176700</v>
      </c>
      <c r="P39" s="129"/>
      <c r="Q39" s="129">
        <f t="shared" si="9"/>
        <v>176700</v>
      </c>
      <c r="R39" s="141">
        <v>4087460</v>
      </c>
      <c r="S39" s="129">
        <f t="shared" si="10"/>
        <v>4087460</v>
      </c>
      <c r="T39" s="141">
        <v>5985404</v>
      </c>
      <c r="U39" s="141"/>
      <c r="V39" s="142">
        <f>O39+R39+T39</f>
        <v>10249564</v>
      </c>
      <c r="W39" s="151">
        <f>V39-J39</f>
        <v>-751128</v>
      </c>
      <c r="X39" s="151"/>
      <c r="Y39" s="147"/>
      <c r="Z39" s="151"/>
      <c r="AA39" s="151"/>
      <c r="AB39" s="151"/>
      <c r="AC39" s="151"/>
      <c r="AD39" s="151"/>
      <c r="AE39" s="151"/>
      <c r="AF39" s="151"/>
      <c r="AG39" s="151"/>
      <c r="AH39" s="151"/>
      <c r="AI39" s="151"/>
      <c r="AJ39" s="157"/>
      <c r="AK39" s="151"/>
      <c r="AL39" s="18"/>
    </row>
    <row r="40" spans="1:38" ht="78" customHeight="1" x14ac:dyDescent="0.25">
      <c r="A40" s="11" t="s">
        <v>50</v>
      </c>
      <c r="B40" s="9"/>
      <c r="C40" s="9"/>
      <c r="D40" s="9"/>
      <c r="E40" s="9"/>
      <c r="F40" s="9">
        <v>92536</v>
      </c>
      <c r="G40" s="9">
        <v>148345</v>
      </c>
      <c r="H40" s="9">
        <v>108907</v>
      </c>
      <c r="I40" s="9">
        <v>45982</v>
      </c>
      <c r="J40" s="9">
        <f>F40+G40+H40+I40</f>
        <v>395770</v>
      </c>
      <c r="K40" s="8" t="s">
        <v>114</v>
      </c>
      <c r="L40" s="143" t="s">
        <v>50</v>
      </c>
      <c r="M40" s="144"/>
      <c r="N40" s="97"/>
      <c r="O40" s="256">
        <f>F40</f>
        <v>92536</v>
      </c>
      <c r="P40" s="129"/>
      <c r="Q40" s="129">
        <f>O40</f>
        <v>92536</v>
      </c>
      <c r="R40" s="257">
        <f>G40</f>
        <v>148345</v>
      </c>
      <c r="S40" s="129">
        <f>R40</f>
        <v>148345</v>
      </c>
      <c r="T40" s="257">
        <f>H40</f>
        <v>108907</v>
      </c>
      <c r="U40" s="257">
        <f>I40</f>
        <v>45982</v>
      </c>
      <c r="V40" s="144">
        <f>O40+R40+T40+U40</f>
        <v>395770</v>
      </c>
      <c r="W40" s="151"/>
      <c r="X40" s="147"/>
      <c r="Y40" s="147"/>
      <c r="Z40" s="151"/>
      <c r="AA40" s="151"/>
      <c r="AB40" s="151"/>
      <c r="AC40" s="151"/>
      <c r="AD40" s="151"/>
      <c r="AE40" s="151"/>
      <c r="AF40" s="151"/>
      <c r="AG40" s="151"/>
      <c r="AH40" s="151"/>
      <c r="AI40" s="151"/>
      <c r="AJ40" s="157"/>
      <c r="AK40" s="151"/>
    </row>
    <row r="41" spans="1:38" ht="48" customHeight="1" x14ac:dyDescent="0.25">
      <c r="B41" s="63"/>
      <c r="C41" s="62"/>
      <c r="D41" s="62"/>
      <c r="E41" s="63"/>
      <c r="F41" s="62"/>
      <c r="G41" s="62"/>
      <c r="H41" s="62"/>
      <c r="I41" s="61"/>
      <c r="L41" s="159" t="s">
        <v>53</v>
      </c>
      <c r="M41" s="100"/>
      <c r="N41" s="258">
        <f t="shared" ref="N41:U41" si="11">SUM(N13:N40)</f>
        <v>2251429.21</v>
      </c>
      <c r="O41" s="100"/>
      <c r="P41" s="259">
        <f>P14+Q14+P18+Q18+P19+Q19+P22+Q22+P23+Q23+Q26+Q27+Q31+Q35+Q36+Q39+Q40</f>
        <v>22324382</v>
      </c>
      <c r="Q41" s="260"/>
      <c r="R41" s="100"/>
      <c r="S41" s="258">
        <f t="shared" si="11"/>
        <v>54099688</v>
      </c>
      <c r="T41" s="258">
        <f t="shared" si="11"/>
        <v>27703478</v>
      </c>
      <c r="U41" s="258">
        <f t="shared" si="11"/>
        <v>45982</v>
      </c>
      <c r="V41" s="258">
        <f>SUM(V13:V40)</f>
        <v>106424959</v>
      </c>
      <c r="W41" s="145">
        <f>SUM(W26:W39)</f>
        <v>-6262255</v>
      </c>
      <c r="X41" s="147"/>
      <c r="Y41" s="146" t="s">
        <v>55</v>
      </c>
      <c r="Z41" s="103"/>
      <c r="AA41" s="103"/>
      <c r="AB41" s="103"/>
      <c r="AC41" s="103">
        <f>AC33+AC34+AC37</f>
        <v>0</v>
      </c>
      <c r="AD41" s="103"/>
      <c r="AE41" s="103">
        <f>AE33+AE34+AE37</f>
        <v>688778</v>
      </c>
      <c r="AF41" s="103">
        <f t="shared" ref="AF41:AJ41" si="12">AF33+AF34+AF37</f>
        <v>7069931.9100000001</v>
      </c>
      <c r="AG41" s="103">
        <f t="shared" si="12"/>
        <v>7069931.9100000001</v>
      </c>
      <c r="AH41" s="103">
        <f t="shared" si="12"/>
        <v>20866543.649999999</v>
      </c>
      <c r="AI41" s="103">
        <f t="shared" si="12"/>
        <v>3951862.4400000004</v>
      </c>
      <c r="AJ41" s="103">
        <f t="shared" si="12"/>
        <v>31888338</v>
      </c>
      <c r="AK41" s="262" t="s">
        <v>56</v>
      </c>
    </row>
    <row r="42" spans="1:38" ht="26.25" x14ac:dyDescent="0.25">
      <c r="B42" s="62"/>
      <c r="C42" s="62"/>
      <c r="D42" s="62"/>
      <c r="E42" s="63"/>
      <c r="F42" s="62"/>
      <c r="G42" s="42"/>
      <c r="J42" s="48"/>
      <c r="L42" s="147"/>
      <c r="M42" s="147"/>
      <c r="N42" s="160"/>
      <c r="O42" s="147"/>
      <c r="P42" s="160"/>
      <c r="Q42" s="160"/>
      <c r="R42" s="147"/>
      <c r="S42" s="160"/>
      <c r="T42" s="147"/>
      <c r="U42" s="147"/>
      <c r="V42" s="147"/>
      <c r="W42" s="161" t="s">
        <v>52</v>
      </c>
      <c r="X42" s="147"/>
      <c r="Y42" s="147"/>
      <c r="Z42" s="147"/>
      <c r="AA42" s="147"/>
      <c r="AB42" s="147"/>
      <c r="AC42" s="147"/>
      <c r="AD42" s="147"/>
      <c r="AE42" s="147"/>
      <c r="AF42" s="147"/>
      <c r="AG42" s="147"/>
      <c r="AH42" s="147"/>
      <c r="AI42" s="147"/>
      <c r="AJ42" s="147"/>
      <c r="AK42" s="147"/>
    </row>
    <row r="43" spans="1:38" x14ac:dyDescent="0.25">
      <c r="B43" s="60"/>
      <c r="C43" s="60"/>
      <c r="D43" s="60"/>
      <c r="E43" s="60"/>
      <c r="F43" s="61"/>
      <c r="G43" s="42"/>
      <c r="J43" s="48"/>
      <c r="L43" s="147"/>
      <c r="M43" s="147"/>
      <c r="N43" s="160"/>
      <c r="O43" s="147"/>
      <c r="P43" s="160"/>
      <c r="Q43" s="160"/>
      <c r="R43" s="147"/>
      <c r="S43" s="160"/>
      <c r="T43" s="147"/>
      <c r="U43" s="147"/>
      <c r="V43" s="147"/>
      <c r="W43" s="147"/>
      <c r="X43" s="147"/>
      <c r="Y43" s="147"/>
      <c r="Z43" s="147"/>
      <c r="AA43" s="147"/>
      <c r="AB43" s="147"/>
      <c r="AC43" s="147"/>
      <c r="AD43" s="147"/>
      <c r="AE43" s="147"/>
      <c r="AF43" s="147"/>
      <c r="AG43" s="147"/>
      <c r="AH43" s="147"/>
      <c r="AI43" s="147"/>
      <c r="AJ43" s="147"/>
      <c r="AK43" s="147"/>
    </row>
    <row r="44" spans="1:38" x14ac:dyDescent="0.25">
      <c r="B44" s="42"/>
      <c r="C44" s="42"/>
      <c r="D44" s="42"/>
      <c r="E44" s="42"/>
      <c r="F44" s="42"/>
      <c r="G44" s="42"/>
      <c r="L44" s="147"/>
      <c r="M44" s="147"/>
      <c r="N44" s="160"/>
      <c r="O44" s="147"/>
      <c r="P44" s="160"/>
      <c r="Q44" s="160"/>
      <c r="R44" s="147"/>
      <c r="S44" s="160"/>
      <c r="T44" s="147"/>
      <c r="U44" s="147"/>
      <c r="V44" s="147"/>
      <c r="W44" s="147"/>
      <c r="X44" s="147"/>
      <c r="Y44" s="147"/>
      <c r="Z44" s="147"/>
      <c r="AA44" s="147"/>
      <c r="AB44" s="147"/>
      <c r="AC44" s="147"/>
      <c r="AD44" s="147"/>
      <c r="AE44" s="147"/>
      <c r="AF44" s="147"/>
      <c r="AG44" s="147"/>
      <c r="AH44" s="147"/>
      <c r="AI44" s="147"/>
      <c r="AJ44" s="147"/>
      <c r="AK44" s="147"/>
    </row>
    <row r="45" spans="1:38" x14ac:dyDescent="0.25">
      <c r="B45" s="41"/>
      <c r="C45" s="42"/>
      <c r="D45" s="42"/>
      <c r="E45" s="42"/>
      <c r="F45" s="42"/>
      <c r="G45" s="42"/>
      <c r="L45" s="147"/>
      <c r="M45" s="147"/>
      <c r="N45" s="160"/>
      <c r="O45" s="147"/>
      <c r="P45" s="160"/>
      <c r="Q45" s="160"/>
      <c r="R45" s="147"/>
      <c r="S45" s="160"/>
      <c r="T45" s="147"/>
      <c r="U45" s="147"/>
      <c r="V45" s="147"/>
      <c r="W45" s="147"/>
      <c r="X45" s="147"/>
      <c r="Y45" s="147"/>
      <c r="Z45" s="147"/>
      <c r="AA45" s="147"/>
      <c r="AB45" s="147"/>
      <c r="AC45" s="147"/>
      <c r="AD45" s="147"/>
      <c r="AE45" s="147"/>
      <c r="AF45" s="147"/>
      <c r="AG45" s="147"/>
      <c r="AH45" s="147"/>
      <c r="AI45" s="147"/>
      <c r="AJ45" s="147"/>
      <c r="AK45" s="147"/>
    </row>
  </sheetData>
  <mergeCells count="37">
    <mergeCell ref="A1:AK2"/>
    <mergeCell ref="Y4:AK5"/>
    <mergeCell ref="K22:K23"/>
    <mergeCell ref="AD7:AD12"/>
    <mergeCell ref="AE7:AE12"/>
    <mergeCell ref="AF7:AF12"/>
    <mergeCell ref="AG7:AG12"/>
    <mergeCell ref="AH7:AH12"/>
    <mergeCell ref="L4:W5"/>
    <mergeCell ref="Y7:Y12"/>
    <mergeCell ref="AA7:AA12"/>
    <mergeCell ref="AB7:AB12"/>
    <mergeCell ref="AC7:AC12"/>
    <mergeCell ref="S7:S12"/>
    <mergeCell ref="AK7:AK12"/>
    <mergeCell ref="A4:K4"/>
    <mergeCell ref="K26:K27"/>
    <mergeCell ref="K18:K19"/>
    <mergeCell ref="U7:U12"/>
    <mergeCell ref="AJ7:AJ12"/>
    <mergeCell ref="P41:Q41"/>
    <mergeCell ref="AI7:AI12"/>
    <mergeCell ref="K9:K10"/>
    <mergeCell ref="Z7:Z12"/>
    <mergeCell ref="V7:V12"/>
    <mergeCell ref="W7:W12"/>
    <mergeCell ref="A3:AK3"/>
    <mergeCell ref="A5:A6"/>
    <mergeCell ref="L7:L12"/>
    <mergeCell ref="M7:M12"/>
    <mergeCell ref="M6:T6"/>
    <mergeCell ref="O7:O12"/>
    <mergeCell ref="P7:P12"/>
    <mergeCell ref="Q7:Q12"/>
    <mergeCell ref="N7:N12"/>
    <mergeCell ref="R7:R12"/>
    <mergeCell ref="T7:T12"/>
  </mergeCell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1.pielikums_proj.vad. un admin.</vt:lpstr>
      <vt:lpstr>2.pielikums_pārskats par finans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Larisa Tumaņana</dc:creator>
  <cp:lastModifiedBy>Larisa Tumaņana</cp:lastModifiedBy>
  <dcterms:created xsi:type="dcterms:W3CDTF">2025-03-24T08:37:02Z</dcterms:created>
  <dcterms:modified xsi:type="dcterms:W3CDTF">2025-07-15T06:59:26Z</dcterms:modified>
</cp:coreProperties>
</file>