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iem-ds.iem.gov.lv\U disks\inga.osina\Dokumenti\Inga\Projekti\2026\Patvērumu likums\TAP\"/>
    </mc:Choice>
  </mc:AlternateContent>
  <xr:revisionPtr revIDLastSave="0" documentId="13_ncr:1_{F20D4B3E-B854-445F-BBA4-4724492A8D66}" xr6:coauthVersionLast="47" xr6:coauthVersionMax="47" xr10:uidLastSave="{00000000-0000-0000-0000-000000000000}"/>
  <bookViews>
    <workbookView xWindow="14955" yWindow="1215" windowWidth="16950" windowHeight="14445" xr2:uid="{BECD8A43-1C25-4680-A887-B8EB9EFF2A5E}"/>
  </bookViews>
  <sheets>
    <sheet name="Kopā 2027" sheetId="7" r:id="rId1"/>
    <sheet name="1. tab_papildu amata vietas" sheetId="2" r:id="rId2"/>
    <sheet name="2.tab_PLN" sheetId="4" r:id="rId3"/>
    <sheet name="3.tab_Mucenieki" sheetId="3" r:id="rId4"/>
    <sheet name="4.tab_Liepna" sheetId="6"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7" i="3" l="1"/>
  <c r="F73" i="7" l="1"/>
  <c r="F72" i="7"/>
  <c r="F71" i="7"/>
  <c r="D19" i="7" l="1"/>
  <c r="D20" i="7"/>
  <c r="G63" i="7" l="1"/>
  <c r="G66" i="7"/>
  <c r="F74" i="7" l="1"/>
  <c r="G72" i="7"/>
  <c r="G71" i="7" s="1"/>
  <c r="E72" i="7"/>
  <c r="E71" i="7" s="1"/>
  <c r="D72" i="7"/>
  <c r="G68" i="7"/>
  <c r="F68" i="7"/>
  <c r="E68" i="7"/>
  <c r="D68" i="7"/>
  <c r="G67" i="7"/>
  <c r="G65" i="7" s="1"/>
  <c r="F65" i="7"/>
  <c r="E65" i="7"/>
  <c r="D65" i="7"/>
  <c r="G64" i="7"/>
  <c r="F62" i="7"/>
  <c r="E62" i="7"/>
  <c r="D62" i="7"/>
  <c r="G61" i="7"/>
  <c r="G60" i="7"/>
  <c r="F56" i="7"/>
  <c r="E56" i="7"/>
  <c r="D56" i="7"/>
  <c r="G51" i="7"/>
  <c r="E51" i="7"/>
  <c r="D51" i="7"/>
  <c r="E50" i="7"/>
  <c r="E49" i="7"/>
  <c r="G47" i="7"/>
  <c r="D47" i="7"/>
  <c r="G39" i="7"/>
  <c r="E39" i="7"/>
  <c r="D39" i="7"/>
  <c r="G36" i="7"/>
  <c r="E36" i="7"/>
  <c r="D36" i="7"/>
  <c r="G32" i="7"/>
  <c r="E32" i="7"/>
  <c r="D32" i="7"/>
  <c r="G27" i="7"/>
  <c r="D27" i="7"/>
  <c r="E27" i="7"/>
  <c r="G23" i="7"/>
  <c r="F23" i="7"/>
  <c r="E23" i="7"/>
  <c r="D23" i="7"/>
  <c r="G10" i="7"/>
  <c r="F10" i="7"/>
  <c r="E10" i="7"/>
  <c r="D10" i="7"/>
  <c r="D71" i="7" l="1"/>
  <c r="F46" i="7"/>
  <c r="F16" i="7"/>
  <c r="D46" i="7"/>
  <c r="D16" i="7" s="1"/>
  <c r="E47" i="7"/>
  <c r="E46" i="7" s="1"/>
  <c r="E16" i="7" s="1"/>
  <c r="E9" i="7" s="1"/>
  <c r="G62" i="7"/>
  <c r="G56" i="7"/>
  <c r="D9" i="7" l="1"/>
  <c r="F9" i="7"/>
  <c r="G46" i="7"/>
  <c r="G16" i="7" s="1"/>
  <c r="G9" i="7"/>
  <c r="F13" i="6"/>
  <c r="M12" i="6"/>
  <c r="G12" i="6"/>
  <c r="H12" i="6" s="1"/>
  <c r="M11" i="6"/>
  <c r="G11" i="6"/>
  <c r="H11" i="6" s="1"/>
  <c r="M10" i="6"/>
  <c r="G10" i="6"/>
  <c r="H10" i="6" s="1"/>
  <c r="M9" i="6"/>
  <c r="G9" i="6"/>
  <c r="H9" i="6" s="1"/>
  <c r="M8" i="6"/>
  <c r="G8" i="6"/>
  <c r="H8" i="6" s="1"/>
  <c r="M7" i="6"/>
  <c r="G7" i="6"/>
  <c r="I7" i="6" s="1"/>
  <c r="F13" i="3"/>
  <c r="M12" i="3"/>
  <c r="G12" i="3"/>
  <c r="H12" i="3" s="1"/>
  <c r="M11" i="3"/>
  <c r="G11" i="3"/>
  <c r="H11" i="3" s="1"/>
  <c r="M10" i="3"/>
  <c r="G10" i="3"/>
  <c r="H10" i="3" s="1"/>
  <c r="M9" i="3"/>
  <c r="G9" i="3"/>
  <c r="H9" i="3" s="1"/>
  <c r="M8" i="3"/>
  <c r="G8" i="3"/>
  <c r="H8" i="3" s="1"/>
  <c r="G7" i="3"/>
  <c r="I7" i="3" s="1"/>
  <c r="M13" i="3" l="1"/>
  <c r="I9" i="6"/>
  <c r="J9" i="6" s="1"/>
  <c r="K9" i="6" s="1"/>
  <c r="L9" i="6" s="1"/>
  <c r="N9" i="6" s="1"/>
  <c r="I12" i="6"/>
  <c r="J12" i="6" s="1"/>
  <c r="K12" i="6" s="1"/>
  <c r="L12" i="6" s="1"/>
  <c r="N12" i="6" s="1"/>
  <c r="I8" i="3"/>
  <c r="J8" i="3" s="1"/>
  <c r="I11" i="3"/>
  <c r="J11" i="3" s="1"/>
  <c r="I10" i="6"/>
  <c r="J10" i="6" s="1"/>
  <c r="K10" i="6" s="1"/>
  <c r="L10" i="6" s="1"/>
  <c r="N10" i="6" s="1"/>
  <c r="I9" i="3"/>
  <c r="J9" i="3" s="1"/>
  <c r="I8" i="6"/>
  <c r="I10" i="3"/>
  <c r="G13" i="6"/>
  <c r="M13" i="6"/>
  <c r="G13" i="3"/>
  <c r="I12" i="3"/>
  <c r="J12" i="3" s="1"/>
  <c r="I11" i="6"/>
  <c r="J11" i="6" s="1"/>
  <c r="K11" i="6" s="1"/>
  <c r="L11" i="6" s="1"/>
  <c r="N11" i="6" s="1"/>
  <c r="H7" i="6"/>
  <c r="J10" i="3"/>
  <c r="H7" i="3"/>
  <c r="H13" i="3" s="1"/>
  <c r="F12" i="4"/>
  <c r="M11" i="4"/>
  <c r="G11" i="4"/>
  <c r="H11" i="4" s="1"/>
  <c r="M10" i="4"/>
  <c r="G10" i="4"/>
  <c r="H10" i="4" s="1"/>
  <c r="M9" i="4"/>
  <c r="G9" i="4"/>
  <c r="H9" i="4" s="1"/>
  <c r="M8" i="4"/>
  <c r="G8" i="4"/>
  <c r="H8" i="4" s="1"/>
  <c r="M7" i="4"/>
  <c r="G7" i="4"/>
  <c r="I7" i="4" s="1"/>
  <c r="F8" i="2"/>
  <c r="M7" i="2"/>
  <c r="G7" i="2"/>
  <c r="M6" i="2"/>
  <c r="M8" i="2" s="1"/>
  <c r="G6" i="2"/>
  <c r="I13" i="6" l="1"/>
  <c r="I13" i="3"/>
  <c r="J8" i="6"/>
  <c r="J7" i="6"/>
  <c r="H13" i="6"/>
  <c r="K11" i="3"/>
  <c r="L11" i="3" s="1"/>
  <c r="N11" i="3" s="1"/>
  <c r="K12" i="3"/>
  <c r="L12" i="3" s="1"/>
  <c r="N12" i="3" s="1"/>
  <c r="K9" i="3"/>
  <c r="L9" i="3" s="1"/>
  <c r="N9" i="3" s="1"/>
  <c r="K8" i="3"/>
  <c r="L8" i="3" s="1"/>
  <c r="N8" i="3" s="1"/>
  <c r="K10" i="3"/>
  <c r="L10" i="3" s="1"/>
  <c r="N10" i="3" s="1"/>
  <c r="J7" i="3"/>
  <c r="I9" i="4"/>
  <c r="J9" i="4" s="1"/>
  <c r="K9" i="4" s="1"/>
  <c r="L9" i="4" s="1"/>
  <c r="N9" i="4" s="1"/>
  <c r="M12" i="4"/>
  <c r="G12" i="4"/>
  <c r="I11" i="4"/>
  <c r="J11" i="4" s="1"/>
  <c r="K11" i="4" s="1"/>
  <c r="I10" i="4"/>
  <c r="J10" i="4" s="1"/>
  <c r="K10" i="4" s="1"/>
  <c r="L10" i="4" s="1"/>
  <c r="N10" i="4" s="1"/>
  <c r="I8" i="4"/>
  <c r="J8" i="4" s="1"/>
  <c r="H7" i="4"/>
  <c r="H6" i="2"/>
  <c r="H7" i="2"/>
  <c r="G8" i="2"/>
  <c r="I6" i="2"/>
  <c r="I7" i="2"/>
  <c r="K8" i="6" l="1"/>
  <c r="L8" i="6" s="1"/>
  <c r="N8" i="6" s="1"/>
  <c r="J13" i="6"/>
  <c r="K7" i="6"/>
  <c r="K13" i="6" s="1"/>
  <c r="J13" i="3"/>
  <c r="K7" i="3"/>
  <c r="K13" i="3" s="1"/>
  <c r="I12" i="4"/>
  <c r="K8" i="4"/>
  <c r="L8" i="4" s="1"/>
  <c r="N8" i="4" s="1"/>
  <c r="L11" i="4"/>
  <c r="N11" i="4" s="1"/>
  <c r="J7" i="4"/>
  <c r="H12" i="4"/>
  <c r="J7" i="2"/>
  <c r="K7" i="2" s="1"/>
  <c r="L7" i="2" s="1"/>
  <c r="N7" i="2" s="1"/>
  <c r="I8" i="2"/>
  <c r="H8" i="2"/>
  <c r="J6" i="2"/>
  <c r="L7" i="6" l="1"/>
  <c r="L7" i="3"/>
  <c r="K7" i="4"/>
  <c r="K12" i="4" s="1"/>
  <c r="J12" i="4"/>
  <c r="K6" i="2"/>
  <c r="K8" i="2" s="1"/>
  <c r="J8" i="2"/>
  <c r="N7" i="6" l="1"/>
  <c r="N13" i="6" s="1"/>
  <c r="N14" i="6" s="1"/>
  <c r="L13" i="6"/>
  <c r="N7" i="3"/>
  <c r="N13" i="3" s="1"/>
  <c r="N14" i="3" s="1"/>
  <c r="L13" i="3"/>
  <c r="L7" i="4"/>
  <c r="N7" i="4"/>
  <c r="N12" i="4" s="1"/>
  <c r="N13" i="4" s="1"/>
  <c r="L12" i="4"/>
  <c r="L6" i="2"/>
  <c r="L8" i="2" l="1"/>
  <c r="N6" i="2"/>
  <c r="N9" i="2" l="1"/>
  <c r="N8" i="2"/>
</calcChain>
</file>

<file path=xl/sharedStrings.xml><?xml version="1.0" encoding="utf-8"?>
<sst xmlns="http://schemas.openxmlformats.org/spreadsheetml/2006/main" count="237" uniqueCount="155">
  <si>
    <t>Atlīdzība</t>
  </si>
  <si>
    <t>Izdevumi kopā</t>
  </si>
  <si>
    <t>Aprēķins</t>
  </si>
  <si>
    <t>Plānotais finansējums</t>
  </si>
  <si>
    <t>Papildus nepieciešamais finansējums</t>
  </si>
  <si>
    <t>Aprēķins pielikumā</t>
  </si>
  <si>
    <t>Preces un pakalpojumi</t>
  </si>
  <si>
    <t xml:space="preserve">	Izdevumi par profesionālās darbības pakalpojumiem</t>
  </si>
  <si>
    <t>Pārējie neklasificētie pakalpojumi</t>
  </si>
  <si>
    <t xml:space="preserve">Izdevumi par naudas piegādi - inkasācijas pakalpojumiem PMIC "Mucenieki" un PMIC "Liepna"  1200 euro.  Aprēķins: 65 euro x 12 mēn.= 780 euro  un 105 euro x 4 mēn.= 420 euro </t>
  </si>
  <si>
    <t>Iekārtas, inventāra un aparatūras remonts, tehniskā apkalpošana</t>
  </si>
  <si>
    <t>PMIC "Mucenieki" videonovērošanas sistēmas uzturēšana 250 euro mēnesī + 21% PVN = 302.50 euro mēnesī  x 12 mēneši = 3 630 euro</t>
  </si>
  <si>
    <t>PMIC "Mucenieki"  kontroles piekļuves  sistēmas uzturēšana 2 541 euro ceturksnī ar 21% PVN   x 4  = 10 164 euro</t>
  </si>
  <si>
    <t>PMIC "Liepna" videonovērošanas sistēmas uzturēšana 250 euro mēnesī + 21% PVN = 302.50 euro mēnesī  x 12 mēneši = 3 630 euro</t>
  </si>
  <si>
    <t>Nekustamā īpašuma uzturēšana</t>
  </si>
  <si>
    <t xml:space="preserve">Finansējums lai nodrošinātu nepārtrauktu teritorijas un telpu uzraudzību, sabiedrisko kārtību un drošību PMIC "Mucenieki" (fiziskās un tehniskās apsardzes pakalpojumu nodrošināšana)Aprēķins: 6 896 euro x 12 mēneši = 82 752 euro gadā. </t>
  </si>
  <si>
    <t>Finansējums lai nodrošinātu nepārtrauktu teritorijas un telpu uzraudzību, sabiedrisko kārtību un drošību PMIC "Liepna" (fiziskās un tehniskās apsardzes pakalpojumu nodrošināšana)Aprēķins: 5 785,13 euro mēnesī  +  21% PVN = 7 000 euro mēnesī  x 12 mēneši = 84 000 euro</t>
  </si>
  <si>
    <t>Transportlīdzekļu uzturēšana un remonts</t>
  </si>
  <si>
    <t>Pārējie remontdarbu un iestāžu uzturēšanas pakalpojumi</t>
  </si>
  <si>
    <t>Veļas mazgāšanas pakalpojums PMIC "Mucenieki" 250 euro mēnesī  + 21% PVN  = 302.50 euro mēnesī  x 12 mēneši = 3 630 euro</t>
  </si>
  <si>
    <t>Sadzīves tehnikas un cita patvēruma meklētāju izmitināšanas centra PMIC "Mucenieki" aprīkojuma remonts 150 eur mēnesī + 21% PVN = 181.50 euro mēnesī x 12 mēneši = 2178 euro</t>
  </si>
  <si>
    <t>Informācijas tehnoloģiju pakalpojumi</t>
  </si>
  <si>
    <t>Patvēruma procedūrai nepieciešamai finansējums</t>
  </si>
  <si>
    <t>Amata saime, līmenis</t>
  </si>
  <si>
    <t>Mēnešalgu grupa</t>
  </si>
  <si>
    <t>Amata vietu skaits</t>
  </si>
  <si>
    <t>Vispārējās piemaksas 5% no gada mēnešalgu kopsummas</t>
  </si>
  <si>
    <t>Sociālās garantijas 5% no gada mēnešalgu kopsummas</t>
  </si>
  <si>
    <t xml:space="preserve">Kopā mēnešalgai, piemaksām, prēmijām, soc. garant. </t>
  </si>
  <si>
    <t>DD VSAOI  23,59%</t>
  </si>
  <si>
    <t>Kopā</t>
  </si>
  <si>
    <t>1.</t>
  </si>
  <si>
    <t>3.=1.x 2.x12</t>
  </si>
  <si>
    <t>4.=3.x5%</t>
  </si>
  <si>
    <t>5.=3.x5%</t>
  </si>
  <si>
    <t>6.=3.+4+5.</t>
  </si>
  <si>
    <t>7.=6.x23,59%</t>
  </si>
  <si>
    <t>8.=6.+7.</t>
  </si>
  <si>
    <t>Vecākais referents (PLN)</t>
  </si>
  <si>
    <t>36 III</t>
  </si>
  <si>
    <t>2.</t>
  </si>
  <si>
    <t>Referents (PMIN)</t>
  </si>
  <si>
    <t>Veselības apdrošināšanas polise 7 x 750 euro</t>
  </si>
  <si>
    <t>KOPĀ 2027.gadam</t>
  </si>
  <si>
    <t xml:space="preserve">Mēnešalga 2027.gadam </t>
  </si>
  <si>
    <t>10=8+9</t>
  </si>
  <si>
    <t>Pavisam kopā</t>
  </si>
  <si>
    <t>9 = 2 x750 euro</t>
  </si>
  <si>
    <t>Nodaļas vadītājs</t>
  </si>
  <si>
    <t>Nodaļas vadītāja vietnieks</t>
  </si>
  <si>
    <t>36 VI</t>
  </si>
  <si>
    <t xml:space="preserve">Referents </t>
  </si>
  <si>
    <t>Vecākais eksperts</t>
  </si>
  <si>
    <t xml:space="preserve"> Faktiski noteiktā mēnešalga</t>
  </si>
  <si>
    <t>37 III</t>
  </si>
  <si>
    <t>37 II A</t>
  </si>
  <si>
    <t>Vadošais vecākais rerferents</t>
  </si>
  <si>
    <t>Vecākais referents</t>
  </si>
  <si>
    <t>36 II</t>
  </si>
  <si>
    <t>Tehniskais darbinieks</t>
  </si>
  <si>
    <t>2311</t>
  </si>
  <si>
    <t>Biroja preces</t>
  </si>
  <si>
    <t xml:space="preserve">	Krājumi, materiāli, energoresursi, preces, biroja preces un inventārs, kurus neuzskaita kodā 5000</t>
  </si>
  <si>
    <t>Kancelejas preces 13 darbiniekiem PLN" mēnesī:
1)biroja papīrs 5 kastes x 25 euro mēnesī + 21% PVN = 151,25 euro
2) pārējās kancelejas preces 2,30 euro mēnesī x 13 darbinieki + 21% PVN =29,90 euro.                                                                                                     Kopā 151,25 euro + 29,90 euro = 181,15 euro mēnesī x 12 mēneši = 2 173,80 euro</t>
  </si>
  <si>
    <t>2312</t>
  </si>
  <si>
    <t>Inventārs</t>
  </si>
  <si>
    <t>Aprīkojuma iegādePMIC "Mucenieki" vajadzībām 400 euro mēnesī + 21% PVN = 484 euro mēnesī x 12 mēneši = 5808euro</t>
  </si>
  <si>
    <t>2322</t>
  </si>
  <si>
    <t>Degviela</t>
  </si>
  <si>
    <t>2329</t>
  </si>
  <si>
    <t>Pārējie enerģētiskie materiāli</t>
  </si>
  <si>
    <t>Iestāžu uzturēšanas materiāli un preces</t>
  </si>
  <si>
    <t>Saimniecības preces 2,60 euro mēnesī x 14 darbinieki + 21% PVN =  44,04 euro mēnesī x 12 mēneši = 528,48 euro</t>
  </si>
  <si>
    <t>Saimniecības preces 2,60 euro mēnesī x 27 darbinieki + 21% PVN =  70,20 euro mēnesī x 12 mēneši = 842,40 euro</t>
  </si>
  <si>
    <t>2361</t>
  </si>
  <si>
    <t>Mīkstais inventārs</t>
  </si>
  <si>
    <t>2362</t>
  </si>
  <si>
    <t>Virtuves inventārs, trauki un galda piederumi</t>
  </si>
  <si>
    <t>Sociāla rakstura maksājumi un kompensācijas</t>
  </si>
  <si>
    <t>Pārējie valsts pabalsti un kompensācijas</t>
  </si>
  <si>
    <t>Vidēji gadā prognozēts piešķirt bēgļa vai alternatīvo statusu 140 personām, paredzot, ka 50% no statusa saņēmējiem tiks pieņemts lēmums vienreizējā pabalsta izmaksai 278 euro (50 p/m x 278 euro = 13 900 euro) un par 50% no statusa saņēmējiem tiks pieņemts lēmums vienreizējā pabalsta izmaksai 194 euro (90 p/m x 194 euro = 17 460 euro). Kopā 31 360 euro gadā</t>
  </si>
  <si>
    <t>Ministru kabineta 2016. gada 12. jūlija noteikumi Nr. 449 “Noteikumi par patvēruma meklētāja uzturam un dienasnaudas izmaksai paredzēto izdevumu apmēru un segšanas kārtību 2.punktā ir noteiks, ka uztura un dienasnaudas apmērs patvēruma meklētājam ir 3,00 euro diennaktī.   Patvēruma meklētāju izmitināšanas centrā "Mucenieki" uzturas vidēji dienā 270 cilvēki un Patvēruma meklētāju izmitināšanas centrā "Liepna" - 150 cilvēki. Vidējais uzturēšanas termiņš  patvēruma meklētāju izmitināšanas centrā ir apmēram 8 mēneši. Lai nodrošinātu dienas uzturnaudas izmaksu nepieciešami 343 980euro gadā.                                                                                                    Aprēķins: 420 p/m x 3 euro x 243 dienas =343 980 euro</t>
  </si>
  <si>
    <t>36 V</t>
  </si>
  <si>
    <t xml:space="preserve">Vadošais referents </t>
  </si>
  <si>
    <t>35 III</t>
  </si>
  <si>
    <t>Automobiļa vadītājs</t>
  </si>
  <si>
    <t>46,1 II</t>
  </si>
  <si>
    <t xml:space="preserve">36 V </t>
  </si>
  <si>
    <t>Vadošais  referents</t>
  </si>
  <si>
    <t xml:space="preserve">36 IV </t>
  </si>
  <si>
    <t>Referents</t>
  </si>
  <si>
    <t>46.1 II</t>
  </si>
  <si>
    <t>16 I</t>
  </si>
  <si>
    <t>Kancelejas preces 15 darbiniekiem PMIC "Mucenieki" mēnesī:
1)biroja papīrs 5 kastes x 25 euro mēnesī + 21% PVN = 151,25 euro
2) pārējās kancelejas preces 2,30 euro mēnesī x 15 darbinieki + 21% PVN =41,75  euro.                                                                                                     Kopā 151,25 euro + 41,75 euro = 193,00 euro mēnesī x 12 mēneši = 2 316 euro</t>
  </si>
  <si>
    <t>ES fondu  finansējums</t>
  </si>
  <si>
    <t>Dotācija no vispārējiem ieņēmumiem, tai skaitā</t>
  </si>
  <si>
    <t xml:space="preserve">Piešķirts finansējums bāzes izdevumos </t>
  </si>
  <si>
    <t>Izdevumi par transporta pakalpojumiem</t>
  </si>
  <si>
    <t>Pārējie valsts un pašvaldību aprūpē, apgādē un dienestā (amatā) esošo personu uzturēšanas izdevumi</t>
  </si>
  <si>
    <t>Pārtikas preču komplektu iegāde patvēruma meklētājiem. Aprēķins 2027.gadam: 1 pārtikas preču komplekta cena 14,30 euro x 400 patvēruma meklētāji x 12 mēneši = 68 640 euro.</t>
  </si>
  <si>
    <t xml:space="preserve">Higiēnas preču komplektu iegāde patvēruma meklētājiem. Aprēķins 2027.gadam: 1 higiēnas preču komplekta cena 9,93 euro x 400 patvēruma meklētāji x 6 mēneši (higiēnas preces tiek izsniegtas katru 2.mēnesi) = 23 832,00 euro. </t>
  </si>
  <si>
    <t>Mīkstā inventāra iegāde patvēruma meklētāju PMIC "Mucenieki" vajadzībām 200 eur mēnesī + 21% x 12 mēneši = 2904 euro              Aprēķins 2027.gadam: 1 komplekts (gultas veļa, sega, spilvens, dvielis) 61,00 euro x 175 gultas veļas komplekti  = 10 675,00 euro</t>
  </si>
  <si>
    <t>Saimniecības preces PMIC "Mucenieki" vajadzībām 667 eur mēnesī + 21% PVN = 807 eur mēnesī x 12 mēneši = 9684 eur                                      Aprēķins 2027.gadam: 1 000,00 euro mēnesī  x 12 mēneši = 12 000,00 euro</t>
  </si>
  <si>
    <t xml:space="preserve">Sabiedriskā transporta biļešu iegāde patvēruma meklētājiem maršrutā Liepna-Alūksne. Aprēķins: 1 sabiedriskā transporta biļetes cena 3,64 euro x 4 biļetes = 14,56 euro x 150 patvēruma meklētāji x 12 mēneši = 26 208,00 euro.        </t>
  </si>
  <si>
    <t>Sabiedriskā transporta biļešu iegāde patvēruma meklētājiem Rīgā. Aprēķins: 1 sabiedriskā transporta biļetes cena 1,50 euro x 4 biļetes = 6,00 euro x 250 patvēruma meklētāji x 12 mēneši = 18 000,00 euro.</t>
  </si>
  <si>
    <t>Izdevumi par sakaru pakalpojumiem</t>
  </si>
  <si>
    <t xml:space="preserve">Izdevumi par mobilo sakaru pakalpojumiem.  Aprēķins: 3 abonomenti x 5,05 eur mēnesī + 21% PVN = 18,33 euro mēnesī  x 12 mēneši = 219,96 euro </t>
  </si>
  <si>
    <t>Izdevumi par elektroenerģiju</t>
  </si>
  <si>
    <t>Elektroauto uzlāde patvēruma meklētāju izmitināšanas centrā.  Aprēķins: 1 uzlāde (270 km) = 85 kw x 0,134 euro + 21% = 13,78 euro x 10 uzlādes x 12 mēneši = 1653,60</t>
  </si>
  <si>
    <t>Auto GPS servera abonēšana x 3 transportlīdzekļi x 7,21 euro mēnesī + 21% PVN = 26,17 euro mēnesī  x 12 mēneši = 314,04 euro</t>
  </si>
  <si>
    <t xml:space="preserve">Transportlīdzekļu KASKO un OCTA apdrošināšana 12 mēnešiem 1 783 x 3 transportlīdzekļi = 5 349,00 
</t>
  </si>
  <si>
    <t>Transportlīdzekļu mazgāšana 51,50 euro mēnesī x 3 transportlīdzekļi + 21% PVN =  186,94 euro mēnesī  x 12 mēneši = 2 243,28 euro</t>
  </si>
  <si>
    <t>Transportlīdzekļu apkope/remonts 309 euro mēnesī  x  3 transportlīdzekļi + 21%PVN = 1 121,67 euro mēnesī  x 12 mēneši = 13 460,04 euro</t>
  </si>
  <si>
    <t>Veļas mazgāšanas pakalpojums PMIC "Liepna"257,50 euro mēnesī  + 21% PVN  = 311,58 euro mēnesī  x 12 mēneši = 3 739 euro</t>
  </si>
  <si>
    <t>Sadzīves tehnikas un cita patvēruma meklētāju izmitināšanas centra PMIC "Liepna"aprīkojuma remonts 257,50 eur mēnesī + 21% PVN = 311,57 eur mēnesī x 12 mēneši = 3 738,84 eur</t>
  </si>
  <si>
    <t>Patvēruma meklētāju izmitināšanas centra elektroauto uzlādes stacijas programnodrošinājuma abonēšana 30,93 euro mēnesī  + 21% PVN = 37,43 euro mēnesī  x 12 mēneši = 449,16 euro</t>
  </si>
  <si>
    <t>Iekārtu, aparatūras un inventāra īre un noma</t>
  </si>
  <si>
    <t>Dzeramā ūdens dzesētāju noma. 2 x 25,76 euro mēnesī + 21% PVN = 62,34 euro mēnesī  x 12 mēneši = 748,08 euro</t>
  </si>
  <si>
    <t>Kancelejas preces 16 darbiniekiem PMIC "Liepna"mēnesī:
1)biroja papīrs 5 kastes x 25,75 euro mēnesī + 21% PVN = 155,79 euro
2) pārējās kancelejas preces 2,37 euro mēnesī x 16 darbinieki + 21% PVN =45,88 euro.                                                                                                     Kopā 155,79 euro + 45,88 euro = 201,67 euro mēnesī x 12 mēneši = 2 420,04 euro</t>
  </si>
  <si>
    <t>Aprīkojuma iegāde PMIC "Liepna"vajadzībām 206 euro mēnesī + 21% PVN = 249,26 euro mēnesī x 12 mēneši = 2991,12 euro</t>
  </si>
  <si>
    <t>Degvielas izmaksas 2 pasašieru mikroautobusam patvēruma meklētāju pārvadāšanai = 10 000 km/mēnesī  x 10l/100km =  1000l x 1,4523 euro + 21%PVN = 1 757,28 euro mēnesī  x 12 mēneši = 21087,36 euro</t>
  </si>
  <si>
    <t>Elektroauto uzlāde publiskās uzlādes stacijās: 1 uzlāde (270 km) = 90 minūtes x 0,1751 euro + 21% PVN = 19,07 euro 
Mēnesī vidēji 10 uzlādes x 19,07 euro x 12 mēneši = 2 288,40 euro</t>
  </si>
  <si>
    <t>Riepu iegāde 3  transportlīdzekļiem x 514,88 euro + 21% PVN = 1 869 euro</t>
  </si>
  <si>
    <t>Saimniecības preces PMIC "Liepna" vajadzībām. 406,82 euro mēnesī + 21% PVN = 492,25 euro mēnesī x 12 mēneši = 5 907,00 euro</t>
  </si>
  <si>
    <t>Mīkstā inventāra iegāde patvēruma meklētāju PMIC "Liepna"vajadzībām 57,68 euro x 10 gultas veļas komplekti mēnesī = 576,80 euro x 12 mēneši = 6 921,60 euro</t>
  </si>
  <si>
    <t>Trauku iegāde patvēruma meklētāju PMIC "Liepna" vajadzībām, viena trauku komplekta izmaksas aptuveni 8,96 eur + 21% PVN x 50 personas =542,20 eur mēnesī x 12 mēneši = 6 506,40 eur</t>
  </si>
  <si>
    <t xml:space="preserve">Trauku iegāde patvēruma meklētāju vajadzībām PMIC "Mucenieki", viena trauku komplekta izmaksas aptuveni 8,70 eur + 21% PVN x 30 personas = 315,81 eur mēnesī x 12 mēneši = 3789,72 eur   </t>
  </si>
  <si>
    <t xml:space="preserve">Medicīnas kabineta uzturēšana, lai PMIC "Mucenieki" patvēruma meklētājiem nodrošinātu medicīnas pakalpojumus.Atbilstoši par  medicīnas pakalpojumu sniegšanu  noslēgto līgumu  medicīnas kabineta uzturēšana  gadā 89 724 euro apmērā. Aprēķins: 7 477 euro x 12 mēn.= 89 724 euro .                                                 </t>
  </si>
  <si>
    <t>Medicīnas kabineta uzturēšana, lai PMIC "Liepna" patvēruma meklētājiem nodrošinātu medicīnas pakalpojumus.  Aprēķins 2027.gadam: 3000 euro*12 mēneši = 36 000 euro.</t>
  </si>
  <si>
    <t>Patvēruma likuma 11.panta otrās daļas 1., 2. un 7.punkts paredz, ka patvēruma meklētājiem ir jānodrošina tulkošanas procedūra, t.sk. sākotnējās intervijas un personiskās intervijas laikā sniegt paskaidrojumus un precizējumus valodā, kuru viņš saprot; iesniegt dokumentus, kas attiecināmi uz iesnieguma un tiesā iesniegtā pieteikuma izskatīšanu. To dokumentu tulkošanu, kuriem ir būtiska nozīme iesnieguma un tiesā iesniegtā pieteikuma izskatīšanā, nodrošina institūcija, kura izskata attiecīgo iesniegumu vai pieteikumu, no šim mērķim paredzētiem valsts budžeta līdzekļiem; saņemt patvēruma procedūras ietvaros pieņemta lēmuma, tā pārsūdzēšanas kārtības un valsts nodrošinātās juridiskās palīdzības piešķiršanas nosacījumu izskaidrojumu valodā, kuru viņš saprot.  Patvēruma meklētāju centros "Mucenieki" un "Liepna"  uzturas  vidēji  310 patvēruma meklētāji un ņemot vērā pašreizējo ģeopolitsko situāciju, patvēruma meklētāju skaitam ir tendence pieaugt. Saskaņā ar  noslēgto līgumu par tulkošanas pakalpojumiem vienas lapas rakstiska tulkojuma cena  ir 15,73 euro, vidēji viena lēmuma ar dokumentiem tulkošanai ir nepieciešami 400 euro, jo vidēji vienam patvēruma meklētājam nepieciešams tulkot 20-30 lapas). Aprēķinos piemērotas aplēses ieprikšējo periodu 12 mēnešos izskatīto un pieņemto lēmumu skaitam. Līdz ar to turpmāk katru gadu nepieciešais finansējums 400 euro ( vidējās 1 gadījuma tulkošanas izmaksas ar PVN) *310 p/m = 124 000 euro.</t>
  </si>
  <si>
    <t>Tulkošanas pakalpojumu nodrošināšanas 1 gadījuma izmaksas 1 271 euro:           1)Intervijas tulkošana - 280 euro;                                                                               2)Lēmuma tulkošana 540 euro;                                                                                                3)Dokumentu tulkošana 163 euro;                                                                              4) Mutiskā tulkošana sadzīves situācijās un papildu informācijas sniegšanai (piem., saziņa ārstniecības iestādēs u.c.)  - 288 euro. Gadā plānoti tulkošanas pakalpojumu 550 gadījumi x 1271 euro  = 699 050 euro.</t>
  </si>
  <si>
    <t>26-TA-898</t>
  </si>
  <si>
    <t>1. tabula</t>
  </si>
  <si>
    <t>Pilsonības un migrācijas lietu pārvalde</t>
  </si>
  <si>
    <t xml:space="preserve"> Izdevumi patvēruma procedūras nodrošināšanai atbilstoši Migrācijas un patvēruma pakta nosacījumiem no 2027.gada un turpmāk</t>
  </si>
  <si>
    <t>Amats</t>
  </si>
  <si>
    <t xml:space="preserve"> Mēnešalgu grupas  viduspunkta mēnešalga*</t>
  </si>
  <si>
    <t xml:space="preserve">*https://www.mk.gov.lv/lv/dati-par-darba-samaksu-un-nodarbinatajiem-valsts-parvalde </t>
  </si>
  <si>
    <t>Atlīdzība Patvērumu meklētāju izmitināšanas  nodaļas (PMIN)  15 amata vietām PMC Mucenieki</t>
  </si>
  <si>
    <t>2. tabula</t>
  </si>
  <si>
    <t>Nr.p.k.</t>
  </si>
  <si>
    <r>
      <t xml:space="preserve">Veselības apdrošināšanas polise </t>
    </r>
    <r>
      <rPr>
        <b/>
        <sz val="10"/>
        <color rgb="FFFF0000"/>
        <rFont val="Times New Roman"/>
        <family val="1"/>
        <charset val="186"/>
      </rPr>
      <t>7</t>
    </r>
    <r>
      <rPr>
        <b/>
        <sz val="10"/>
        <color theme="1"/>
        <rFont val="Times New Roman"/>
        <family val="1"/>
        <charset val="186"/>
      </rPr>
      <t xml:space="preserve"> x 750 euro</t>
    </r>
  </si>
  <si>
    <t>Ņemot vērā, ka pašreizējā Pārvaldes kapacitāte patvēruma meklētāju iesniegumu izskatīšanai nav pietiekama un patvēruma meklētāju skaits turpina palielināties, lai nodrošinātu efektīvu un Eiropas Migrācijas un patvēruma pakta nosacījumiem atbilstošu patvēruma procedūras norisi Latvijā, ir nepieciešams rast ilgtermiņa risinājumu Pārvaldes administratīvās kapacitātes stiprināšanai, izveidojot 5 papildu  vecāko referentu amata vietas.</t>
  </si>
  <si>
    <t>Papildus tam jāatzīmē, ka, pieaugot patvēruma meklētāju skaitam, attiecīgi palielināsies arī Pārvaldes patvēruma meklētāju izmitināšanas centros izmitināto personu skaits. Līdz ar to būs nepieciešams nodrošināt centros izmitinātos patvēruma meklētājus  ar pamatvajadzībām, proti, ar pārtiku, higiēnas un pirmās nepieciešamības precēm, kas ietver preču uzskaiti, izsniegšanu, datu ievadi informācijas sistēmā un atskaišu sagatavošanu. Lai nodrošinātu minēto funkciju kvalitatīvu izpildi, Pārvaldes Patvēruma meklētāju izmitināšanas nodaļā nepieciešams izveidot 2 papildu referentu amata vietas.</t>
  </si>
  <si>
    <t>3. tabula</t>
  </si>
  <si>
    <t>4. tabula</t>
  </si>
  <si>
    <t xml:space="preserve"> Atlīdziba Patvērumu meklētāju izmitināšanas  nodaļas (PMIN)) papildus  2 amata vietu uzturēšanai. Detalizēts aprēķins 1. tabulā.</t>
  </si>
  <si>
    <t xml:space="preserve"> Atlīdziba Patvērumu lietu nodaļas (PLN) papildus 5 amata vietu uzturēšanai. Detalizēts aprēķins 1. tabulā.</t>
  </si>
  <si>
    <t>Atlīdziba Patvērumu meklētāju izmitināšanas  nodaļas (PMIN)  18 amata vietas PMC Liepna. Detalizēts aprēķins 4. tabulā.</t>
  </si>
  <si>
    <t>Atlīdzība Patvērumu meklētāju izmitināšanas  nodaļas (PMIN)  18 amata vietas PMC Liepna</t>
  </si>
  <si>
    <t>Atlīdzība Patvērumu lietu nodaļas (PLN) 13 amata vietām</t>
  </si>
  <si>
    <t>Atlīdziba Patvērumu lietu nodaļas (PLN) 13 amata vietas. Detalizēts aprēķins 2. tabulā.</t>
  </si>
  <si>
    <t>Atlīdziba Patvērumu meklētāju izmitināšanas  nodaļas (PMIN)  15 amata vietas PMC Mucenieki.  Detalizēts aprēķins 3. tabulā.</t>
  </si>
  <si>
    <t xml:space="preserve"> Pilsonības un migrācijas lietu pārvaldei nepieciešamais finansējums atlīdzībai papildu amata vietām 2027. gadam un turpmākajiem gadiem</t>
  </si>
  <si>
    <t>1.pielikums
likumprojekta "Patvēruma likums"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</si>
</sst>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numFmts>
  <fonts count="32" x14ac:knownFonts="1">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b/>
      <u/>
      <sz val="11"/>
      <color theme="8" tint="-0.499984740745262"/>
      <name val="Times New Roman"/>
      <family val="1"/>
      <charset val="186"/>
    </font>
    <font>
      <sz val="10"/>
      <name val="Arial"/>
      <family val="2"/>
      <charset val="186"/>
    </font>
    <font>
      <i/>
      <sz val="10"/>
      <name val="Times New Roman"/>
      <family val="1"/>
      <charset val="186"/>
    </font>
    <font>
      <sz val="10"/>
      <name val="Times New Roman"/>
      <family val="1"/>
      <charset val="186"/>
    </font>
    <font>
      <sz val="10"/>
      <color theme="1"/>
      <name val="Times New Roman"/>
      <family val="1"/>
      <charset val="186"/>
    </font>
    <font>
      <b/>
      <sz val="10"/>
      <color theme="1"/>
      <name val="Times New Roman"/>
      <family val="1"/>
      <charset val="186"/>
    </font>
    <font>
      <b/>
      <sz val="10"/>
      <color rgb="FF000000"/>
      <name val="Times New Roman"/>
      <family val="1"/>
      <charset val="186"/>
    </font>
    <font>
      <sz val="10"/>
      <color rgb="FF000000"/>
      <name val="Times New Roman"/>
      <family val="1"/>
      <charset val="186"/>
    </font>
    <font>
      <sz val="8"/>
      <name val="Calibri"/>
      <family val="2"/>
      <charset val="186"/>
      <scheme val="minor"/>
    </font>
    <font>
      <b/>
      <sz val="14"/>
      <name val="Times New Roman"/>
      <family val="1"/>
      <charset val="186"/>
    </font>
    <font>
      <sz val="8"/>
      <name val="Times New Roman"/>
      <family val="1"/>
      <charset val="186"/>
    </font>
    <font>
      <sz val="10"/>
      <name val="Times New Roman"/>
      <family val="1"/>
    </font>
    <font>
      <sz val="11"/>
      <name val="Times New Roman"/>
      <family val="1"/>
      <charset val="186"/>
    </font>
    <font>
      <sz val="12"/>
      <name val="Times New Roman"/>
      <family val="1"/>
      <charset val="186"/>
    </font>
    <font>
      <sz val="11"/>
      <color rgb="FFFF0000"/>
      <name val="Times New Roman"/>
      <family val="1"/>
      <charset val="186"/>
    </font>
    <font>
      <i/>
      <sz val="10"/>
      <color theme="1"/>
      <name val="Times New Roman"/>
      <family val="1"/>
      <charset val="186"/>
    </font>
    <font>
      <b/>
      <sz val="11"/>
      <color rgb="FF414142"/>
      <name val="Times New Roman"/>
      <family val="1"/>
      <charset val="186"/>
    </font>
    <font>
      <i/>
      <sz val="11"/>
      <name val="Times New Roman"/>
      <family val="1"/>
      <charset val="186"/>
    </font>
    <font>
      <b/>
      <sz val="11"/>
      <name val="Times New Roman"/>
      <family val="1"/>
      <charset val="186"/>
    </font>
    <font>
      <b/>
      <i/>
      <sz val="10"/>
      <name val="Times New Roman"/>
      <family val="1"/>
      <charset val="186"/>
    </font>
    <font>
      <b/>
      <i/>
      <sz val="11"/>
      <name val="Times New Roman"/>
      <family val="1"/>
      <charset val="186"/>
    </font>
    <font>
      <i/>
      <sz val="11"/>
      <color rgb="FFFF0000"/>
      <name val="Times New Roman"/>
      <family val="1"/>
      <charset val="186"/>
    </font>
    <font>
      <sz val="11"/>
      <color theme="1"/>
      <name val="Calibri"/>
      <family val="2"/>
      <scheme val="minor"/>
    </font>
    <font>
      <b/>
      <sz val="12"/>
      <color theme="1"/>
      <name val="Times New Roman"/>
      <family val="1"/>
      <charset val="186"/>
    </font>
    <font>
      <b/>
      <sz val="14"/>
      <color theme="1"/>
      <name val="Times New Roman"/>
      <family val="1"/>
      <charset val="186"/>
    </font>
    <font>
      <u/>
      <sz val="11"/>
      <color theme="10"/>
      <name val="Calibri"/>
      <family val="2"/>
      <charset val="186"/>
      <scheme val="minor"/>
    </font>
    <font>
      <b/>
      <sz val="10"/>
      <name val="Times New Roman"/>
      <family val="1"/>
      <charset val="186"/>
    </font>
    <font>
      <b/>
      <sz val="10"/>
      <color rgb="FFFF0000"/>
      <name val="Times New Roman"/>
      <family val="1"/>
      <charset val="186"/>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bgColor rgb="FF000000"/>
      </patternFill>
    </fill>
    <fill>
      <patternFill patternType="solid">
        <fgColor theme="0"/>
        <bgColor rgb="FFD9D9D9"/>
      </patternFill>
    </fill>
  </fills>
  <borders count="10">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6">
    <xf numFmtId="0" fontId="0" fillId="0" borderId="0"/>
    <xf numFmtId="0" fontId="5" fillId="0" borderId="0"/>
    <xf numFmtId="0" fontId="26" fillId="0" borderId="0"/>
    <xf numFmtId="9" fontId="5" fillId="0" borderId="0" applyFont="0" applyFill="0" applyBorder="0" applyAlignment="0" applyProtection="0"/>
    <xf numFmtId="9" fontId="5" fillId="0" borderId="0" applyFont="0" applyFill="0" applyBorder="0" applyAlignment="0" applyProtection="0"/>
    <xf numFmtId="0" fontId="29" fillId="0" borderId="0" applyNumberFormat="0" applyFill="0" applyBorder="0" applyAlignment="0" applyProtection="0"/>
  </cellStyleXfs>
  <cellXfs count="160">
    <xf numFmtId="0" fontId="0" fillId="0" borderId="0" xfId="0"/>
    <xf numFmtId="0" fontId="1" fillId="0" borderId="0" xfId="0" applyFont="1"/>
    <xf numFmtId="3" fontId="1" fillId="0" borderId="0" xfId="0" applyNumberFormat="1" applyFont="1"/>
    <xf numFmtId="0" fontId="3" fillId="0" borderId="0" xfId="0" applyFont="1"/>
    <xf numFmtId="3" fontId="6" fillId="0" borderId="1" xfId="1" applyNumberFormat="1" applyFont="1" applyBorder="1" applyAlignment="1">
      <alignment wrapText="1"/>
    </xf>
    <xf numFmtId="0" fontId="2" fillId="0" borderId="0" xfId="0" applyFont="1"/>
    <xf numFmtId="0" fontId="8" fillId="0" borderId="0" xfId="0" applyFont="1"/>
    <xf numFmtId="0" fontId="8" fillId="0" borderId="2" xfId="0" applyFont="1" applyBorder="1" applyAlignment="1">
      <alignment vertical="top"/>
    </xf>
    <xf numFmtId="0" fontId="9" fillId="0" borderId="2" xfId="0" applyFont="1" applyBorder="1" applyAlignment="1">
      <alignment horizontal="center" vertical="top" wrapText="1"/>
    </xf>
    <xf numFmtId="0" fontId="10" fillId="0" borderId="2" xfId="0" applyFont="1" applyBorder="1" applyAlignment="1">
      <alignment horizontal="center" vertical="top" wrapText="1"/>
    </xf>
    <xf numFmtId="0" fontId="8" fillId="0" borderId="2" xfId="0" applyFont="1" applyBorder="1" applyAlignment="1">
      <alignment horizontal="center" vertical="top" wrapText="1"/>
    </xf>
    <xf numFmtId="0" fontId="10" fillId="0" borderId="2" xfId="0" applyFont="1" applyBorder="1" applyAlignment="1">
      <alignment vertical="top" wrapText="1"/>
    </xf>
    <xf numFmtId="0" fontId="11" fillId="0" borderId="2" xfId="0" applyFont="1" applyBorder="1" applyAlignment="1">
      <alignment horizontal="center" vertical="top" wrapText="1"/>
    </xf>
    <xf numFmtId="0" fontId="8" fillId="0" borderId="2" xfId="0" applyFont="1" applyBorder="1" applyAlignment="1">
      <alignment wrapText="1"/>
    </xf>
    <xf numFmtId="0" fontId="8" fillId="0" borderId="2" xfId="0" applyFont="1" applyBorder="1"/>
    <xf numFmtId="0" fontId="8" fillId="0" borderId="2" xfId="0" applyFont="1" applyBorder="1" applyAlignment="1">
      <alignment horizontal="center"/>
    </xf>
    <xf numFmtId="0" fontId="11" fillId="4" borderId="2" xfId="0" applyFont="1" applyFill="1" applyBorder="1" applyAlignment="1">
      <alignment horizontal="center" vertical="top"/>
    </xf>
    <xf numFmtId="4" fontId="11" fillId="0" borderId="2" xfId="0" applyNumberFormat="1" applyFont="1" applyBorder="1" applyAlignment="1">
      <alignment vertical="top"/>
    </xf>
    <xf numFmtId="0" fontId="10" fillId="4" borderId="2" xfId="0" applyFont="1" applyFill="1" applyBorder="1" applyAlignment="1">
      <alignment horizontal="center" vertical="top"/>
    </xf>
    <xf numFmtId="4" fontId="10" fillId="4" borderId="2" xfId="0" applyNumberFormat="1" applyFont="1" applyFill="1" applyBorder="1" applyAlignment="1">
      <alignment horizontal="center" vertical="top"/>
    </xf>
    <xf numFmtId="0" fontId="11" fillId="0" borderId="2" xfId="0" applyFont="1" applyFill="1" applyBorder="1" applyAlignment="1">
      <alignment horizontal="center" vertical="top" wrapText="1"/>
    </xf>
    <xf numFmtId="4" fontId="3" fillId="2" borderId="2" xfId="0" applyNumberFormat="1" applyFont="1" applyFill="1" applyBorder="1"/>
    <xf numFmtId="0" fontId="10" fillId="5" borderId="2" xfId="0" applyFont="1" applyFill="1" applyBorder="1" applyAlignment="1">
      <alignment horizontal="center" vertical="top" wrapText="1"/>
    </xf>
    <xf numFmtId="0" fontId="11" fillId="5" borderId="2" xfId="0" applyFont="1" applyFill="1" applyBorder="1" applyAlignment="1">
      <alignment horizontal="center" vertical="top" wrapText="1"/>
    </xf>
    <xf numFmtId="4" fontId="11" fillId="5" borderId="2" xfId="0" applyNumberFormat="1" applyFont="1" applyFill="1" applyBorder="1" applyAlignment="1">
      <alignment horizontal="right" vertical="top" wrapText="1"/>
    </xf>
    <xf numFmtId="0" fontId="9" fillId="0" borderId="2" xfId="0" applyFont="1" applyBorder="1" applyAlignment="1">
      <alignment vertical="top" wrapText="1"/>
    </xf>
    <xf numFmtId="0" fontId="8" fillId="0" borderId="2" xfId="0" applyFont="1" applyBorder="1" applyAlignment="1">
      <alignment vertical="top" wrapText="1"/>
    </xf>
    <xf numFmtId="0" fontId="11" fillId="2" borderId="2" xfId="0" applyFont="1" applyFill="1" applyBorder="1" applyAlignment="1">
      <alignment horizontal="center" vertical="top" wrapText="1"/>
    </xf>
    <xf numFmtId="164" fontId="13" fillId="3" borderId="2" xfId="0" applyNumberFormat="1" applyFont="1" applyFill="1" applyBorder="1" applyAlignment="1">
      <alignment horizontal="center"/>
    </xf>
    <xf numFmtId="164" fontId="7" fillId="3" borderId="2" xfId="0" applyNumberFormat="1" applyFont="1" applyFill="1" applyBorder="1" applyAlignment="1">
      <alignment horizontal="center"/>
    </xf>
    <xf numFmtId="2" fontId="7" fillId="3" borderId="2" xfId="0" applyNumberFormat="1" applyFont="1" applyFill="1" applyBorder="1" applyAlignment="1">
      <alignment horizontal="center" wrapText="1"/>
    </xf>
    <xf numFmtId="0" fontId="8" fillId="0" borderId="2" xfId="0" applyFont="1" applyBorder="1" applyAlignment="1">
      <alignment horizontal="center" vertical="top"/>
    </xf>
    <xf numFmtId="4" fontId="9" fillId="2" borderId="2" xfId="0" applyNumberFormat="1" applyFont="1" applyFill="1" applyBorder="1"/>
    <xf numFmtId="0" fontId="9" fillId="0" borderId="2" xfId="0" applyFont="1" applyBorder="1" applyAlignment="1">
      <alignment wrapText="1"/>
    </xf>
    <xf numFmtId="0" fontId="9" fillId="2" borderId="2" xfId="0" applyFont="1" applyFill="1" applyBorder="1" applyAlignment="1">
      <alignment wrapText="1"/>
    </xf>
    <xf numFmtId="3" fontId="15" fillId="0" borderId="1" xfId="1" applyNumberFormat="1" applyFont="1" applyBorder="1" applyAlignment="1">
      <alignment wrapText="1"/>
    </xf>
    <xf numFmtId="0" fontId="16" fillId="0" borderId="1" xfId="1" applyFont="1" applyBorder="1" applyAlignment="1">
      <alignment horizontal="left" vertical="center" wrapText="1"/>
    </xf>
    <xf numFmtId="3" fontId="7" fillId="0" borderId="1" xfId="1" applyNumberFormat="1" applyFont="1" applyBorder="1" applyAlignment="1">
      <alignment wrapText="1"/>
    </xf>
    <xf numFmtId="3" fontId="18" fillId="0" borderId="1" xfId="1" applyNumberFormat="1" applyFont="1" applyBorder="1"/>
    <xf numFmtId="0" fontId="21" fillId="0" borderId="1" xfId="1" applyFont="1" applyBorder="1" applyAlignment="1">
      <alignment horizontal="left" vertical="center" wrapText="1"/>
    </xf>
    <xf numFmtId="0" fontId="7" fillId="0" borderId="2" xfId="0" applyFont="1" applyBorder="1" applyAlignment="1">
      <alignment horizontal="center" wrapText="1"/>
    </xf>
    <xf numFmtId="0" fontId="7" fillId="0" borderId="2" xfId="0" applyFont="1" applyBorder="1" applyAlignment="1">
      <alignment horizontal="center"/>
    </xf>
    <xf numFmtId="3" fontId="22" fillId="0" borderId="1" xfId="1" applyNumberFormat="1" applyFont="1" applyBorder="1"/>
    <xf numFmtId="3" fontId="23" fillId="0" borderId="1" xfId="1" applyNumberFormat="1" applyFont="1" applyBorder="1" applyAlignment="1">
      <alignment vertical="center"/>
    </xf>
    <xf numFmtId="3" fontId="24" fillId="0" borderId="1" xfId="1" applyNumberFormat="1" applyFont="1" applyBorder="1"/>
    <xf numFmtId="3" fontId="21" fillId="0" borderId="1" xfId="1" applyNumberFormat="1" applyFont="1" applyBorder="1" applyAlignment="1">
      <alignment wrapText="1"/>
    </xf>
    <xf numFmtId="3" fontId="21" fillId="0" borderId="1" xfId="1" applyNumberFormat="1" applyFont="1" applyBorder="1" applyAlignment="1">
      <alignment vertical="center" wrapText="1"/>
    </xf>
    <xf numFmtId="3" fontId="23" fillId="0" borderId="1" xfId="1" applyNumberFormat="1" applyFont="1" applyBorder="1"/>
    <xf numFmtId="3" fontId="21" fillId="0" borderId="1" xfId="1" applyNumberFormat="1" applyFont="1" applyBorder="1"/>
    <xf numFmtId="3" fontId="2" fillId="0" borderId="1" xfId="1" applyNumberFormat="1" applyFont="1" applyBorder="1"/>
    <xf numFmtId="3" fontId="0" fillId="0" borderId="0" xfId="0" applyNumberFormat="1" applyAlignment="1">
      <alignment horizontal="center" vertical="center"/>
    </xf>
    <xf numFmtId="3" fontId="0" fillId="0" borderId="0" xfId="0" applyNumberFormat="1"/>
    <xf numFmtId="3" fontId="21" fillId="0" borderId="1" xfId="1" applyNumberFormat="1" applyFont="1" applyBorder="1" applyAlignment="1">
      <alignment vertical="top" wrapText="1"/>
    </xf>
    <xf numFmtId="3" fontId="16" fillId="0" borderId="1" xfId="1" applyNumberFormat="1" applyFont="1" applyBorder="1" applyAlignment="1">
      <alignment wrapText="1"/>
    </xf>
    <xf numFmtId="3" fontId="2" fillId="0" borderId="1" xfId="1" applyNumberFormat="1" applyFont="1" applyBorder="1" applyAlignment="1">
      <alignment wrapText="1"/>
    </xf>
    <xf numFmtId="0" fontId="16" fillId="0" borderId="1" xfId="1" applyFont="1" applyBorder="1" applyAlignment="1">
      <alignment horizontal="center" vertical="center" wrapText="1"/>
    </xf>
    <xf numFmtId="0" fontId="17" fillId="0" borderId="1" xfId="1" applyFont="1" applyBorder="1" applyAlignment="1">
      <alignment horizontal="center" vertical="center" wrapText="1"/>
    </xf>
    <xf numFmtId="3" fontId="21" fillId="0" borderId="1" xfId="1" applyNumberFormat="1" applyFont="1" applyBorder="1" applyAlignment="1">
      <alignment vertical="center"/>
    </xf>
    <xf numFmtId="0" fontId="1" fillId="0" borderId="1" xfId="1" applyFont="1" applyBorder="1" applyAlignment="1">
      <alignment horizontal="center" vertical="center" wrapText="1"/>
    </xf>
    <xf numFmtId="0" fontId="1" fillId="0" borderId="1" xfId="0" applyFont="1" applyBorder="1"/>
    <xf numFmtId="3" fontId="1" fillId="0" borderId="1" xfId="0" applyNumberFormat="1" applyFont="1" applyBorder="1" applyAlignment="1">
      <alignment horizontal="center" vertical="center" wrapText="1"/>
    </xf>
    <xf numFmtId="0" fontId="1" fillId="2" borderId="1" xfId="0" applyFont="1" applyFill="1" applyBorder="1"/>
    <xf numFmtId="3" fontId="4" fillId="2" borderId="1" xfId="0" applyNumberFormat="1" applyFont="1" applyFill="1" applyBorder="1"/>
    <xf numFmtId="0" fontId="3" fillId="0" borderId="1" xfId="0" applyFont="1" applyBorder="1"/>
    <xf numFmtId="3" fontId="3" fillId="0" borderId="1" xfId="0" applyNumberFormat="1" applyFont="1" applyBorder="1"/>
    <xf numFmtId="2" fontId="2" fillId="0" borderId="1" xfId="0" applyNumberFormat="1" applyFont="1" applyFill="1" applyBorder="1" applyAlignment="1">
      <alignment wrapText="1"/>
    </xf>
    <xf numFmtId="3" fontId="2" fillId="0" borderId="1" xfId="0" applyNumberFormat="1" applyFont="1" applyFill="1" applyBorder="1"/>
    <xf numFmtId="0" fontId="2" fillId="0" borderId="1" xfId="0" applyFont="1" applyFill="1" applyBorder="1" applyAlignment="1">
      <alignment wrapText="1" shrinkToFit="1"/>
    </xf>
    <xf numFmtId="3" fontId="21" fillId="0" borderId="1" xfId="0" applyNumberFormat="1" applyFont="1" applyFill="1" applyBorder="1"/>
    <xf numFmtId="3" fontId="25" fillId="0" borderId="1" xfId="0" applyNumberFormat="1" applyFont="1" applyFill="1" applyBorder="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wrapText="1"/>
    </xf>
    <xf numFmtId="3" fontId="2" fillId="0" borderId="1" xfId="0" applyNumberFormat="1" applyFont="1" applyBorder="1"/>
    <xf numFmtId="0" fontId="2" fillId="0" borderId="1" xfId="0" applyFont="1" applyBorder="1" applyAlignment="1">
      <alignment vertical="top" wrapText="1"/>
    </xf>
    <xf numFmtId="0" fontId="2" fillId="0" borderId="1" xfId="0" applyFont="1" applyFill="1" applyBorder="1" applyAlignment="1">
      <alignment horizontal="left" vertical="center" wrapText="1"/>
    </xf>
    <xf numFmtId="0" fontId="1" fillId="0" borderId="1" xfId="0" applyFont="1" applyBorder="1" applyAlignment="1">
      <alignment horizontal="center" wrapText="1"/>
    </xf>
    <xf numFmtId="0" fontId="3" fillId="0" borderId="1" xfId="0" applyFont="1" applyBorder="1" applyAlignment="1">
      <alignment horizontal="center" wrapText="1"/>
    </xf>
    <xf numFmtId="0" fontId="1" fillId="0" borderId="1" xfId="0" applyFont="1" applyBorder="1" applyAlignment="1">
      <alignment wrapText="1"/>
    </xf>
    <xf numFmtId="3" fontId="1" fillId="0" borderId="1" xfId="0" applyNumberFormat="1" applyFont="1" applyBorder="1"/>
    <xf numFmtId="2" fontId="1" fillId="0" borderId="1" xfId="0" applyNumberFormat="1" applyFont="1" applyBorder="1" applyAlignment="1">
      <alignment horizontal="center" vertical="center" wrapText="1"/>
    </xf>
    <xf numFmtId="0" fontId="16" fillId="0" borderId="1" xfId="1" applyFont="1" applyBorder="1" applyAlignment="1">
      <alignment horizontal="center" vertical="top" wrapText="1"/>
    </xf>
    <xf numFmtId="0" fontId="14" fillId="0" borderId="1" xfId="1" applyFont="1" applyBorder="1" applyAlignment="1">
      <alignment vertical="top" wrapText="1"/>
    </xf>
    <xf numFmtId="0" fontId="21" fillId="0" borderId="1" xfId="1" applyFont="1" applyBorder="1" applyAlignment="1">
      <alignment horizontal="right" vertical="center" wrapText="1"/>
    </xf>
    <xf numFmtId="0" fontId="16" fillId="0" borderId="1" xfId="1" applyFont="1" applyBorder="1" applyAlignment="1">
      <alignment horizontal="right" vertical="center" wrapText="1"/>
    </xf>
    <xf numFmtId="0" fontId="2" fillId="0" borderId="1" xfId="0" applyFont="1" applyBorder="1"/>
    <xf numFmtId="0" fontId="20" fillId="0" borderId="1" xfId="0" applyFont="1" applyBorder="1"/>
    <xf numFmtId="2" fontId="1" fillId="0" borderId="1" xfId="0" applyNumberFormat="1" applyFont="1" applyBorder="1" applyAlignment="1">
      <alignment wrapText="1"/>
    </xf>
    <xf numFmtId="3" fontId="19" fillId="0" borderId="1" xfId="0" applyNumberFormat="1" applyFont="1" applyBorder="1"/>
    <xf numFmtId="3" fontId="2" fillId="0" borderId="1" xfId="0" applyNumberFormat="1" applyFont="1" applyFill="1" applyBorder="1" applyAlignment="1">
      <alignment horizontal="right" wrapText="1"/>
    </xf>
    <xf numFmtId="3" fontId="2" fillId="0" borderId="1" xfId="0" applyNumberFormat="1" applyFont="1" applyBorder="1" applyAlignment="1">
      <alignment horizontal="right" wrapText="1"/>
    </xf>
    <xf numFmtId="3" fontId="1" fillId="0" borderId="1" xfId="0" applyNumberFormat="1" applyFont="1" applyFill="1" applyBorder="1" applyAlignment="1">
      <alignment horizontal="right" wrapText="1"/>
    </xf>
    <xf numFmtId="3" fontId="1" fillId="3" borderId="1" xfId="0" applyNumberFormat="1" applyFont="1" applyFill="1" applyBorder="1" applyAlignment="1">
      <alignment horizontal="right" wrapText="1"/>
    </xf>
    <xf numFmtId="0" fontId="8" fillId="0" borderId="0" xfId="0" applyFont="1"/>
    <xf numFmtId="0" fontId="9" fillId="0" borderId="0" xfId="0" applyFont="1"/>
    <xf numFmtId="0" fontId="9" fillId="0" borderId="2" xfId="0" applyFont="1" applyBorder="1" applyAlignment="1">
      <alignment horizontal="center" vertical="center" wrapText="1"/>
    </xf>
    <xf numFmtId="0" fontId="8" fillId="0" borderId="2" xfId="0" applyFont="1" applyBorder="1" applyAlignment="1">
      <alignment horizontal="center" vertical="center"/>
    </xf>
    <xf numFmtId="0" fontId="0" fillId="0" borderId="0" xfId="0" applyFont="1"/>
    <xf numFmtId="0" fontId="1" fillId="0" borderId="0" xfId="0" applyFont="1" applyAlignment="1">
      <alignment horizontal="right" vertical="center"/>
    </xf>
    <xf numFmtId="4" fontId="1" fillId="0" borderId="0" xfId="0" applyNumberFormat="1" applyFont="1"/>
    <xf numFmtId="0" fontId="28" fillId="0" borderId="0" xfId="0" applyFont="1"/>
    <xf numFmtId="3" fontId="22" fillId="0" borderId="1" xfId="0" applyNumberFormat="1" applyFont="1" applyBorder="1"/>
    <xf numFmtId="0" fontId="8" fillId="0" borderId="2" xfId="0" applyFont="1" applyBorder="1" applyAlignment="1">
      <alignment vertical="center"/>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5" borderId="2" xfId="0" applyFont="1" applyFill="1" applyBorder="1" applyAlignment="1">
      <alignment horizontal="center" vertical="center" wrapText="1"/>
    </xf>
    <xf numFmtId="0" fontId="8" fillId="0" borderId="2" xfId="0" applyFont="1" applyBorder="1" applyAlignment="1">
      <alignment vertical="center" wrapText="1"/>
    </xf>
    <xf numFmtId="0" fontId="9" fillId="0" borderId="2" xfId="0" applyFont="1" applyBorder="1" applyAlignment="1">
      <alignment vertical="center"/>
    </xf>
    <xf numFmtId="0" fontId="9" fillId="0" borderId="2" xfId="0" applyFont="1" applyBorder="1" applyAlignment="1">
      <alignment vertical="center" wrapText="1"/>
    </xf>
    <xf numFmtId="0" fontId="9" fillId="2" borderId="2" xfId="0" applyFont="1" applyFill="1" applyBorder="1" applyAlignment="1">
      <alignment vertical="center" wrapText="1"/>
    </xf>
    <xf numFmtId="0" fontId="8"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5" borderId="2" xfId="0" applyFont="1" applyFill="1" applyBorder="1" applyAlignment="1">
      <alignment horizontal="center" vertical="center" wrapText="1"/>
    </xf>
    <xf numFmtId="0" fontId="10" fillId="0" borderId="2" xfId="0" applyFont="1" applyBorder="1" applyAlignment="1">
      <alignment vertical="center" wrapText="1"/>
    </xf>
    <xf numFmtId="0" fontId="11" fillId="0"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3" fontId="11" fillId="4" borderId="2" xfId="0" applyNumberFormat="1" applyFont="1" applyFill="1" applyBorder="1" applyAlignment="1">
      <alignment vertical="center"/>
    </xf>
    <xf numFmtId="0" fontId="11" fillId="4" borderId="2" xfId="0" applyFont="1" applyFill="1" applyBorder="1" applyAlignment="1">
      <alignment horizontal="center" vertical="center"/>
    </xf>
    <xf numFmtId="4" fontId="11" fillId="0" borderId="2" xfId="0" applyNumberFormat="1" applyFont="1" applyBorder="1" applyAlignment="1">
      <alignment vertical="center"/>
    </xf>
    <xf numFmtId="4" fontId="11" fillId="0" borderId="3" xfId="0" applyNumberFormat="1" applyFont="1" applyBorder="1" applyAlignment="1">
      <alignment vertical="center"/>
    </xf>
    <xf numFmtId="4" fontId="11" fillId="5" borderId="2" xfId="0" applyNumberFormat="1" applyFont="1" applyFill="1" applyBorder="1" applyAlignment="1">
      <alignment horizontal="right" vertical="center" wrapText="1"/>
    </xf>
    <xf numFmtId="4" fontId="9" fillId="2" borderId="2" xfId="0" applyNumberFormat="1" applyFont="1" applyFill="1" applyBorder="1" applyAlignment="1">
      <alignment vertical="center"/>
    </xf>
    <xf numFmtId="0" fontId="10" fillId="4" borderId="2" xfId="0" applyFont="1" applyFill="1" applyBorder="1" applyAlignment="1">
      <alignment horizontal="center" vertical="center"/>
    </xf>
    <xf numFmtId="4" fontId="10" fillId="4" borderId="2" xfId="0" applyNumberFormat="1" applyFont="1" applyFill="1" applyBorder="1" applyAlignment="1">
      <alignment horizontal="center" vertical="center"/>
    </xf>
    <xf numFmtId="4" fontId="10" fillId="4" borderId="3" xfId="0" applyNumberFormat="1" applyFont="1" applyFill="1" applyBorder="1" applyAlignment="1">
      <alignment horizontal="center" vertical="center"/>
    </xf>
    <xf numFmtId="4" fontId="10" fillId="4" borderId="2" xfId="0" applyNumberFormat="1" applyFont="1" applyFill="1" applyBorder="1" applyAlignment="1">
      <alignment horizontal="right" vertical="center"/>
    </xf>
    <xf numFmtId="0" fontId="8" fillId="0" borderId="0" xfId="0" applyFont="1" applyAlignment="1">
      <alignment vertical="center"/>
    </xf>
    <xf numFmtId="0" fontId="9" fillId="0" borderId="2" xfId="0" applyFont="1" applyBorder="1" applyAlignment="1">
      <alignment horizontal="center" vertical="center"/>
    </xf>
    <xf numFmtId="0" fontId="29" fillId="0" borderId="0" xfId="5"/>
    <xf numFmtId="0" fontId="11" fillId="2" borderId="2" xfId="0" applyFont="1" applyFill="1" applyBorder="1" applyAlignment="1">
      <alignment horizontal="center" vertical="center" wrapText="1"/>
    </xf>
    <xf numFmtId="164" fontId="7" fillId="3" borderId="2" xfId="0" applyNumberFormat="1" applyFont="1" applyFill="1" applyBorder="1" applyAlignment="1">
      <alignment horizontal="center" vertical="center"/>
    </xf>
    <xf numFmtId="2" fontId="7" fillId="3" borderId="2" xfId="0" applyNumberFormat="1" applyFont="1" applyFill="1" applyBorder="1" applyAlignment="1">
      <alignment horizontal="center" vertical="center" wrapText="1"/>
    </xf>
    <xf numFmtId="164" fontId="30" fillId="3" borderId="2" xfId="0" applyNumberFormat="1" applyFont="1" applyFill="1" applyBorder="1" applyAlignment="1">
      <alignment horizontal="center" vertical="center"/>
    </xf>
    <xf numFmtId="0" fontId="9" fillId="2" borderId="2" xfId="0" applyFont="1" applyFill="1" applyBorder="1" applyAlignment="1">
      <alignment horizontal="center" vertical="center" wrapText="1"/>
    </xf>
    <xf numFmtId="0" fontId="1" fillId="0" borderId="0" xfId="0" applyFont="1" applyAlignment="1">
      <alignment horizontal="right" vertical="center" wrapText="1"/>
    </xf>
    <xf numFmtId="0" fontId="27" fillId="0" borderId="0" xfId="0" applyFont="1" applyAlignment="1">
      <alignment horizontal="center" wrapText="1"/>
    </xf>
    <xf numFmtId="0" fontId="1" fillId="0" borderId="0" xfId="0" applyFont="1" applyAlignment="1">
      <alignment horizontal="center"/>
    </xf>
    <xf numFmtId="3" fontId="1" fillId="0" borderId="0" xfId="0" applyNumberFormat="1" applyFont="1" applyAlignment="1">
      <alignment horizontal="center"/>
    </xf>
    <xf numFmtId="3" fontId="1" fillId="0" borderId="1" xfId="0" applyNumberFormat="1" applyFont="1" applyBorder="1" applyAlignment="1">
      <alignment horizontal="center" vertical="center" wrapText="1"/>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2" borderId="1" xfId="0" applyFont="1" applyFill="1" applyBorder="1" applyAlignment="1">
      <alignment horizontal="center"/>
    </xf>
    <xf numFmtId="0" fontId="1" fillId="0" borderId="1" xfId="0" applyFont="1" applyBorder="1" applyAlignment="1">
      <alignment horizontal="center" vertical="center"/>
    </xf>
    <xf numFmtId="0" fontId="0" fillId="0" borderId="1" xfId="0" applyBorder="1" applyAlignment="1"/>
    <xf numFmtId="0" fontId="1" fillId="0" borderId="1" xfId="0" applyFont="1" applyBorder="1" applyAlignment="1">
      <alignment horizontal="center" vertical="center" wrapText="1"/>
    </xf>
    <xf numFmtId="0" fontId="0" fillId="0" borderId="1" xfId="0" applyBorder="1" applyAlignment="1">
      <alignment wrapText="1"/>
    </xf>
    <xf numFmtId="0" fontId="3" fillId="0" borderId="1" xfId="0" applyFont="1" applyBorder="1" applyAlignment="1">
      <alignment horizontal="center" wrapText="1"/>
    </xf>
    <xf numFmtId="0" fontId="14" fillId="0" borderId="1" xfId="1" applyFont="1" applyBorder="1" applyAlignment="1">
      <alignment horizontal="center" vertical="center" wrapText="1"/>
    </xf>
    <xf numFmtId="0" fontId="1" fillId="0" borderId="1" xfId="0" applyFont="1" applyFill="1" applyBorder="1" applyAlignment="1">
      <alignment horizontal="center" vertical="center" wrapText="1"/>
    </xf>
    <xf numFmtId="0" fontId="9" fillId="0" borderId="2" xfId="0" applyFont="1" applyBorder="1" applyAlignment="1">
      <alignment horizontal="center" vertical="center"/>
    </xf>
    <xf numFmtId="0" fontId="3" fillId="0" borderId="0" xfId="0" applyFont="1" applyAlignment="1">
      <alignment horizontal="center"/>
    </xf>
    <xf numFmtId="0" fontId="3" fillId="0" borderId="2" xfId="0" applyFont="1" applyBorder="1" applyAlignment="1">
      <alignment horizontal="center"/>
    </xf>
    <xf numFmtId="0" fontId="27" fillId="0" borderId="0" xfId="0" applyFont="1"/>
    <xf numFmtId="0" fontId="7" fillId="0" borderId="2" xfId="0" applyFont="1" applyBorder="1"/>
    <xf numFmtId="0" fontId="8" fillId="0" borderId="0" xfId="0" applyFont="1" applyAlignment="1">
      <alignment horizontal="left" wrapText="1"/>
    </xf>
  </cellXfs>
  <cellStyles count="6">
    <cellStyle name="Hyperlink" xfId="5" builtinId="8"/>
    <cellStyle name="Normal" xfId="0" builtinId="0"/>
    <cellStyle name="Normal 2" xfId="2" xr:uid="{59EE6ADE-E880-4447-B96C-B6E8E533DD10}"/>
    <cellStyle name="Normal 2 2" xfId="1" xr:uid="{891B0B14-70F2-4C73-9D0C-B75CF3A5C731}"/>
    <cellStyle name="Percent 2" xfId="3" xr:uid="{D16715A4-5767-47C2-9AD6-B6DEBD9F8007}"/>
    <cellStyle name="Percent 3" xfId="4" xr:uid="{A11D2BB5-C907-4C23-B4BE-73A5DB5E26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mk.gov.lv/lv/dati-par-darba-samaksu-un-nodarbinatajiem-valsts-parvald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A8DE0-345D-44CF-AF99-873436A20D77}">
  <sheetPr>
    <pageSetUpPr fitToPage="1"/>
  </sheetPr>
  <dimension ref="A1:L74"/>
  <sheetViews>
    <sheetView tabSelected="1" topLeftCell="C2" zoomScale="82" zoomScaleNormal="82" workbookViewId="0">
      <selection activeCell="D2" sqref="D2:G2"/>
    </sheetView>
  </sheetViews>
  <sheetFormatPr defaultColWidth="9.140625" defaultRowHeight="15" x14ac:dyDescent="0.25"/>
  <cols>
    <col min="1" max="1" width="9.140625" style="1"/>
    <col min="2" max="2" width="23" style="1" customWidth="1"/>
    <col min="3" max="3" width="71.42578125" style="1" customWidth="1"/>
    <col min="4" max="4" width="14.5703125" style="2" customWidth="1"/>
    <col min="5" max="6" width="17" style="2" customWidth="1"/>
    <col min="7" max="7" width="15.28515625" style="2" customWidth="1"/>
    <col min="8" max="8" width="9.140625" style="1"/>
    <col min="9" max="9" width="9.5703125" style="1" bestFit="1" customWidth="1"/>
    <col min="10" max="10" width="12.140625" style="1" bestFit="1" customWidth="1"/>
    <col min="11" max="16384" width="9.140625" style="1"/>
  </cols>
  <sheetData>
    <row r="1" spans="1:12" hidden="1" x14ac:dyDescent="0.25"/>
    <row r="2" spans="1:12" ht="60" customHeight="1" x14ac:dyDescent="0.25">
      <c r="D2" s="135" t="s">
        <v>154</v>
      </c>
      <c r="E2" s="135"/>
      <c r="F2" s="135"/>
      <c r="G2" s="135"/>
    </row>
    <row r="3" spans="1:12" x14ac:dyDescent="0.25">
      <c r="D3" s="97"/>
      <c r="E3" s="97"/>
      <c r="F3" s="97"/>
      <c r="G3" s="98" t="s">
        <v>131</v>
      </c>
    </row>
    <row r="4" spans="1:12" ht="18.75" x14ac:dyDescent="0.3">
      <c r="A4" s="100" t="s">
        <v>133</v>
      </c>
      <c r="K4" s="137"/>
      <c r="L4" s="137"/>
    </row>
    <row r="5" spans="1:12" ht="21" customHeight="1" x14ac:dyDescent="0.25">
      <c r="A5" s="136" t="s">
        <v>134</v>
      </c>
      <c r="B5" s="136"/>
      <c r="C5" s="136"/>
      <c r="D5" s="136"/>
      <c r="E5" s="136"/>
      <c r="F5" s="136"/>
      <c r="G5" s="136"/>
    </row>
    <row r="6" spans="1:12" ht="33" customHeight="1" x14ac:dyDescent="0.25">
      <c r="D6" s="138" t="s">
        <v>22</v>
      </c>
      <c r="E6" s="138"/>
      <c r="F6" s="138"/>
      <c r="G6" s="138"/>
    </row>
    <row r="7" spans="1:12" ht="36" customHeight="1" x14ac:dyDescent="0.25">
      <c r="A7" s="142"/>
      <c r="B7" s="143"/>
      <c r="C7" s="140" t="s">
        <v>2</v>
      </c>
      <c r="D7" s="139" t="s">
        <v>3</v>
      </c>
      <c r="E7" s="139" t="s">
        <v>95</v>
      </c>
      <c r="F7" s="139"/>
      <c r="G7" s="139" t="s">
        <v>94</v>
      </c>
    </row>
    <row r="8" spans="1:12" ht="45" x14ac:dyDescent="0.25">
      <c r="A8" s="144"/>
      <c r="B8" s="145"/>
      <c r="C8" s="141"/>
      <c r="D8" s="139"/>
      <c r="E8" s="60" t="s">
        <v>96</v>
      </c>
      <c r="F8" s="60" t="s">
        <v>4</v>
      </c>
      <c r="G8" s="139"/>
    </row>
    <row r="9" spans="1:12" x14ac:dyDescent="0.25">
      <c r="A9" s="146" t="s">
        <v>1</v>
      </c>
      <c r="B9" s="146"/>
      <c r="C9" s="61"/>
      <c r="D9" s="62">
        <f>D10+D16+D46+D71</f>
        <v>3290970</v>
      </c>
      <c r="E9" s="62">
        <f>E10+E16+E46+E71</f>
        <v>1300434</v>
      </c>
      <c r="F9" s="62">
        <f>F10+F16+F46+F71</f>
        <v>477080</v>
      </c>
      <c r="G9" s="62">
        <f>G10+G16+G46+G71</f>
        <v>1513456</v>
      </c>
      <c r="I9" s="2"/>
      <c r="J9" s="2"/>
      <c r="K9" s="2"/>
    </row>
    <row r="10" spans="1:12" x14ac:dyDescent="0.25">
      <c r="A10" s="63">
        <v>1000</v>
      </c>
      <c r="B10" s="63" t="s">
        <v>0</v>
      </c>
      <c r="C10" s="63" t="s">
        <v>5</v>
      </c>
      <c r="D10" s="64">
        <f>SUM(D11:D15)</f>
        <v>1337259</v>
      </c>
      <c r="E10" s="64">
        <f t="shared" ref="E10:G10" si="0">SUM(E11:E15)</f>
        <v>715515</v>
      </c>
      <c r="F10" s="64">
        <f t="shared" si="0"/>
        <v>234901</v>
      </c>
      <c r="G10" s="64">
        <f t="shared" si="0"/>
        <v>386843</v>
      </c>
      <c r="J10" s="99"/>
    </row>
    <row r="11" spans="1:12" ht="30" x14ac:dyDescent="0.25">
      <c r="A11" s="59"/>
      <c r="B11" s="59"/>
      <c r="C11" s="65" t="s">
        <v>151</v>
      </c>
      <c r="D11" s="66">
        <v>347529</v>
      </c>
      <c r="E11" s="66">
        <v>347529</v>
      </c>
      <c r="F11" s="66"/>
      <c r="G11" s="66"/>
      <c r="J11" s="99"/>
    </row>
    <row r="12" spans="1:12" ht="30" x14ac:dyDescent="0.25">
      <c r="A12" s="59"/>
      <c r="B12" s="59"/>
      <c r="C12" s="65" t="s">
        <v>152</v>
      </c>
      <c r="D12" s="66">
        <v>367986</v>
      </c>
      <c r="E12" s="66">
        <v>367986</v>
      </c>
      <c r="F12" s="66"/>
      <c r="G12" s="66"/>
      <c r="J12" s="99"/>
    </row>
    <row r="13" spans="1:12" ht="30" x14ac:dyDescent="0.25">
      <c r="A13" s="59"/>
      <c r="B13" s="59"/>
      <c r="C13" s="65" t="s">
        <v>148</v>
      </c>
      <c r="D13" s="66">
        <v>386843</v>
      </c>
      <c r="E13" s="66"/>
      <c r="F13" s="66"/>
      <c r="G13" s="66">
        <v>386843</v>
      </c>
      <c r="J13" s="99"/>
    </row>
    <row r="14" spans="1:12" ht="35.25" customHeight="1" x14ac:dyDescent="0.25">
      <c r="A14" s="59"/>
      <c r="B14" s="59"/>
      <c r="C14" s="67" t="s">
        <v>147</v>
      </c>
      <c r="D14" s="66">
        <v>167786</v>
      </c>
      <c r="E14" s="66"/>
      <c r="F14" s="68">
        <v>167786</v>
      </c>
      <c r="G14" s="69"/>
      <c r="J14" s="99"/>
    </row>
    <row r="15" spans="1:12" ht="38.25" customHeight="1" x14ac:dyDescent="0.25">
      <c r="A15" s="59"/>
      <c r="B15" s="59"/>
      <c r="C15" s="67" t="s">
        <v>146</v>
      </c>
      <c r="D15" s="66">
        <v>67115</v>
      </c>
      <c r="E15" s="66"/>
      <c r="F15" s="68">
        <v>67115</v>
      </c>
      <c r="G15" s="69"/>
      <c r="J15" s="99"/>
    </row>
    <row r="16" spans="1:12" x14ac:dyDescent="0.25">
      <c r="A16" s="63">
        <v>2000</v>
      </c>
      <c r="B16" s="63" t="s">
        <v>6</v>
      </c>
      <c r="C16" s="63"/>
      <c r="D16" s="64">
        <f>D17+D18+D20+D21+D22+D23+D32+D36+D27+D39+D44+D45+D46+D19</f>
        <v>1397226</v>
      </c>
      <c r="E16" s="64">
        <f>E17+E18+E20+E21+E22+E23+E32+E36+E27+E39+E44+E45+E46+E19</f>
        <v>428333</v>
      </c>
      <c r="F16" s="64">
        <f>F17+F18+F20+F21+F22+F23+F32+F36+F27+F39+F44+F45+F46+F19</f>
        <v>0</v>
      </c>
      <c r="G16" s="64">
        <f>G17+G18+G20+G21+G22+G23+G32+G36+G27+G39+G44+G45+G46+G19</f>
        <v>968893</v>
      </c>
    </row>
    <row r="17" spans="1:11" customFormat="1" ht="48" customHeight="1" x14ac:dyDescent="0.25">
      <c r="A17" s="70">
        <v>2210</v>
      </c>
      <c r="B17" s="71" t="s">
        <v>105</v>
      </c>
      <c r="C17" s="72" t="s">
        <v>106</v>
      </c>
      <c r="D17" s="73">
        <v>220</v>
      </c>
      <c r="E17" s="73"/>
      <c r="F17" s="73"/>
      <c r="G17" s="73">
        <v>220</v>
      </c>
      <c r="H17" s="1"/>
      <c r="I17" s="50"/>
      <c r="K17" s="51"/>
    </row>
    <row r="18" spans="1:11" customFormat="1" ht="48" customHeight="1" x14ac:dyDescent="0.25">
      <c r="A18" s="70">
        <v>2223</v>
      </c>
      <c r="B18" s="71" t="s">
        <v>107</v>
      </c>
      <c r="C18" s="74" t="s">
        <v>108</v>
      </c>
      <c r="D18" s="73">
        <v>1654</v>
      </c>
      <c r="E18" s="73"/>
      <c r="F18" s="73"/>
      <c r="G18" s="73">
        <v>1654</v>
      </c>
      <c r="H18" s="1"/>
      <c r="I18" s="50"/>
      <c r="K18" s="51"/>
    </row>
    <row r="19" spans="1:11" customFormat="1" ht="284.25" customHeight="1" x14ac:dyDescent="0.25">
      <c r="A19" s="147">
        <v>2232</v>
      </c>
      <c r="B19" s="153" t="s">
        <v>7</v>
      </c>
      <c r="C19" s="75" t="s">
        <v>129</v>
      </c>
      <c r="D19" s="89">
        <f>E19+F19+G19</f>
        <v>124000</v>
      </c>
      <c r="E19" s="90">
        <v>124000</v>
      </c>
      <c r="F19" s="90"/>
      <c r="G19" s="90"/>
      <c r="H19" s="1"/>
      <c r="I19" s="50"/>
      <c r="K19" s="51"/>
    </row>
    <row r="20" spans="1:11" ht="111" customHeight="1" x14ac:dyDescent="0.25">
      <c r="A20" s="147"/>
      <c r="B20" s="153"/>
      <c r="C20" s="75" t="s">
        <v>130</v>
      </c>
      <c r="D20" s="89">
        <f>E20+F20+G20</f>
        <v>699050</v>
      </c>
      <c r="E20" s="89"/>
      <c r="F20" s="91"/>
      <c r="G20" s="92">
        <v>699050</v>
      </c>
    </row>
    <row r="21" spans="1:11" ht="66.75" customHeight="1" x14ac:dyDescent="0.25">
      <c r="A21" s="147">
        <v>2233</v>
      </c>
      <c r="B21" s="149" t="s">
        <v>97</v>
      </c>
      <c r="C21" s="74" t="s">
        <v>104</v>
      </c>
      <c r="D21" s="73">
        <v>18000</v>
      </c>
      <c r="E21" s="64"/>
      <c r="F21" s="73"/>
      <c r="G21" s="73">
        <v>18000</v>
      </c>
    </row>
    <row r="22" spans="1:11" ht="63" customHeight="1" x14ac:dyDescent="0.25">
      <c r="A22" s="148"/>
      <c r="B22" s="150"/>
      <c r="C22" s="45" t="s">
        <v>103</v>
      </c>
      <c r="D22" s="73">
        <v>26208</v>
      </c>
      <c r="E22" s="73"/>
      <c r="F22" s="73"/>
      <c r="G22" s="73">
        <v>26208</v>
      </c>
    </row>
    <row r="23" spans="1:11" ht="29.25" x14ac:dyDescent="0.25">
      <c r="A23" s="76">
        <v>2239</v>
      </c>
      <c r="B23" s="77" t="s">
        <v>8</v>
      </c>
      <c r="C23" s="78"/>
      <c r="D23" s="64">
        <f>SUM(D24:D26)</f>
        <v>126924</v>
      </c>
      <c r="E23" s="64">
        <f>SUM(E24:E26)</f>
        <v>90924</v>
      </c>
      <c r="F23" s="64">
        <f>SUM(F24:F26)</f>
        <v>0</v>
      </c>
      <c r="G23" s="64">
        <f>SUM(G24:G26)</f>
        <v>36000</v>
      </c>
    </row>
    <row r="24" spans="1:11" ht="85.5" customHeight="1" x14ac:dyDescent="0.25">
      <c r="A24" s="59"/>
      <c r="B24" s="59"/>
      <c r="C24" s="74" t="s">
        <v>127</v>
      </c>
      <c r="D24" s="73">
        <v>89724</v>
      </c>
      <c r="E24" s="73">
        <v>89724</v>
      </c>
      <c r="F24" s="73"/>
      <c r="G24" s="73"/>
    </row>
    <row r="25" spans="1:11" ht="46.5" customHeight="1" x14ac:dyDescent="0.25">
      <c r="A25" s="59"/>
      <c r="B25" s="59"/>
      <c r="C25" s="74" t="s">
        <v>128</v>
      </c>
      <c r="D25" s="73">
        <v>36000</v>
      </c>
      <c r="E25" s="73"/>
      <c r="F25" s="73"/>
      <c r="G25" s="73">
        <v>36000</v>
      </c>
    </row>
    <row r="26" spans="1:11" ht="48" customHeight="1" x14ac:dyDescent="0.25">
      <c r="A26" s="59"/>
      <c r="B26" s="59"/>
      <c r="C26" s="72" t="s">
        <v>9</v>
      </c>
      <c r="D26" s="73">
        <v>1200</v>
      </c>
      <c r="E26" s="73">
        <v>1200</v>
      </c>
      <c r="F26" s="73"/>
      <c r="G26" s="73"/>
    </row>
    <row r="27" spans="1:11" ht="30" x14ac:dyDescent="0.25">
      <c r="A27" s="59">
        <v>2242</v>
      </c>
      <c r="B27" s="78" t="s">
        <v>17</v>
      </c>
      <c r="C27" s="59"/>
      <c r="D27" s="64">
        <f>SUM(D28:D31)</f>
        <v>21366</v>
      </c>
      <c r="E27" s="64">
        <f t="shared" ref="E27:G27" si="1">SUM(E28:E31)</f>
        <v>0</v>
      </c>
      <c r="F27" s="64"/>
      <c r="G27" s="64">
        <f t="shared" si="1"/>
        <v>21366</v>
      </c>
    </row>
    <row r="28" spans="1:11" ht="30" x14ac:dyDescent="0.25">
      <c r="A28" s="59"/>
      <c r="B28" s="78"/>
      <c r="C28" s="45" t="s">
        <v>109</v>
      </c>
      <c r="D28" s="73">
        <v>314</v>
      </c>
      <c r="E28" s="73"/>
      <c r="F28" s="73"/>
      <c r="G28" s="73">
        <v>314</v>
      </c>
    </row>
    <row r="29" spans="1:11" ht="36" customHeight="1" x14ac:dyDescent="0.25">
      <c r="A29" s="59"/>
      <c r="B29" s="78"/>
      <c r="C29" s="52" t="s">
        <v>110</v>
      </c>
      <c r="D29" s="73">
        <v>5349</v>
      </c>
      <c r="E29" s="73"/>
      <c r="F29" s="73"/>
      <c r="G29" s="73">
        <v>5349</v>
      </c>
    </row>
    <row r="30" spans="1:11" ht="30" x14ac:dyDescent="0.25">
      <c r="A30" s="59"/>
      <c r="B30" s="78"/>
      <c r="C30" s="46" t="s">
        <v>111</v>
      </c>
      <c r="D30" s="73">
        <v>2243</v>
      </c>
      <c r="E30" s="73"/>
      <c r="F30" s="73"/>
      <c r="G30" s="73">
        <v>2243</v>
      </c>
    </row>
    <row r="31" spans="1:11" ht="30" x14ac:dyDescent="0.25">
      <c r="A31" s="59"/>
      <c r="B31" s="59"/>
      <c r="C31" s="46" t="s">
        <v>112</v>
      </c>
      <c r="D31" s="73">
        <v>13460</v>
      </c>
      <c r="E31" s="73"/>
      <c r="F31" s="73"/>
      <c r="G31" s="73">
        <v>13460</v>
      </c>
    </row>
    <row r="32" spans="1:11" ht="45" x14ac:dyDescent="0.25">
      <c r="A32" s="70">
        <v>2243</v>
      </c>
      <c r="B32" s="71" t="s">
        <v>10</v>
      </c>
      <c r="C32" s="59"/>
      <c r="D32" s="64">
        <f>D33+D34+D35</f>
        <v>17424</v>
      </c>
      <c r="E32" s="64">
        <f>E33+E34+E35</f>
        <v>17424</v>
      </c>
      <c r="F32" s="64"/>
      <c r="G32" s="64">
        <f t="shared" ref="G32" si="2">G33+G34+G35</f>
        <v>0</v>
      </c>
    </row>
    <row r="33" spans="1:7" ht="30" x14ac:dyDescent="0.25">
      <c r="A33" s="59"/>
      <c r="B33" s="59"/>
      <c r="C33" s="72" t="s">
        <v>11</v>
      </c>
      <c r="D33" s="73">
        <v>3630</v>
      </c>
      <c r="E33" s="73">
        <v>3630</v>
      </c>
      <c r="F33" s="73"/>
      <c r="G33" s="79"/>
    </row>
    <row r="34" spans="1:7" ht="30" x14ac:dyDescent="0.25">
      <c r="A34" s="59"/>
      <c r="B34" s="59"/>
      <c r="C34" s="72" t="s">
        <v>12</v>
      </c>
      <c r="D34" s="73">
        <v>10164</v>
      </c>
      <c r="E34" s="73">
        <v>10164</v>
      </c>
      <c r="F34" s="73"/>
      <c r="G34" s="79"/>
    </row>
    <row r="35" spans="1:7" ht="30" x14ac:dyDescent="0.25">
      <c r="A35" s="59"/>
      <c r="B35" s="59"/>
      <c r="C35" s="72" t="s">
        <v>13</v>
      </c>
      <c r="D35" s="73">
        <v>3630</v>
      </c>
      <c r="E35" s="73">
        <v>3630</v>
      </c>
      <c r="F35" s="73"/>
      <c r="G35" s="79"/>
    </row>
    <row r="36" spans="1:7" ht="30" x14ac:dyDescent="0.25">
      <c r="A36" s="70">
        <v>2244</v>
      </c>
      <c r="B36" s="71" t="s">
        <v>14</v>
      </c>
      <c r="C36" s="59"/>
      <c r="D36" s="64">
        <f>D37+D38</f>
        <v>166752</v>
      </c>
      <c r="E36" s="64">
        <f t="shared" ref="E36:G36" si="3">E37+E38</f>
        <v>166752</v>
      </c>
      <c r="F36" s="64"/>
      <c r="G36" s="64">
        <f t="shared" si="3"/>
        <v>0</v>
      </c>
    </row>
    <row r="37" spans="1:7" ht="60" x14ac:dyDescent="0.25">
      <c r="A37" s="59"/>
      <c r="B37" s="59"/>
      <c r="C37" s="72" t="s">
        <v>15</v>
      </c>
      <c r="D37" s="73">
        <v>82752</v>
      </c>
      <c r="E37" s="73">
        <v>82752</v>
      </c>
      <c r="F37" s="73"/>
      <c r="G37" s="79"/>
    </row>
    <row r="38" spans="1:7" ht="60" x14ac:dyDescent="0.25">
      <c r="A38" s="59"/>
      <c r="B38" s="59"/>
      <c r="C38" s="72" t="s">
        <v>16</v>
      </c>
      <c r="D38" s="73">
        <v>84000</v>
      </c>
      <c r="E38" s="73">
        <v>84000</v>
      </c>
      <c r="F38" s="73"/>
      <c r="G38" s="79"/>
    </row>
    <row r="39" spans="1:7" ht="45" x14ac:dyDescent="0.25">
      <c r="A39" s="70">
        <v>2249</v>
      </c>
      <c r="B39" s="80" t="s">
        <v>18</v>
      </c>
      <c r="C39" s="59"/>
      <c r="D39" s="64">
        <f>SUM(D40:D43)</f>
        <v>13286</v>
      </c>
      <c r="E39" s="64">
        <f t="shared" ref="E39:G39" si="4">SUM(E40:E43)</f>
        <v>5808</v>
      </c>
      <c r="F39" s="64"/>
      <c r="G39" s="64">
        <f t="shared" si="4"/>
        <v>7478</v>
      </c>
    </row>
    <row r="40" spans="1:7" ht="30" x14ac:dyDescent="0.25">
      <c r="A40" s="59"/>
      <c r="B40" s="59"/>
      <c r="C40" s="46" t="s">
        <v>19</v>
      </c>
      <c r="D40" s="73">
        <v>3630</v>
      </c>
      <c r="E40" s="73">
        <v>3630</v>
      </c>
      <c r="F40" s="73"/>
      <c r="G40" s="73"/>
    </row>
    <row r="41" spans="1:7" ht="30" x14ac:dyDescent="0.25">
      <c r="A41" s="59"/>
      <c r="B41" s="59"/>
      <c r="C41" s="46" t="s">
        <v>113</v>
      </c>
      <c r="D41" s="73">
        <v>3739</v>
      </c>
      <c r="E41" s="73"/>
      <c r="F41" s="73"/>
      <c r="G41" s="73">
        <v>3739</v>
      </c>
    </row>
    <row r="42" spans="1:7" ht="45" x14ac:dyDescent="0.25">
      <c r="A42" s="59"/>
      <c r="B42" s="59"/>
      <c r="C42" s="46" t="s">
        <v>20</v>
      </c>
      <c r="D42" s="73">
        <v>2178</v>
      </c>
      <c r="E42" s="73">
        <v>2178</v>
      </c>
      <c r="F42" s="73"/>
      <c r="G42" s="73"/>
    </row>
    <row r="43" spans="1:7" ht="45" x14ac:dyDescent="0.25">
      <c r="A43" s="59"/>
      <c r="B43" s="59"/>
      <c r="C43" s="46" t="s">
        <v>114</v>
      </c>
      <c r="D43" s="73">
        <v>3739</v>
      </c>
      <c r="E43" s="73"/>
      <c r="F43" s="73"/>
      <c r="G43" s="73">
        <v>3739</v>
      </c>
    </row>
    <row r="44" spans="1:7" ht="45" x14ac:dyDescent="0.25">
      <c r="A44" s="70">
        <v>2250</v>
      </c>
      <c r="B44" s="71" t="s">
        <v>21</v>
      </c>
      <c r="C44" s="72" t="s">
        <v>115</v>
      </c>
      <c r="D44" s="73">
        <v>449</v>
      </c>
      <c r="E44" s="73"/>
      <c r="F44" s="73"/>
      <c r="G44" s="73">
        <v>449</v>
      </c>
    </row>
    <row r="45" spans="1:7" ht="30" x14ac:dyDescent="0.25">
      <c r="A45" s="70">
        <v>2264</v>
      </c>
      <c r="B45" s="71" t="s">
        <v>116</v>
      </c>
      <c r="C45" s="74" t="s">
        <v>117</v>
      </c>
      <c r="D45" s="73">
        <v>748</v>
      </c>
      <c r="E45" s="73"/>
      <c r="F45" s="73"/>
      <c r="G45" s="73">
        <v>748</v>
      </c>
    </row>
    <row r="46" spans="1:7" x14ac:dyDescent="0.25">
      <c r="A46" s="63">
        <v>2300</v>
      </c>
      <c r="B46" s="151" t="s">
        <v>62</v>
      </c>
      <c r="C46" s="151"/>
      <c r="D46" s="64">
        <f>D47+D51+D54+D55+D56+D62+D65+D68</f>
        <v>181145</v>
      </c>
      <c r="E46" s="64">
        <f t="shared" ref="E46:G46" si="5">E47+E51+E54+E55+E56+E62+E65+E68</f>
        <v>23425</v>
      </c>
      <c r="F46" s="64">
        <f t="shared" si="5"/>
        <v>0</v>
      </c>
      <c r="G46" s="64">
        <f t="shared" si="5"/>
        <v>157720</v>
      </c>
    </row>
    <row r="47" spans="1:7" x14ac:dyDescent="0.25">
      <c r="A47" s="55" t="s">
        <v>60</v>
      </c>
      <c r="B47" s="55" t="s">
        <v>61</v>
      </c>
      <c r="C47" s="35"/>
      <c r="D47" s="43">
        <f>SUM(D48:D50)</f>
        <v>6910</v>
      </c>
      <c r="E47" s="43">
        <f t="shared" ref="E47:G47" si="6">SUM(E48:E50)</f>
        <v>4490</v>
      </c>
      <c r="F47" s="43"/>
      <c r="G47" s="43">
        <f t="shared" si="6"/>
        <v>2420</v>
      </c>
    </row>
    <row r="48" spans="1:7" ht="90" x14ac:dyDescent="0.25">
      <c r="A48" s="59"/>
      <c r="B48" s="59"/>
      <c r="C48" s="45" t="s">
        <v>118</v>
      </c>
      <c r="D48" s="57">
        <v>2420</v>
      </c>
      <c r="E48" s="57"/>
      <c r="F48" s="57"/>
      <c r="G48" s="57">
        <v>2420</v>
      </c>
    </row>
    <row r="49" spans="1:7" ht="111" customHeight="1" x14ac:dyDescent="0.25">
      <c r="A49" s="59"/>
      <c r="B49" s="59"/>
      <c r="C49" s="45" t="s">
        <v>93</v>
      </c>
      <c r="D49" s="57">
        <v>2316</v>
      </c>
      <c r="E49" s="57">
        <f>D49</f>
        <v>2316</v>
      </c>
      <c r="F49" s="57"/>
      <c r="G49" s="57"/>
    </row>
    <row r="50" spans="1:7" ht="90" x14ac:dyDescent="0.25">
      <c r="A50" s="59"/>
      <c r="B50" s="59"/>
      <c r="C50" s="45" t="s">
        <v>63</v>
      </c>
      <c r="D50" s="57">
        <v>2174</v>
      </c>
      <c r="E50" s="57">
        <f>D50</f>
        <v>2174</v>
      </c>
      <c r="F50" s="57"/>
      <c r="G50" s="57"/>
    </row>
    <row r="51" spans="1:7" ht="15.75" x14ac:dyDescent="0.25">
      <c r="A51" s="56" t="s">
        <v>64</v>
      </c>
      <c r="B51" s="56" t="s">
        <v>65</v>
      </c>
      <c r="C51" s="53"/>
      <c r="D51" s="42">
        <f>SUM(D52:D53)</f>
        <v>8799</v>
      </c>
      <c r="E51" s="42">
        <f t="shared" ref="E51:G51" si="7">SUM(E52:E53)</f>
        <v>5808</v>
      </c>
      <c r="F51" s="42"/>
      <c r="G51" s="42">
        <f t="shared" si="7"/>
        <v>2991</v>
      </c>
    </row>
    <row r="52" spans="1:7" ht="30" x14ac:dyDescent="0.25">
      <c r="A52" s="59"/>
      <c r="B52" s="59"/>
      <c r="C52" s="45" t="s">
        <v>66</v>
      </c>
      <c r="D52" s="73">
        <v>5808</v>
      </c>
      <c r="E52" s="73">
        <v>5808</v>
      </c>
      <c r="F52" s="73"/>
      <c r="G52" s="73"/>
    </row>
    <row r="53" spans="1:7" ht="30" x14ac:dyDescent="0.25">
      <c r="A53" s="59"/>
      <c r="B53" s="59"/>
      <c r="C53" s="45" t="s">
        <v>119</v>
      </c>
      <c r="D53" s="73">
        <v>2991</v>
      </c>
      <c r="E53" s="73"/>
      <c r="F53" s="73"/>
      <c r="G53" s="73">
        <v>2991</v>
      </c>
    </row>
    <row r="54" spans="1:7" ht="45" x14ac:dyDescent="0.25">
      <c r="A54" s="55" t="s">
        <v>67</v>
      </c>
      <c r="B54" s="55" t="s">
        <v>68</v>
      </c>
      <c r="C54" s="45" t="s">
        <v>120</v>
      </c>
      <c r="D54" s="48">
        <v>21087</v>
      </c>
      <c r="E54" s="48"/>
      <c r="F54" s="48"/>
      <c r="G54" s="48">
        <v>21087</v>
      </c>
    </row>
    <row r="55" spans="1:7" ht="45" x14ac:dyDescent="0.25">
      <c r="A55" s="55" t="s">
        <v>69</v>
      </c>
      <c r="B55" s="58" t="s">
        <v>70</v>
      </c>
      <c r="C55" s="54" t="s">
        <v>121</v>
      </c>
      <c r="D55" s="49">
        <v>2288</v>
      </c>
      <c r="E55" s="49"/>
      <c r="F55" s="49"/>
      <c r="G55" s="49">
        <v>2288</v>
      </c>
    </row>
    <row r="56" spans="1:7" ht="33.75" customHeight="1" x14ac:dyDescent="0.25">
      <c r="A56" s="55">
        <v>2350</v>
      </c>
      <c r="B56" s="81" t="s">
        <v>71</v>
      </c>
      <c r="C56" s="38"/>
      <c r="D56" s="44">
        <f>SUM(D57:D61)</f>
        <v>21696</v>
      </c>
      <c r="E56" s="44">
        <f t="shared" ref="E56:G56" si="8">SUM(E57:E61)</f>
        <v>10527</v>
      </c>
      <c r="F56" s="44">
        <f t="shared" si="8"/>
        <v>0</v>
      </c>
      <c r="G56" s="44">
        <f t="shared" si="8"/>
        <v>11169</v>
      </c>
    </row>
    <row r="57" spans="1:7" ht="26.25" x14ac:dyDescent="0.25">
      <c r="A57" s="152"/>
      <c r="B57" s="82"/>
      <c r="C57" s="4" t="s">
        <v>72</v>
      </c>
      <c r="D57" s="48">
        <v>1077</v>
      </c>
      <c r="E57" s="48"/>
      <c r="F57" s="48"/>
      <c r="G57" s="48">
        <v>1077</v>
      </c>
    </row>
    <row r="58" spans="1:7" ht="30" x14ac:dyDescent="0.25">
      <c r="A58" s="152"/>
      <c r="B58" s="82"/>
      <c r="C58" s="45" t="s">
        <v>73</v>
      </c>
      <c r="D58" s="48">
        <v>843</v>
      </c>
      <c r="E58" s="48">
        <v>843</v>
      </c>
      <c r="F58" s="48"/>
      <c r="G58" s="48"/>
    </row>
    <row r="59" spans="1:7" ht="30" x14ac:dyDescent="0.25">
      <c r="A59" s="152"/>
      <c r="B59" s="82"/>
      <c r="C59" s="45" t="s">
        <v>122</v>
      </c>
      <c r="D59" s="48">
        <v>1869</v>
      </c>
      <c r="E59" s="48"/>
      <c r="F59" s="48"/>
      <c r="G59" s="48">
        <v>1869</v>
      </c>
    </row>
    <row r="60" spans="1:7" ht="60" x14ac:dyDescent="0.25">
      <c r="A60" s="152"/>
      <c r="B60" s="82"/>
      <c r="C60" s="45" t="s">
        <v>102</v>
      </c>
      <c r="D60" s="48">
        <v>12000</v>
      </c>
      <c r="E60" s="48">
        <v>9684</v>
      </c>
      <c r="F60" s="48"/>
      <c r="G60" s="48">
        <f>12000-E60</f>
        <v>2316</v>
      </c>
    </row>
    <row r="61" spans="1:7" ht="30" x14ac:dyDescent="0.25">
      <c r="A61" s="59"/>
      <c r="B61" s="59"/>
      <c r="C61" s="45" t="s">
        <v>123</v>
      </c>
      <c r="D61" s="48">
        <v>5907</v>
      </c>
      <c r="E61" s="48"/>
      <c r="F61" s="48"/>
      <c r="G61" s="48">
        <f>D61</f>
        <v>5907</v>
      </c>
    </row>
    <row r="62" spans="1:7" x14ac:dyDescent="0.25">
      <c r="A62" s="55" t="s">
        <v>74</v>
      </c>
      <c r="B62" s="55" t="s">
        <v>75</v>
      </c>
      <c r="C62" s="37"/>
      <c r="D62" s="42">
        <f>SUM(D63:D64)</f>
        <v>17597</v>
      </c>
      <c r="E62" s="44">
        <f t="shared" ref="E62:G62" si="9">SUM(E63:E64)</f>
        <v>1300</v>
      </c>
      <c r="F62" s="44">
        <f t="shared" si="9"/>
        <v>0</v>
      </c>
      <c r="G62" s="44">
        <f t="shared" si="9"/>
        <v>16297</v>
      </c>
    </row>
    <row r="63" spans="1:7" s="5" customFormat="1" ht="75.75" customHeight="1" x14ac:dyDescent="0.25">
      <c r="A63" s="83"/>
      <c r="B63" s="39"/>
      <c r="C63" s="45" t="s">
        <v>101</v>
      </c>
      <c r="D63" s="48">
        <v>10675</v>
      </c>
      <c r="E63" s="48">
        <v>1300</v>
      </c>
      <c r="F63" s="48"/>
      <c r="G63" s="48">
        <f>D63-E63</f>
        <v>9375</v>
      </c>
    </row>
    <row r="64" spans="1:7" s="5" customFormat="1" ht="51" customHeight="1" x14ac:dyDescent="0.25">
      <c r="A64" s="83"/>
      <c r="B64" s="39"/>
      <c r="C64" s="45" t="s">
        <v>124</v>
      </c>
      <c r="D64" s="48">
        <v>6922</v>
      </c>
      <c r="E64" s="48"/>
      <c r="F64" s="48"/>
      <c r="G64" s="48">
        <f>D64-E64</f>
        <v>6922</v>
      </c>
    </row>
    <row r="65" spans="1:7" ht="30" x14ac:dyDescent="0.25">
      <c r="A65" s="84" t="s">
        <v>76</v>
      </c>
      <c r="B65" s="36" t="s">
        <v>77</v>
      </c>
      <c r="C65" s="37"/>
      <c r="D65" s="42">
        <f>SUM(D66:D67)</f>
        <v>10296</v>
      </c>
      <c r="E65" s="44">
        <f t="shared" ref="E65:G65" si="10">SUM(E66:E67)</f>
        <v>1300</v>
      </c>
      <c r="F65" s="44">
        <f t="shared" si="10"/>
        <v>0</v>
      </c>
      <c r="G65" s="44">
        <f t="shared" si="10"/>
        <v>8996</v>
      </c>
    </row>
    <row r="66" spans="1:7" ht="45" x14ac:dyDescent="0.25">
      <c r="A66" s="59"/>
      <c r="B66" s="85"/>
      <c r="C66" s="45" t="s">
        <v>126</v>
      </c>
      <c r="D66" s="73">
        <v>3790</v>
      </c>
      <c r="E66" s="73">
        <v>1300</v>
      </c>
      <c r="F66" s="73"/>
      <c r="G66" s="73">
        <f>D66-E66</f>
        <v>2490</v>
      </c>
    </row>
    <row r="67" spans="1:7" ht="60.75" customHeight="1" x14ac:dyDescent="0.25">
      <c r="A67" s="59"/>
      <c r="B67" s="85"/>
      <c r="C67" s="45" t="s">
        <v>125</v>
      </c>
      <c r="D67" s="73">
        <v>6506</v>
      </c>
      <c r="E67" s="73"/>
      <c r="F67" s="73"/>
      <c r="G67" s="73">
        <f>D67-E67</f>
        <v>6506</v>
      </c>
    </row>
    <row r="68" spans="1:7" ht="81" customHeight="1" x14ac:dyDescent="0.25">
      <c r="A68" s="84">
        <v>2369</v>
      </c>
      <c r="B68" s="36" t="s">
        <v>98</v>
      </c>
      <c r="C68" s="37"/>
      <c r="D68" s="44">
        <f>SUM(D69:D70)</f>
        <v>92472</v>
      </c>
      <c r="E68" s="47">
        <f t="shared" ref="E68:G68" si="11">SUM(E69:E70)</f>
        <v>0</v>
      </c>
      <c r="F68" s="44">
        <f t="shared" si="11"/>
        <v>0</v>
      </c>
      <c r="G68" s="44">
        <f t="shared" si="11"/>
        <v>92472</v>
      </c>
    </row>
    <row r="69" spans="1:7" ht="42" customHeight="1" x14ac:dyDescent="0.25">
      <c r="A69" s="59"/>
      <c r="B69" s="85"/>
      <c r="C69" s="45" t="s">
        <v>99</v>
      </c>
      <c r="D69" s="73">
        <v>68640</v>
      </c>
      <c r="E69" s="73"/>
      <c r="F69" s="73"/>
      <c r="G69" s="73">
        <v>68640</v>
      </c>
    </row>
    <row r="70" spans="1:7" ht="60" customHeight="1" x14ac:dyDescent="0.25">
      <c r="A70" s="59"/>
      <c r="B70" s="85"/>
      <c r="C70" s="45" t="s">
        <v>100</v>
      </c>
      <c r="D70" s="73">
        <v>23832</v>
      </c>
      <c r="E70" s="73"/>
      <c r="F70" s="73"/>
      <c r="G70" s="73">
        <v>23832</v>
      </c>
    </row>
    <row r="71" spans="1:7" x14ac:dyDescent="0.25">
      <c r="A71" s="63">
        <v>6000</v>
      </c>
      <c r="B71" s="86" t="s">
        <v>78</v>
      </c>
      <c r="C71" s="63"/>
      <c r="D71" s="64">
        <f>D72</f>
        <v>375340</v>
      </c>
      <c r="E71" s="64">
        <f t="shared" ref="E71:G71" si="12">E72</f>
        <v>133161</v>
      </c>
      <c r="F71" s="64">
        <f>D71-E71</f>
        <v>242179</v>
      </c>
      <c r="G71" s="101">
        <f t="shared" si="12"/>
        <v>0</v>
      </c>
    </row>
    <row r="72" spans="1:7" ht="30" x14ac:dyDescent="0.25">
      <c r="A72" s="59">
        <v>6239</v>
      </c>
      <c r="B72" s="87" t="s">
        <v>79</v>
      </c>
      <c r="C72" s="59"/>
      <c r="D72" s="73">
        <f>D73+D74</f>
        <v>375340</v>
      </c>
      <c r="E72" s="73">
        <f t="shared" ref="E72:G72" si="13">E73+E74</f>
        <v>133161</v>
      </c>
      <c r="F72" s="73">
        <f>D72-E72</f>
        <v>242179</v>
      </c>
      <c r="G72" s="79">
        <f t="shared" si="13"/>
        <v>0</v>
      </c>
    </row>
    <row r="73" spans="1:7" ht="150" x14ac:dyDescent="0.25">
      <c r="A73" s="59"/>
      <c r="B73" s="59"/>
      <c r="C73" s="72" t="s">
        <v>81</v>
      </c>
      <c r="D73" s="73">
        <v>343980</v>
      </c>
      <c r="E73" s="73">
        <v>115243</v>
      </c>
      <c r="F73" s="73">
        <f>D73-E73</f>
        <v>228737</v>
      </c>
      <c r="G73" s="88"/>
    </row>
    <row r="74" spans="1:7" s="5" customFormat="1" ht="75" x14ac:dyDescent="0.25">
      <c r="A74" s="85"/>
      <c r="B74" s="85"/>
      <c r="C74" s="72" t="s">
        <v>80</v>
      </c>
      <c r="D74" s="73">
        <v>31360</v>
      </c>
      <c r="E74" s="88">
        <v>17918</v>
      </c>
      <c r="F74" s="73">
        <f>D74-E74</f>
        <v>13442</v>
      </c>
      <c r="G74" s="88"/>
    </row>
  </sheetData>
  <mergeCells count="16">
    <mergeCell ref="A9:B9"/>
    <mergeCell ref="A21:A22"/>
    <mergeCell ref="B21:B22"/>
    <mergeCell ref="B46:C46"/>
    <mergeCell ref="A57:A60"/>
    <mergeCell ref="A19:A20"/>
    <mergeCell ref="B19:B20"/>
    <mergeCell ref="D2:G2"/>
    <mergeCell ref="A5:G5"/>
    <mergeCell ref="K4:L4"/>
    <mergeCell ref="D6:G6"/>
    <mergeCell ref="D7:D8"/>
    <mergeCell ref="E7:F7"/>
    <mergeCell ref="G7:G8"/>
    <mergeCell ref="C7:C8"/>
    <mergeCell ref="A7:B8"/>
  </mergeCells>
  <pageMargins left="0.7" right="0.7" top="0.75" bottom="0.75" header="0.3" footer="0.3"/>
  <pageSetup paperSize="9" scale="41"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6BCB6-E295-4290-8BDB-B2BF56B50BDD}">
  <sheetPr>
    <pageSetUpPr fitToPage="1"/>
  </sheetPr>
  <dimension ref="A1:N14"/>
  <sheetViews>
    <sheetView workbookViewId="0">
      <selection activeCell="A13" sqref="A13:N13"/>
    </sheetView>
  </sheetViews>
  <sheetFormatPr defaultRowHeight="12.75" x14ac:dyDescent="0.2"/>
  <cols>
    <col min="1" max="1" width="9.140625" style="93"/>
    <col min="2" max="2" width="14.42578125" style="93" customWidth="1"/>
    <col min="3" max="3" width="6.85546875" style="93" bestFit="1" customWidth="1"/>
    <col min="4" max="4" width="9.7109375" style="93" bestFit="1" customWidth="1"/>
    <col min="5" max="5" width="12.28515625" style="93" customWidth="1"/>
    <col min="6" max="6" width="7.7109375" style="93" customWidth="1"/>
    <col min="7" max="7" width="13.42578125" style="93" customWidth="1"/>
    <col min="8" max="8" width="11.42578125" style="93" customWidth="1"/>
    <col min="9" max="9" width="11" style="93" customWidth="1"/>
    <col min="10" max="10" width="10.85546875" style="93" customWidth="1"/>
    <col min="11" max="11" width="11.5703125" style="93" customWidth="1"/>
    <col min="12" max="12" width="10.85546875" style="93" customWidth="1"/>
    <col min="13" max="13" width="13.140625" style="93" customWidth="1"/>
    <col min="14" max="14" width="11" style="93" customWidth="1"/>
    <col min="15" max="16384" width="9.140625" style="93"/>
  </cols>
  <sheetData>
    <row r="1" spans="1:14" ht="15" x14ac:dyDescent="0.25">
      <c r="N1" s="1" t="s">
        <v>132</v>
      </c>
    </row>
    <row r="2" spans="1:14" ht="14.25" x14ac:dyDescent="0.2">
      <c r="A2" s="3" t="s">
        <v>153</v>
      </c>
    </row>
    <row r="3" spans="1:14" x14ac:dyDescent="0.2">
      <c r="B3" s="94"/>
    </row>
    <row r="4" spans="1:14" ht="102" customHeight="1" x14ac:dyDescent="0.2">
      <c r="A4" s="107"/>
      <c r="B4" s="107" t="s">
        <v>135</v>
      </c>
      <c r="C4" s="95" t="s">
        <v>23</v>
      </c>
      <c r="D4" s="103" t="s">
        <v>24</v>
      </c>
      <c r="E4" s="103" t="s">
        <v>136</v>
      </c>
      <c r="F4" s="103" t="s">
        <v>25</v>
      </c>
      <c r="G4" s="103" t="s">
        <v>44</v>
      </c>
      <c r="H4" s="103" t="s">
        <v>26</v>
      </c>
      <c r="I4" s="104" t="s">
        <v>27</v>
      </c>
      <c r="J4" s="103" t="s">
        <v>28</v>
      </c>
      <c r="K4" s="103" t="s">
        <v>29</v>
      </c>
      <c r="L4" s="105" t="s">
        <v>30</v>
      </c>
      <c r="M4" s="108" t="s">
        <v>42</v>
      </c>
      <c r="N4" s="109" t="s">
        <v>46</v>
      </c>
    </row>
    <row r="5" spans="1:14" x14ac:dyDescent="0.2">
      <c r="A5" s="102"/>
      <c r="B5" s="108"/>
      <c r="C5" s="110"/>
      <c r="D5" s="114"/>
      <c r="E5" s="111" t="s">
        <v>31</v>
      </c>
      <c r="F5" s="111">
        <v>2</v>
      </c>
      <c r="G5" s="111" t="s">
        <v>32</v>
      </c>
      <c r="H5" s="111" t="s">
        <v>33</v>
      </c>
      <c r="I5" s="112" t="s">
        <v>34</v>
      </c>
      <c r="J5" s="111" t="s">
        <v>35</v>
      </c>
      <c r="K5" s="111" t="s">
        <v>36</v>
      </c>
      <c r="L5" s="113" t="s">
        <v>37</v>
      </c>
      <c r="M5" s="115" t="s">
        <v>47</v>
      </c>
      <c r="N5" s="116" t="s">
        <v>45</v>
      </c>
    </row>
    <row r="6" spans="1:14" ht="25.5" x14ac:dyDescent="0.2">
      <c r="A6" s="102" t="s">
        <v>31</v>
      </c>
      <c r="B6" s="106" t="s">
        <v>38</v>
      </c>
      <c r="C6" s="102" t="s">
        <v>39</v>
      </c>
      <c r="D6" s="96">
        <v>9</v>
      </c>
      <c r="E6" s="117">
        <v>2011</v>
      </c>
      <c r="F6" s="118">
        <v>5</v>
      </c>
      <c r="G6" s="119">
        <f>(E6*F6)*12</f>
        <v>120660</v>
      </c>
      <c r="H6" s="119">
        <f>G6*0.05</f>
        <v>6033</v>
      </c>
      <c r="I6" s="120">
        <f>G6*0.05</f>
        <v>6033</v>
      </c>
      <c r="J6" s="119">
        <f>ROUND(G6+H6+I6,2)</f>
        <v>132726</v>
      </c>
      <c r="K6" s="119">
        <f>ROUND(J6*23.59%,2)</f>
        <v>31310.06</v>
      </c>
      <c r="L6" s="121">
        <f>J6+K6</f>
        <v>164036.06</v>
      </c>
      <c r="M6" s="102">
        <f>5*750</f>
        <v>3750</v>
      </c>
      <c r="N6" s="122">
        <f>L6+M6</f>
        <v>167786.06</v>
      </c>
    </row>
    <row r="7" spans="1:14" ht="25.5" x14ac:dyDescent="0.2">
      <c r="A7" s="102" t="s">
        <v>40</v>
      </c>
      <c r="B7" s="106" t="s">
        <v>41</v>
      </c>
      <c r="C7" s="102" t="s">
        <v>39</v>
      </c>
      <c r="D7" s="96">
        <v>9</v>
      </c>
      <c r="E7" s="117">
        <v>2011</v>
      </c>
      <c r="F7" s="118">
        <v>2</v>
      </c>
      <c r="G7" s="119">
        <f>(E7*F7)*12</f>
        <v>48264</v>
      </c>
      <c r="H7" s="119">
        <f t="shared" ref="H7" si="0">G7*0.05</f>
        <v>2413.2000000000003</v>
      </c>
      <c r="I7" s="120">
        <f>G7*0.05</f>
        <v>2413.2000000000003</v>
      </c>
      <c r="J7" s="119">
        <f>ROUND(G7+H7+I7,2)</f>
        <v>53090.400000000001</v>
      </c>
      <c r="K7" s="119">
        <f t="shared" ref="K7" si="1">ROUND(J7*23.59%,2)</f>
        <v>12524.03</v>
      </c>
      <c r="L7" s="121">
        <f t="shared" ref="L7" si="2">J7+K7</f>
        <v>65614.430000000008</v>
      </c>
      <c r="M7" s="102">
        <f>2*750</f>
        <v>1500</v>
      </c>
      <c r="N7" s="122">
        <f>L7+M7</f>
        <v>67114.430000000008</v>
      </c>
    </row>
    <row r="8" spans="1:14" x14ac:dyDescent="0.2">
      <c r="A8" s="102"/>
      <c r="B8" s="106"/>
      <c r="C8" s="102"/>
      <c r="D8" s="96"/>
      <c r="E8" s="117"/>
      <c r="F8" s="123">
        <f>F6+F7</f>
        <v>7</v>
      </c>
      <c r="G8" s="124">
        <f t="shared" ref="G8:N8" si="3">G6+G7</f>
        <v>168924</v>
      </c>
      <c r="H8" s="124">
        <f t="shared" si="3"/>
        <v>8446.2000000000007</v>
      </c>
      <c r="I8" s="125">
        <f t="shared" si="3"/>
        <v>8446.2000000000007</v>
      </c>
      <c r="J8" s="124">
        <f t="shared" si="3"/>
        <v>185816.4</v>
      </c>
      <c r="K8" s="124">
        <f t="shared" si="3"/>
        <v>43834.090000000004</v>
      </c>
      <c r="L8" s="126">
        <f t="shared" si="3"/>
        <v>229650.49</v>
      </c>
      <c r="M8" s="126">
        <f t="shared" si="3"/>
        <v>5250</v>
      </c>
      <c r="N8" s="126">
        <f t="shared" si="3"/>
        <v>234900.49</v>
      </c>
    </row>
    <row r="9" spans="1:14" x14ac:dyDescent="0.2">
      <c r="A9" s="127"/>
      <c r="B9" s="127"/>
      <c r="C9" s="127"/>
      <c r="D9" s="127"/>
      <c r="E9" s="127"/>
      <c r="F9" s="127"/>
      <c r="G9" s="127"/>
      <c r="H9" s="127"/>
      <c r="I9" s="127"/>
      <c r="J9" s="154" t="s">
        <v>43</v>
      </c>
      <c r="K9" s="154"/>
      <c r="L9" s="154"/>
      <c r="M9" s="154"/>
      <c r="N9" s="122">
        <f>N6+N7+0.51</f>
        <v>234901</v>
      </c>
    </row>
    <row r="10" spans="1:14" ht="15" x14ac:dyDescent="0.25">
      <c r="A10" s="129" t="s">
        <v>137</v>
      </c>
    </row>
    <row r="13" spans="1:14" ht="71.25" customHeight="1" x14ac:dyDescent="0.2">
      <c r="A13" s="159" t="s">
        <v>142</v>
      </c>
      <c r="B13" s="159"/>
      <c r="C13" s="159"/>
      <c r="D13" s="159"/>
      <c r="E13" s="159"/>
      <c r="F13" s="159"/>
      <c r="G13" s="159"/>
      <c r="H13" s="159"/>
      <c r="I13" s="159"/>
      <c r="J13" s="159"/>
      <c r="K13" s="159"/>
      <c r="L13" s="159"/>
      <c r="M13" s="159"/>
      <c r="N13" s="159"/>
    </row>
    <row r="14" spans="1:14" ht="48" customHeight="1" x14ac:dyDescent="0.2">
      <c r="A14" s="159" t="s">
        <v>143</v>
      </c>
      <c r="B14" s="159"/>
      <c r="C14" s="159"/>
      <c r="D14" s="159"/>
      <c r="E14" s="159"/>
      <c r="F14" s="159"/>
      <c r="G14" s="159"/>
      <c r="H14" s="159"/>
      <c r="I14" s="159"/>
      <c r="J14" s="159"/>
      <c r="K14" s="159"/>
      <c r="L14" s="159"/>
      <c r="M14" s="159"/>
      <c r="N14" s="159"/>
    </row>
  </sheetData>
  <mergeCells count="3">
    <mergeCell ref="J9:M9"/>
    <mergeCell ref="A13:N13"/>
    <mergeCell ref="A14:N14"/>
  </mergeCells>
  <phoneticPr fontId="12" type="noConversion"/>
  <hyperlinks>
    <hyperlink ref="A10" r:id="rId1" display="https://www.mk.gov.lv/lv/dati-par-darba-samaksu-un-nodarbinatajiem-valsts-parvalde " xr:uid="{88A13016-634D-451C-B246-03C59DE8B97B}"/>
  </hyperlinks>
  <pageMargins left="0.7" right="0.7" top="0.75" bottom="0.75" header="0.3" footer="0.3"/>
  <pageSetup paperSize="9" scale="57" fitToHeight="0" orientation="portrait" horizontalDpi="4294967293" verticalDpi="4294967293"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05D3A-CAE6-47DB-9BFC-72B52AECD939}">
  <sheetPr>
    <pageSetUpPr fitToPage="1"/>
  </sheetPr>
  <dimension ref="A1:N13"/>
  <sheetViews>
    <sheetView workbookViewId="0">
      <selection activeCell="N1" sqref="N1"/>
    </sheetView>
  </sheetViews>
  <sheetFormatPr defaultColWidth="9.140625" defaultRowHeight="15" x14ac:dyDescent="0.25"/>
  <cols>
    <col min="1" max="3" width="9.140625" style="1"/>
    <col min="4" max="4" width="11.28515625" style="1" customWidth="1"/>
    <col min="5" max="5" width="12.28515625" style="1" customWidth="1"/>
    <col min="6" max="6" width="7.7109375" style="1" customWidth="1"/>
    <col min="7" max="7" width="13.42578125" style="1" customWidth="1"/>
    <col min="8" max="8" width="10.7109375" style="1" customWidth="1"/>
    <col min="9" max="9" width="10.140625" style="1" customWidth="1"/>
    <col min="10" max="10" width="10.85546875" style="1" customWidth="1"/>
    <col min="11" max="11" width="9.140625" style="1"/>
    <col min="12" max="12" width="10.85546875" style="1" customWidth="1"/>
    <col min="13" max="13" width="13.42578125" style="1" customWidth="1"/>
    <col min="14" max="14" width="11" style="1" customWidth="1"/>
    <col min="15" max="16384" width="9.140625" style="1"/>
  </cols>
  <sheetData>
    <row r="1" spans="1:14" x14ac:dyDescent="0.25">
      <c r="A1" s="93"/>
      <c r="B1" s="93"/>
      <c r="C1" s="93"/>
      <c r="D1" s="93"/>
      <c r="E1" s="93"/>
      <c r="F1" s="93"/>
      <c r="G1" s="93"/>
      <c r="H1" s="93"/>
      <c r="I1" s="93"/>
      <c r="J1" s="93"/>
      <c r="K1" s="93"/>
      <c r="L1" s="93"/>
      <c r="M1" s="93"/>
      <c r="N1" s="93" t="s">
        <v>139</v>
      </c>
    </row>
    <row r="2" spans="1:14" ht="15.75" x14ac:dyDescent="0.25">
      <c r="A2" s="157" t="s">
        <v>133</v>
      </c>
      <c r="B2" s="93"/>
      <c r="C2" s="93"/>
      <c r="D2" s="93"/>
      <c r="E2" s="93"/>
      <c r="F2" s="93"/>
      <c r="G2" s="93"/>
      <c r="H2" s="93"/>
      <c r="I2" s="93"/>
      <c r="J2" s="93"/>
      <c r="K2" s="93"/>
      <c r="L2" s="93"/>
      <c r="M2" s="93"/>
      <c r="N2" s="93"/>
    </row>
    <row r="3" spans="1:14" x14ac:dyDescent="0.25">
      <c r="A3" s="155" t="s">
        <v>150</v>
      </c>
      <c r="B3" s="155"/>
      <c r="C3" s="155"/>
      <c r="D3" s="155"/>
      <c r="E3" s="155"/>
      <c r="F3" s="155"/>
      <c r="G3" s="155"/>
      <c r="H3" s="155"/>
      <c r="I3" s="155"/>
      <c r="J3" s="155"/>
      <c r="K3" s="155"/>
      <c r="L3" s="155"/>
      <c r="M3" s="155"/>
      <c r="N3" s="155"/>
    </row>
    <row r="4" spans="1:14" x14ac:dyDescent="0.25">
      <c r="A4" s="6"/>
      <c r="B4" s="3"/>
      <c r="C4" s="6"/>
      <c r="D4" s="6"/>
      <c r="E4" s="6"/>
      <c r="F4" s="6"/>
      <c r="G4" s="6"/>
      <c r="H4" s="6"/>
      <c r="I4" s="6"/>
      <c r="J4" s="6"/>
      <c r="K4" s="6"/>
      <c r="L4" s="6"/>
    </row>
    <row r="5" spans="1:14" ht="89.25" x14ac:dyDescent="0.25">
      <c r="A5" s="7"/>
      <c r="B5" s="7"/>
      <c r="C5" s="8" t="s">
        <v>23</v>
      </c>
      <c r="D5" s="9" t="s">
        <v>24</v>
      </c>
      <c r="E5" s="9" t="s">
        <v>53</v>
      </c>
      <c r="F5" s="9" t="s">
        <v>25</v>
      </c>
      <c r="G5" s="9" t="s">
        <v>44</v>
      </c>
      <c r="H5" s="9" t="s">
        <v>26</v>
      </c>
      <c r="I5" s="9" t="s">
        <v>27</v>
      </c>
      <c r="J5" s="9" t="s">
        <v>28</v>
      </c>
      <c r="K5" s="9" t="s">
        <v>29</v>
      </c>
      <c r="L5" s="22" t="s">
        <v>30</v>
      </c>
      <c r="M5" s="33" t="s">
        <v>42</v>
      </c>
      <c r="N5" s="34" t="s">
        <v>46</v>
      </c>
    </row>
    <row r="6" spans="1:14" ht="25.5" x14ac:dyDescent="0.25">
      <c r="A6" s="7"/>
      <c r="B6" s="25"/>
      <c r="C6" s="10"/>
      <c r="D6" s="11"/>
      <c r="E6" s="12" t="s">
        <v>31</v>
      </c>
      <c r="F6" s="12">
        <v>2</v>
      </c>
      <c r="G6" s="12" t="s">
        <v>32</v>
      </c>
      <c r="H6" s="12" t="s">
        <v>33</v>
      </c>
      <c r="I6" s="12" t="s">
        <v>34</v>
      </c>
      <c r="J6" s="12" t="s">
        <v>35</v>
      </c>
      <c r="K6" s="12" t="s">
        <v>36</v>
      </c>
      <c r="L6" s="23" t="s">
        <v>37</v>
      </c>
      <c r="M6" s="20" t="s">
        <v>47</v>
      </c>
      <c r="N6" s="27" t="s">
        <v>45</v>
      </c>
    </row>
    <row r="7" spans="1:14" ht="25.5" x14ac:dyDescent="0.25">
      <c r="A7" s="31">
        <v>1</v>
      </c>
      <c r="B7" s="26" t="s">
        <v>48</v>
      </c>
      <c r="C7" s="10" t="s">
        <v>54</v>
      </c>
      <c r="D7" s="12">
        <v>12</v>
      </c>
      <c r="E7" s="30">
        <v>2795</v>
      </c>
      <c r="F7" s="12">
        <v>1</v>
      </c>
      <c r="G7" s="17">
        <f t="shared" ref="G7:G8" si="0">(E7*F7)*12</f>
        <v>33540</v>
      </c>
      <c r="H7" s="17">
        <f t="shared" ref="H7:H11" si="1">G7*0.05</f>
        <v>1677</v>
      </c>
      <c r="I7" s="17">
        <f t="shared" ref="I7:I8" si="2">G7*0.05</f>
        <v>1677</v>
      </c>
      <c r="J7" s="17">
        <f t="shared" ref="J7:J8" si="3">ROUND(G7+H7+I7,2)</f>
        <v>36894</v>
      </c>
      <c r="K7" s="17">
        <f t="shared" ref="K7:K11" si="4">ROUND(J7*23.59%,2)</f>
        <v>8703.2900000000009</v>
      </c>
      <c r="L7" s="24">
        <f t="shared" ref="L7:L11" si="5">J7+K7</f>
        <v>45597.29</v>
      </c>
      <c r="M7" s="20">
        <f>F7*750</f>
        <v>750</v>
      </c>
      <c r="N7" s="32">
        <f t="shared" ref="N7:N8" si="6">L7+M7</f>
        <v>46347.29</v>
      </c>
    </row>
    <row r="8" spans="1:14" ht="38.25" x14ac:dyDescent="0.25">
      <c r="A8" s="31">
        <v>2</v>
      </c>
      <c r="B8" s="26" t="s">
        <v>49</v>
      </c>
      <c r="C8" s="10" t="s">
        <v>55</v>
      </c>
      <c r="D8" s="12">
        <v>11</v>
      </c>
      <c r="E8" s="29">
        <v>2000</v>
      </c>
      <c r="F8" s="12">
        <v>2</v>
      </c>
      <c r="G8" s="17">
        <f t="shared" si="0"/>
        <v>48000</v>
      </c>
      <c r="H8" s="17">
        <f t="shared" si="1"/>
        <v>2400</v>
      </c>
      <c r="I8" s="17">
        <f t="shared" si="2"/>
        <v>2400</v>
      </c>
      <c r="J8" s="17">
        <f t="shared" si="3"/>
        <v>52800</v>
      </c>
      <c r="K8" s="17">
        <f t="shared" si="4"/>
        <v>12455.52</v>
      </c>
      <c r="L8" s="24">
        <f t="shared" si="5"/>
        <v>65255.520000000004</v>
      </c>
      <c r="M8" s="20">
        <f t="shared" ref="M8:M11" si="7">F8*750</f>
        <v>1500</v>
      </c>
      <c r="N8" s="32">
        <f t="shared" si="6"/>
        <v>66755.520000000004</v>
      </c>
    </row>
    <row r="9" spans="1:14" ht="39" x14ac:dyDescent="0.25">
      <c r="A9" s="31">
        <v>3</v>
      </c>
      <c r="B9" s="13" t="s">
        <v>56</v>
      </c>
      <c r="C9" s="14" t="s">
        <v>39</v>
      </c>
      <c r="D9" s="15">
        <v>9</v>
      </c>
      <c r="E9" s="30">
        <v>1455</v>
      </c>
      <c r="F9" s="16">
        <v>2</v>
      </c>
      <c r="G9" s="17">
        <f>(E9*F9)*12</f>
        <v>34920</v>
      </c>
      <c r="H9" s="17">
        <f t="shared" si="1"/>
        <v>1746</v>
      </c>
      <c r="I9" s="17">
        <f>G9*0.05</f>
        <v>1746</v>
      </c>
      <c r="J9" s="17">
        <f>ROUND(G9+H9+I9,2)</f>
        <v>38412</v>
      </c>
      <c r="K9" s="17">
        <f t="shared" si="4"/>
        <v>9061.39</v>
      </c>
      <c r="L9" s="24">
        <f t="shared" si="5"/>
        <v>47473.39</v>
      </c>
      <c r="M9" s="20">
        <f t="shared" si="7"/>
        <v>1500</v>
      </c>
      <c r="N9" s="32">
        <f>L9+M9</f>
        <v>48973.39</v>
      </c>
    </row>
    <row r="10" spans="1:14" ht="26.25" x14ac:dyDescent="0.25">
      <c r="A10" s="31">
        <v>4</v>
      </c>
      <c r="B10" s="13" t="s">
        <v>57</v>
      </c>
      <c r="C10" s="14" t="s">
        <v>39</v>
      </c>
      <c r="D10" s="15">
        <v>9</v>
      </c>
      <c r="E10" s="30">
        <v>1380</v>
      </c>
      <c r="F10" s="16">
        <v>6</v>
      </c>
      <c r="G10" s="17">
        <f t="shared" ref="G10:G11" si="8">(E10*F10)*12</f>
        <v>99360</v>
      </c>
      <c r="H10" s="17">
        <f t="shared" si="1"/>
        <v>4968</v>
      </c>
      <c r="I10" s="17">
        <f t="shared" ref="I10:I11" si="9">G10*0.05</f>
        <v>4968</v>
      </c>
      <c r="J10" s="17">
        <f t="shared" ref="J10:J11" si="10">ROUND(G10+H10+I10,2)</f>
        <v>109296</v>
      </c>
      <c r="K10" s="17">
        <f t="shared" si="4"/>
        <v>25782.93</v>
      </c>
      <c r="L10" s="24">
        <f t="shared" si="5"/>
        <v>135078.93</v>
      </c>
      <c r="M10" s="20">
        <f t="shared" si="7"/>
        <v>4500</v>
      </c>
      <c r="N10" s="32">
        <f t="shared" ref="N10:N11" si="11">L10+M10</f>
        <v>139578.93</v>
      </c>
    </row>
    <row r="11" spans="1:14" ht="26.25" x14ac:dyDescent="0.25">
      <c r="A11" s="31">
        <v>5</v>
      </c>
      <c r="B11" s="13" t="s">
        <v>57</v>
      </c>
      <c r="C11" s="14" t="s">
        <v>58</v>
      </c>
      <c r="D11" s="15">
        <v>8</v>
      </c>
      <c r="E11" s="30">
        <v>1360</v>
      </c>
      <c r="F11" s="16">
        <v>2</v>
      </c>
      <c r="G11" s="17">
        <f t="shared" si="8"/>
        <v>32640</v>
      </c>
      <c r="H11" s="17">
        <f t="shared" si="1"/>
        <v>1632</v>
      </c>
      <c r="I11" s="17">
        <f t="shared" si="9"/>
        <v>1632</v>
      </c>
      <c r="J11" s="17">
        <f t="shared" si="10"/>
        <v>35904</v>
      </c>
      <c r="K11" s="17">
        <f t="shared" si="4"/>
        <v>8469.75</v>
      </c>
      <c r="L11" s="24">
        <f t="shared" si="5"/>
        <v>44373.75</v>
      </c>
      <c r="M11" s="20">
        <f t="shared" si="7"/>
        <v>1500</v>
      </c>
      <c r="N11" s="32">
        <f t="shared" si="11"/>
        <v>45873.75</v>
      </c>
    </row>
    <row r="12" spans="1:14" ht="18.75" x14ac:dyDescent="0.3">
      <c r="A12" s="7"/>
      <c r="B12" s="13"/>
      <c r="C12" s="14"/>
      <c r="D12" s="15"/>
      <c r="E12" s="28"/>
      <c r="F12" s="18">
        <f>SUM(F7:F11)</f>
        <v>13</v>
      </c>
      <c r="G12" s="18">
        <f t="shared" ref="G12:N12" si="12">SUM(G7:G11)</f>
        <v>248460</v>
      </c>
      <c r="H12" s="18">
        <f t="shared" si="12"/>
        <v>12423</v>
      </c>
      <c r="I12" s="18">
        <f t="shared" si="12"/>
        <v>12423</v>
      </c>
      <c r="J12" s="18">
        <f t="shared" si="12"/>
        <v>273306</v>
      </c>
      <c r="K12" s="18">
        <f t="shared" si="12"/>
        <v>64472.880000000005</v>
      </c>
      <c r="L12" s="18">
        <f t="shared" si="12"/>
        <v>337778.88</v>
      </c>
      <c r="M12" s="18">
        <f t="shared" si="12"/>
        <v>9750</v>
      </c>
      <c r="N12" s="19">
        <f t="shared" si="12"/>
        <v>347528.88</v>
      </c>
    </row>
    <row r="13" spans="1:14" x14ac:dyDescent="0.25">
      <c r="A13" s="6"/>
      <c r="B13" s="6"/>
      <c r="C13" s="6"/>
      <c r="D13" s="6"/>
      <c r="E13" s="93"/>
      <c r="F13" s="93"/>
      <c r="G13" s="93"/>
      <c r="H13" s="6"/>
      <c r="I13" s="6"/>
      <c r="J13" s="156" t="s">
        <v>43</v>
      </c>
      <c r="K13" s="156"/>
      <c r="L13" s="156"/>
      <c r="M13" s="156"/>
      <c r="N13" s="21">
        <f>N12+0.12</f>
        <v>347529</v>
      </c>
    </row>
  </sheetData>
  <mergeCells count="2">
    <mergeCell ref="A3:N3"/>
    <mergeCell ref="J13:M13"/>
  </mergeCells>
  <phoneticPr fontId="12" type="noConversion"/>
  <pageMargins left="0.7" right="0.7" top="0.75" bottom="0.75" header="0.3" footer="0.3"/>
  <pageSetup paperSize="9" scale="59" fitToHeight="0" orientation="portrait" horizontalDpi="4294967293"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6B016-798A-4098-86F6-90EF90D7D5FD}">
  <sheetPr>
    <pageSetUpPr fitToPage="1"/>
  </sheetPr>
  <dimension ref="A1:N14"/>
  <sheetViews>
    <sheetView workbookViewId="0">
      <selection activeCell="L20" sqref="L20"/>
    </sheetView>
  </sheetViews>
  <sheetFormatPr defaultColWidth="9.140625" defaultRowHeight="12.75" x14ac:dyDescent="0.2"/>
  <cols>
    <col min="1" max="1" width="9.140625" style="93"/>
    <col min="2" max="2" width="10" style="93" customWidth="1"/>
    <col min="3" max="3" width="9.140625" style="93"/>
    <col min="4" max="4" width="11.28515625" style="93" customWidth="1"/>
    <col min="5" max="5" width="12.28515625" style="93" customWidth="1"/>
    <col min="6" max="6" width="7.7109375" style="93" customWidth="1"/>
    <col min="7" max="7" width="13.42578125" style="93" customWidth="1"/>
    <col min="8" max="9" width="9.140625" style="93"/>
    <col min="10" max="10" width="10.85546875" style="93" customWidth="1"/>
    <col min="11" max="11" width="9.140625" style="93"/>
    <col min="12" max="12" width="10.85546875" style="93" customWidth="1"/>
    <col min="13" max="13" width="14" style="93" customWidth="1"/>
    <col min="14" max="14" width="11" style="93" customWidth="1"/>
    <col min="15" max="16384" width="9.140625" style="93"/>
  </cols>
  <sheetData>
    <row r="1" spans="1:14" x14ac:dyDescent="0.2">
      <c r="N1" s="93" t="s">
        <v>144</v>
      </c>
    </row>
    <row r="2" spans="1:14" ht="15.75" x14ac:dyDescent="0.25">
      <c r="A2" s="157" t="s">
        <v>133</v>
      </c>
    </row>
    <row r="3" spans="1:14" ht="14.25" x14ac:dyDescent="0.2">
      <c r="A3" s="155" t="s">
        <v>138</v>
      </c>
      <c r="B3" s="155"/>
      <c r="C3" s="155"/>
      <c r="D3" s="155"/>
      <c r="E3" s="155"/>
      <c r="F3" s="155"/>
      <c r="G3" s="155"/>
      <c r="H3" s="155"/>
      <c r="I3" s="155"/>
      <c r="J3" s="155"/>
      <c r="K3" s="155"/>
      <c r="L3" s="155"/>
      <c r="M3" s="155"/>
      <c r="N3" s="155"/>
    </row>
    <row r="4" spans="1:14" x14ac:dyDescent="0.2">
      <c r="B4" s="94"/>
    </row>
    <row r="5" spans="1:14" ht="114.75" x14ac:dyDescent="0.2">
      <c r="A5" s="128" t="s">
        <v>140</v>
      </c>
      <c r="B5" s="128" t="s">
        <v>135</v>
      </c>
      <c r="C5" s="95" t="s">
        <v>23</v>
      </c>
      <c r="D5" s="103" t="s">
        <v>24</v>
      </c>
      <c r="E5" s="103" t="s">
        <v>53</v>
      </c>
      <c r="F5" s="103" t="s">
        <v>25</v>
      </c>
      <c r="G5" s="103" t="s">
        <v>44</v>
      </c>
      <c r="H5" s="103" t="s">
        <v>26</v>
      </c>
      <c r="I5" s="103" t="s">
        <v>27</v>
      </c>
      <c r="J5" s="103" t="s">
        <v>28</v>
      </c>
      <c r="K5" s="103" t="s">
        <v>29</v>
      </c>
      <c r="L5" s="105" t="s">
        <v>30</v>
      </c>
      <c r="M5" s="95" t="s">
        <v>141</v>
      </c>
      <c r="N5" s="134" t="s">
        <v>46</v>
      </c>
    </row>
    <row r="6" spans="1:14" ht="25.5" x14ac:dyDescent="0.2">
      <c r="A6" s="102"/>
      <c r="B6" s="108"/>
      <c r="C6" s="110"/>
      <c r="D6" s="114"/>
      <c r="E6" s="111" t="s">
        <v>31</v>
      </c>
      <c r="F6" s="111">
        <v>2</v>
      </c>
      <c r="G6" s="111" t="s">
        <v>32</v>
      </c>
      <c r="H6" s="111" t="s">
        <v>33</v>
      </c>
      <c r="I6" s="111" t="s">
        <v>34</v>
      </c>
      <c r="J6" s="111" t="s">
        <v>35</v>
      </c>
      <c r="K6" s="111" t="s">
        <v>36</v>
      </c>
      <c r="L6" s="113" t="s">
        <v>37</v>
      </c>
      <c r="M6" s="111" t="s">
        <v>47</v>
      </c>
      <c r="N6" s="130" t="s">
        <v>45</v>
      </c>
    </row>
    <row r="7" spans="1:14" ht="25.5" x14ac:dyDescent="0.2">
      <c r="A7" s="96">
        <v>1</v>
      </c>
      <c r="B7" s="106" t="s">
        <v>48</v>
      </c>
      <c r="C7" s="110" t="s">
        <v>50</v>
      </c>
      <c r="D7" s="111">
        <v>12</v>
      </c>
      <c r="E7" s="132">
        <v>3330</v>
      </c>
      <c r="F7" s="111">
        <v>1</v>
      </c>
      <c r="G7" s="119">
        <f t="shared" ref="G7:G9" si="0">(E7*F7)*12</f>
        <v>39960</v>
      </c>
      <c r="H7" s="119">
        <f t="shared" ref="H7:H12" si="1">G7*0.05</f>
        <v>1998</v>
      </c>
      <c r="I7" s="119">
        <f t="shared" ref="I7:I9" si="2">G7*0.05</f>
        <v>1998</v>
      </c>
      <c r="J7" s="119">
        <f t="shared" ref="J7:J9" si="3">ROUND(G7+H7+I7,2)</f>
        <v>43956</v>
      </c>
      <c r="K7" s="119">
        <f t="shared" ref="K7:K12" si="4">ROUND(J7*23.59%,2)</f>
        <v>10369.219999999999</v>
      </c>
      <c r="L7" s="121">
        <f t="shared" ref="L7:L12" si="5">J7+K7</f>
        <v>54325.22</v>
      </c>
      <c r="M7" s="111">
        <f>F7*750</f>
        <v>750</v>
      </c>
      <c r="N7" s="122">
        <f t="shared" ref="N7:N9" si="6">L7+M7</f>
        <v>55075.22</v>
      </c>
    </row>
    <row r="8" spans="1:14" ht="38.25" x14ac:dyDescent="0.2">
      <c r="A8" s="96">
        <v>2</v>
      </c>
      <c r="B8" s="106" t="s">
        <v>49</v>
      </c>
      <c r="C8" s="110" t="s">
        <v>82</v>
      </c>
      <c r="D8" s="111">
        <v>11</v>
      </c>
      <c r="E8" s="131">
        <v>2200</v>
      </c>
      <c r="F8" s="111">
        <v>1</v>
      </c>
      <c r="G8" s="119">
        <f t="shared" si="0"/>
        <v>26400</v>
      </c>
      <c r="H8" s="119">
        <f t="shared" si="1"/>
        <v>1320</v>
      </c>
      <c r="I8" s="119">
        <f t="shared" si="2"/>
        <v>1320</v>
      </c>
      <c r="J8" s="119">
        <f t="shared" si="3"/>
        <v>29040</v>
      </c>
      <c r="K8" s="119">
        <f t="shared" si="4"/>
        <v>6850.54</v>
      </c>
      <c r="L8" s="121">
        <f t="shared" si="5"/>
        <v>35890.54</v>
      </c>
      <c r="M8" s="111">
        <f t="shared" ref="M8:M12" si="7">F8*750</f>
        <v>750</v>
      </c>
      <c r="N8" s="122">
        <f t="shared" si="6"/>
        <v>36640.54</v>
      </c>
    </row>
    <row r="9" spans="1:14" ht="25.5" x14ac:dyDescent="0.2">
      <c r="A9" s="96">
        <v>3</v>
      </c>
      <c r="B9" s="106" t="s">
        <v>83</v>
      </c>
      <c r="C9" s="102" t="s">
        <v>84</v>
      </c>
      <c r="D9" s="111">
        <v>9</v>
      </c>
      <c r="E9" s="131">
        <v>1810</v>
      </c>
      <c r="F9" s="111">
        <v>1</v>
      </c>
      <c r="G9" s="119">
        <f t="shared" si="0"/>
        <v>21720</v>
      </c>
      <c r="H9" s="119">
        <f t="shared" si="1"/>
        <v>1086</v>
      </c>
      <c r="I9" s="119">
        <f t="shared" si="2"/>
        <v>1086</v>
      </c>
      <c r="J9" s="119">
        <f t="shared" si="3"/>
        <v>23892</v>
      </c>
      <c r="K9" s="119">
        <f t="shared" si="4"/>
        <v>5636.12</v>
      </c>
      <c r="L9" s="121">
        <f t="shared" si="5"/>
        <v>29528.12</v>
      </c>
      <c r="M9" s="111">
        <f t="shared" si="7"/>
        <v>750</v>
      </c>
      <c r="N9" s="122">
        <f t="shared" si="6"/>
        <v>30278.12</v>
      </c>
    </row>
    <row r="10" spans="1:14" x14ac:dyDescent="0.2">
      <c r="A10" s="96">
        <v>4</v>
      </c>
      <c r="B10" s="106" t="s">
        <v>51</v>
      </c>
      <c r="C10" s="102" t="s">
        <v>39</v>
      </c>
      <c r="D10" s="96">
        <v>9</v>
      </c>
      <c r="E10" s="132">
        <v>1360</v>
      </c>
      <c r="F10" s="118">
        <v>2</v>
      </c>
      <c r="G10" s="119">
        <f>(E10*F10)*12</f>
        <v>32640</v>
      </c>
      <c r="H10" s="119">
        <f t="shared" si="1"/>
        <v>1632</v>
      </c>
      <c r="I10" s="119">
        <f>G10*0.05</f>
        <v>1632</v>
      </c>
      <c r="J10" s="119">
        <f>ROUND(G10+H10+I10,2)</f>
        <v>35904</v>
      </c>
      <c r="K10" s="119">
        <f t="shared" si="4"/>
        <v>8469.75</v>
      </c>
      <c r="L10" s="121">
        <f t="shared" si="5"/>
        <v>44373.75</v>
      </c>
      <c r="M10" s="111">
        <f t="shared" si="7"/>
        <v>1500</v>
      </c>
      <c r="N10" s="122">
        <f>L10+M10</f>
        <v>45873.75</v>
      </c>
    </row>
    <row r="11" spans="1:14" ht="25.5" x14ac:dyDescent="0.2">
      <c r="A11" s="96">
        <v>5</v>
      </c>
      <c r="B11" s="106" t="s">
        <v>85</v>
      </c>
      <c r="C11" s="102" t="s">
        <v>86</v>
      </c>
      <c r="D11" s="96">
        <v>8</v>
      </c>
      <c r="E11" s="132">
        <v>1232</v>
      </c>
      <c r="F11" s="118">
        <v>1</v>
      </c>
      <c r="G11" s="119">
        <f t="shared" ref="G11:G12" si="8">(E11*F11)*12</f>
        <v>14784</v>
      </c>
      <c r="H11" s="119">
        <f t="shared" si="1"/>
        <v>739.2</v>
      </c>
      <c r="I11" s="119">
        <f t="shared" ref="I11:I12" si="9">G11*0.05</f>
        <v>739.2</v>
      </c>
      <c r="J11" s="119">
        <f t="shared" ref="J11:J12" si="10">ROUND(G11+H11+I11,2)</f>
        <v>16262.4</v>
      </c>
      <c r="K11" s="119">
        <f t="shared" si="4"/>
        <v>3836.3</v>
      </c>
      <c r="L11" s="121">
        <f t="shared" si="5"/>
        <v>20098.7</v>
      </c>
      <c r="M11" s="111">
        <f t="shared" si="7"/>
        <v>750</v>
      </c>
      <c r="N11" s="122">
        <f t="shared" ref="N11:N12" si="11">L11+M11</f>
        <v>20848.7</v>
      </c>
    </row>
    <row r="12" spans="1:14" ht="25.5" x14ac:dyDescent="0.2">
      <c r="A12" s="96">
        <v>6</v>
      </c>
      <c r="B12" s="106" t="s">
        <v>52</v>
      </c>
      <c r="C12" s="102" t="s">
        <v>39</v>
      </c>
      <c r="D12" s="96">
        <v>8</v>
      </c>
      <c r="E12" s="132">
        <v>1175</v>
      </c>
      <c r="F12" s="118">
        <v>9</v>
      </c>
      <c r="G12" s="119">
        <f t="shared" si="8"/>
        <v>126900</v>
      </c>
      <c r="H12" s="119">
        <f t="shared" si="1"/>
        <v>6345</v>
      </c>
      <c r="I12" s="119">
        <f t="shared" si="9"/>
        <v>6345</v>
      </c>
      <c r="J12" s="119">
        <f t="shared" si="10"/>
        <v>139590</v>
      </c>
      <c r="K12" s="119">
        <f t="shared" si="4"/>
        <v>32929.279999999999</v>
      </c>
      <c r="L12" s="121">
        <f t="shared" si="5"/>
        <v>172519.28</v>
      </c>
      <c r="M12" s="111">
        <f t="shared" si="7"/>
        <v>6750</v>
      </c>
      <c r="N12" s="122">
        <f t="shared" si="11"/>
        <v>179269.28</v>
      </c>
    </row>
    <row r="13" spans="1:14" x14ac:dyDescent="0.2">
      <c r="A13" s="102"/>
      <c r="B13" s="106"/>
      <c r="C13" s="102"/>
      <c r="D13" s="96"/>
      <c r="E13" s="133"/>
      <c r="F13" s="123">
        <f>SUM(F7:F12)</f>
        <v>15</v>
      </c>
      <c r="G13" s="123">
        <f t="shared" ref="G13:N13" si="12">SUM(G7:G12)</f>
        <v>262404</v>
      </c>
      <c r="H13" s="123">
        <f t="shared" si="12"/>
        <v>13120.2</v>
      </c>
      <c r="I13" s="123">
        <f t="shared" si="12"/>
        <v>13120.2</v>
      </c>
      <c r="J13" s="123">
        <f t="shared" si="12"/>
        <v>288644.40000000002</v>
      </c>
      <c r="K13" s="123">
        <f t="shared" si="12"/>
        <v>68091.209999999992</v>
      </c>
      <c r="L13" s="123">
        <f t="shared" si="12"/>
        <v>356735.61</v>
      </c>
      <c r="M13" s="123">
        <f t="shared" si="12"/>
        <v>11250</v>
      </c>
      <c r="N13" s="124">
        <f t="shared" si="12"/>
        <v>367985.61</v>
      </c>
    </row>
    <row r="14" spans="1:14" x14ac:dyDescent="0.2">
      <c r="A14" s="127"/>
      <c r="B14" s="127"/>
      <c r="C14" s="127"/>
      <c r="D14" s="127"/>
      <c r="E14" s="127"/>
      <c r="F14" s="127"/>
      <c r="G14" s="127"/>
      <c r="H14" s="127"/>
      <c r="I14" s="127"/>
      <c r="J14" s="154" t="s">
        <v>43</v>
      </c>
      <c r="K14" s="154"/>
      <c r="L14" s="154"/>
      <c r="M14" s="154"/>
      <c r="N14" s="122">
        <f>N13+0.39</f>
        <v>367986</v>
      </c>
    </row>
  </sheetData>
  <mergeCells count="2">
    <mergeCell ref="A3:N3"/>
    <mergeCell ref="J14:M14"/>
  </mergeCells>
  <pageMargins left="0.7" right="0.7" top="0.75" bottom="0.75" header="0.3" footer="0.3"/>
  <pageSetup paperSize="9" scale="59" fitToHeight="0" orientation="portrait" horizontalDpi="4294967293" vertic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925C2-E6FA-4450-AEEA-7E4F3E03B453}">
  <sheetPr>
    <pageSetUpPr fitToPage="1"/>
  </sheetPr>
  <dimension ref="A1:N14"/>
  <sheetViews>
    <sheetView workbookViewId="0">
      <selection activeCell="G22" sqref="G22"/>
    </sheetView>
  </sheetViews>
  <sheetFormatPr defaultColWidth="9.140625" defaultRowHeight="15" x14ac:dyDescent="0.25"/>
  <cols>
    <col min="1" max="1" width="9.140625" style="1"/>
    <col min="2" max="2" width="17.7109375" style="1" customWidth="1"/>
    <col min="3" max="3" width="9.140625" style="1"/>
    <col min="4" max="4" width="11.28515625" style="1" customWidth="1"/>
    <col min="5" max="5" width="12.28515625" style="1" customWidth="1"/>
    <col min="6" max="6" width="7.7109375" style="1" customWidth="1"/>
    <col min="7" max="7" width="13.42578125" style="1" customWidth="1"/>
    <col min="8" max="8" width="10.7109375" style="1" customWidth="1"/>
    <col min="9" max="9" width="10.140625" style="1" customWidth="1"/>
    <col min="10" max="10" width="10.85546875" style="1" customWidth="1"/>
    <col min="11" max="11" width="9.140625" style="1"/>
    <col min="12" max="12" width="10.85546875" style="1" customWidth="1"/>
    <col min="13" max="13" width="13.42578125" style="1" customWidth="1"/>
    <col min="14" max="14" width="11" style="1" customWidth="1"/>
    <col min="15" max="16384" width="9.140625" style="1"/>
  </cols>
  <sheetData>
    <row r="1" spans="1:14" x14ac:dyDescent="0.25">
      <c r="A1" s="93"/>
      <c r="B1" s="93"/>
      <c r="C1" s="93"/>
      <c r="D1" s="93"/>
      <c r="E1" s="93"/>
      <c r="F1" s="93"/>
      <c r="G1" s="93"/>
      <c r="H1" s="93"/>
      <c r="I1" s="93"/>
      <c r="J1" s="93"/>
      <c r="K1" s="93"/>
      <c r="L1" s="93"/>
      <c r="M1" s="93"/>
      <c r="N1" s="1" t="s">
        <v>145</v>
      </c>
    </row>
    <row r="2" spans="1:14" ht="15.75" x14ac:dyDescent="0.25">
      <c r="A2" s="157" t="s">
        <v>133</v>
      </c>
      <c r="B2" s="93"/>
      <c r="C2" s="93"/>
      <c r="D2" s="93"/>
      <c r="E2" s="93"/>
      <c r="F2" s="93"/>
      <c r="G2" s="93"/>
      <c r="H2" s="93"/>
      <c r="I2" s="93"/>
      <c r="J2" s="93"/>
      <c r="K2" s="93"/>
      <c r="L2" s="93"/>
      <c r="M2" s="93"/>
      <c r="N2" s="93"/>
    </row>
    <row r="3" spans="1:14" x14ac:dyDescent="0.25">
      <c r="A3" s="155" t="s">
        <v>149</v>
      </c>
      <c r="B3" s="155"/>
      <c r="C3" s="155"/>
      <c r="D3" s="155"/>
      <c r="E3" s="155"/>
      <c r="F3" s="155"/>
      <c r="G3" s="155"/>
      <c r="H3" s="155"/>
      <c r="I3" s="155"/>
      <c r="J3" s="155"/>
      <c r="K3" s="155"/>
      <c r="L3" s="155"/>
      <c r="M3" s="155"/>
      <c r="N3" s="155"/>
    </row>
    <row r="4" spans="1:14" x14ac:dyDescent="0.25">
      <c r="A4" s="6"/>
      <c r="B4" s="3"/>
      <c r="C4" s="6"/>
      <c r="D4" s="6"/>
      <c r="E4" s="6"/>
      <c r="F4" s="6"/>
      <c r="G4" s="6"/>
      <c r="H4" s="6"/>
      <c r="I4" s="6"/>
      <c r="J4" s="6"/>
      <c r="K4" s="6"/>
      <c r="L4" s="6"/>
    </row>
    <row r="5" spans="1:14" ht="89.25" x14ac:dyDescent="0.25">
      <c r="A5" s="7"/>
      <c r="B5" s="7"/>
      <c r="C5" s="8" t="s">
        <v>23</v>
      </c>
      <c r="D5" s="9" t="s">
        <v>24</v>
      </c>
      <c r="E5" s="9" t="s">
        <v>53</v>
      </c>
      <c r="F5" s="9" t="s">
        <v>25</v>
      </c>
      <c r="G5" s="9" t="s">
        <v>44</v>
      </c>
      <c r="H5" s="9" t="s">
        <v>26</v>
      </c>
      <c r="I5" s="9" t="s">
        <v>27</v>
      </c>
      <c r="J5" s="9" t="s">
        <v>28</v>
      </c>
      <c r="K5" s="9" t="s">
        <v>29</v>
      </c>
      <c r="L5" s="22" t="s">
        <v>30</v>
      </c>
      <c r="M5" s="33" t="s">
        <v>42</v>
      </c>
      <c r="N5" s="34" t="s">
        <v>46</v>
      </c>
    </row>
    <row r="6" spans="1:14" ht="25.5" x14ac:dyDescent="0.25">
      <c r="A6" s="7"/>
      <c r="B6" s="25"/>
      <c r="C6" s="10"/>
      <c r="D6" s="11"/>
      <c r="E6" s="12" t="s">
        <v>31</v>
      </c>
      <c r="F6" s="12">
        <v>2</v>
      </c>
      <c r="G6" s="12" t="s">
        <v>32</v>
      </c>
      <c r="H6" s="12" t="s">
        <v>33</v>
      </c>
      <c r="I6" s="12" t="s">
        <v>34</v>
      </c>
      <c r="J6" s="12" t="s">
        <v>35</v>
      </c>
      <c r="K6" s="12" t="s">
        <v>36</v>
      </c>
      <c r="L6" s="23" t="s">
        <v>37</v>
      </c>
      <c r="M6" s="12" t="s">
        <v>47</v>
      </c>
      <c r="N6" s="27" t="s">
        <v>45</v>
      </c>
    </row>
    <row r="7" spans="1:14" ht="26.25" x14ac:dyDescent="0.25">
      <c r="A7" s="31">
        <v>1</v>
      </c>
      <c r="B7" s="13" t="s">
        <v>49</v>
      </c>
      <c r="C7" s="40" t="s">
        <v>87</v>
      </c>
      <c r="D7" s="40">
        <v>11</v>
      </c>
      <c r="E7" s="30">
        <v>2200</v>
      </c>
      <c r="F7" s="12">
        <v>1</v>
      </c>
      <c r="G7" s="17">
        <f t="shared" ref="G7:G8" si="0">(E7*F7)*12</f>
        <v>26400</v>
      </c>
      <c r="H7" s="17">
        <f t="shared" ref="H7:H12" si="1">G7*0.05</f>
        <v>1320</v>
      </c>
      <c r="I7" s="17">
        <f t="shared" ref="I7:I8" si="2">G7*0.05</f>
        <v>1320</v>
      </c>
      <c r="J7" s="17">
        <f t="shared" ref="J7:J8" si="3">ROUND(G7+H7+I7,2)</f>
        <v>29040</v>
      </c>
      <c r="K7" s="17">
        <f t="shared" ref="K7:K12" si="4">ROUND(J7*23.59%,2)</f>
        <v>6850.54</v>
      </c>
      <c r="L7" s="24">
        <f t="shared" ref="L7:L12" si="5">J7+K7</f>
        <v>35890.54</v>
      </c>
      <c r="M7" s="12">
        <f>F7*750</f>
        <v>750</v>
      </c>
      <c r="N7" s="32">
        <f t="shared" ref="N7:N8" si="6">L7+M7</f>
        <v>36640.54</v>
      </c>
    </row>
    <row r="8" spans="1:14" x14ac:dyDescent="0.25">
      <c r="A8" s="31">
        <v>2</v>
      </c>
      <c r="B8" s="13" t="s">
        <v>88</v>
      </c>
      <c r="C8" s="41" t="s">
        <v>89</v>
      </c>
      <c r="D8" s="40">
        <v>10</v>
      </c>
      <c r="E8" s="29">
        <v>1645</v>
      </c>
      <c r="F8" s="12">
        <v>1</v>
      </c>
      <c r="G8" s="17">
        <f t="shared" si="0"/>
        <v>19740</v>
      </c>
      <c r="H8" s="17">
        <f t="shared" si="1"/>
        <v>987</v>
      </c>
      <c r="I8" s="17">
        <f t="shared" si="2"/>
        <v>987</v>
      </c>
      <c r="J8" s="17">
        <f t="shared" si="3"/>
        <v>21714</v>
      </c>
      <c r="K8" s="17">
        <f t="shared" si="4"/>
        <v>5122.33</v>
      </c>
      <c r="L8" s="24">
        <f t="shared" si="5"/>
        <v>26836.33</v>
      </c>
      <c r="M8" s="12">
        <f t="shared" ref="M8:M12" si="7">F8*750</f>
        <v>750</v>
      </c>
      <c r="N8" s="32">
        <f t="shared" si="6"/>
        <v>27586.33</v>
      </c>
    </row>
    <row r="9" spans="1:14" ht="26.25" customHeight="1" x14ac:dyDescent="0.25">
      <c r="A9" s="31">
        <v>3</v>
      </c>
      <c r="B9" s="13" t="s">
        <v>90</v>
      </c>
      <c r="C9" s="41" t="s">
        <v>39</v>
      </c>
      <c r="D9" s="41">
        <v>9</v>
      </c>
      <c r="E9" s="30">
        <v>1485</v>
      </c>
      <c r="F9" s="16">
        <v>2</v>
      </c>
      <c r="G9" s="17">
        <f>(E9*F9)*12</f>
        <v>35640</v>
      </c>
      <c r="H9" s="17">
        <f t="shared" si="1"/>
        <v>1782</v>
      </c>
      <c r="I9" s="17">
        <f>G9*0.05</f>
        <v>1782</v>
      </c>
      <c r="J9" s="17">
        <f>ROUND(G9+H9+I9,2)</f>
        <v>39204</v>
      </c>
      <c r="K9" s="17">
        <f t="shared" si="4"/>
        <v>9248.2199999999993</v>
      </c>
      <c r="L9" s="24">
        <f t="shared" si="5"/>
        <v>48452.22</v>
      </c>
      <c r="M9" s="12">
        <f t="shared" si="7"/>
        <v>1500</v>
      </c>
      <c r="N9" s="32">
        <f>L9+M9</f>
        <v>49952.22</v>
      </c>
    </row>
    <row r="10" spans="1:14" x14ac:dyDescent="0.25">
      <c r="A10" s="31">
        <v>4</v>
      </c>
      <c r="B10" s="13" t="s">
        <v>52</v>
      </c>
      <c r="C10" s="41" t="s">
        <v>58</v>
      </c>
      <c r="D10" s="41">
        <v>8</v>
      </c>
      <c r="E10" s="30">
        <v>1175</v>
      </c>
      <c r="F10" s="16">
        <v>11</v>
      </c>
      <c r="G10" s="17">
        <f t="shared" ref="G10:G12" si="8">(E10*F10)*12</f>
        <v>155100</v>
      </c>
      <c r="H10" s="17">
        <f t="shared" si="1"/>
        <v>7755</v>
      </c>
      <c r="I10" s="17">
        <f t="shared" ref="I10:I12" si="9">G10*0.05</f>
        <v>7755</v>
      </c>
      <c r="J10" s="17">
        <f t="shared" ref="J10:J12" si="10">ROUND(G10+H10+I10,2)</f>
        <v>170610</v>
      </c>
      <c r="K10" s="17">
        <f t="shared" si="4"/>
        <v>40246.9</v>
      </c>
      <c r="L10" s="24">
        <f t="shared" si="5"/>
        <v>210856.9</v>
      </c>
      <c r="M10" s="12">
        <f t="shared" si="7"/>
        <v>8250</v>
      </c>
      <c r="N10" s="32">
        <f t="shared" ref="N10:N12" si="11">L10+M10</f>
        <v>219106.9</v>
      </c>
    </row>
    <row r="11" spans="1:14" x14ac:dyDescent="0.25">
      <c r="A11" s="31">
        <v>5</v>
      </c>
      <c r="B11" s="158" t="s">
        <v>85</v>
      </c>
      <c r="C11" s="41" t="s">
        <v>91</v>
      </c>
      <c r="D11" s="41">
        <v>5</v>
      </c>
      <c r="E11" s="30">
        <v>1355</v>
      </c>
      <c r="F11" s="16">
        <v>1</v>
      </c>
      <c r="G11" s="17">
        <f t="shared" si="8"/>
        <v>16260</v>
      </c>
      <c r="H11" s="17">
        <f t="shared" si="1"/>
        <v>813</v>
      </c>
      <c r="I11" s="17">
        <f t="shared" si="9"/>
        <v>813</v>
      </c>
      <c r="J11" s="17">
        <f t="shared" si="10"/>
        <v>17886</v>
      </c>
      <c r="K11" s="17">
        <f t="shared" si="4"/>
        <v>4219.3100000000004</v>
      </c>
      <c r="L11" s="24">
        <f t="shared" si="5"/>
        <v>22105.31</v>
      </c>
      <c r="M11" s="12">
        <f t="shared" si="7"/>
        <v>750</v>
      </c>
      <c r="N11" s="32">
        <f t="shared" si="11"/>
        <v>22855.31</v>
      </c>
    </row>
    <row r="12" spans="1:14" ht="26.25" x14ac:dyDescent="0.25">
      <c r="A12" s="31">
        <v>6</v>
      </c>
      <c r="B12" s="13" t="s">
        <v>59</v>
      </c>
      <c r="C12" s="41" t="s">
        <v>92</v>
      </c>
      <c r="D12" s="41">
        <v>1</v>
      </c>
      <c r="E12" s="30">
        <v>895</v>
      </c>
      <c r="F12" s="16">
        <v>2</v>
      </c>
      <c r="G12" s="17">
        <f t="shared" si="8"/>
        <v>21480</v>
      </c>
      <c r="H12" s="17">
        <f t="shared" si="1"/>
        <v>1074</v>
      </c>
      <c r="I12" s="17">
        <f t="shared" si="9"/>
        <v>1074</v>
      </c>
      <c r="J12" s="17">
        <f t="shared" si="10"/>
        <v>23628</v>
      </c>
      <c r="K12" s="17">
        <f t="shared" si="4"/>
        <v>5573.85</v>
      </c>
      <c r="L12" s="24">
        <f t="shared" si="5"/>
        <v>29201.85</v>
      </c>
      <c r="M12" s="12">
        <f t="shared" si="7"/>
        <v>1500</v>
      </c>
      <c r="N12" s="32">
        <f t="shared" si="11"/>
        <v>30701.85</v>
      </c>
    </row>
    <row r="13" spans="1:14" ht="18.75" x14ac:dyDescent="0.3">
      <c r="A13" s="7"/>
      <c r="B13" s="13"/>
      <c r="C13" s="14"/>
      <c r="D13" s="15"/>
      <c r="E13" s="28"/>
      <c r="F13" s="18">
        <f>SUM(F7:F12)</f>
        <v>18</v>
      </c>
      <c r="G13" s="18">
        <f t="shared" ref="G13:M13" si="12">SUM(G7:G12)</f>
        <v>274620</v>
      </c>
      <c r="H13" s="18">
        <f t="shared" si="12"/>
        <v>13731</v>
      </c>
      <c r="I13" s="18">
        <f t="shared" si="12"/>
        <v>13731</v>
      </c>
      <c r="J13" s="18">
        <f t="shared" si="12"/>
        <v>302082</v>
      </c>
      <c r="K13" s="18">
        <f t="shared" si="12"/>
        <v>71261.150000000009</v>
      </c>
      <c r="L13" s="18">
        <f t="shared" si="12"/>
        <v>373343.14999999997</v>
      </c>
      <c r="M13" s="18">
        <f t="shared" si="12"/>
        <v>13500</v>
      </c>
      <c r="N13" s="19">
        <f>SUM(N7:N12)</f>
        <v>386843.14999999997</v>
      </c>
    </row>
    <row r="14" spans="1:14" x14ac:dyDescent="0.25">
      <c r="A14" s="6"/>
      <c r="B14" s="6"/>
      <c r="C14" s="6"/>
      <c r="D14" s="93"/>
      <c r="E14" s="93"/>
      <c r="F14" s="93"/>
      <c r="G14" s="6"/>
      <c r="H14" s="6"/>
      <c r="I14" s="6"/>
      <c r="J14" s="156" t="s">
        <v>43</v>
      </c>
      <c r="K14" s="156"/>
      <c r="L14" s="156"/>
      <c r="M14" s="156"/>
      <c r="N14" s="21">
        <f>N13-0.15</f>
        <v>386842.99999999994</v>
      </c>
    </row>
  </sheetData>
  <mergeCells count="2">
    <mergeCell ref="A3:N3"/>
    <mergeCell ref="J14:M14"/>
  </mergeCells>
  <pageMargins left="0.7" right="0.7" top="0.75" bottom="0.75" header="0.3" footer="0.3"/>
  <pageSetup paperSize="9" scale="55" fitToHeight="0"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Kopā 2027</vt:lpstr>
      <vt:lpstr>1. tab_papildu amata vietas</vt:lpstr>
      <vt:lpstr>2.tab_PLN</vt:lpstr>
      <vt:lpstr>3.tab_Mucenieki</vt:lpstr>
      <vt:lpstr>4.tab_Liepna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Ramona Brīvniece</dc:creator>
  <cp:lastModifiedBy>Inga Ošiņa</cp:lastModifiedBy>
  <cp:lastPrinted>2026-06-01T06:23:46Z</cp:lastPrinted>
  <dcterms:created xsi:type="dcterms:W3CDTF">2026-05-05T08:07:54Z</dcterms:created>
  <dcterms:modified xsi:type="dcterms:W3CDTF">2026-06-01T11:47:06Z</dcterms:modified>
</cp:coreProperties>
</file>