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filterPrivacy="1" codeName="ThisWorkbook"/>
  <xr:revisionPtr revIDLastSave="0" documentId="8_{138E3322-95D6-43B0-B24A-AC28A6374EF1}" xr6:coauthVersionLast="47" xr6:coauthVersionMax="47" xr10:uidLastSave="{00000000-0000-0000-0000-000000000000}"/>
  <bookViews>
    <workbookView xWindow="-108" yWindow="-108" windowWidth="23256" windowHeight="12576" tabRatio="691" firstSheet="1" activeTab="12" xr2:uid="{00000000-000D-0000-FFFF-FFFF00000000}"/>
  </bookViews>
  <sheets>
    <sheet name="T1 noma un pārcelšanās" sheetId="12" r:id="rId1"/>
    <sheet name="Talejas 1_TAP" sheetId="9" r:id="rId2"/>
    <sheet name="Talejas 1_anotācijai" sheetId="8" r:id="rId3"/>
    <sheet name="VID" sheetId="13" r:id="rId4"/>
    <sheet name="VI" sheetId="22" r:id="rId5"/>
    <sheet name="EM" sheetId="21" r:id="rId6"/>
    <sheet name="LRP" sheetId="23" r:id="rId7"/>
    <sheet name="IAUI" sheetId="24" r:id="rId8"/>
    <sheet name="IEM" sheetId="25" r:id="rId9"/>
    <sheet name="AIM" sheetId="28" r:id="rId10"/>
    <sheet name="LM" sheetId="29" r:id="rId11"/>
    <sheet name="K komponentes izmaiņas" sheetId="27" r:id="rId12"/>
    <sheet name="salīdzinājums" sheetId="31" r:id="rId13"/>
    <sheet name="Talejas 1_jauna" sheetId="3" state="hidden" r:id="rId14"/>
    <sheet name="Talejas 1" sheetId="1"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s>
  <definedNames>
    <definedName name="___brm2">[1]Taul4!$E$3</definedName>
    <definedName name="__brm2">[1]Taul4!$E$3</definedName>
    <definedName name="_brm2">[1]Taul4!$E$3</definedName>
    <definedName name="_xlnm._FilterDatabase">#REF!</definedName>
    <definedName name="a">#N/A</definedName>
    <definedName name="aa">#N/A</definedName>
    <definedName name="aaa">#N/A</definedName>
    <definedName name="aaaa">#REF!</definedName>
    <definedName name="aaaaa">#REF!</definedName>
    <definedName name="Aktualizētā">IF(#REF!&lt;&gt;"",#REF!,"")</definedName>
    <definedName name="AKZ_Angebot">#REF!</definedName>
    <definedName name="AKZ_Auftrag">#REF!</definedName>
    <definedName name="Ang._Datum">#REF!</definedName>
    <definedName name="Annual_interest_rate">#REF!</definedName>
    <definedName name="antra">#REF!</definedName>
    <definedName name="AS2DocOpenMode" hidden="1">"AS2DocumentEdit"</definedName>
    <definedName name="Auftr._Datum">#REF!</definedName>
    <definedName name="Augsnes_biezums">#REF!</definedName>
    <definedName name="Bearbeiter">#REF!</definedName>
    <definedName name="Beg.Bal">IF(#REF!&lt;&gt;"",#REF!,"")</definedName>
    <definedName name="bruttonelio">[1]Taul4!$E$3</definedName>
    <definedName name="Buvn.likme">#REF!</definedName>
    <definedName name="C_k_platums">#REF!</definedName>
    <definedName name="Calculated_payment">#REF!</definedName>
    <definedName name="Cent_Stacija">#REF!</definedName>
    <definedName name="code">#REF!</definedName>
    <definedName name="Constr.fee">#REF!</definedName>
    <definedName name="Constr.rate">#REF!</definedName>
    <definedName name="CUE">'[2]BH1-Human resources'!#REF!</definedName>
    <definedName name="Cum.Interest">IF(#REF!&lt;&gt;"",#REF!+#REF!,"")</definedName>
    <definedName name="CUR">'[3]BH1-Human resources'!#REF!</definedName>
    <definedName name="Currencies">'[3]BH1-Human resources'!#REF!</definedName>
    <definedName name="cv">#REF!</definedName>
    <definedName name="d">#REF!</definedName>
    <definedName name="da">'[4]Tāme Nr.11'!#REF!</definedName>
    <definedName name="ddd">#N/A</definedName>
    <definedName name="Ending.Balance">IF(#REF!&lt;&gt;"",#REF!-#REF!,"")</definedName>
    <definedName name="Entered_payment">#REF!</definedName>
    <definedName name="eur">#REF!</definedName>
    <definedName name="Faktorgruppe1">#REF!</definedName>
    <definedName name="Faktorgruppe2">#REF!</definedName>
    <definedName name="Faktorgruppe3">#REF!</definedName>
    <definedName name="Faktorgruppe4">#REF!</definedName>
    <definedName name="Faktorgruppe5">#REF!</definedName>
    <definedName name="Faktorgruppe6">#REF!</definedName>
    <definedName name="Faktorgruppe7">#REF!</definedName>
    <definedName name="Faktorgruppe8">#REF!</definedName>
    <definedName name="Faktorgruppe9">#REF!</definedName>
    <definedName name="Faktorwerte">#REF!</definedName>
    <definedName name="Faktorwerte_der_Faktorgruppen">#REF!</definedName>
    <definedName name="Finanšu_gads">[5]Saraksti!$A$2:$A$6</definedName>
    <definedName name="First_payment_due">#REF!</definedName>
    <definedName name="First_payment_no">#REF!</definedName>
    <definedName name="Grāvja_dziļums">#REF!</definedName>
    <definedName name="Grāvja_platums">#REF!</definedName>
    <definedName name="Gruppenname1">#REF!</definedName>
    <definedName name="Gruppenname2">#REF!</definedName>
    <definedName name="Gruppenname3">#REF!</definedName>
    <definedName name="Gruppenname4">#REF!</definedName>
    <definedName name="Gruppenname5">#REF!</definedName>
    <definedName name="Gruppenname6">#REF!</definedName>
    <definedName name="Gruppenname7">#REF!</definedName>
    <definedName name="Gruppenname8">#REF!</definedName>
    <definedName name="Gruppenname9">#REF!</definedName>
    <definedName name="gujm">#N/A</definedName>
    <definedName name="gujuj">#N/A</definedName>
    <definedName name="hgmgjm">#N/A</definedName>
    <definedName name="Iekļauts">[6]Starpposms!$F$2:$F$3</definedName>
    <definedName name="IKYT">IF(#REF!&lt;&gt;"",#REF!*[0]!Periodiska_likme,"")</definedName>
    <definedName name="Interest">IF(#REF!&lt;&gt;"",#REF!*Periodic_rate,"")</definedName>
    <definedName name="Interest_2013">IF(#REF!&lt;&gt;"",#REF!*Periodiska_likme,"")</definedName>
    <definedName name="j">#REF!</definedName>
    <definedName name="Jāņa14">#REF!</definedName>
    <definedName name="kate">#REF!</definedName>
    <definedName name="kl">#REF!</definedName>
    <definedName name="koef_d_tel">[7]VS!#REF!</definedName>
    <definedName name="KOEF_d_telSANDRA">[8]VS!#REF!</definedName>
    <definedName name="koef_d_tv">#REF!</definedName>
    <definedName name="koef_Darbs">#REF!</definedName>
    <definedName name="koef_m_tel">[7]VS!#REF!</definedName>
    <definedName name="koef_m_tv">#REF!</definedName>
    <definedName name="Koeficients">#REF!</definedName>
    <definedName name="lapa">#REF!</definedName>
    <definedName name="Loan_amount">#REF!</definedName>
    <definedName name="Maksajuma_num">IF(OR(#REF!="",#REF!=Maksajumi_kopa),"",#REF!+1)</definedName>
    <definedName name="Maksajumi_kopa">Payments_per_year*Term_in_years</definedName>
    <definedName name="meh">'[4]Tāme Nr.11'!#REF!</definedName>
    <definedName name="Nogažu_slīpums">#REF!</definedName>
    <definedName name="Nogāžu_nostiprinājuma_biezums">#REF!</definedName>
    <definedName name="P">#REF!</definedName>
    <definedName name="Paaugstinājums">#REF!</definedName>
    <definedName name="Pamatsumma">IF(#REF!&lt;&gt;"",MIN(#REF!,Pmt_to_use-#REF!),"")</definedName>
    <definedName name="patarnieki">#N/A</definedName>
    <definedName name="payment.Num">IF(OR(#REF!="",#REF!=Total_payments),"",#REF!+1)</definedName>
    <definedName name="Payments_per_year">#REF!</definedName>
    <definedName name="Pārdales_tips">[5]Saraksti!$B$2:$B$7</definedName>
    <definedName name="Periodic_rate">Annual_interest_rate/Payments_per_year</definedName>
    <definedName name="Periodiska_likme">Annual_interest_rate/Payments_per_year</definedName>
    <definedName name="Piketaža">#REF!</definedName>
    <definedName name="Pmt_to_use">#REF!</definedName>
    <definedName name="Present_value_after_construction">#REF!</definedName>
    <definedName name="Principal">IF(#REF!&lt;&gt;"",MIN(#REF!,Pmt_to_use-#REF!),"")</definedName>
    <definedName name="_xlnm.Print_Area">#N/A</definedName>
    <definedName name="PRINT_AREA_MI">#N/A</definedName>
    <definedName name="Privatie">#REF!</definedName>
    <definedName name="Projektname">#REF!</definedName>
    <definedName name="Pulka_PZA_2">IF(#REF!&lt;&gt;"",#REF!,"")</definedName>
    <definedName name="risk">#REF!</definedName>
    <definedName name="rmm">#REF!</definedName>
    <definedName name="Segas_biezums">#REF!</definedName>
    <definedName name="Show.Date">IF(#REF!&lt;&gt;"",DATE(YEAR(First_payment_due),MONTH(First_payment_due)+(#REF!-1)*12/Payments_per_year,DAY(First_payment_due)),"")</definedName>
    <definedName name="Show.datums">IF(#REF!&lt;&gt;"",DATE(YEAR(First_payment_due),MONTH(First_payment_due)+(#REF!-1)*12/Payments_per_year,DAY(First_payment_due)),"")</definedName>
    <definedName name="sum">#REF!</definedName>
    <definedName name="šķers">#REF!</definedName>
    <definedName name="Šķērskritums">#REF!</definedName>
    <definedName name="Table_beg_bal">#REF!</definedName>
    <definedName name="Table_prior_interest">#REF!</definedName>
    <definedName name="Table_start_date">#REF!</definedName>
    <definedName name="Table_start_pmt">#REF!</definedName>
    <definedName name="Tabula">#REF!</definedName>
    <definedName name="Talejas">IF(#REF!&lt;&gt;"",#REF!,"")</definedName>
    <definedName name="Term_in_years">#REF!</definedName>
    <definedName name="tikli">#REF!</definedName>
    <definedName name="tikli2">[7]VS!#REF!</definedName>
    <definedName name="Titul">#REF!</definedName>
    <definedName name="Total_payments">[0]!Payments_per_year*Term_in_years</definedName>
    <definedName name="Total_payments_1">[0]!Payments_per_year*Term_in_years</definedName>
    <definedName name="valuevx">42.314159</definedName>
    <definedName name="Währungsfaktor">#REF!</definedName>
    <definedName name="xcvbnm">#REF!</definedName>
    <definedName name="xx">IF(#REF!&lt;&gt;"",#REF!,"")</definedName>
    <definedName name="xxx">IF(#REF!&lt;&gt;"",#REF!,"")</definedName>
    <definedName name="xxxxxx">#N/A</definedName>
    <definedName name="yuj">#N/A</definedName>
    <definedName name="Z_83795769_38C4_11D4_84F6_00002145AA87_.wvu.PrintArea">#REF!</definedName>
    <definedName name="Z_83795769_38C4_11D4_84F6_00002145AA87_.wvu.Rows">#REF!</definedName>
    <definedName name="Z_k_platums">#REF!</definedName>
    <definedName name="zzz">IF(#REF!&lt;&gt;"",DATE(YEAR([0]!First_payment_due),MONTH([0]!First_payment_due)+(#REF!-1)*12/[0]!Payments_per_year,DAY([0]!First_payment_due)),"")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3" l="1"/>
  <c r="G7" i="13"/>
  <c r="G8" i="13"/>
  <c r="G9" i="13"/>
  <c r="G10" i="13"/>
  <c r="G11" i="13"/>
  <c r="G12" i="13"/>
  <c r="G13" i="13"/>
  <c r="G14" i="13"/>
  <c r="G15" i="13"/>
  <c r="G16" i="13"/>
  <c r="G17" i="13"/>
  <c r="G18" i="13"/>
  <c r="G19" i="13"/>
  <c r="G20" i="13"/>
  <c r="G21" i="13"/>
  <c r="G22" i="13"/>
  <c r="G23" i="13"/>
  <c r="G24" i="13"/>
  <c r="G25" i="13"/>
  <c r="G5" i="13"/>
  <c r="R25" i="21" l="1"/>
  <c r="Q25" i="21"/>
  <c r="R24" i="21"/>
  <c r="Q24" i="21"/>
  <c r="R23" i="21"/>
  <c r="Q23" i="21"/>
  <c r="R22" i="21"/>
  <c r="Q22" i="21"/>
  <c r="R21" i="21"/>
  <c r="Q21" i="21"/>
  <c r="R20" i="21"/>
  <c r="Q20" i="21"/>
  <c r="R19" i="21"/>
  <c r="Q19" i="21"/>
  <c r="R18" i="21"/>
  <c r="Q18" i="21"/>
  <c r="R17" i="21"/>
  <c r="Q17" i="21"/>
  <c r="R16" i="21"/>
  <c r="Q16" i="21"/>
  <c r="R15" i="21"/>
  <c r="Q15" i="21"/>
  <c r="R14" i="21"/>
  <c r="Q14" i="21"/>
  <c r="R13" i="21"/>
  <c r="Q13" i="21"/>
  <c r="R12" i="21"/>
  <c r="Q12" i="21"/>
  <c r="R11" i="21"/>
  <c r="Q11" i="21"/>
  <c r="R10" i="21"/>
  <c r="Q10" i="21"/>
  <c r="R9" i="21"/>
  <c r="Q9" i="21"/>
  <c r="R8" i="21"/>
  <c r="Q8" i="21"/>
  <c r="R7" i="21"/>
  <c r="Q7" i="21"/>
  <c r="R6" i="21"/>
  <c r="Q6" i="21"/>
  <c r="R5" i="21"/>
  <c r="Q5" i="21"/>
  <c r="G6" i="21"/>
  <c r="G7" i="21"/>
  <c r="G8" i="21"/>
  <c r="G9" i="21"/>
  <c r="G10" i="21"/>
  <c r="G11" i="21"/>
  <c r="G12" i="21"/>
  <c r="G13" i="21"/>
  <c r="G14" i="21"/>
  <c r="G15" i="21"/>
  <c r="G16" i="21"/>
  <c r="G17" i="21"/>
  <c r="G18" i="21"/>
  <c r="G19" i="21"/>
  <c r="G20" i="21"/>
  <c r="G21" i="21"/>
  <c r="G22" i="21"/>
  <c r="G23" i="21"/>
  <c r="G24" i="21"/>
  <c r="G25" i="21"/>
  <c r="G5" i="21"/>
  <c r="F6" i="21"/>
  <c r="F7" i="21"/>
  <c r="F8" i="21"/>
  <c r="F9" i="21"/>
  <c r="F10" i="21"/>
  <c r="F11" i="21"/>
  <c r="F12" i="21"/>
  <c r="F13" i="21"/>
  <c r="F14" i="21"/>
  <c r="F15" i="21"/>
  <c r="F16" i="21"/>
  <c r="F17" i="21"/>
  <c r="F18" i="21"/>
  <c r="F19" i="21"/>
  <c r="F20" i="21"/>
  <c r="F21" i="21"/>
  <c r="F22" i="21"/>
  <c r="F23" i="21"/>
  <c r="F24" i="21"/>
  <c r="F25" i="21"/>
  <c r="F5" i="21"/>
  <c r="E6" i="21"/>
  <c r="E7" i="21"/>
  <c r="E8" i="21"/>
  <c r="E9" i="21"/>
  <c r="E10" i="21"/>
  <c r="E11" i="21"/>
  <c r="E12" i="21"/>
  <c r="E13" i="21"/>
  <c r="E14" i="21"/>
  <c r="E15" i="21"/>
  <c r="E16" i="21"/>
  <c r="E17" i="21"/>
  <c r="E18" i="21"/>
  <c r="E19" i="21"/>
  <c r="E20" i="21"/>
  <c r="E21" i="21"/>
  <c r="E22" i="21"/>
  <c r="E23" i="21"/>
  <c r="E24" i="21"/>
  <c r="E25" i="21"/>
  <c r="E5" i="21"/>
  <c r="I10" i="27"/>
  <c r="I11" i="27"/>
  <c r="I12" i="27"/>
  <c r="I13" i="27"/>
  <c r="I14" i="27"/>
  <c r="I15" i="27"/>
  <c r="I9" i="27"/>
  <c r="G10" i="27"/>
  <c r="H10" i="27" s="1"/>
  <c r="G11" i="27"/>
  <c r="H11" i="27" s="1"/>
  <c r="G12" i="27"/>
  <c r="H12" i="27" s="1"/>
  <c r="G13" i="27"/>
  <c r="H13" i="27" s="1"/>
  <c r="G14" i="27"/>
  <c r="H14" i="27" s="1"/>
  <c r="G15" i="27"/>
  <c r="H15" i="27" s="1"/>
  <c r="G9" i="27"/>
  <c r="H9" i="27" s="1"/>
  <c r="G16" i="27" l="1"/>
  <c r="H16" i="27" s="1"/>
  <c r="J5" i="13" l="1"/>
  <c r="X4" i="12"/>
  <c r="Y4" i="12"/>
  <c r="Z4" i="12"/>
  <c r="AA4" i="12"/>
  <c r="AB4" i="12"/>
  <c r="AC4" i="12"/>
  <c r="AC25" i="12" s="1"/>
  <c r="X5" i="12"/>
  <c r="Y5" i="12"/>
  <c r="Z5" i="12"/>
  <c r="AA5" i="12"/>
  <c r="AB5" i="12"/>
  <c r="AD5" i="12" s="1"/>
  <c r="AC5" i="12"/>
  <c r="X6" i="12"/>
  <c r="Y6" i="12"/>
  <c r="Z6" i="12"/>
  <c r="AA6" i="12"/>
  <c r="AB6" i="12"/>
  <c r="AC6" i="12"/>
  <c r="AD6" i="12" s="1"/>
  <c r="X7" i="12"/>
  <c r="Y7" i="12"/>
  <c r="Z7" i="12"/>
  <c r="AA7" i="12"/>
  <c r="AB7" i="12"/>
  <c r="AD7" i="12" s="1"/>
  <c r="AC7" i="12"/>
  <c r="X8" i="12"/>
  <c r="X25" i="12" s="1"/>
  <c r="Y8" i="12"/>
  <c r="Z8" i="12"/>
  <c r="AA8" i="12"/>
  <c r="AB8" i="12"/>
  <c r="AC8" i="12"/>
  <c r="X9" i="12"/>
  <c r="Y9" i="12"/>
  <c r="Z9" i="12"/>
  <c r="AA9" i="12"/>
  <c r="AB9" i="12"/>
  <c r="AD9" i="12" s="1"/>
  <c r="AC9" i="12"/>
  <c r="X10" i="12"/>
  <c r="Y10" i="12"/>
  <c r="Z10" i="12"/>
  <c r="AA10" i="12"/>
  <c r="AB10" i="12"/>
  <c r="AC10" i="12"/>
  <c r="X11" i="12"/>
  <c r="Y11" i="12"/>
  <c r="Z11" i="12"/>
  <c r="AA11" i="12"/>
  <c r="AB11" i="12"/>
  <c r="AD11" i="12" s="1"/>
  <c r="AC11" i="12"/>
  <c r="X12" i="12"/>
  <c r="Y12" i="12"/>
  <c r="Z12" i="12"/>
  <c r="AA12" i="12"/>
  <c r="AB12" i="12"/>
  <c r="AC12" i="12"/>
  <c r="AD12" i="12" s="1"/>
  <c r="X13" i="12"/>
  <c r="Y13" i="12"/>
  <c r="Z13" i="12"/>
  <c r="AA13" i="12"/>
  <c r="AB13" i="12"/>
  <c r="AD13" i="12" s="1"/>
  <c r="AC13" i="12"/>
  <c r="X14" i="12"/>
  <c r="Y14" i="12"/>
  <c r="Z14" i="12"/>
  <c r="AA14" i="12"/>
  <c r="AB14" i="12"/>
  <c r="AC14" i="12"/>
  <c r="X15" i="12"/>
  <c r="Y15" i="12"/>
  <c r="Z15" i="12"/>
  <c r="AA15" i="12"/>
  <c r="AB15" i="12"/>
  <c r="AC15" i="12"/>
  <c r="X16" i="12"/>
  <c r="Y16" i="12"/>
  <c r="Z16" i="12"/>
  <c r="AA16" i="12"/>
  <c r="AB16" i="12"/>
  <c r="AC16" i="12"/>
  <c r="X17" i="12"/>
  <c r="Y17" i="12"/>
  <c r="Z17" i="12"/>
  <c r="AA17" i="12"/>
  <c r="AB17" i="12"/>
  <c r="AD17" i="12" s="1"/>
  <c r="AC17" i="12"/>
  <c r="X18" i="12"/>
  <c r="Y18" i="12"/>
  <c r="Z18" i="12"/>
  <c r="AA18" i="12"/>
  <c r="AB18" i="12"/>
  <c r="AC18" i="12"/>
  <c r="X19" i="12"/>
  <c r="Y19" i="12"/>
  <c r="Z19" i="12"/>
  <c r="AA19" i="12"/>
  <c r="AB19" i="12"/>
  <c r="AC19" i="12"/>
  <c r="AD19" i="12" s="1"/>
  <c r="X20" i="12"/>
  <c r="Y20" i="12"/>
  <c r="Z20" i="12"/>
  <c r="AA20" i="12"/>
  <c r="AB20" i="12"/>
  <c r="AC20" i="12"/>
  <c r="X21" i="12"/>
  <c r="Y21" i="12"/>
  <c r="Z21" i="12"/>
  <c r="AA21" i="12"/>
  <c r="AB21" i="12"/>
  <c r="AC21" i="12"/>
  <c r="X22" i="12"/>
  <c r="AD22" i="12" s="1"/>
  <c r="Y22" i="12"/>
  <c r="Z22" i="12"/>
  <c r="AA22" i="12"/>
  <c r="AB22" i="12"/>
  <c r="AC22" i="12"/>
  <c r="X23" i="12"/>
  <c r="Y23" i="12"/>
  <c r="Z23" i="12"/>
  <c r="AA23" i="12"/>
  <c r="AB23" i="12"/>
  <c r="AD23" i="12" s="1"/>
  <c r="AC23" i="12"/>
  <c r="X24" i="12"/>
  <c r="AD24" i="12" s="1"/>
  <c r="Y24" i="12"/>
  <c r="Z24" i="12"/>
  <c r="AA24" i="12"/>
  <c r="AB24" i="12"/>
  <c r="AC24" i="12"/>
  <c r="W5" i="12"/>
  <c r="W6" i="12"/>
  <c r="W7" i="12"/>
  <c r="W8" i="12"/>
  <c r="W9" i="12"/>
  <c r="W10" i="12"/>
  <c r="W11" i="12"/>
  <c r="W12" i="12"/>
  <c r="W13" i="12"/>
  <c r="W14" i="12"/>
  <c r="W15" i="12"/>
  <c r="W16" i="12"/>
  <c r="W17" i="12"/>
  <c r="W18" i="12"/>
  <c r="W19" i="12"/>
  <c r="W20" i="12"/>
  <c r="W21" i="12"/>
  <c r="W22" i="12"/>
  <c r="W23" i="12"/>
  <c r="W24" i="12"/>
  <c r="W4" i="12"/>
  <c r="Z25" i="12"/>
  <c r="Y25" i="12"/>
  <c r="AD18" i="12"/>
  <c r="AD14" i="12"/>
  <c r="AD10" i="12"/>
  <c r="AB25" i="12"/>
  <c r="AA25" i="12"/>
  <c r="S5" i="12"/>
  <c r="S6" i="12"/>
  <c r="S7" i="12"/>
  <c r="S8" i="12"/>
  <c r="S9" i="12"/>
  <c r="S10" i="12"/>
  <c r="S11" i="12"/>
  <c r="S12" i="12"/>
  <c r="U12" i="12" s="1"/>
  <c r="S13" i="12"/>
  <c r="U13" i="12" s="1"/>
  <c r="S14" i="12"/>
  <c r="U14" i="12" s="1"/>
  <c r="S15" i="12"/>
  <c r="U15" i="12" s="1"/>
  <c r="S16" i="12"/>
  <c r="S17" i="12"/>
  <c r="S18" i="12"/>
  <c r="S19" i="12"/>
  <c r="S20" i="12"/>
  <c r="S21" i="12"/>
  <c r="S22" i="12"/>
  <c r="S23" i="12"/>
  <c r="S24" i="12"/>
  <c r="S4" i="12"/>
  <c r="R5" i="12"/>
  <c r="R6" i="12"/>
  <c r="U6" i="12" s="1"/>
  <c r="R7" i="12"/>
  <c r="U7" i="12" s="1"/>
  <c r="R8" i="12"/>
  <c r="R9" i="12"/>
  <c r="R10" i="12"/>
  <c r="U10" i="12" s="1"/>
  <c r="R11" i="12"/>
  <c r="R12" i="12"/>
  <c r="R13" i="12"/>
  <c r="R14" i="12"/>
  <c r="R15" i="12"/>
  <c r="R16" i="12"/>
  <c r="R17" i="12"/>
  <c r="R18" i="12"/>
  <c r="U18" i="12" s="1"/>
  <c r="R19" i="12"/>
  <c r="U19" i="12" s="1"/>
  <c r="R20" i="12"/>
  <c r="R21" i="12"/>
  <c r="U21" i="12" s="1"/>
  <c r="R22" i="12"/>
  <c r="U22" i="12" s="1"/>
  <c r="R23" i="12"/>
  <c r="U23" i="12" s="1"/>
  <c r="R24" i="12"/>
  <c r="R4" i="12"/>
  <c r="T25" i="12"/>
  <c r="Q25" i="12"/>
  <c r="P25" i="12"/>
  <c r="O25" i="12"/>
  <c r="N25" i="12"/>
  <c r="U24" i="12"/>
  <c r="U11" i="12"/>
  <c r="AD15" i="12" l="1"/>
  <c r="AD20" i="12"/>
  <c r="AD21" i="12"/>
  <c r="W25" i="12"/>
  <c r="AD16" i="12"/>
  <c r="AD8" i="12"/>
  <c r="AD4" i="12"/>
  <c r="U20" i="12"/>
  <c r="U8" i="12"/>
  <c r="U17" i="12"/>
  <c r="S25" i="12"/>
  <c r="U5" i="12"/>
  <c r="U16" i="12"/>
  <c r="U9" i="12"/>
  <c r="U4" i="12"/>
  <c r="R25" i="12"/>
  <c r="AD25" i="12" l="1"/>
  <c r="U25" i="12"/>
  <c r="E25" i="31"/>
  <c r="E24" i="31"/>
  <c r="E23" i="31"/>
  <c r="E22" i="31"/>
  <c r="E21" i="31"/>
  <c r="E20" i="31"/>
  <c r="E19" i="31"/>
  <c r="E18" i="31"/>
  <c r="E17" i="31"/>
  <c r="E16" i="31"/>
  <c r="E15" i="31"/>
  <c r="E14" i="31"/>
  <c r="E13" i="31"/>
  <c r="E12" i="31"/>
  <c r="E11" i="31"/>
  <c r="E10" i="31"/>
  <c r="E9" i="31"/>
  <c r="E8" i="31"/>
  <c r="E7" i="31"/>
  <c r="E6" i="31"/>
  <c r="H6" i="31" s="1"/>
  <c r="A6" i="31"/>
  <c r="A7" i="31" s="1"/>
  <c r="A8" i="31" s="1"/>
  <c r="A9" i="31" s="1"/>
  <c r="A10" i="31" s="1"/>
  <c r="A11" i="31" s="1"/>
  <c r="A12" i="31" s="1"/>
  <c r="A13" i="31" s="1"/>
  <c r="A14" i="31" s="1"/>
  <c r="A15" i="31" s="1"/>
  <c r="A16" i="31" s="1"/>
  <c r="A17" i="31" s="1"/>
  <c r="A18" i="31" s="1"/>
  <c r="A19" i="31" s="1"/>
  <c r="A20" i="31" s="1"/>
  <c r="A21" i="31" s="1"/>
  <c r="A22" i="31" s="1"/>
  <c r="A23" i="31" s="1"/>
  <c r="A24" i="31" s="1"/>
  <c r="A25" i="31" s="1"/>
  <c r="E5" i="31"/>
  <c r="H5" i="31" s="1"/>
  <c r="C6" i="29"/>
  <c r="D6" i="29" s="1"/>
  <c r="C7" i="29"/>
  <c r="C8" i="29"/>
  <c r="C9" i="29"/>
  <c r="D9" i="29" s="1"/>
  <c r="C10" i="29"/>
  <c r="C11" i="29"/>
  <c r="D11" i="29" s="1"/>
  <c r="C12" i="29"/>
  <c r="C13" i="29"/>
  <c r="C14" i="29"/>
  <c r="C15" i="29"/>
  <c r="D15" i="29" s="1"/>
  <c r="C16" i="29"/>
  <c r="D16" i="29" s="1"/>
  <c r="C17" i="29"/>
  <c r="C18" i="29"/>
  <c r="D18" i="29" s="1"/>
  <c r="C19" i="29"/>
  <c r="C20" i="29"/>
  <c r="C21" i="29"/>
  <c r="D21" i="29" s="1"/>
  <c r="C22" i="29"/>
  <c r="C23" i="29"/>
  <c r="D23" i="29" s="1"/>
  <c r="C24" i="29"/>
  <c r="C25" i="29"/>
  <c r="C5" i="29"/>
  <c r="D25" i="29"/>
  <c r="D24" i="29"/>
  <c r="D22" i="29"/>
  <c r="D20" i="29"/>
  <c r="D19" i="29"/>
  <c r="D17" i="29"/>
  <c r="D14" i="29"/>
  <c r="D13" i="29"/>
  <c r="D12" i="29"/>
  <c r="D10" i="29"/>
  <c r="D8" i="29"/>
  <c r="D7" i="29"/>
  <c r="D5" i="29"/>
  <c r="D6" i="28"/>
  <c r="D7" i="28"/>
  <c r="D8" i="28"/>
  <c r="D9" i="28"/>
  <c r="D10" i="28"/>
  <c r="D11" i="28"/>
  <c r="D12" i="28"/>
  <c r="D13" i="28"/>
  <c r="D14" i="28"/>
  <c r="D15" i="28"/>
  <c r="D16" i="28"/>
  <c r="D17" i="28"/>
  <c r="D18" i="28"/>
  <c r="D19" i="28"/>
  <c r="D20" i="28"/>
  <c r="D21" i="28"/>
  <c r="D22" i="28"/>
  <c r="D23" i="28"/>
  <c r="D24" i="28"/>
  <c r="D25" i="28"/>
  <c r="D5" i="28"/>
  <c r="C6" i="28"/>
  <c r="C7" i="28"/>
  <c r="C8" i="28"/>
  <c r="C9" i="28"/>
  <c r="C10" i="28"/>
  <c r="C11" i="28"/>
  <c r="C12" i="28"/>
  <c r="C13" i="28"/>
  <c r="C14" i="28"/>
  <c r="C15" i="28"/>
  <c r="C16" i="28"/>
  <c r="C17" i="28"/>
  <c r="C18" i="28"/>
  <c r="C19" i="28"/>
  <c r="C20" i="28"/>
  <c r="C21" i="28"/>
  <c r="C22" i="28"/>
  <c r="C23" i="28"/>
  <c r="C24" i="28"/>
  <c r="C25" i="28"/>
  <c r="B6" i="28"/>
  <c r="B7" i="28"/>
  <c r="B8" i="28"/>
  <c r="B9" i="28"/>
  <c r="B10" i="28"/>
  <c r="B11" i="28"/>
  <c r="B12" i="28"/>
  <c r="B13" i="28"/>
  <c r="B14" i="28"/>
  <c r="B15" i="28"/>
  <c r="B16" i="28"/>
  <c r="B17" i="28"/>
  <c r="B18" i="28"/>
  <c r="B19" i="28"/>
  <c r="B20" i="28"/>
  <c r="B21" i="28"/>
  <c r="B22" i="28"/>
  <c r="B23" i="28"/>
  <c r="B24" i="28"/>
  <c r="B25" i="28"/>
  <c r="C5" i="28"/>
  <c r="B5" i="28"/>
  <c r="C26" i="13"/>
  <c r="B26" i="13"/>
  <c r="C6" i="13"/>
  <c r="C7" i="13"/>
  <c r="C8" i="13"/>
  <c r="C9" i="13"/>
  <c r="C10" i="13"/>
  <c r="C11" i="13"/>
  <c r="C12" i="13"/>
  <c r="C13" i="13"/>
  <c r="C14" i="13"/>
  <c r="C15" i="13"/>
  <c r="C16" i="13"/>
  <c r="C17" i="13"/>
  <c r="C18" i="13"/>
  <c r="C19" i="13"/>
  <c r="C20" i="13"/>
  <c r="C21" i="13"/>
  <c r="C22" i="13"/>
  <c r="C23" i="13"/>
  <c r="C24" i="13"/>
  <c r="C25" i="13"/>
  <c r="C5" i="13"/>
  <c r="B6" i="13"/>
  <c r="B7" i="13"/>
  <c r="B8" i="13"/>
  <c r="B9" i="13"/>
  <c r="B10" i="13"/>
  <c r="B11" i="13"/>
  <c r="B12" i="13"/>
  <c r="B13" i="13"/>
  <c r="B14" i="13"/>
  <c r="B15" i="13"/>
  <c r="B16" i="13"/>
  <c r="B17" i="13"/>
  <c r="B18" i="13"/>
  <c r="B19" i="13"/>
  <c r="B20" i="13"/>
  <c r="B21" i="13"/>
  <c r="B22" i="13"/>
  <c r="B23" i="13"/>
  <c r="B24" i="13"/>
  <c r="B25" i="13"/>
  <c r="B5" i="13"/>
  <c r="B16" i="27"/>
  <c r="O15" i="27"/>
  <c r="M15" i="27"/>
  <c r="N15" i="27" s="1"/>
  <c r="D15" i="27"/>
  <c r="O14" i="27"/>
  <c r="M14" i="27"/>
  <c r="N14" i="27" s="1"/>
  <c r="D14" i="27"/>
  <c r="O13" i="27"/>
  <c r="M13" i="27"/>
  <c r="N13" i="27" s="1"/>
  <c r="D13" i="27"/>
  <c r="O12" i="27"/>
  <c r="M12" i="27"/>
  <c r="N12" i="27" s="1"/>
  <c r="D12" i="27"/>
  <c r="O11" i="27"/>
  <c r="M11" i="27"/>
  <c r="N11" i="27" s="1"/>
  <c r="D11" i="27"/>
  <c r="O10" i="27"/>
  <c r="M10" i="27"/>
  <c r="N10" i="27" s="1"/>
  <c r="D10" i="27"/>
  <c r="J10" i="27" s="1"/>
  <c r="O9" i="27"/>
  <c r="M9" i="27"/>
  <c r="N9" i="27" s="1"/>
  <c r="D9" i="27"/>
  <c r="D6" i="25"/>
  <c r="D7" i="25"/>
  <c r="D8" i="25"/>
  <c r="D9" i="25"/>
  <c r="D10" i="25"/>
  <c r="D11" i="25"/>
  <c r="D12" i="25"/>
  <c r="D13" i="25"/>
  <c r="D14" i="25"/>
  <c r="D15" i="25"/>
  <c r="D16" i="25"/>
  <c r="D17" i="25"/>
  <c r="D18" i="25"/>
  <c r="D19" i="25"/>
  <c r="E19" i="25" s="1"/>
  <c r="D20" i="25"/>
  <c r="D21" i="25"/>
  <c r="D22" i="25"/>
  <c r="D23" i="25"/>
  <c r="D24" i="25"/>
  <c r="D25" i="25"/>
  <c r="D5" i="25"/>
  <c r="C6" i="25"/>
  <c r="C7" i="25"/>
  <c r="C8" i="25"/>
  <c r="C9" i="25"/>
  <c r="C10" i="25"/>
  <c r="C11" i="25"/>
  <c r="C12" i="25"/>
  <c r="C13" i="25"/>
  <c r="C14" i="25"/>
  <c r="C15" i="25"/>
  <c r="C16" i="25"/>
  <c r="C17" i="25"/>
  <c r="C18" i="25"/>
  <c r="C19" i="25"/>
  <c r="C20" i="25"/>
  <c r="C21" i="25"/>
  <c r="C22" i="25"/>
  <c r="C23" i="25"/>
  <c r="C24" i="25"/>
  <c r="C25" i="25"/>
  <c r="C5" i="25"/>
  <c r="B6" i="25"/>
  <c r="B7" i="25"/>
  <c r="B8" i="25"/>
  <c r="B9" i="25"/>
  <c r="B10" i="25"/>
  <c r="B11" i="25"/>
  <c r="B12" i="25"/>
  <c r="B13" i="25"/>
  <c r="B14" i="25"/>
  <c r="B15" i="25"/>
  <c r="B16" i="25"/>
  <c r="B17" i="25"/>
  <c r="B18" i="25"/>
  <c r="B19" i="25"/>
  <c r="B20" i="25"/>
  <c r="B21" i="25"/>
  <c r="B22" i="25"/>
  <c r="B23" i="25"/>
  <c r="B24" i="25"/>
  <c r="B25" i="25"/>
  <c r="B5" i="25"/>
  <c r="E8" i="25"/>
  <c r="P13" i="27" l="1"/>
  <c r="Q13" i="27" s="1"/>
  <c r="J13" i="27"/>
  <c r="E14" i="27"/>
  <c r="K14" i="27" s="1"/>
  <c r="J14" i="27"/>
  <c r="E11" i="27"/>
  <c r="K11" i="27" s="1"/>
  <c r="J11" i="27"/>
  <c r="E15" i="27"/>
  <c r="K15" i="27" s="1"/>
  <c r="J15" i="27"/>
  <c r="P9" i="27"/>
  <c r="Q9" i="27" s="1"/>
  <c r="J9" i="27"/>
  <c r="J16" i="27" s="1"/>
  <c r="E12" i="27"/>
  <c r="K12" i="27" s="1"/>
  <c r="J12" i="27"/>
  <c r="P10" i="27"/>
  <c r="Q10" i="27" s="1"/>
  <c r="P14" i="27"/>
  <c r="Q14" i="27" s="1"/>
  <c r="E26" i="31"/>
  <c r="N16" i="27"/>
  <c r="E13" i="27"/>
  <c r="K13" i="27" s="1"/>
  <c r="P12" i="27"/>
  <c r="Q12" i="27" s="1"/>
  <c r="E10" i="27"/>
  <c r="K10" i="27" s="1"/>
  <c r="P11" i="27"/>
  <c r="Q11" i="27" s="1"/>
  <c r="P15" i="27"/>
  <c r="Q15" i="27" s="1"/>
  <c r="E9" i="27"/>
  <c r="K9" i="27" s="1"/>
  <c r="M16" i="27"/>
  <c r="D16" i="27"/>
  <c r="E18" i="25"/>
  <c r="E20" i="25"/>
  <c r="E22" i="25"/>
  <c r="E7" i="25"/>
  <c r="E10" i="25"/>
  <c r="E6" i="25"/>
  <c r="E5" i="25"/>
  <c r="E9" i="25"/>
  <c r="E21" i="25"/>
  <c r="E17" i="25"/>
  <c r="E15" i="25"/>
  <c r="E25" i="25"/>
  <c r="E16" i="25"/>
  <c r="E14" i="25"/>
  <c r="E13" i="25"/>
  <c r="E12" i="25"/>
  <c r="E24" i="25"/>
  <c r="E23" i="25"/>
  <c r="E11" i="25"/>
  <c r="J6" i="22"/>
  <c r="I6" i="22"/>
  <c r="H6" i="22"/>
  <c r="E8" i="24"/>
  <c r="E9" i="24"/>
  <c r="E10" i="24"/>
  <c r="E11" i="24"/>
  <c r="E12" i="24"/>
  <c r="E13" i="24"/>
  <c r="E14" i="24"/>
  <c r="E15" i="24"/>
  <c r="E16" i="24"/>
  <c r="E17" i="24"/>
  <c r="E18" i="24"/>
  <c r="E19" i="24"/>
  <c r="E20" i="24"/>
  <c r="E21" i="24"/>
  <c r="E22" i="24"/>
  <c r="E23" i="24"/>
  <c r="E24" i="24"/>
  <c r="E5" i="24"/>
  <c r="D6" i="24"/>
  <c r="D7" i="24"/>
  <c r="D8" i="24"/>
  <c r="D9" i="24"/>
  <c r="D10" i="24"/>
  <c r="D11" i="24"/>
  <c r="D12" i="24"/>
  <c r="D13" i="24"/>
  <c r="D14" i="24"/>
  <c r="D15" i="24"/>
  <c r="D16" i="24"/>
  <c r="D17" i="24"/>
  <c r="D18" i="24"/>
  <c r="D19" i="24"/>
  <c r="D20" i="24"/>
  <c r="D21" i="24"/>
  <c r="D22" i="24"/>
  <c r="D23" i="24"/>
  <c r="D24" i="24"/>
  <c r="D25" i="24"/>
  <c r="I7" i="13"/>
  <c r="I25" i="13"/>
  <c r="I6" i="13"/>
  <c r="I26" i="13" s="1"/>
  <c r="K5" i="13"/>
  <c r="C6" i="24"/>
  <c r="C7" i="24"/>
  <c r="C8" i="24"/>
  <c r="C9" i="24"/>
  <c r="C10" i="24"/>
  <c r="C11" i="24"/>
  <c r="C12" i="24"/>
  <c r="C13" i="24"/>
  <c r="C14" i="24"/>
  <c r="C15" i="24"/>
  <c r="C16" i="24"/>
  <c r="C17" i="24"/>
  <c r="C18" i="24"/>
  <c r="C19" i="24"/>
  <c r="C20" i="24"/>
  <c r="C21" i="24"/>
  <c r="C22" i="24"/>
  <c r="C23" i="24"/>
  <c r="C24" i="24"/>
  <c r="C25" i="24"/>
  <c r="C5" i="24"/>
  <c r="B6" i="24"/>
  <c r="B7" i="24"/>
  <c r="B8" i="24"/>
  <c r="B9" i="24"/>
  <c r="B10" i="24"/>
  <c r="B11" i="24"/>
  <c r="B12" i="24"/>
  <c r="B13" i="24"/>
  <c r="B14" i="24"/>
  <c r="B15" i="24"/>
  <c r="B16" i="24"/>
  <c r="B17" i="24"/>
  <c r="B18" i="24"/>
  <c r="B19" i="24"/>
  <c r="B20" i="24"/>
  <c r="B21" i="24"/>
  <c r="B22" i="24"/>
  <c r="B23" i="24"/>
  <c r="B24" i="24"/>
  <c r="B25" i="24"/>
  <c r="B5" i="24"/>
  <c r="E5" i="23"/>
  <c r="F5" i="23"/>
  <c r="G5" i="23" s="1"/>
  <c r="F6" i="23"/>
  <c r="G6" i="23" s="1"/>
  <c r="F7" i="23"/>
  <c r="F8" i="23"/>
  <c r="F9" i="23"/>
  <c r="F10" i="23"/>
  <c r="F11" i="23"/>
  <c r="F12" i="23"/>
  <c r="F13" i="23"/>
  <c r="F14" i="23"/>
  <c r="G14" i="23" s="1"/>
  <c r="F15" i="23"/>
  <c r="F16" i="23"/>
  <c r="F17" i="23"/>
  <c r="F18" i="23"/>
  <c r="F19" i="23"/>
  <c r="F20" i="23"/>
  <c r="G20" i="23" s="1"/>
  <c r="F21" i="23"/>
  <c r="F22" i="23"/>
  <c r="F23" i="23"/>
  <c r="F24" i="23"/>
  <c r="F25" i="23"/>
  <c r="E25" i="23"/>
  <c r="E24" i="23"/>
  <c r="G24" i="23" s="1"/>
  <c r="E23" i="23"/>
  <c r="G23" i="23" s="1"/>
  <c r="E22" i="23"/>
  <c r="E21" i="23"/>
  <c r="G21" i="23" s="1"/>
  <c r="E20" i="23"/>
  <c r="E19" i="23"/>
  <c r="E18" i="23"/>
  <c r="E17" i="23"/>
  <c r="E16" i="23"/>
  <c r="E15" i="23"/>
  <c r="E14" i="23"/>
  <c r="E13" i="23"/>
  <c r="H13" i="23" s="1"/>
  <c r="E12" i="23"/>
  <c r="E11" i="23"/>
  <c r="G11" i="23" s="1"/>
  <c r="E10" i="23"/>
  <c r="G10" i="23" s="1"/>
  <c r="E9" i="23"/>
  <c r="E8" i="23"/>
  <c r="E7" i="23"/>
  <c r="E6" i="23"/>
  <c r="G12" i="23"/>
  <c r="G22" i="23"/>
  <c r="C6" i="23"/>
  <c r="I6" i="23" s="1"/>
  <c r="C7" i="23"/>
  <c r="C8" i="23"/>
  <c r="C9" i="23"/>
  <c r="C10" i="23"/>
  <c r="C11" i="23"/>
  <c r="C12" i="23"/>
  <c r="C13" i="23"/>
  <c r="C14" i="23"/>
  <c r="C15" i="23"/>
  <c r="C16" i="23"/>
  <c r="C17" i="23"/>
  <c r="C18" i="23"/>
  <c r="I18" i="23" s="1"/>
  <c r="C19" i="23"/>
  <c r="C20" i="23"/>
  <c r="C21" i="23"/>
  <c r="C22" i="23"/>
  <c r="C23" i="23"/>
  <c r="C24" i="23"/>
  <c r="C25" i="23"/>
  <c r="C5" i="23"/>
  <c r="D5" i="23" s="1"/>
  <c r="B6" i="23"/>
  <c r="H6" i="23" s="1"/>
  <c r="B7" i="23"/>
  <c r="B8" i="23"/>
  <c r="B9" i="23"/>
  <c r="B10" i="23"/>
  <c r="B11" i="23"/>
  <c r="B12" i="23"/>
  <c r="B13" i="23"/>
  <c r="B14" i="23"/>
  <c r="B15" i="23"/>
  <c r="B16" i="23"/>
  <c r="B17" i="23"/>
  <c r="B18" i="23"/>
  <c r="B19" i="23"/>
  <c r="H19" i="23" s="1"/>
  <c r="B20" i="23"/>
  <c r="B21" i="23"/>
  <c r="B22" i="23"/>
  <c r="D22" i="23" s="1"/>
  <c r="B23" i="23"/>
  <c r="B24" i="23"/>
  <c r="B25" i="23"/>
  <c r="B5" i="23"/>
  <c r="I11" i="23"/>
  <c r="G13" i="23"/>
  <c r="J13" i="23" s="1"/>
  <c r="G18" i="23"/>
  <c r="I23" i="23"/>
  <c r="I25" i="23"/>
  <c r="I7" i="23"/>
  <c r="I8" i="23"/>
  <c r="I9" i="23"/>
  <c r="I10" i="23"/>
  <c r="I12" i="23"/>
  <c r="D13" i="23"/>
  <c r="D14" i="23"/>
  <c r="I19" i="23"/>
  <c r="I21" i="23"/>
  <c r="I22" i="23"/>
  <c r="I24" i="23"/>
  <c r="G12" i="22"/>
  <c r="G24" i="22"/>
  <c r="D6" i="22"/>
  <c r="D18" i="22"/>
  <c r="D5" i="22"/>
  <c r="E6" i="22"/>
  <c r="E7" i="22"/>
  <c r="E8" i="22"/>
  <c r="E9" i="22"/>
  <c r="E10" i="22"/>
  <c r="E11" i="22"/>
  <c r="E12" i="22"/>
  <c r="E13" i="22"/>
  <c r="E14" i="22"/>
  <c r="E15" i="22"/>
  <c r="E16" i="22"/>
  <c r="E17" i="22"/>
  <c r="E18" i="22"/>
  <c r="E19" i="22"/>
  <c r="E20" i="22"/>
  <c r="E21" i="22"/>
  <c r="E22" i="22"/>
  <c r="E23" i="22"/>
  <c r="E24" i="22"/>
  <c r="E25" i="22"/>
  <c r="E5" i="22"/>
  <c r="C25" i="22"/>
  <c r="D25" i="22" s="1"/>
  <c r="C24" i="22"/>
  <c r="I24" i="22" s="1"/>
  <c r="C23" i="22"/>
  <c r="D23" i="22" s="1"/>
  <c r="C22" i="22"/>
  <c r="I22" i="22" s="1"/>
  <c r="C21" i="22"/>
  <c r="D21" i="22" s="1"/>
  <c r="C20" i="22"/>
  <c r="D20" i="22" s="1"/>
  <c r="C19" i="22"/>
  <c r="D19" i="22" s="1"/>
  <c r="C18" i="22"/>
  <c r="C17" i="22"/>
  <c r="D17" i="22" s="1"/>
  <c r="C16" i="22"/>
  <c r="D16" i="22" s="1"/>
  <c r="C15" i="22"/>
  <c r="D15" i="22" s="1"/>
  <c r="C14" i="22"/>
  <c r="D14" i="22" s="1"/>
  <c r="C13" i="22"/>
  <c r="D13" i="22" s="1"/>
  <c r="C12" i="22"/>
  <c r="D12" i="22" s="1"/>
  <c r="C11" i="22"/>
  <c r="D11" i="22" s="1"/>
  <c r="C10" i="22"/>
  <c r="D10" i="22" s="1"/>
  <c r="C9" i="22"/>
  <c r="D9" i="22" s="1"/>
  <c r="C8" i="22"/>
  <c r="D8" i="22" s="1"/>
  <c r="C7" i="22"/>
  <c r="D7" i="22" s="1"/>
  <c r="C6" i="22"/>
  <c r="C5" i="22"/>
  <c r="I5" i="22" s="1"/>
  <c r="B25" i="22"/>
  <c r="B24" i="22"/>
  <c r="B23" i="22"/>
  <c r="B22" i="22"/>
  <c r="B21" i="22"/>
  <c r="B20" i="22"/>
  <c r="B19" i="22"/>
  <c r="B18" i="22"/>
  <c r="B17" i="22"/>
  <c r="B16" i="22"/>
  <c r="B15" i="22"/>
  <c r="B14" i="22"/>
  <c r="B13" i="22"/>
  <c r="B12" i="22"/>
  <c r="B11" i="22"/>
  <c r="B10" i="22"/>
  <c r="B9" i="22"/>
  <c r="B8" i="22"/>
  <c r="B7" i="22"/>
  <c r="B6" i="22"/>
  <c r="B5" i="22"/>
  <c r="H5" i="22" s="1"/>
  <c r="F25" i="22"/>
  <c r="G25" i="22" s="1"/>
  <c r="F24" i="22"/>
  <c r="F23" i="22"/>
  <c r="G23" i="22" s="1"/>
  <c r="F22" i="22"/>
  <c r="G22" i="22" s="1"/>
  <c r="F21" i="22"/>
  <c r="I21" i="22" s="1"/>
  <c r="F20" i="22"/>
  <c r="I20" i="22" s="1"/>
  <c r="F19" i="22"/>
  <c r="G19" i="22" s="1"/>
  <c r="F18" i="22"/>
  <c r="G18" i="22" s="1"/>
  <c r="F17" i="22"/>
  <c r="G17" i="22" s="1"/>
  <c r="F16" i="22"/>
  <c r="G16" i="22" s="1"/>
  <c r="F15" i="22"/>
  <c r="G15" i="22" s="1"/>
  <c r="F14" i="22"/>
  <c r="G14" i="22" s="1"/>
  <c r="F13" i="22"/>
  <c r="G13" i="22" s="1"/>
  <c r="F12" i="22"/>
  <c r="F11" i="22"/>
  <c r="G11" i="22" s="1"/>
  <c r="F10" i="22"/>
  <c r="G10" i="22" s="1"/>
  <c r="F9" i="22"/>
  <c r="I9" i="22" s="1"/>
  <c r="F8" i="22"/>
  <c r="I8" i="22" s="1"/>
  <c r="F7" i="22"/>
  <c r="G7" i="22" s="1"/>
  <c r="F6" i="22"/>
  <c r="G6" i="22" s="1"/>
  <c r="F5" i="22"/>
  <c r="G5" i="22" s="1"/>
  <c r="M6" i="21"/>
  <c r="M7" i="21"/>
  <c r="M8" i="21"/>
  <c r="M9" i="21"/>
  <c r="M10" i="21"/>
  <c r="M11" i="21"/>
  <c r="M12" i="21"/>
  <c r="M13" i="21"/>
  <c r="M14" i="21"/>
  <c r="M15" i="21"/>
  <c r="M16" i="21"/>
  <c r="M17" i="21"/>
  <c r="M18" i="21"/>
  <c r="M19" i="21"/>
  <c r="M20" i="21"/>
  <c r="M21" i="21"/>
  <c r="M22" i="21"/>
  <c r="M23" i="21"/>
  <c r="M24" i="21"/>
  <c r="M25" i="21"/>
  <c r="M5" i="21"/>
  <c r="I6" i="21"/>
  <c r="I7" i="21"/>
  <c r="I8" i="21"/>
  <c r="I9" i="21"/>
  <c r="I10" i="21"/>
  <c r="I11" i="21"/>
  <c r="I12" i="21"/>
  <c r="I13" i="21"/>
  <c r="I14" i="21"/>
  <c r="I15" i="21"/>
  <c r="I16" i="21"/>
  <c r="I17" i="21"/>
  <c r="I18" i="21"/>
  <c r="I19" i="21"/>
  <c r="I20" i="21"/>
  <c r="I21" i="21"/>
  <c r="I22" i="21"/>
  <c r="I23" i="21"/>
  <c r="I24" i="21"/>
  <c r="I25" i="21"/>
  <c r="I5" i="21"/>
  <c r="H6" i="21"/>
  <c r="H7" i="21"/>
  <c r="H8" i="21"/>
  <c r="H9" i="21"/>
  <c r="H10" i="21"/>
  <c r="H11" i="21"/>
  <c r="H12" i="21"/>
  <c r="H13" i="21"/>
  <c r="H14" i="21"/>
  <c r="H15" i="21"/>
  <c r="H16" i="21"/>
  <c r="H17" i="21"/>
  <c r="H18" i="21"/>
  <c r="H19" i="21"/>
  <c r="H20" i="21"/>
  <c r="H21" i="21"/>
  <c r="H22" i="21"/>
  <c r="H23" i="21"/>
  <c r="H24" i="21"/>
  <c r="H25" i="21"/>
  <c r="H5" i="21"/>
  <c r="D6" i="21"/>
  <c r="P6" i="21" s="1"/>
  <c r="D7" i="21"/>
  <c r="P7" i="21" s="1"/>
  <c r="D8" i="21"/>
  <c r="P8" i="21" s="1"/>
  <c r="D9" i="21"/>
  <c r="P9" i="21" s="1"/>
  <c r="D10" i="21"/>
  <c r="P10" i="21" s="1"/>
  <c r="D11" i="21"/>
  <c r="P11" i="21" s="1"/>
  <c r="D12" i="21"/>
  <c r="P12" i="21" s="1"/>
  <c r="D13" i="21"/>
  <c r="P13" i="21" s="1"/>
  <c r="D14" i="21"/>
  <c r="P14" i="21" s="1"/>
  <c r="D15" i="21"/>
  <c r="P15" i="21" s="1"/>
  <c r="D16" i="21"/>
  <c r="P16" i="21" s="1"/>
  <c r="D17" i="21"/>
  <c r="P17" i="21" s="1"/>
  <c r="D18" i="21"/>
  <c r="P18" i="21" s="1"/>
  <c r="D19" i="21"/>
  <c r="P19" i="21" s="1"/>
  <c r="D20" i="21"/>
  <c r="P20" i="21" s="1"/>
  <c r="D21" i="21"/>
  <c r="P21" i="21" s="1"/>
  <c r="D22" i="21"/>
  <c r="P22" i="21" s="1"/>
  <c r="D23" i="21"/>
  <c r="P23" i="21" s="1"/>
  <c r="D24" i="21"/>
  <c r="P24" i="21" s="1"/>
  <c r="D25" i="21"/>
  <c r="P25" i="21" s="1"/>
  <c r="D5" i="21"/>
  <c r="P5" i="21" s="1"/>
  <c r="C6" i="21"/>
  <c r="C7" i="21"/>
  <c r="C8" i="21"/>
  <c r="C9" i="21"/>
  <c r="C10" i="21"/>
  <c r="C11" i="21"/>
  <c r="C12" i="21"/>
  <c r="C13" i="21"/>
  <c r="O13" i="21" s="1"/>
  <c r="C13" i="31" s="1"/>
  <c r="F13" i="31" s="1"/>
  <c r="C14" i="21"/>
  <c r="C15" i="21"/>
  <c r="C16" i="21"/>
  <c r="C17" i="21"/>
  <c r="C18" i="21"/>
  <c r="C19" i="21"/>
  <c r="C20" i="21"/>
  <c r="C21" i="21"/>
  <c r="C22" i="21"/>
  <c r="C23" i="21"/>
  <c r="C24" i="21"/>
  <c r="O24" i="21" s="1"/>
  <c r="C24" i="31" s="1"/>
  <c r="F24" i="31" s="1"/>
  <c r="C25" i="21"/>
  <c r="O25" i="21" s="1"/>
  <c r="C25" i="31" s="1"/>
  <c r="F25" i="31" s="1"/>
  <c r="C5" i="21"/>
  <c r="B6" i="21"/>
  <c r="B7" i="21"/>
  <c r="B8" i="21"/>
  <c r="B9" i="21"/>
  <c r="B10" i="21"/>
  <c r="B11" i="21"/>
  <c r="B12" i="21"/>
  <c r="B13" i="21"/>
  <c r="B14" i="21"/>
  <c r="B15" i="21"/>
  <c r="B16" i="21"/>
  <c r="N16" i="21" s="1"/>
  <c r="B17" i="21"/>
  <c r="B18" i="21"/>
  <c r="B19" i="21"/>
  <c r="B20" i="21"/>
  <c r="B21" i="21"/>
  <c r="B22" i="21"/>
  <c r="B23" i="21"/>
  <c r="B24" i="21"/>
  <c r="B25" i="21"/>
  <c r="B5" i="21"/>
  <c r="N24" i="21" l="1"/>
  <c r="N6" i="21"/>
  <c r="N18" i="21"/>
  <c r="O21" i="21"/>
  <c r="C21" i="31" s="1"/>
  <c r="F21" i="31" s="1"/>
  <c r="O9" i="21"/>
  <c r="C9" i="31" s="1"/>
  <c r="F9" i="31" s="1"/>
  <c r="N21" i="21"/>
  <c r="N9" i="21"/>
  <c r="O18" i="21"/>
  <c r="C18" i="31" s="1"/>
  <c r="F18" i="31" s="1"/>
  <c r="O6" i="21"/>
  <c r="C6" i="31" s="1"/>
  <c r="I6" i="31" s="1"/>
  <c r="N5" i="21"/>
  <c r="N14" i="21"/>
  <c r="O23" i="21"/>
  <c r="C23" i="31" s="1"/>
  <c r="F23" i="31" s="1"/>
  <c r="O11" i="21"/>
  <c r="C11" i="31" s="1"/>
  <c r="F11" i="31" s="1"/>
  <c r="N25" i="21"/>
  <c r="N13" i="21"/>
  <c r="O22" i="21"/>
  <c r="C22" i="31" s="1"/>
  <c r="F22" i="31" s="1"/>
  <c r="O10" i="21"/>
  <c r="C10" i="31" s="1"/>
  <c r="F10" i="31" s="1"/>
  <c r="N11" i="21"/>
  <c r="S12" i="21"/>
  <c r="N23" i="21"/>
  <c r="O20" i="21"/>
  <c r="C20" i="31" s="1"/>
  <c r="F20" i="31" s="1"/>
  <c r="O8" i="21"/>
  <c r="C8" i="31" s="1"/>
  <c r="F8" i="31" s="1"/>
  <c r="N22" i="21"/>
  <c r="O19" i="21"/>
  <c r="C19" i="31" s="1"/>
  <c r="F19" i="31" s="1"/>
  <c r="O7" i="21"/>
  <c r="C7" i="31" s="1"/>
  <c r="F7" i="31" s="1"/>
  <c r="N20" i="21"/>
  <c r="N8" i="21"/>
  <c r="O17" i="21"/>
  <c r="C17" i="31" s="1"/>
  <c r="F17" i="31" s="1"/>
  <c r="O12" i="21"/>
  <c r="C12" i="31" s="1"/>
  <c r="F12" i="31" s="1"/>
  <c r="N15" i="21"/>
  <c r="N10" i="21"/>
  <c r="N19" i="21"/>
  <c r="N7" i="21"/>
  <c r="O16" i="21"/>
  <c r="C16" i="31" s="1"/>
  <c r="F16" i="31" s="1"/>
  <c r="O15" i="21"/>
  <c r="C15" i="31" s="1"/>
  <c r="F15" i="31" s="1"/>
  <c r="N17" i="21"/>
  <c r="O5" i="21"/>
  <c r="C5" i="31" s="1"/>
  <c r="O14" i="21"/>
  <c r="C14" i="31" s="1"/>
  <c r="F14" i="31" s="1"/>
  <c r="K16" i="27"/>
  <c r="H7" i="31"/>
  <c r="E16" i="27"/>
  <c r="P16" i="27"/>
  <c r="Q16" i="27" s="1"/>
  <c r="F25" i="24"/>
  <c r="H25" i="24" s="1"/>
  <c r="I16" i="23"/>
  <c r="I5" i="23"/>
  <c r="G25" i="23"/>
  <c r="I13" i="23"/>
  <c r="H15" i="23"/>
  <c r="H17" i="23"/>
  <c r="G8" i="23"/>
  <c r="H9" i="23"/>
  <c r="I17" i="23"/>
  <c r="N12" i="21"/>
  <c r="L6" i="22"/>
  <c r="D24" i="22"/>
  <c r="G21" i="22"/>
  <c r="G9" i="22"/>
  <c r="H22" i="22"/>
  <c r="H10" i="22"/>
  <c r="D22" i="22"/>
  <c r="J22" i="22" s="1"/>
  <c r="L22" i="22" s="1"/>
  <c r="G20" i="22"/>
  <c r="J20" i="22" s="1"/>
  <c r="G8" i="22"/>
  <c r="J8" i="22" s="1"/>
  <c r="L8" i="22" s="1"/>
  <c r="I23" i="22"/>
  <c r="F12" i="24"/>
  <c r="H12" i="24" s="1"/>
  <c r="F9" i="24"/>
  <c r="H9" i="24" s="1"/>
  <c r="F5" i="24"/>
  <c r="H5" i="24" s="1"/>
  <c r="F13" i="24"/>
  <c r="H13" i="24" s="1"/>
  <c r="F22" i="24"/>
  <c r="H22" i="24" s="1"/>
  <c r="F10" i="24"/>
  <c r="H10" i="24" s="1"/>
  <c r="F19" i="24"/>
  <c r="H19" i="24" s="1"/>
  <c r="F7" i="24"/>
  <c r="H7" i="24" s="1"/>
  <c r="F23" i="24"/>
  <c r="H23" i="24" s="1"/>
  <c r="F11" i="24"/>
  <c r="H11" i="24" s="1"/>
  <c r="F17" i="24"/>
  <c r="H17" i="24" s="1"/>
  <c r="F16" i="24"/>
  <c r="H16" i="24" s="1"/>
  <c r="F21" i="24"/>
  <c r="H21" i="24" s="1"/>
  <c r="F15" i="24"/>
  <c r="H15" i="24" s="1"/>
  <c r="F8" i="24"/>
  <c r="H8" i="24" s="1"/>
  <c r="F14" i="24"/>
  <c r="H14" i="24" s="1"/>
  <c r="F20" i="24"/>
  <c r="H20" i="24" s="1"/>
  <c r="F6" i="24"/>
  <c r="H6" i="24" s="1"/>
  <c r="F18" i="24"/>
  <c r="H18" i="24" s="1"/>
  <c r="F24" i="24"/>
  <c r="H24" i="24" s="1"/>
  <c r="I20" i="23"/>
  <c r="G16" i="23"/>
  <c r="G7" i="23"/>
  <c r="I15" i="23"/>
  <c r="G9" i="23"/>
  <c r="H21" i="23"/>
  <c r="H10" i="23"/>
  <c r="H12" i="23"/>
  <c r="H23" i="23"/>
  <c r="H11" i="23"/>
  <c r="G19" i="23"/>
  <c r="H7" i="23"/>
  <c r="H24" i="23"/>
  <c r="L24" i="23" s="1"/>
  <c r="H25" i="23"/>
  <c r="G15" i="23"/>
  <c r="G17" i="23"/>
  <c r="L13" i="23"/>
  <c r="H22" i="23"/>
  <c r="H5" i="23"/>
  <c r="J14" i="23"/>
  <c r="J22" i="23"/>
  <c r="D20" i="23"/>
  <c r="J20" i="23" s="1"/>
  <c r="D21" i="23"/>
  <c r="J21" i="23" s="1"/>
  <c r="I14" i="23"/>
  <c r="H20" i="23"/>
  <c r="H18" i="23"/>
  <c r="H16" i="23"/>
  <c r="H14" i="23"/>
  <c r="H8" i="23"/>
  <c r="D23" i="23"/>
  <c r="J23" i="23" s="1"/>
  <c r="D11" i="23"/>
  <c r="J11" i="23" s="1"/>
  <c r="D10" i="23"/>
  <c r="J10" i="23" s="1"/>
  <c r="L10" i="23" s="1"/>
  <c r="D6" i="23"/>
  <c r="J6" i="23" s="1"/>
  <c r="L6" i="23" s="1"/>
  <c r="D15" i="23"/>
  <c r="D24" i="23"/>
  <c r="J24" i="23" s="1"/>
  <c r="D12" i="23"/>
  <c r="J12" i="23" s="1"/>
  <c r="L12" i="23" s="1"/>
  <c r="D9" i="23"/>
  <c r="D7" i="23"/>
  <c r="J7" i="23" s="1"/>
  <c r="D18" i="23"/>
  <c r="J18" i="23" s="1"/>
  <c r="D16" i="23"/>
  <c r="J16" i="23" s="1"/>
  <c r="D17" i="23"/>
  <c r="D8" i="23"/>
  <c r="D19" i="23"/>
  <c r="D25" i="23"/>
  <c r="J25" i="23" s="1"/>
  <c r="J5" i="22"/>
  <c r="L5" i="22" s="1"/>
  <c r="H7" i="22"/>
  <c r="J25" i="22"/>
  <c r="H8" i="22"/>
  <c r="I10" i="22"/>
  <c r="H25" i="22"/>
  <c r="H14" i="22"/>
  <c r="H19" i="22"/>
  <c r="I12" i="22"/>
  <c r="J7" i="22"/>
  <c r="J9" i="22"/>
  <c r="J13" i="22"/>
  <c r="L13" i="22" s="1"/>
  <c r="I11" i="22"/>
  <c r="H11" i="22"/>
  <c r="H23" i="22"/>
  <c r="H20" i="22"/>
  <c r="H12" i="22"/>
  <c r="H24" i="22"/>
  <c r="I15" i="22"/>
  <c r="H13" i="22"/>
  <c r="I14" i="22"/>
  <c r="J18" i="22"/>
  <c r="I7" i="22"/>
  <c r="J19" i="22"/>
  <c r="H18" i="22"/>
  <c r="J21" i="22"/>
  <c r="L21" i="22" s="1"/>
  <c r="J15" i="22"/>
  <c r="L15" i="22" s="1"/>
  <c r="I19" i="22"/>
  <c r="J17" i="22"/>
  <c r="L17" i="22" s="1"/>
  <c r="I18" i="22"/>
  <c r="I17" i="22"/>
  <c r="I16" i="22"/>
  <c r="H17" i="22"/>
  <c r="H16" i="22"/>
  <c r="H15" i="22"/>
  <c r="H9" i="22"/>
  <c r="H21" i="22"/>
  <c r="J14" i="22"/>
  <c r="J16" i="22"/>
  <c r="L16" i="22" s="1"/>
  <c r="J12" i="22"/>
  <c r="L12" i="22" s="1"/>
  <c r="J11" i="22"/>
  <c r="L11" i="22" s="1"/>
  <c r="J23" i="22"/>
  <c r="J10" i="22"/>
  <c r="J24" i="22"/>
  <c r="I13" i="22"/>
  <c r="I25" i="22"/>
  <c r="S5" i="21"/>
  <c r="S14" i="21"/>
  <c r="S25" i="21"/>
  <c r="S13" i="21"/>
  <c r="S24" i="21"/>
  <c r="S18" i="21"/>
  <c r="S16" i="21"/>
  <c r="S23" i="21"/>
  <c r="S22" i="21"/>
  <c r="S10" i="21"/>
  <c r="S9" i="21"/>
  <c r="S11" i="21"/>
  <c r="S21" i="21"/>
  <c r="S20" i="21"/>
  <c r="S8" i="21"/>
  <c r="S19" i="21"/>
  <c r="S6" i="21"/>
  <c r="S17" i="21"/>
  <c r="S7" i="21"/>
  <c r="S15" i="21"/>
  <c r="F6" i="31" l="1"/>
  <c r="I7" i="31"/>
  <c r="I5" i="31"/>
  <c r="F5" i="31"/>
  <c r="F26" i="31" s="1"/>
  <c r="C26" i="31"/>
  <c r="H20" i="31"/>
  <c r="H10" i="31"/>
  <c r="H11" i="31"/>
  <c r="H23" i="31"/>
  <c r="H14" i="31"/>
  <c r="H9" i="31"/>
  <c r="H21" i="31"/>
  <c r="H22" i="31"/>
  <c r="H24" i="31"/>
  <c r="H25" i="31" s="1"/>
  <c r="H8" i="31"/>
  <c r="H15" i="31"/>
  <c r="H17" i="31"/>
  <c r="H19" i="31"/>
  <c r="H12" i="31"/>
  <c r="H13" i="31"/>
  <c r="H16" i="31"/>
  <c r="H18" i="31"/>
  <c r="J8" i="23"/>
  <c r="L20" i="22"/>
  <c r="L9" i="22"/>
  <c r="L18" i="22"/>
  <c r="L7" i="22"/>
  <c r="L19" i="22"/>
  <c r="L10" i="22"/>
  <c r="L14" i="22"/>
  <c r="L25" i="22"/>
  <c r="L24" i="22"/>
  <c r="L23" i="22"/>
  <c r="L21" i="23"/>
  <c r="J9" i="23"/>
  <c r="L9" i="23" s="1"/>
  <c r="L11" i="23"/>
  <c r="L23" i="23"/>
  <c r="L22" i="23"/>
  <c r="J19" i="23"/>
  <c r="L19" i="23" s="1"/>
  <c r="J15" i="23"/>
  <c r="L15" i="23" s="1"/>
  <c r="J17" i="23"/>
  <c r="L17" i="23" s="1"/>
  <c r="L7" i="23"/>
  <c r="L20" i="23"/>
  <c r="L25" i="23"/>
  <c r="L16" i="23"/>
  <c r="L8" i="23"/>
  <c r="L18" i="23"/>
  <c r="L14" i="23"/>
  <c r="K25" i="8"/>
  <c r="D6" i="13"/>
  <c r="D7" i="13"/>
  <c r="D8" i="13"/>
  <c r="D9" i="13"/>
  <c r="D10" i="13"/>
  <c r="D11" i="13"/>
  <c r="D12" i="13"/>
  <c r="D13" i="13"/>
  <c r="D14" i="13"/>
  <c r="D15" i="13"/>
  <c r="D16" i="13"/>
  <c r="D17" i="13"/>
  <c r="D18" i="13"/>
  <c r="D19" i="13"/>
  <c r="D20" i="13"/>
  <c r="D21" i="13"/>
  <c r="D22" i="13"/>
  <c r="D23" i="13"/>
  <c r="D24" i="13"/>
  <c r="D25" i="13"/>
  <c r="D5" i="13"/>
  <c r="K26" i="13"/>
  <c r="E6" i="13"/>
  <c r="F6" i="13"/>
  <c r="H6" i="13"/>
  <c r="E7" i="13"/>
  <c r="F7" i="13"/>
  <c r="H7" i="13"/>
  <c r="F8" i="13"/>
  <c r="H8" i="13"/>
  <c r="F9" i="13"/>
  <c r="H9" i="13"/>
  <c r="F10" i="13"/>
  <c r="H10" i="13"/>
  <c r="F11" i="13"/>
  <c r="H11" i="13"/>
  <c r="F12" i="13"/>
  <c r="H12" i="13"/>
  <c r="F13" i="13"/>
  <c r="H13" i="13"/>
  <c r="F14" i="13"/>
  <c r="H14" i="13"/>
  <c r="F15" i="13"/>
  <c r="H15" i="13"/>
  <c r="F16" i="13"/>
  <c r="H16" i="13"/>
  <c r="H17" i="13"/>
  <c r="J18" i="13"/>
  <c r="H18" i="13"/>
  <c r="J19" i="13"/>
  <c r="H19" i="13"/>
  <c r="J20" i="13"/>
  <c r="H20" i="13"/>
  <c r="H21" i="13"/>
  <c r="H22" i="13"/>
  <c r="H23" i="13"/>
  <c r="J24" i="13"/>
  <c r="H24" i="13"/>
  <c r="H25" i="13"/>
  <c r="H5" i="13"/>
  <c r="F5" i="13"/>
  <c r="E5" i="13"/>
  <c r="K25" i="12"/>
  <c r="J25" i="12"/>
  <c r="I25" i="12"/>
  <c r="H25" i="12"/>
  <c r="G25" i="12"/>
  <c r="F25" i="12"/>
  <c r="E25" i="12"/>
  <c r="L24" i="12"/>
  <c r="L23" i="12"/>
  <c r="L22" i="12"/>
  <c r="L21" i="12"/>
  <c r="L20" i="12"/>
  <c r="L19" i="12"/>
  <c r="L18" i="12"/>
  <c r="L17" i="12"/>
  <c r="L16" i="12"/>
  <c r="L15" i="12"/>
  <c r="L14" i="12"/>
  <c r="L13" i="12"/>
  <c r="L12" i="12"/>
  <c r="L11" i="12"/>
  <c r="L10" i="12"/>
  <c r="L9" i="12"/>
  <c r="L8" i="12"/>
  <c r="L7" i="12"/>
  <c r="L6" i="12"/>
  <c r="L5" i="12"/>
  <c r="B5" i="12"/>
  <c r="B6" i="12" s="1"/>
  <c r="B7" i="12" s="1"/>
  <c r="B8" i="12" s="1"/>
  <c r="B9" i="12" s="1"/>
  <c r="B10" i="12" s="1"/>
  <c r="B11" i="12" s="1"/>
  <c r="B12" i="12" s="1"/>
  <c r="B13" i="12" s="1"/>
  <c r="B14" i="12" s="1"/>
  <c r="B15" i="12" s="1"/>
  <c r="B16" i="12" s="1"/>
  <c r="B17" i="12" s="1"/>
  <c r="B18" i="12" s="1"/>
  <c r="B19" i="12" s="1"/>
  <c r="B20" i="12" s="1"/>
  <c r="B21" i="12" s="1"/>
  <c r="B22" i="12" s="1"/>
  <c r="B23" i="12" s="1"/>
  <c r="B24" i="12" s="1"/>
  <c r="L4" i="12"/>
  <c r="I17" i="31" l="1"/>
  <c r="I14" i="31"/>
  <c r="I18" i="31"/>
  <c r="I22" i="31"/>
  <c r="I8" i="31"/>
  <c r="I19" i="31"/>
  <c r="I21" i="31"/>
  <c r="I15" i="31"/>
  <c r="I10" i="31"/>
  <c r="I9" i="31"/>
  <c r="I20" i="31"/>
  <c r="I16" i="31"/>
  <c r="I23" i="31"/>
  <c r="I12" i="31"/>
  <c r="I24" i="31"/>
  <c r="H26" i="31"/>
  <c r="I11" i="31"/>
  <c r="I13" i="31"/>
  <c r="J7" i="13"/>
  <c r="L7" i="13" s="1"/>
  <c r="M7" i="13" s="1"/>
  <c r="J14" i="13"/>
  <c r="L14" i="13" s="1"/>
  <c r="M14" i="13" s="1"/>
  <c r="J10" i="13"/>
  <c r="L10" i="13" s="1"/>
  <c r="M10" i="13" s="1"/>
  <c r="J23" i="13"/>
  <c r="L23" i="13" s="1"/>
  <c r="M23" i="13" s="1"/>
  <c r="J22" i="13"/>
  <c r="L22" i="13" s="1"/>
  <c r="M22" i="13" s="1"/>
  <c r="J16" i="13"/>
  <c r="L16" i="13" s="1"/>
  <c r="M16" i="13" s="1"/>
  <c r="J12" i="13"/>
  <c r="L12" i="13" s="1"/>
  <c r="M12" i="13" s="1"/>
  <c r="J8" i="13"/>
  <c r="L8" i="13" s="1"/>
  <c r="M8" i="13" s="1"/>
  <c r="J17" i="13"/>
  <c r="L17" i="13" s="1"/>
  <c r="M17" i="13" s="1"/>
  <c r="L5" i="13"/>
  <c r="M5" i="13" s="1"/>
  <c r="J21" i="13"/>
  <c r="L21" i="13" s="1"/>
  <c r="M21" i="13" s="1"/>
  <c r="J9" i="13"/>
  <c r="L9" i="13" s="1"/>
  <c r="M9" i="13" s="1"/>
  <c r="J6" i="13"/>
  <c r="L6" i="13" s="1"/>
  <c r="M6" i="13" s="1"/>
  <c r="J15" i="13"/>
  <c r="L15" i="13" s="1"/>
  <c r="M15" i="13" s="1"/>
  <c r="J11" i="13"/>
  <c r="L11" i="13" s="1"/>
  <c r="M11" i="13" s="1"/>
  <c r="J13" i="13"/>
  <c r="L13" i="13" s="1"/>
  <c r="M13" i="13" s="1"/>
  <c r="L19" i="13"/>
  <c r="M19" i="13" s="1"/>
  <c r="L24" i="13"/>
  <c r="M24" i="13" s="1"/>
  <c r="L18" i="13"/>
  <c r="M18" i="13" s="1"/>
  <c r="L20" i="13"/>
  <c r="M20" i="13" s="1"/>
  <c r="F26" i="13"/>
  <c r="D26" i="13"/>
  <c r="H26" i="13"/>
  <c r="G26" i="13"/>
  <c r="L25" i="12"/>
  <c r="I25" i="31" l="1"/>
  <c r="I26" i="31" s="1"/>
  <c r="BC6" i="8"/>
  <c r="BC7" i="8"/>
  <c r="BC8" i="8"/>
  <c r="BC9" i="8"/>
  <c r="BC10" i="8"/>
  <c r="BC11" i="8"/>
  <c r="BC12" i="8"/>
  <c r="BC13" i="8"/>
  <c r="BC14" i="8"/>
  <c r="BC15" i="8"/>
  <c r="BC16" i="8"/>
  <c r="BC17" i="8"/>
  <c r="BC18" i="8"/>
  <c r="BC19" i="8"/>
  <c r="BC20" i="8"/>
  <c r="BC21" i="8"/>
  <c r="BC22" i="8"/>
  <c r="BC23" i="8"/>
  <c r="BC24" i="8"/>
  <c r="BC25" i="8"/>
  <c r="BC5" i="8"/>
  <c r="AY6" i="8"/>
  <c r="AY7" i="8"/>
  <c r="AY8" i="8"/>
  <c r="AY9" i="8"/>
  <c r="AY10" i="8"/>
  <c r="AY11" i="8"/>
  <c r="AY12" i="8"/>
  <c r="AY13" i="8"/>
  <c r="AY14" i="8"/>
  <c r="AY15" i="8"/>
  <c r="AY16" i="8"/>
  <c r="AY17" i="8"/>
  <c r="AY18" i="8"/>
  <c r="AY19" i="8"/>
  <c r="AY20" i="8"/>
  <c r="AY21" i="8"/>
  <c r="AY22" i="8"/>
  <c r="AY23" i="8"/>
  <c r="AY24" i="8"/>
  <c r="AY25" i="8"/>
  <c r="AY5" i="8"/>
  <c r="AU6" i="8"/>
  <c r="AU7" i="8"/>
  <c r="AU8" i="8"/>
  <c r="AU9" i="8"/>
  <c r="AU10" i="8"/>
  <c r="AU11" i="8"/>
  <c r="AU12" i="8"/>
  <c r="AU13" i="8"/>
  <c r="AU14" i="8"/>
  <c r="AU15" i="8"/>
  <c r="AU16" i="8"/>
  <c r="AU17" i="8"/>
  <c r="AU18" i="8"/>
  <c r="AU19" i="8"/>
  <c r="AU20" i="8"/>
  <c r="AU21" i="8"/>
  <c r="AU22" i="8"/>
  <c r="AU23" i="8"/>
  <c r="AU24" i="8"/>
  <c r="AU25" i="8"/>
  <c r="AU5" i="8"/>
  <c r="AQ8" i="8"/>
  <c r="AQ9" i="8"/>
  <c r="AQ10" i="8"/>
  <c r="AQ11" i="8"/>
  <c r="AQ12" i="8"/>
  <c r="AQ13" i="8"/>
  <c r="AQ14" i="8"/>
  <c r="AQ15" i="8"/>
  <c r="AQ16" i="8"/>
  <c r="AQ17" i="8"/>
  <c r="AQ18" i="8"/>
  <c r="AQ19" i="8"/>
  <c r="AQ20" i="8"/>
  <c r="AQ21" i="8"/>
  <c r="AQ22" i="8"/>
  <c r="AQ23" i="8"/>
  <c r="AQ24" i="8"/>
  <c r="AQ25" i="8"/>
  <c r="AQ5" i="8"/>
  <c r="AN6" i="8"/>
  <c r="AN7" i="8"/>
  <c r="AN8" i="8"/>
  <c r="AN9" i="8"/>
  <c r="AN10" i="8"/>
  <c r="AN11" i="8"/>
  <c r="AN12" i="8"/>
  <c r="AN13" i="8"/>
  <c r="AN14" i="8"/>
  <c r="AN15" i="8"/>
  <c r="AN16" i="8"/>
  <c r="AN17" i="8"/>
  <c r="AN18" i="8"/>
  <c r="AN19" i="8"/>
  <c r="AN20" i="8"/>
  <c r="AN21" i="8"/>
  <c r="AN22" i="8"/>
  <c r="AN23" i="8"/>
  <c r="AN24" i="8"/>
  <c r="AN25" i="8"/>
  <c r="AN5" i="8"/>
  <c r="AJ6" i="8"/>
  <c r="AJ7" i="8"/>
  <c r="AJ8" i="8"/>
  <c r="AJ9" i="8"/>
  <c r="AJ10" i="8"/>
  <c r="AJ11" i="8"/>
  <c r="AJ12" i="8"/>
  <c r="AJ13" i="8"/>
  <c r="AJ14" i="8"/>
  <c r="AJ15" i="8"/>
  <c r="AJ16" i="8"/>
  <c r="AJ17" i="8"/>
  <c r="AJ18" i="8"/>
  <c r="AJ19" i="8"/>
  <c r="AJ20" i="8"/>
  <c r="AJ21" i="8"/>
  <c r="AJ22" i="8"/>
  <c r="AJ23" i="8"/>
  <c r="AJ24" i="8"/>
  <c r="AJ25" i="8"/>
  <c r="AJ5" i="8"/>
  <c r="Z6" i="8"/>
  <c r="Z7" i="8"/>
  <c r="Z8" i="8"/>
  <c r="Z9" i="8"/>
  <c r="Z10" i="8"/>
  <c r="Z11" i="8"/>
  <c r="Z12" i="8"/>
  <c r="Z13" i="8"/>
  <c r="Z14" i="8"/>
  <c r="Z15" i="8"/>
  <c r="Z16" i="8"/>
  <c r="Z17" i="8"/>
  <c r="Z18" i="8"/>
  <c r="Z19" i="8"/>
  <c r="Z20" i="8"/>
  <c r="Z21" i="8"/>
  <c r="Z22" i="8"/>
  <c r="Z23" i="8"/>
  <c r="Z24" i="8"/>
  <c r="Z25" i="8"/>
  <c r="Z5" i="8"/>
  <c r="V6" i="8"/>
  <c r="V7" i="8"/>
  <c r="V8" i="8"/>
  <c r="V9" i="8"/>
  <c r="V10" i="8"/>
  <c r="V11" i="8"/>
  <c r="V12" i="8"/>
  <c r="V13" i="8"/>
  <c r="V14" i="8"/>
  <c r="V15" i="8"/>
  <c r="V16" i="8"/>
  <c r="V17" i="8"/>
  <c r="V18" i="8"/>
  <c r="V19" i="8"/>
  <c r="V20" i="8"/>
  <c r="V21" i="8"/>
  <c r="V22" i="8"/>
  <c r="V23" i="8"/>
  <c r="V24" i="8"/>
  <c r="V25" i="8"/>
  <c r="V5" i="8"/>
  <c r="R25" i="8"/>
  <c r="R24" i="8"/>
  <c r="R23" i="8"/>
  <c r="R22" i="8"/>
  <c r="R21" i="8"/>
  <c r="R20" i="8"/>
  <c r="R19" i="8"/>
  <c r="R18" i="8"/>
  <c r="R17" i="8"/>
  <c r="R16" i="8"/>
  <c r="R15" i="8"/>
  <c r="R14" i="8"/>
  <c r="R13" i="8"/>
  <c r="R12" i="8"/>
  <c r="R11" i="8"/>
  <c r="R10" i="8"/>
  <c r="R9" i="8"/>
  <c r="R8" i="8"/>
  <c r="R7" i="8"/>
  <c r="R6" i="8"/>
  <c r="R5" i="8"/>
  <c r="N5" i="8"/>
  <c r="K24" i="8"/>
  <c r="K23" i="8"/>
  <c r="K22" i="8"/>
  <c r="K21" i="8"/>
  <c r="K20" i="8"/>
  <c r="K19" i="8"/>
  <c r="K18" i="8"/>
  <c r="K17" i="8"/>
  <c r="K16" i="8"/>
  <c r="K15" i="8"/>
  <c r="K14" i="8"/>
  <c r="K13" i="8"/>
  <c r="K12" i="8"/>
  <c r="K11" i="8"/>
  <c r="K10" i="8"/>
  <c r="K9" i="8"/>
  <c r="K8" i="8"/>
  <c r="K7" i="8"/>
  <c r="K6" i="8"/>
  <c r="K5" i="8"/>
  <c r="G6" i="8"/>
  <c r="G7" i="8"/>
  <c r="G8" i="8"/>
  <c r="G9" i="8"/>
  <c r="G10" i="8"/>
  <c r="G11" i="8"/>
  <c r="G12" i="8"/>
  <c r="G13" i="8"/>
  <c r="G14" i="8"/>
  <c r="G15" i="8"/>
  <c r="G16" i="8"/>
  <c r="G17" i="8"/>
  <c r="G18" i="8"/>
  <c r="G19" i="8"/>
  <c r="G20" i="8"/>
  <c r="G21" i="8"/>
  <c r="G22" i="8"/>
  <c r="G23" i="8"/>
  <c r="G24" i="8"/>
  <c r="G25" i="8"/>
  <c r="G5" i="8"/>
  <c r="CF8" i="8" l="1"/>
  <c r="CI25" i="8"/>
  <c r="CH25" i="8"/>
  <c r="CG25" i="8"/>
  <c r="CF25" i="8"/>
  <c r="CE25" i="8"/>
  <c r="CD25" i="8"/>
  <c r="CC25" i="8"/>
  <c r="CB25" i="8"/>
  <c r="CA25" i="8"/>
  <c r="BZ25" i="8"/>
  <c r="BY25" i="8"/>
  <c r="BX25" i="8"/>
  <c r="BW25" i="8"/>
  <c r="BV25" i="8"/>
  <c r="BU25" i="8"/>
  <c r="BS25" i="8"/>
  <c r="BR25" i="8"/>
  <c r="BQ25" i="8"/>
  <c r="BO25" i="8"/>
  <c r="BN25" i="8"/>
  <c r="BM25" i="8"/>
  <c r="BL25" i="8"/>
  <c r="BK25" i="8"/>
  <c r="BJ25" i="8"/>
  <c r="CI24" i="8"/>
  <c r="CH24" i="8"/>
  <c r="CG24" i="8"/>
  <c r="CF24" i="8"/>
  <c r="CE24" i="8"/>
  <c r="CD24" i="8"/>
  <c r="CC24" i="8"/>
  <c r="CB24" i="8"/>
  <c r="CA24" i="8"/>
  <c r="BZ24" i="8"/>
  <c r="BY24" i="8"/>
  <c r="BX24" i="8"/>
  <c r="BW24" i="8"/>
  <c r="BV24" i="8"/>
  <c r="BU24" i="8"/>
  <c r="BS24" i="8"/>
  <c r="BR24" i="8"/>
  <c r="BQ24" i="8"/>
  <c r="BO24" i="8"/>
  <c r="BN24" i="8"/>
  <c r="BM24" i="8"/>
  <c r="BL24" i="8"/>
  <c r="BK24" i="8"/>
  <c r="BJ24" i="8"/>
  <c r="CI23" i="8"/>
  <c r="CH23" i="8"/>
  <c r="CG23" i="8"/>
  <c r="CF23" i="8"/>
  <c r="CE23" i="8"/>
  <c r="CD23" i="8"/>
  <c r="CC23" i="8"/>
  <c r="CB23" i="8"/>
  <c r="CA23" i="8"/>
  <c r="BZ23" i="8"/>
  <c r="BY23" i="8"/>
  <c r="BX23" i="8"/>
  <c r="BW23" i="8"/>
  <c r="BV23" i="8"/>
  <c r="BU23" i="8"/>
  <c r="BS23" i="8"/>
  <c r="BR23" i="8"/>
  <c r="BQ23" i="8"/>
  <c r="BO23" i="8"/>
  <c r="BN23" i="8"/>
  <c r="BM23" i="8"/>
  <c r="BL23" i="8"/>
  <c r="BK23" i="8"/>
  <c r="BJ23" i="8"/>
  <c r="CI22" i="8"/>
  <c r="CH22" i="8"/>
  <c r="CG22" i="8"/>
  <c r="CF22" i="8"/>
  <c r="CE22" i="8"/>
  <c r="CD22" i="8"/>
  <c r="CC22" i="8"/>
  <c r="CB22" i="8"/>
  <c r="CA22" i="8"/>
  <c r="BZ22" i="8"/>
  <c r="BY22" i="8"/>
  <c r="BX22" i="8"/>
  <c r="BW22" i="8"/>
  <c r="BV22" i="8"/>
  <c r="BU22" i="8"/>
  <c r="BS22" i="8"/>
  <c r="BR22" i="8"/>
  <c r="BQ22" i="8"/>
  <c r="BO22" i="8"/>
  <c r="BN22" i="8"/>
  <c r="BM22" i="8"/>
  <c r="BL22" i="8"/>
  <c r="BK22" i="8"/>
  <c r="BJ22" i="8"/>
  <c r="CI21" i="8"/>
  <c r="CH21" i="8"/>
  <c r="CG21" i="8"/>
  <c r="CF21" i="8"/>
  <c r="CE21" i="8"/>
  <c r="CD21" i="8"/>
  <c r="CC21" i="8"/>
  <c r="CB21" i="8"/>
  <c r="CA21" i="8"/>
  <c r="BZ21" i="8"/>
  <c r="BY21" i="8"/>
  <c r="BX21" i="8"/>
  <c r="BW21" i="8"/>
  <c r="BV21" i="8"/>
  <c r="BU21" i="8"/>
  <c r="BS21" i="8"/>
  <c r="BR21" i="8"/>
  <c r="BQ21" i="8"/>
  <c r="BO21" i="8"/>
  <c r="BN21" i="8"/>
  <c r="BM21" i="8"/>
  <c r="BL21" i="8"/>
  <c r="BK21" i="8"/>
  <c r="BJ21" i="8"/>
  <c r="CI20" i="8"/>
  <c r="CH20" i="8"/>
  <c r="CG20" i="8"/>
  <c r="CF20" i="8"/>
  <c r="CE20" i="8"/>
  <c r="CD20" i="8"/>
  <c r="CC20" i="8"/>
  <c r="CB20" i="8"/>
  <c r="CA20" i="8"/>
  <c r="BZ20" i="8"/>
  <c r="BY20" i="8"/>
  <c r="BX20" i="8"/>
  <c r="BW20" i="8"/>
  <c r="BV20" i="8"/>
  <c r="BU20" i="8"/>
  <c r="BS20" i="8"/>
  <c r="BR20" i="8"/>
  <c r="BQ20" i="8"/>
  <c r="BO20" i="8"/>
  <c r="BN20" i="8"/>
  <c r="BM20" i="8"/>
  <c r="BL20" i="8"/>
  <c r="BK20" i="8"/>
  <c r="BJ20" i="8"/>
  <c r="CI19" i="8"/>
  <c r="CH19" i="8"/>
  <c r="CG19" i="8"/>
  <c r="CF19" i="8"/>
  <c r="CE19" i="8"/>
  <c r="CD19" i="8"/>
  <c r="CC19" i="8"/>
  <c r="CB19" i="8"/>
  <c r="CA19" i="8"/>
  <c r="BZ19" i="8"/>
  <c r="BY19" i="8"/>
  <c r="BX19" i="8"/>
  <c r="BW19" i="8"/>
  <c r="BV19" i="8"/>
  <c r="BU19" i="8"/>
  <c r="BS19" i="8"/>
  <c r="BR19" i="8"/>
  <c r="BQ19" i="8"/>
  <c r="BO19" i="8"/>
  <c r="BN19" i="8"/>
  <c r="BM19" i="8"/>
  <c r="BL19" i="8"/>
  <c r="BK19" i="8"/>
  <c r="BJ19" i="8"/>
  <c r="CI18" i="8"/>
  <c r="CH18" i="8"/>
  <c r="CG18" i="8"/>
  <c r="CF18" i="8"/>
  <c r="CE18" i="8"/>
  <c r="CD18" i="8"/>
  <c r="CC18" i="8"/>
  <c r="CB18" i="8"/>
  <c r="CA18" i="8"/>
  <c r="BZ18" i="8"/>
  <c r="BY18" i="8"/>
  <c r="BX18" i="8"/>
  <c r="BW18" i="8"/>
  <c r="BV18" i="8"/>
  <c r="BU18" i="8"/>
  <c r="BS18" i="8"/>
  <c r="BR18" i="8"/>
  <c r="BQ18" i="8"/>
  <c r="BO18" i="8"/>
  <c r="BN18" i="8"/>
  <c r="BM18" i="8"/>
  <c r="BL18" i="8"/>
  <c r="BK18" i="8"/>
  <c r="BJ18" i="8"/>
  <c r="CI17" i="8"/>
  <c r="CH17" i="8"/>
  <c r="CG17" i="8"/>
  <c r="CF17" i="8"/>
  <c r="CE17" i="8"/>
  <c r="CD17" i="8"/>
  <c r="CC17" i="8"/>
  <c r="CB17" i="8"/>
  <c r="CA17" i="8"/>
  <c r="BZ17" i="8"/>
  <c r="BY17" i="8"/>
  <c r="BX17" i="8"/>
  <c r="BW17" i="8"/>
  <c r="BV17" i="8"/>
  <c r="BU17" i="8"/>
  <c r="BS17" i="8"/>
  <c r="BR17" i="8"/>
  <c r="BQ17" i="8"/>
  <c r="BO17" i="8"/>
  <c r="BN17" i="8"/>
  <c r="BM17" i="8"/>
  <c r="BL17" i="8"/>
  <c r="BK17" i="8"/>
  <c r="BJ17" i="8"/>
  <c r="CI16" i="8"/>
  <c r="CH16" i="8"/>
  <c r="CG16" i="8"/>
  <c r="CF16" i="8"/>
  <c r="CE16" i="8"/>
  <c r="CD16" i="8"/>
  <c r="CC16" i="8"/>
  <c r="CB16" i="8"/>
  <c r="CA16" i="8"/>
  <c r="BZ16" i="8"/>
  <c r="BY16" i="8"/>
  <c r="BX16" i="8"/>
  <c r="BW16" i="8"/>
  <c r="BV16" i="8"/>
  <c r="BU16" i="8"/>
  <c r="BS16" i="8"/>
  <c r="BR16" i="8"/>
  <c r="BQ16" i="8"/>
  <c r="BO16" i="8"/>
  <c r="BN16" i="8"/>
  <c r="BM16" i="8"/>
  <c r="BL16" i="8"/>
  <c r="BK16" i="8"/>
  <c r="BJ16" i="8"/>
  <c r="CI15" i="8"/>
  <c r="CH15" i="8"/>
  <c r="CG15" i="8"/>
  <c r="CF15" i="8"/>
  <c r="CE15" i="8"/>
  <c r="CD15" i="8"/>
  <c r="CC15" i="8"/>
  <c r="CB15" i="8"/>
  <c r="CA15" i="8"/>
  <c r="BZ15" i="8"/>
  <c r="BY15" i="8"/>
  <c r="BX15" i="8"/>
  <c r="BW15" i="8"/>
  <c r="BV15" i="8"/>
  <c r="BU15" i="8"/>
  <c r="BS15" i="8"/>
  <c r="BR15" i="8"/>
  <c r="BQ15" i="8"/>
  <c r="BO15" i="8"/>
  <c r="BN15" i="8"/>
  <c r="BM15" i="8"/>
  <c r="BL15" i="8"/>
  <c r="BK15" i="8"/>
  <c r="BJ15" i="8"/>
  <c r="CI14" i="8"/>
  <c r="CH14" i="8"/>
  <c r="CG14" i="8"/>
  <c r="CF14" i="8"/>
  <c r="CE14" i="8"/>
  <c r="CD14" i="8"/>
  <c r="CC14" i="8"/>
  <c r="CB14" i="8"/>
  <c r="CA14" i="8"/>
  <c r="BZ14" i="8"/>
  <c r="BY14" i="8"/>
  <c r="BX14" i="8"/>
  <c r="BW14" i="8"/>
  <c r="BV14" i="8"/>
  <c r="BU14" i="8"/>
  <c r="BS14" i="8"/>
  <c r="BR14" i="8"/>
  <c r="BQ14" i="8"/>
  <c r="BO14" i="8"/>
  <c r="BN14" i="8"/>
  <c r="BM14" i="8"/>
  <c r="BL14" i="8"/>
  <c r="BK14" i="8"/>
  <c r="BJ14" i="8"/>
  <c r="CI13" i="8"/>
  <c r="CH13" i="8"/>
  <c r="CG13" i="8"/>
  <c r="CF13" i="8"/>
  <c r="CE13" i="8"/>
  <c r="CD13" i="8"/>
  <c r="CC13" i="8"/>
  <c r="CB13" i="8"/>
  <c r="CA13" i="8"/>
  <c r="BZ13" i="8"/>
  <c r="BY13" i="8"/>
  <c r="BX13" i="8"/>
  <c r="BW13" i="8"/>
  <c r="BV13" i="8"/>
  <c r="BU13" i="8"/>
  <c r="BS13" i="8"/>
  <c r="BR13" i="8"/>
  <c r="BQ13" i="8"/>
  <c r="BO13" i="8"/>
  <c r="BN13" i="8"/>
  <c r="BM13" i="8"/>
  <c r="BL13" i="8"/>
  <c r="BK13" i="8"/>
  <c r="BJ13" i="8"/>
  <c r="CI12" i="8"/>
  <c r="CH12" i="8"/>
  <c r="CG12" i="8"/>
  <c r="CF12" i="8"/>
  <c r="CE12" i="8"/>
  <c r="CD12" i="8"/>
  <c r="CC12" i="8"/>
  <c r="CB12" i="8"/>
  <c r="CA12" i="8"/>
  <c r="BZ12" i="8"/>
  <c r="BY12" i="8"/>
  <c r="BX12" i="8"/>
  <c r="BW12" i="8"/>
  <c r="BV12" i="8"/>
  <c r="BU12" i="8"/>
  <c r="BS12" i="8"/>
  <c r="BR12" i="8"/>
  <c r="BQ12" i="8"/>
  <c r="BO12" i="8"/>
  <c r="BN12" i="8"/>
  <c r="BM12" i="8"/>
  <c r="BL12" i="8"/>
  <c r="BK12" i="8"/>
  <c r="BJ12" i="8"/>
  <c r="CI11" i="8"/>
  <c r="CH11" i="8"/>
  <c r="CG11" i="8"/>
  <c r="CF11" i="8"/>
  <c r="CE11" i="8"/>
  <c r="CD11" i="8"/>
  <c r="CC11" i="8"/>
  <c r="CB11" i="8"/>
  <c r="CA11" i="8"/>
  <c r="BZ11" i="8"/>
  <c r="BY11" i="8"/>
  <c r="BX11" i="8"/>
  <c r="BW11" i="8"/>
  <c r="BV11" i="8"/>
  <c r="BU11" i="8"/>
  <c r="BS11" i="8"/>
  <c r="BR11" i="8"/>
  <c r="BQ11" i="8"/>
  <c r="BO11" i="8"/>
  <c r="BN11" i="8"/>
  <c r="BM11" i="8"/>
  <c r="BL11" i="8"/>
  <c r="BK11" i="8"/>
  <c r="BJ11" i="8"/>
  <c r="CI10" i="8"/>
  <c r="CH10" i="8"/>
  <c r="CG10" i="8"/>
  <c r="CF10" i="8"/>
  <c r="CE10" i="8"/>
  <c r="CD10" i="8"/>
  <c r="CC10" i="8"/>
  <c r="CB10" i="8"/>
  <c r="CA10" i="8"/>
  <c r="BZ10" i="8"/>
  <c r="BY10" i="8"/>
  <c r="BX10" i="8"/>
  <c r="BW10" i="8"/>
  <c r="BV10" i="8"/>
  <c r="BU10" i="8"/>
  <c r="BS10" i="8"/>
  <c r="BR10" i="8"/>
  <c r="BQ10" i="8"/>
  <c r="BO10" i="8"/>
  <c r="BN10" i="8"/>
  <c r="BM10" i="8"/>
  <c r="BL10" i="8"/>
  <c r="BK10" i="8"/>
  <c r="BJ10" i="8"/>
  <c r="CI9" i="8"/>
  <c r="CH9" i="8"/>
  <c r="CG9" i="8"/>
  <c r="CF9" i="8"/>
  <c r="CE9" i="8"/>
  <c r="CD9" i="8"/>
  <c r="CC9" i="8"/>
  <c r="CB9" i="8"/>
  <c r="CA9" i="8"/>
  <c r="BZ9" i="8"/>
  <c r="BY9" i="8"/>
  <c r="BX9" i="8"/>
  <c r="BW9" i="8"/>
  <c r="BV9" i="8"/>
  <c r="BU9" i="8"/>
  <c r="BS9" i="8"/>
  <c r="BR9" i="8"/>
  <c r="BQ9" i="8"/>
  <c r="BO9" i="8"/>
  <c r="BN9" i="8"/>
  <c r="BM9" i="8"/>
  <c r="BL9" i="8"/>
  <c r="BK9" i="8"/>
  <c r="BJ9" i="8"/>
  <c r="CI8" i="8"/>
  <c r="CH8" i="8"/>
  <c r="CG8" i="8"/>
  <c r="CE8" i="8"/>
  <c r="CD8" i="8"/>
  <c r="CC8" i="8"/>
  <c r="CB8" i="8"/>
  <c r="CA8" i="8"/>
  <c r="BZ8" i="8"/>
  <c r="BY8" i="8"/>
  <c r="BX8" i="8"/>
  <c r="BW8" i="8"/>
  <c r="BV8" i="8"/>
  <c r="BU8" i="8"/>
  <c r="BS8" i="8"/>
  <c r="BR8" i="8"/>
  <c r="BQ8" i="8"/>
  <c r="BO8" i="8"/>
  <c r="BN8" i="8"/>
  <c r="BM8" i="8"/>
  <c r="BL8" i="8"/>
  <c r="BK8" i="8"/>
  <c r="BJ8" i="8"/>
  <c r="CI7" i="8"/>
  <c r="CH7" i="8"/>
  <c r="CG7" i="8"/>
  <c r="CE7" i="8"/>
  <c r="CD7" i="8"/>
  <c r="CC7" i="8"/>
  <c r="CB7" i="8"/>
  <c r="CA7" i="8"/>
  <c r="BZ7" i="8"/>
  <c r="BY7" i="8"/>
  <c r="BX7" i="8"/>
  <c r="BW7" i="8"/>
  <c r="BV7" i="8"/>
  <c r="BU7" i="8"/>
  <c r="BS7" i="8"/>
  <c r="BR7" i="8"/>
  <c r="BQ7" i="8"/>
  <c r="BO7" i="8"/>
  <c r="BN7" i="8"/>
  <c r="BM7" i="8"/>
  <c r="BL7" i="8"/>
  <c r="BK7" i="8"/>
  <c r="BJ7" i="8"/>
  <c r="CI6" i="8"/>
  <c r="CH6" i="8"/>
  <c r="CG6" i="8"/>
  <c r="CE6" i="8"/>
  <c r="CD6" i="8"/>
  <c r="CC6" i="8"/>
  <c r="CB6" i="8"/>
  <c r="CA6" i="8"/>
  <c r="BZ6" i="8"/>
  <c r="BY6" i="8"/>
  <c r="BX6" i="8"/>
  <c r="BW6" i="8"/>
  <c r="BV6" i="8"/>
  <c r="BU6" i="8"/>
  <c r="BS6" i="8"/>
  <c r="BR6" i="8"/>
  <c r="BQ6" i="8"/>
  <c r="BO6" i="8"/>
  <c r="BN6" i="8"/>
  <c r="BM6" i="8"/>
  <c r="BL6" i="8"/>
  <c r="BK6" i="8"/>
  <c r="BJ6" i="8"/>
  <c r="CI5" i="8"/>
  <c r="CH5" i="8"/>
  <c r="CG5" i="8"/>
  <c r="CE5" i="8"/>
  <c r="CD5" i="8"/>
  <c r="CC5" i="8"/>
  <c r="CB5" i="8"/>
  <c r="CA5" i="8"/>
  <c r="BZ5" i="8"/>
  <c r="BY5" i="8"/>
  <c r="BX5" i="8"/>
  <c r="BW5" i="8"/>
  <c r="BW26" i="8" s="1"/>
  <c r="BV5" i="8"/>
  <c r="BU5" i="8"/>
  <c r="BT5" i="8"/>
  <c r="BS5" i="8"/>
  <c r="BR5" i="8"/>
  <c r="BQ5" i="8"/>
  <c r="BO5" i="8"/>
  <c r="BN5" i="8"/>
  <c r="BM5" i="8"/>
  <c r="BL5" i="8"/>
  <c r="BK5" i="8"/>
  <c r="BJ5" i="8"/>
  <c r="BI6" i="8"/>
  <c r="BI7" i="8"/>
  <c r="BI8" i="8"/>
  <c r="BI9" i="8"/>
  <c r="BI10" i="8"/>
  <c r="BI11" i="8"/>
  <c r="BI12" i="8"/>
  <c r="BI13" i="8"/>
  <c r="BI14" i="8"/>
  <c r="BI15" i="8"/>
  <c r="BI16" i="8"/>
  <c r="BI17" i="8"/>
  <c r="BI18" i="8"/>
  <c r="BI19" i="8"/>
  <c r="BI20" i="8"/>
  <c r="BI21" i="8"/>
  <c r="BI22" i="8"/>
  <c r="BI23" i="8"/>
  <c r="BI24" i="8"/>
  <c r="BI25" i="8"/>
  <c r="BI5" i="8"/>
  <c r="BI26" i="8" s="1"/>
  <c r="AM11" i="8"/>
  <c r="BG11" i="8" s="1"/>
  <c r="AM12" i="8"/>
  <c r="BG12" i="8" s="1"/>
  <c r="AM13" i="8"/>
  <c r="BG13" i="8" s="1"/>
  <c r="AM14" i="8"/>
  <c r="BG14" i="8" s="1"/>
  <c r="AM15" i="8"/>
  <c r="BG15" i="8" s="1"/>
  <c r="AM17" i="8"/>
  <c r="BG17" i="8" s="1"/>
  <c r="AM23" i="8"/>
  <c r="BG23" i="8" s="1"/>
  <c r="AM24" i="8"/>
  <c r="BG24" i="8" s="1"/>
  <c r="AM25" i="8"/>
  <c r="BG25" i="8" s="1"/>
  <c r="AM9" i="8"/>
  <c r="BG9" i="8" s="1"/>
  <c r="AM10" i="8"/>
  <c r="BG10" i="8" s="1"/>
  <c r="AS26" i="8"/>
  <c r="AR26" i="8"/>
  <c r="AM8" i="8"/>
  <c r="BG8" i="8" s="1"/>
  <c r="AM20" i="8"/>
  <c r="BG20" i="8" s="1"/>
  <c r="AM21" i="8"/>
  <c r="BG21" i="8" s="1"/>
  <c r="AM22" i="8"/>
  <c r="BG22" i="8" s="1"/>
  <c r="AT7" i="8"/>
  <c r="AQ7" i="8" s="1"/>
  <c r="BT7" i="8" s="1"/>
  <c r="AT6" i="8"/>
  <c r="P26" i="8"/>
  <c r="N8" i="8"/>
  <c r="J8" i="8" s="1"/>
  <c r="BP8" i="8" s="1"/>
  <c r="N9" i="8"/>
  <c r="J9" i="8" s="1"/>
  <c r="AD9" i="8" s="1"/>
  <c r="N10" i="8"/>
  <c r="J10" i="8" s="1"/>
  <c r="N11" i="8"/>
  <c r="J11" i="8" s="1"/>
  <c r="AD11" i="8" s="1"/>
  <c r="N12" i="8"/>
  <c r="J12" i="8" s="1"/>
  <c r="AD12" i="8" s="1"/>
  <c r="N13" i="8"/>
  <c r="J13" i="8" s="1"/>
  <c r="AD13" i="8" s="1"/>
  <c r="N14" i="8"/>
  <c r="J14" i="8" s="1"/>
  <c r="BP14" i="8" s="1"/>
  <c r="N15" i="8"/>
  <c r="J15" i="8" s="1"/>
  <c r="N16" i="8"/>
  <c r="J16" i="8" s="1"/>
  <c r="N17" i="8"/>
  <c r="J17" i="8" s="1"/>
  <c r="BP17" i="8" s="1"/>
  <c r="N18" i="8"/>
  <c r="J18" i="8" s="1"/>
  <c r="AD18" i="8" s="1"/>
  <c r="N19" i="8"/>
  <c r="J19" i="8" s="1"/>
  <c r="AD19" i="8" s="1"/>
  <c r="N20" i="8"/>
  <c r="J20" i="8" s="1"/>
  <c r="AD20" i="8" s="1"/>
  <c r="N21" i="8"/>
  <c r="J21" i="8" s="1"/>
  <c r="BP21" i="8" s="1"/>
  <c r="N22" i="8"/>
  <c r="J22" i="8" s="1"/>
  <c r="AD22" i="8" s="1"/>
  <c r="N23" i="8"/>
  <c r="J23" i="8" s="1"/>
  <c r="AD23" i="8" s="1"/>
  <c r="N24" i="8"/>
  <c r="J24" i="8" s="1"/>
  <c r="BP24" i="8" s="1"/>
  <c r="N25" i="8"/>
  <c r="J25" i="8" s="1"/>
  <c r="BP25" i="8" s="1"/>
  <c r="J5" i="8"/>
  <c r="Q7" i="8"/>
  <c r="N7" i="8" s="1"/>
  <c r="J7" i="8" s="1"/>
  <c r="Q6" i="8"/>
  <c r="BF26" i="8"/>
  <c r="BE26" i="8"/>
  <c r="BD26" i="8"/>
  <c r="BB26" i="8"/>
  <c r="BA26" i="8"/>
  <c r="AZ26" i="8"/>
  <c r="AY26" i="8"/>
  <c r="AX26" i="8"/>
  <c r="AW26" i="8"/>
  <c r="AV26" i="8"/>
  <c r="AU26" i="8"/>
  <c r="AP26" i="8"/>
  <c r="AO26" i="8"/>
  <c r="AL26" i="8"/>
  <c r="AK26" i="8"/>
  <c r="AJ26" i="8"/>
  <c r="AI26" i="8"/>
  <c r="AH26" i="8"/>
  <c r="AG26" i="8"/>
  <c r="AF26" i="8"/>
  <c r="AC26" i="8"/>
  <c r="AB26" i="8"/>
  <c r="AA26" i="8"/>
  <c r="Y26" i="8"/>
  <c r="X26" i="8"/>
  <c r="W26" i="8"/>
  <c r="V26" i="8"/>
  <c r="U26" i="8"/>
  <c r="T26" i="8"/>
  <c r="S26" i="8"/>
  <c r="R26" i="8"/>
  <c r="O26" i="8"/>
  <c r="M26" i="8"/>
  <c r="L26" i="8"/>
  <c r="K26" i="8"/>
  <c r="I26" i="8"/>
  <c r="H26" i="8"/>
  <c r="G26" i="8"/>
  <c r="F26" i="8"/>
  <c r="E26" i="8"/>
  <c r="D26" i="8"/>
  <c r="C26" i="8"/>
  <c r="E25" i="13" l="1"/>
  <c r="J25" i="13" s="1"/>
  <c r="BJ26" i="8"/>
  <c r="BK26" i="8"/>
  <c r="BT13" i="8"/>
  <c r="BT25" i="8"/>
  <c r="BL26" i="8"/>
  <c r="BT14" i="8"/>
  <c r="BZ26" i="8"/>
  <c r="BT15" i="8"/>
  <c r="BN26" i="8"/>
  <c r="CA26" i="8"/>
  <c r="BT16" i="8"/>
  <c r="BO26" i="8"/>
  <c r="BT17" i="8"/>
  <c r="BT24" i="8"/>
  <c r="AT26" i="8"/>
  <c r="AQ6" i="8"/>
  <c r="CC26" i="8"/>
  <c r="BT18" i="8"/>
  <c r="BT12" i="8"/>
  <c r="BR26" i="8"/>
  <c r="CD26" i="8"/>
  <c r="BT19" i="8"/>
  <c r="BS26" i="8"/>
  <c r="CE26" i="8"/>
  <c r="BT20" i="8"/>
  <c r="CG26" i="8"/>
  <c r="BT8" i="8"/>
  <c r="BT9" i="8"/>
  <c r="BT21" i="8"/>
  <c r="BU26" i="8"/>
  <c r="CH26" i="8"/>
  <c r="BT10" i="8"/>
  <c r="BT22" i="8"/>
  <c r="BV26" i="8"/>
  <c r="CI26" i="8"/>
  <c r="BT11" i="8"/>
  <c r="BT23" i="8"/>
  <c r="CB26" i="8"/>
  <c r="BP15" i="8"/>
  <c r="AE20" i="8"/>
  <c r="AE11" i="8"/>
  <c r="BP10" i="8"/>
  <c r="CJ12" i="8"/>
  <c r="BP12" i="8"/>
  <c r="BP22" i="8"/>
  <c r="AD17" i="8"/>
  <c r="AE17" i="8" s="1"/>
  <c r="AD14" i="8"/>
  <c r="AE14" i="8" s="1"/>
  <c r="BP23" i="8"/>
  <c r="BP11" i="8"/>
  <c r="AE22" i="8"/>
  <c r="CJ22" i="8"/>
  <c r="AE9" i="8"/>
  <c r="CJ9" i="8"/>
  <c r="AE13" i="8"/>
  <c r="CJ13" i="8"/>
  <c r="AE23" i="8"/>
  <c r="CJ23" i="8"/>
  <c r="AD16" i="8"/>
  <c r="AD15" i="8"/>
  <c r="AE15" i="8" s="1"/>
  <c r="AD7" i="8"/>
  <c r="BQ26" i="8"/>
  <c r="BP13" i="8"/>
  <c r="AD25" i="8"/>
  <c r="AD24" i="8"/>
  <c r="AE24" i="8" s="1"/>
  <c r="BP9" i="8"/>
  <c r="AD10" i="8"/>
  <c r="AE10" i="8" s="1"/>
  <c r="BP20" i="8"/>
  <c r="AD21" i="8"/>
  <c r="AE21" i="8" s="1"/>
  <c r="AD5" i="8"/>
  <c r="CJ20" i="8"/>
  <c r="CJ11" i="8"/>
  <c r="AE12" i="8"/>
  <c r="BM26" i="8"/>
  <c r="BY26" i="8"/>
  <c r="BX26" i="8"/>
  <c r="CF5" i="8"/>
  <c r="BC26" i="8"/>
  <c r="CF6" i="8"/>
  <c r="CF7" i="8"/>
  <c r="AD8" i="8"/>
  <c r="Z26" i="8"/>
  <c r="CJ14" i="8"/>
  <c r="AM16" i="8"/>
  <c r="BG16" i="8" s="1"/>
  <c r="AM7" i="8"/>
  <c r="BG7" i="8" s="1"/>
  <c r="Q26" i="8"/>
  <c r="AM19" i="8"/>
  <c r="BG19" i="8" s="1"/>
  <c r="AE19" i="8" s="1"/>
  <c r="N6" i="8"/>
  <c r="J6" i="8" s="1"/>
  <c r="J26" i="8" s="1"/>
  <c r="AM18" i="8"/>
  <c r="BG18" i="8" s="1"/>
  <c r="CJ18" i="8" s="1"/>
  <c r="AM6" i="8"/>
  <c r="BG6" i="8" s="1"/>
  <c r="AN26" i="8"/>
  <c r="AM5" i="8"/>
  <c r="BP5" i="8" s="1"/>
  <c r="E26" i="13" l="1"/>
  <c r="CJ17" i="8"/>
  <c r="AQ26" i="8"/>
  <c r="BT6" i="8"/>
  <c r="BT26" i="8" s="1"/>
  <c r="CJ21" i="8"/>
  <c r="BP6" i="8"/>
  <c r="BP26" i="8" s="1"/>
  <c r="AE18" i="8"/>
  <c r="BP18" i="8"/>
  <c r="BP19" i="8"/>
  <c r="AE7" i="8"/>
  <c r="BP16" i="8"/>
  <c r="CJ19" i="8"/>
  <c r="AM26" i="8"/>
  <c r="BP7" i="8"/>
  <c r="BG5" i="8"/>
  <c r="CJ24" i="8"/>
  <c r="AE16" i="8"/>
  <c r="CJ16" i="8"/>
  <c r="CJ10" i="8"/>
  <c r="CJ25" i="8"/>
  <c r="AE25" i="8"/>
  <c r="CJ7" i="8"/>
  <c r="CJ15" i="8"/>
  <c r="AD6" i="8"/>
  <c r="CF26" i="8"/>
  <c r="CJ8" i="8"/>
  <c r="AE8" i="8"/>
  <c r="N26" i="8"/>
  <c r="L25" i="13" l="1"/>
  <c r="J26" i="13"/>
  <c r="CJ5" i="8"/>
  <c r="BG26" i="8"/>
  <c r="AE5" i="8"/>
  <c r="CJ6" i="8"/>
  <c r="CJ26" i="8" s="1"/>
  <c r="AE6" i="8"/>
  <c r="AE26" i="8" s="1"/>
  <c r="AD26" i="8"/>
  <c r="L26" i="13" l="1"/>
  <c r="M25" i="13"/>
  <c r="M26" i="13" s="1"/>
  <c r="BW32" i="1"/>
  <c r="AD29" i="1"/>
  <c r="S26" i="1" l="1"/>
  <c r="CG6" i="1" l="1"/>
  <c r="CF6" i="1"/>
  <c r="CE6" i="1"/>
  <c r="AD26" i="3" l="1"/>
  <c r="CH26" i="3"/>
  <c r="CH10" i="3"/>
  <c r="CH11" i="3"/>
  <c r="CH12" i="3"/>
  <c r="CH13" i="3"/>
  <c r="CH14" i="3"/>
  <c r="CH15" i="3"/>
  <c r="CH16" i="3"/>
  <c r="CH17" i="3"/>
  <c r="CH18" i="3"/>
  <c r="CH19" i="3"/>
  <c r="CH20" i="3"/>
  <c r="CH21" i="3"/>
  <c r="CH22" i="3"/>
  <c r="CH23" i="3"/>
  <c r="CH24" i="3"/>
  <c r="CH25" i="3"/>
  <c r="CH9" i="3"/>
  <c r="CH7" i="3"/>
  <c r="CH8" i="3"/>
  <c r="EJ27" i="3"/>
  <c r="EH27" i="3"/>
  <c r="BZ27" i="3"/>
  <c r="BW27" i="3"/>
  <c r="BU27" i="3"/>
  <c r="BO27" i="3"/>
  <c r="BN27" i="3"/>
  <c r="BJ27" i="3"/>
  <c r="BI27" i="3"/>
  <c r="BG27" i="3"/>
  <c r="BF27" i="3"/>
  <c r="BD27" i="3"/>
  <c r="BC27" i="3"/>
  <c r="BA27" i="3"/>
  <c r="AZ27" i="3"/>
  <c r="AY27" i="3"/>
  <c r="AX27" i="3"/>
  <c r="AS27" i="3"/>
  <c r="AQ27" i="3"/>
  <c r="AP27" i="3"/>
  <c r="AO27" i="3"/>
  <c r="AN27" i="3"/>
  <c r="AM27" i="3"/>
  <c r="AL27" i="3"/>
  <c r="AK27" i="3"/>
  <c r="AJ27" i="3"/>
  <c r="AG27" i="3"/>
  <c r="AF27" i="3"/>
  <c r="AE27" i="3"/>
  <c r="AD27" i="3"/>
  <c r="AB27" i="3"/>
  <c r="AA27" i="3"/>
  <c r="Z27" i="3"/>
  <c r="V27" i="3"/>
  <c r="U27" i="3"/>
  <c r="N27" i="3"/>
  <c r="K27" i="3"/>
  <c r="H27" i="3"/>
  <c r="G27" i="3"/>
  <c r="F27" i="3"/>
  <c r="DS26" i="3"/>
  <c r="DP26" i="3"/>
  <c r="DN26" i="3"/>
  <c r="DM26" i="3"/>
  <c r="DH26" i="3"/>
  <c r="DG26" i="3"/>
  <c r="DC26" i="3"/>
  <c r="DB26" i="3"/>
  <c r="CZ26" i="3"/>
  <c r="CW26" i="3"/>
  <c r="CT26" i="3"/>
  <c r="CS26" i="3"/>
  <c r="CR26" i="3"/>
  <c r="CQ26" i="3"/>
  <c r="CP26" i="3"/>
  <c r="CL26" i="3"/>
  <c r="EE26" i="3" s="1"/>
  <c r="CK26" i="3"/>
  <c r="ED26" i="3" s="1"/>
  <c r="CJ26" i="3"/>
  <c r="CJ27" i="3" s="1"/>
  <c r="CI26" i="3"/>
  <c r="EB26" i="3" s="1"/>
  <c r="CE26" i="3"/>
  <c r="DX26" i="3" s="1"/>
  <c r="BY26" i="3"/>
  <c r="DR26" i="3" s="1"/>
  <c r="BX26" i="3"/>
  <c r="BT26" i="3"/>
  <c r="BS26" i="3"/>
  <c r="BM26" i="3"/>
  <c r="BM27" i="3" s="1"/>
  <c r="BL26" i="3"/>
  <c r="BK26" i="3" s="1"/>
  <c r="BH26" i="3"/>
  <c r="DA26" i="3" s="1"/>
  <c r="BE26" i="3"/>
  <c r="BB26" i="3"/>
  <c r="AW26" i="3"/>
  <c r="AV26" i="3" s="1"/>
  <c r="AI26" i="3"/>
  <c r="AC26" i="3"/>
  <c r="Y26" i="3"/>
  <c r="X26" i="3"/>
  <c r="W26" i="3" s="1"/>
  <c r="T26" i="3"/>
  <c r="T27" i="3" s="1"/>
  <c r="S26" i="3"/>
  <c r="O26" i="3"/>
  <c r="D26" i="3"/>
  <c r="C26" i="3"/>
  <c r="EE25" i="3"/>
  <c r="ED25" i="3"/>
  <c r="EC25" i="3"/>
  <c r="EB25" i="3"/>
  <c r="EA25" i="3"/>
  <c r="DW25" i="3"/>
  <c r="DS25" i="3"/>
  <c r="DR25" i="3"/>
  <c r="DQ25" i="3"/>
  <c r="DP25" i="3"/>
  <c r="DN25" i="3"/>
  <c r="DK25" i="3"/>
  <c r="DJ25" i="3"/>
  <c r="DH25" i="3"/>
  <c r="DG25" i="3"/>
  <c r="DF25" i="3"/>
  <c r="DE25" i="3"/>
  <c r="CZ25" i="3"/>
  <c r="CW25" i="3"/>
  <c r="CT25" i="3"/>
  <c r="CS25" i="3"/>
  <c r="CR25" i="3"/>
  <c r="CQ25" i="3"/>
  <c r="CG25" i="3"/>
  <c r="DZ25" i="3" s="1"/>
  <c r="CF25" i="3"/>
  <c r="CE25" i="3"/>
  <c r="CD25" i="3"/>
  <c r="CD26" i="3" s="1"/>
  <c r="CC25" i="3"/>
  <c r="CC26" i="3" s="1"/>
  <c r="BV25" i="3"/>
  <c r="BT25" i="3"/>
  <c r="BS25" i="3"/>
  <c r="DL25" i="3" s="1"/>
  <c r="BK25" i="3"/>
  <c r="BH25" i="3"/>
  <c r="BE25" i="3"/>
  <c r="BB25" i="3"/>
  <c r="AW25" i="3"/>
  <c r="AI25" i="3"/>
  <c r="AC25" i="3"/>
  <c r="W25" i="3"/>
  <c r="R25" i="3"/>
  <c r="DD25" i="3" s="1"/>
  <c r="D25" i="3"/>
  <c r="C25" i="3" s="1"/>
  <c r="EE24" i="3"/>
  <c r="ED24" i="3"/>
  <c r="EC24" i="3"/>
  <c r="EB24" i="3"/>
  <c r="DS24" i="3"/>
  <c r="DR24" i="3"/>
  <c r="DQ24" i="3"/>
  <c r="DP24" i="3"/>
  <c r="DN24" i="3"/>
  <c r="DK24" i="3"/>
  <c r="DJ24" i="3"/>
  <c r="DH24" i="3"/>
  <c r="DG24" i="3"/>
  <c r="DF24" i="3"/>
  <c r="DE24" i="3"/>
  <c r="CZ24" i="3"/>
  <c r="CW24" i="3"/>
  <c r="CT24" i="3"/>
  <c r="CS24" i="3"/>
  <c r="CR24" i="3"/>
  <c r="CQ24" i="3"/>
  <c r="EA24" i="3"/>
  <c r="CG24" i="3"/>
  <c r="CF24" i="3"/>
  <c r="CE24" i="3"/>
  <c r="CD24" i="3"/>
  <c r="CC24" i="3"/>
  <c r="BV24" i="3"/>
  <c r="BT24" i="3"/>
  <c r="BS24" i="3"/>
  <c r="BK24" i="3"/>
  <c r="DD24" i="3" s="1"/>
  <c r="BH24" i="3"/>
  <c r="BE24" i="3"/>
  <c r="BB24" i="3"/>
  <c r="AW24" i="3"/>
  <c r="AV24" i="3" s="1"/>
  <c r="AI24" i="3"/>
  <c r="AH24" i="3" s="1"/>
  <c r="AC24" i="3"/>
  <c r="W24" i="3"/>
  <c r="R24" i="3"/>
  <c r="D24" i="3"/>
  <c r="C24" i="3" s="1"/>
  <c r="EE23" i="3"/>
  <c r="ED23" i="3"/>
  <c r="EC23" i="3"/>
  <c r="EB23" i="3"/>
  <c r="DS23" i="3"/>
  <c r="DR23" i="3"/>
  <c r="DQ23" i="3"/>
  <c r="DP23" i="3"/>
  <c r="DN23" i="3"/>
  <c r="DL23" i="3"/>
  <c r="DK23" i="3"/>
  <c r="DJ23" i="3"/>
  <c r="DH23" i="3"/>
  <c r="DG23" i="3"/>
  <c r="DF23" i="3"/>
  <c r="DE23" i="3"/>
  <c r="CZ23" i="3"/>
  <c r="CW23" i="3"/>
  <c r="CT23" i="3"/>
  <c r="CS23" i="3"/>
  <c r="CR23" i="3"/>
  <c r="CQ23" i="3"/>
  <c r="CG23" i="3"/>
  <c r="DZ23" i="3" s="1"/>
  <c r="CF23" i="3"/>
  <c r="CE23" i="3"/>
  <c r="CD23" i="3"/>
  <c r="CB23" i="3" s="1"/>
  <c r="CC23" i="3"/>
  <c r="BV23" i="3"/>
  <c r="BT23" i="3"/>
  <c r="BS23" i="3"/>
  <c r="BP23" i="3" s="1"/>
  <c r="BK23" i="3"/>
  <c r="BH23" i="3"/>
  <c r="BE23" i="3"/>
  <c r="BB23" i="3"/>
  <c r="AW23" i="3"/>
  <c r="AV23" i="3" s="1"/>
  <c r="AI23" i="3"/>
  <c r="AC23" i="3"/>
  <c r="W23" i="3"/>
  <c r="R23" i="3"/>
  <c r="D23" i="3"/>
  <c r="EE22" i="3"/>
  <c r="ED22" i="3"/>
  <c r="EC22" i="3"/>
  <c r="EB22" i="3"/>
  <c r="DV22" i="3"/>
  <c r="DS22" i="3"/>
  <c r="DR22" i="3"/>
  <c r="DQ22" i="3"/>
  <c r="DP22" i="3"/>
  <c r="DN22" i="3"/>
  <c r="DK22" i="3"/>
  <c r="DJ22" i="3"/>
  <c r="DH22" i="3"/>
  <c r="DG22" i="3"/>
  <c r="DF22" i="3"/>
  <c r="DE22" i="3"/>
  <c r="DD22" i="3"/>
  <c r="CZ22" i="3"/>
  <c r="CW22" i="3"/>
  <c r="CT22" i="3"/>
  <c r="CS22" i="3"/>
  <c r="CR22" i="3"/>
  <c r="CQ22" i="3"/>
  <c r="EA22" i="3"/>
  <c r="CG22" i="3"/>
  <c r="DZ22" i="3" s="1"/>
  <c r="CF22" i="3"/>
  <c r="DY22" i="3" s="1"/>
  <c r="CE22" i="3"/>
  <c r="CD22" i="3"/>
  <c r="DW22" i="3" s="1"/>
  <c r="CC22" i="3"/>
  <c r="BV22" i="3"/>
  <c r="BT22" i="3"/>
  <c r="BS22" i="3"/>
  <c r="BK22" i="3"/>
  <c r="BH22" i="3"/>
  <c r="BE22" i="3"/>
  <c r="BB22" i="3"/>
  <c r="AW22" i="3"/>
  <c r="CP22" i="3" s="1"/>
  <c r="AI22" i="3"/>
  <c r="AC22" i="3"/>
  <c r="W22" i="3"/>
  <c r="R22" i="3"/>
  <c r="D22" i="3"/>
  <c r="C22" i="3" s="1"/>
  <c r="EE21" i="3"/>
  <c r="ED21" i="3"/>
  <c r="EC21" i="3"/>
  <c r="EB21" i="3"/>
  <c r="DS21" i="3"/>
  <c r="DR21" i="3"/>
  <c r="DQ21" i="3"/>
  <c r="DP21" i="3"/>
  <c r="DN21" i="3"/>
  <c r="DL21" i="3"/>
  <c r="DK21" i="3"/>
  <c r="DJ21" i="3"/>
  <c r="DH21" i="3"/>
  <c r="DG21" i="3"/>
  <c r="DF21" i="3"/>
  <c r="DE21" i="3"/>
  <c r="CZ21" i="3"/>
  <c r="CW21" i="3"/>
  <c r="CT21" i="3"/>
  <c r="CS21" i="3"/>
  <c r="CR21" i="3"/>
  <c r="CQ21" i="3"/>
  <c r="CG21" i="3"/>
  <c r="DZ21" i="3" s="1"/>
  <c r="CF21" i="3"/>
  <c r="DY21" i="3" s="1"/>
  <c r="CE21" i="3"/>
  <c r="CD21" i="3"/>
  <c r="CC21" i="3"/>
  <c r="BV21" i="3"/>
  <c r="BT21" i="3"/>
  <c r="DM21" i="3" s="1"/>
  <c r="BS21" i="3"/>
  <c r="BK21" i="3"/>
  <c r="BH21" i="3"/>
  <c r="BE21" i="3"/>
  <c r="BB21" i="3"/>
  <c r="AW21" i="3"/>
  <c r="AV21" i="3"/>
  <c r="AI21" i="3"/>
  <c r="AC21" i="3"/>
  <c r="W21" i="3"/>
  <c r="R21" i="3"/>
  <c r="Q21" i="3"/>
  <c r="P21" i="3"/>
  <c r="DB21" i="3" s="1"/>
  <c r="M21" i="3"/>
  <c r="CY21" i="3" s="1"/>
  <c r="J21" i="3"/>
  <c r="I21" i="3" s="1"/>
  <c r="D21" i="3"/>
  <c r="EE20" i="3"/>
  <c r="ED20" i="3"/>
  <c r="EC20" i="3"/>
  <c r="EB20" i="3"/>
  <c r="DV20" i="3"/>
  <c r="DS20" i="3"/>
  <c r="DR20" i="3"/>
  <c r="DQ20" i="3"/>
  <c r="DP20" i="3"/>
  <c r="DN20" i="3"/>
  <c r="DK20" i="3"/>
  <c r="DJ20" i="3"/>
  <c r="DH20" i="3"/>
  <c r="DG20" i="3"/>
  <c r="DF20" i="3"/>
  <c r="DE20" i="3"/>
  <c r="CZ20" i="3"/>
  <c r="CW20" i="3"/>
  <c r="CV20" i="3"/>
  <c r="CT20" i="3"/>
  <c r="CS20" i="3"/>
  <c r="CR20" i="3"/>
  <c r="CQ20" i="3"/>
  <c r="CG20" i="3"/>
  <c r="CF20" i="3"/>
  <c r="CE20" i="3"/>
  <c r="CD20" i="3"/>
  <c r="DW20" i="3" s="1"/>
  <c r="CC20" i="3"/>
  <c r="BV20" i="3"/>
  <c r="BT20" i="3"/>
  <c r="DM20" i="3" s="1"/>
  <c r="BS20" i="3"/>
  <c r="BK20" i="3"/>
  <c r="BH20" i="3"/>
  <c r="BE20" i="3"/>
  <c r="BB20" i="3"/>
  <c r="AW20" i="3"/>
  <c r="AV20" i="3"/>
  <c r="AI20" i="3"/>
  <c r="AH20" i="3"/>
  <c r="AC20" i="3"/>
  <c r="DO20" i="3" s="1"/>
  <c r="W20" i="3"/>
  <c r="R20" i="3"/>
  <c r="Q20" i="3"/>
  <c r="O20" i="3" s="1"/>
  <c r="P20" i="3"/>
  <c r="M20" i="3"/>
  <c r="L20" i="3" s="1"/>
  <c r="J20" i="3"/>
  <c r="I20" i="3" s="1"/>
  <c r="D20" i="3"/>
  <c r="C20" i="3" s="1"/>
  <c r="EE19" i="3"/>
  <c r="ED19" i="3"/>
  <c r="EC19" i="3"/>
  <c r="EB19" i="3"/>
  <c r="DZ19" i="3"/>
  <c r="DS19" i="3"/>
  <c r="DR19" i="3"/>
  <c r="DQ19" i="3"/>
  <c r="DP19" i="3"/>
  <c r="DN19" i="3"/>
  <c r="DM19" i="3"/>
  <c r="DK19" i="3"/>
  <c r="DJ19" i="3"/>
  <c r="DH19" i="3"/>
  <c r="DG19" i="3"/>
  <c r="DF19" i="3"/>
  <c r="DE19" i="3"/>
  <c r="DC19" i="3"/>
  <c r="CZ19" i="3"/>
  <c r="CW19" i="3"/>
  <c r="CV19" i="3"/>
  <c r="CU19" i="3"/>
  <c r="CT19" i="3"/>
  <c r="CS19" i="3"/>
  <c r="CR19" i="3"/>
  <c r="CQ19" i="3"/>
  <c r="CP19" i="3"/>
  <c r="CG19" i="3"/>
  <c r="CF19" i="3"/>
  <c r="CE19" i="3"/>
  <c r="CD19" i="3"/>
  <c r="CC19" i="3"/>
  <c r="BV19" i="3"/>
  <c r="BT19" i="3"/>
  <c r="BS19" i="3"/>
  <c r="BP19" i="3" s="1"/>
  <c r="DI19" i="3" s="1"/>
  <c r="BK19" i="3"/>
  <c r="BH19" i="3"/>
  <c r="BE19" i="3"/>
  <c r="BB19" i="3"/>
  <c r="AW19" i="3"/>
  <c r="AV19" i="3" s="1"/>
  <c r="AI19" i="3"/>
  <c r="AH19" i="3" s="1"/>
  <c r="AC19" i="3"/>
  <c r="W19" i="3"/>
  <c r="R19" i="3"/>
  <c r="Q19" i="3"/>
  <c r="Q24" i="3" s="1"/>
  <c r="P19" i="3"/>
  <c r="O19" i="3"/>
  <c r="M19" i="3"/>
  <c r="CY19" i="3" s="1"/>
  <c r="J19" i="3"/>
  <c r="I19" i="3"/>
  <c r="D19" i="3"/>
  <c r="C19" i="3"/>
  <c r="EE18" i="3"/>
  <c r="ED18" i="3"/>
  <c r="EC18" i="3"/>
  <c r="EB18" i="3"/>
  <c r="DS18" i="3"/>
  <c r="DR18" i="3"/>
  <c r="DQ18" i="3"/>
  <c r="DP18" i="3"/>
  <c r="DN18" i="3"/>
  <c r="DK18" i="3"/>
  <c r="DJ18" i="3"/>
  <c r="DH18" i="3"/>
  <c r="DG18" i="3"/>
  <c r="DF18" i="3"/>
  <c r="DE18" i="3"/>
  <c r="DB18" i="3"/>
  <c r="CZ18" i="3"/>
  <c r="CW18" i="3"/>
  <c r="CT18" i="3"/>
  <c r="CS18" i="3"/>
  <c r="CR18" i="3"/>
  <c r="CQ18" i="3"/>
  <c r="CG18" i="3"/>
  <c r="CF18" i="3"/>
  <c r="DY18" i="3" s="1"/>
  <c r="CE18" i="3"/>
  <c r="DX18" i="3" s="1"/>
  <c r="CD18" i="3"/>
  <c r="CC18" i="3"/>
  <c r="DV18" i="3" s="1"/>
  <c r="BV18" i="3"/>
  <c r="BT18" i="3"/>
  <c r="BS18" i="3"/>
  <c r="DL18" i="3" s="1"/>
  <c r="BK18" i="3"/>
  <c r="BH18" i="3"/>
  <c r="BE18" i="3"/>
  <c r="BB18" i="3"/>
  <c r="AW18" i="3"/>
  <c r="AI18" i="3"/>
  <c r="AH18" i="3"/>
  <c r="AC18" i="3"/>
  <c r="W18" i="3"/>
  <c r="R18" i="3"/>
  <c r="Q18" i="3"/>
  <c r="P18" i="3"/>
  <c r="M18" i="3"/>
  <c r="L18" i="3"/>
  <c r="J18" i="3"/>
  <c r="J23" i="3" s="1"/>
  <c r="I23" i="3" s="1"/>
  <c r="I18" i="3"/>
  <c r="D18" i="3"/>
  <c r="C18" i="3"/>
  <c r="EE17" i="3"/>
  <c r="ED17" i="3"/>
  <c r="EC17" i="3"/>
  <c r="EB17" i="3"/>
  <c r="DX17" i="3"/>
  <c r="DS17" i="3"/>
  <c r="DR17" i="3"/>
  <c r="DQ17" i="3"/>
  <c r="DP17" i="3"/>
  <c r="DN17" i="3"/>
  <c r="DK17" i="3"/>
  <c r="DJ17" i="3"/>
  <c r="DH17" i="3"/>
  <c r="DG17" i="3"/>
  <c r="DF17" i="3"/>
  <c r="DE17" i="3"/>
  <c r="DC17" i="3"/>
  <c r="CZ17" i="3"/>
  <c r="CW17" i="3"/>
  <c r="CT17" i="3"/>
  <c r="CS17" i="3"/>
  <c r="CR17" i="3"/>
  <c r="CQ17" i="3"/>
  <c r="EA17" i="3"/>
  <c r="CG17" i="3"/>
  <c r="CF17" i="3"/>
  <c r="CE17" i="3"/>
  <c r="CD17" i="3"/>
  <c r="CC17" i="3"/>
  <c r="DV17" i="3" s="1"/>
  <c r="BV17" i="3"/>
  <c r="BT17" i="3"/>
  <c r="BS17" i="3"/>
  <c r="DL17" i="3" s="1"/>
  <c r="BK17" i="3"/>
  <c r="BH17" i="3"/>
  <c r="BE17" i="3"/>
  <c r="BB17" i="3"/>
  <c r="AW17" i="3"/>
  <c r="AI17" i="3"/>
  <c r="AC17" i="3"/>
  <c r="W17" i="3"/>
  <c r="R17" i="3"/>
  <c r="DD17" i="3" s="1"/>
  <c r="Q17" i="3"/>
  <c r="Q22" i="3" s="1"/>
  <c r="P17" i="3"/>
  <c r="O17" i="3" s="1"/>
  <c r="M17" i="3"/>
  <c r="J17" i="3"/>
  <c r="J22" i="3" s="1"/>
  <c r="D17" i="3"/>
  <c r="C17" i="3" s="1"/>
  <c r="EE16" i="3"/>
  <c r="ED16" i="3"/>
  <c r="EC16" i="3"/>
  <c r="EB16" i="3"/>
  <c r="DY16" i="3"/>
  <c r="DS16" i="3"/>
  <c r="DR16" i="3"/>
  <c r="DQ16" i="3"/>
  <c r="DP16" i="3"/>
  <c r="DN16" i="3"/>
  <c r="DM16" i="3"/>
  <c r="DK16" i="3"/>
  <c r="DJ16" i="3"/>
  <c r="DH16" i="3"/>
  <c r="DG16" i="3"/>
  <c r="DF16" i="3"/>
  <c r="DE16" i="3"/>
  <c r="DC16" i="3"/>
  <c r="DB16" i="3"/>
  <c r="CZ16" i="3"/>
  <c r="CY16" i="3"/>
  <c r="CW16" i="3"/>
  <c r="CV16" i="3"/>
  <c r="CT16" i="3"/>
  <c r="CS16" i="3"/>
  <c r="CR16" i="3"/>
  <c r="CQ16" i="3"/>
  <c r="EA16" i="3"/>
  <c r="CG16" i="3"/>
  <c r="CF16" i="3"/>
  <c r="CE16" i="3"/>
  <c r="CD16" i="3"/>
  <c r="CC16" i="3"/>
  <c r="BV16" i="3"/>
  <c r="BT16" i="3"/>
  <c r="BS16" i="3"/>
  <c r="BK16" i="3"/>
  <c r="BH16" i="3"/>
  <c r="BE16" i="3"/>
  <c r="CX16" i="3" s="1"/>
  <c r="BB16" i="3"/>
  <c r="CU16" i="3" s="1"/>
  <c r="AW16" i="3"/>
  <c r="AV16" i="3" s="1"/>
  <c r="AI16" i="3"/>
  <c r="AH16" i="3" s="1"/>
  <c r="AC16" i="3"/>
  <c r="W16" i="3"/>
  <c r="R16" i="3"/>
  <c r="O16" i="3"/>
  <c r="L16" i="3"/>
  <c r="I16" i="3"/>
  <c r="D16" i="3"/>
  <c r="C16" i="3" s="1"/>
  <c r="EE15" i="3"/>
  <c r="ED15" i="3"/>
  <c r="EC15" i="3"/>
  <c r="EB15" i="3"/>
  <c r="DZ15" i="3"/>
  <c r="DS15" i="3"/>
  <c r="DR15" i="3"/>
  <c r="DQ15" i="3"/>
  <c r="DP15" i="3"/>
  <c r="DN15" i="3"/>
  <c r="DK15" i="3"/>
  <c r="DJ15" i="3"/>
  <c r="DH15" i="3"/>
  <c r="DG15" i="3"/>
  <c r="DF15" i="3"/>
  <c r="DE15" i="3"/>
  <c r="DC15" i="3"/>
  <c r="DB15" i="3"/>
  <c r="DA15" i="3"/>
  <c r="CZ15" i="3"/>
  <c r="CY15" i="3"/>
  <c r="CW15" i="3"/>
  <c r="CV15" i="3"/>
  <c r="CT15" i="3"/>
  <c r="CS15" i="3"/>
  <c r="CR15" i="3"/>
  <c r="CQ15" i="3"/>
  <c r="CG15" i="3"/>
  <c r="CF15" i="3"/>
  <c r="DY15" i="3" s="1"/>
  <c r="CE15" i="3"/>
  <c r="CD15" i="3"/>
  <c r="CC15" i="3"/>
  <c r="BV15" i="3"/>
  <c r="BT15" i="3"/>
  <c r="DM15" i="3" s="1"/>
  <c r="BS15" i="3"/>
  <c r="BP15" i="3" s="1"/>
  <c r="BK15" i="3"/>
  <c r="BH15" i="3"/>
  <c r="BE15" i="3"/>
  <c r="BB15" i="3"/>
  <c r="AW15" i="3"/>
  <c r="CP15" i="3" s="1"/>
  <c r="AI15" i="3"/>
  <c r="AH15" i="3"/>
  <c r="AC15" i="3"/>
  <c r="W15" i="3"/>
  <c r="R15" i="3"/>
  <c r="O15" i="3"/>
  <c r="L15" i="3"/>
  <c r="I15" i="3"/>
  <c r="D15" i="3"/>
  <c r="C15" i="3"/>
  <c r="AT15" i="3" s="1"/>
  <c r="EE14" i="3"/>
  <c r="ED14" i="3"/>
  <c r="EC14" i="3"/>
  <c r="EB14" i="3"/>
  <c r="DY14" i="3"/>
  <c r="DS14" i="3"/>
  <c r="DR14" i="3"/>
  <c r="DQ14" i="3"/>
  <c r="DP14" i="3"/>
  <c r="DN14" i="3"/>
  <c r="DL14" i="3"/>
  <c r="DK14" i="3"/>
  <c r="DJ14" i="3"/>
  <c r="DH14" i="3"/>
  <c r="DG14" i="3"/>
  <c r="DF14" i="3"/>
  <c r="DE14" i="3"/>
  <c r="DC14" i="3"/>
  <c r="DB14" i="3"/>
  <c r="CZ14" i="3"/>
  <c r="CY14" i="3"/>
  <c r="CX14" i="3"/>
  <c r="CW14" i="3"/>
  <c r="CV14" i="3"/>
  <c r="CT14" i="3"/>
  <c r="CS14" i="3"/>
  <c r="CR14" i="3"/>
  <c r="CQ14" i="3"/>
  <c r="EA14" i="3"/>
  <c r="CG14" i="3"/>
  <c r="DZ14" i="3" s="1"/>
  <c r="CF14" i="3"/>
  <c r="CE14" i="3"/>
  <c r="CD14" i="3"/>
  <c r="CC14" i="3"/>
  <c r="BV14" i="3"/>
  <c r="BT14" i="3"/>
  <c r="BS14" i="3"/>
  <c r="BK14" i="3"/>
  <c r="BH14" i="3"/>
  <c r="BE14" i="3"/>
  <c r="BB14" i="3"/>
  <c r="AW14" i="3"/>
  <c r="CP14" i="3" s="1"/>
  <c r="AI14" i="3"/>
  <c r="AH14" i="3"/>
  <c r="AC14" i="3"/>
  <c r="W14" i="3"/>
  <c r="R14" i="3"/>
  <c r="O14" i="3"/>
  <c r="L14" i="3"/>
  <c r="I14" i="3"/>
  <c r="D14" i="3"/>
  <c r="C14" i="3" s="1"/>
  <c r="EE13" i="3"/>
  <c r="ED13" i="3"/>
  <c r="EC13" i="3"/>
  <c r="EB13" i="3"/>
  <c r="DY13" i="3"/>
  <c r="DS13" i="3"/>
  <c r="DR13" i="3"/>
  <c r="DQ13" i="3"/>
  <c r="DP13" i="3"/>
  <c r="DN13" i="3"/>
  <c r="DK13" i="3"/>
  <c r="DJ13" i="3"/>
  <c r="DH13" i="3"/>
  <c r="DG13" i="3"/>
  <c r="DF13" i="3"/>
  <c r="DE13" i="3"/>
  <c r="DD13" i="3"/>
  <c r="DC13" i="3"/>
  <c r="DB13" i="3"/>
  <c r="DA13" i="3"/>
  <c r="CZ13" i="3"/>
  <c r="CY13" i="3"/>
  <c r="CW13" i="3"/>
  <c r="CV13" i="3"/>
  <c r="CT13" i="3"/>
  <c r="CS13" i="3"/>
  <c r="CR13" i="3"/>
  <c r="CQ13" i="3"/>
  <c r="CG13" i="3"/>
  <c r="DZ13" i="3" s="1"/>
  <c r="CF13" i="3"/>
  <c r="CE13" i="3"/>
  <c r="CD13" i="3"/>
  <c r="CC13" i="3"/>
  <c r="BV13" i="3"/>
  <c r="BT13" i="3"/>
  <c r="BS13" i="3"/>
  <c r="BK13" i="3"/>
  <c r="BH13" i="3"/>
  <c r="BE13" i="3"/>
  <c r="BB13" i="3"/>
  <c r="AW13" i="3"/>
  <c r="AV13" i="3"/>
  <c r="AI13" i="3"/>
  <c r="AH13" i="3"/>
  <c r="AC13" i="3"/>
  <c r="W13" i="3"/>
  <c r="R13" i="3"/>
  <c r="O13" i="3"/>
  <c r="L13" i="3"/>
  <c r="I13" i="3"/>
  <c r="D13" i="3"/>
  <c r="CP13" i="3" s="1"/>
  <c r="C13" i="3"/>
  <c r="AT13" i="3" s="1"/>
  <c r="EE12" i="3"/>
  <c r="ED12" i="3"/>
  <c r="EC12" i="3"/>
  <c r="EB12" i="3"/>
  <c r="DY12" i="3"/>
  <c r="DS12" i="3"/>
  <c r="DR12" i="3"/>
  <c r="DQ12" i="3"/>
  <c r="DP12" i="3"/>
  <c r="DN12" i="3"/>
  <c r="DK12" i="3"/>
  <c r="DJ12" i="3"/>
  <c r="DH12" i="3"/>
  <c r="DG12" i="3"/>
  <c r="DF12" i="3"/>
  <c r="DE12" i="3"/>
  <c r="DC12" i="3"/>
  <c r="DB12" i="3"/>
  <c r="CZ12" i="3"/>
  <c r="CY12" i="3"/>
  <c r="CX12" i="3"/>
  <c r="CW12" i="3"/>
  <c r="CV12" i="3"/>
  <c r="CU12" i="3"/>
  <c r="CT12" i="3"/>
  <c r="CS12" i="3"/>
  <c r="CR12" i="3"/>
  <c r="CQ12" i="3"/>
  <c r="EA12" i="3"/>
  <c r="CG12" i="3"/>
  <c r="CF12" i="3"/>
  <c r="CE12" i="3"/>
  <c r="CD12" i="3"/>
  <c r="CC12" i="3"/>
  <c r="CB12" i="3" s="1"/>
  <c r="BV12" i="3"/>
  <c r="BT12" i="3"/>
  <c r="BS12" i="3"/>
  <c r="BP12" i="3" s="1"/>
  <c r="BK12" i="3"/>
  <c r="BH12" i="3"/>
  <c r="BE12" i="3"/>
  <c r="BB12" i="3"/>
  <c r="AW12" i="3"/>
  <c r="AI12" i="3"/>
  <c r="AC12" i="3"/>
  <c r="DO12" i="3" s="1"/>
  <c r="W12" i="3"/>
  <c r="R12" i="3"/>
  <c r="O12" i="3"/>
  <c r="L12" i="3"/>
  <c r="I12" i="3"/>
  <c r="D12" i="3"/>
  <c r="C12" i="3" s="1"/>
  <c r="EE11" i="3"/>
  <c r="ED11" i="3"/>
  <c r="EC11" i="3"/>
  <c r="EB11" i="3"/>
  <c r="DZ11" i="3"/>
  <c r="DS11" i="3"/>
  <c r="DR11" i="3"/>
  <c r="DQ11" i="3"/>
  <c r="DP11" i="3"/>
  <c r="DN11" i="3"/>
  <c r="DM11" i="3"/>
  <c r="DL11" i="3"/>
  <c r="DK11" i="3"/>
  <c r="DJ11" i="3"/>
  <c r="DH11" i="3"/>
  <c r="DG11" i="3"/>
  <c r="DF11" i="3"/>
  <c r="DE11" i="3"/>
  <c r="DC11" i="3"/>
  <c r="DB11" i="3"/>
  <c r="CZ11" i="3"/>
  <c r="CY11" i="3"/>
  <c r="CW11" i="3"/>
  <c r="CV11" i="3"/>
  <c r="CU11" i="3"/>
  <c r="CT11" i="3"/>
  <c r="CS11" i="3"/>
  <c r="CR11" i="3"/>
  <c r="CQ11" i="3"/>
  <c r="CG11" i="3"/>
  <c r="CF11" i="3"/>
  <c r="CE11" i="3"/>
  <c r="CD11" i="3"/>
  <c r="CC11" i="3"/>
  <c r="BV11" i="3"/>
  <c r="BT11" i="3"/>
  <c r="BS11" i="3"/>
  <c r="BP11" i="3"/>
  <c r="BK11" i="3"/>
  <c r="BH11" i="3"/>
  <c r="BE11" i="3"/>
  <c r="BB11" i="3"/>
  <c r="AW11" i="3"/>
  <c r="AV11" i="3" s="1"/>
  <c r="AI11" i="3"/>
  <c r="AH11" i="3" s="1"/>
  <c r="AC11" i="3"/>
  <c r="W11" i="3"/>
  <c r="R11" i="3"/>
  <c r="O11" i="3"/>
  <c r="DA11" i="3" s="1"/>
  <c r="L11" i="3"/>
  <c r="I11" i="3"/>
  <c r="D11" i="3"/>
  <c r="C11" i="3" s="1"/>
  <c r="EE10" i="3"/>
  <c r="ED10" i="3"/>
  <c r="EC10" i="3"/>
  <c r="EB10" i="3"/>
  <c r="DS10" i="3"/>
  <c r="DR10" i="3"/>
  <c r="DQ10" i="3"/>
  <c r="DP10" i="3"/>
  <c r="DN10" i="3"/>
  <c r="DK10" i="3"/>
  <c r="DJ10" i="3"/>
  <c r="DH10" i="3"/>
  <c r="DG10" i="3"/>
  <c r="DF10" i="3"/>
  <c r="DE10" i="3"/>
  <c r="DC10" i="3"/>
  <c r="DB10" i="3"/>
  <c r="CZ10" i="3"/>
  <c r="CY10" i="3"/>
  <c r="CX10" i="3"/>
  <c r="CW10" i="3"/>
  <c r="CV10" i="3"/>
  <c r="CT10" i="3"/>
  <c r="CS10" i="3"/>
  <c r="CR10" i="3"/>
  <c r="CQ10" i="3"/>
  <c r="EA10" i="3"/>
  <c r="CG10" i="3"/>
  <c r="CF10" i="3"/>
  <c r="DY10" i="3" s="1"/>
  <c r="CE10" i="3"/>
  <c r="CD10" i="3"/>
  <c r="CC10" i="3"/>
  <c r="BV10" i="3"/>
  <c r="BT10" i="3"/>
  <c r="BS10" i="3"/>
  <c r="DL10" i="3" s="1"/>
  <c r="BK10" i="3"/>
  <c r="BH10" i="3"/>
  <c r="BE10" i="3"/>
  <c r="BB10" i="3"/>
  <c r="AW10" i="3"/>
  <c r="AV10" i="3"/>
  <c r="AI10" i="3"/>
  <c r="AC10" i="3"/>
  <c r="W10" i="3"/>
  <c r="R10" i="3"/>
  <c r="O10" i="3"/>
  <c r="L10" i="3"/>
  <c r="I10" i="3"/>
  <c r="D10" i="3"/>
  <c r="EE9" i="3"/>
  <c r="ED9" i="3"/>
  <c r="EC9" i="3"/>
  <c r="EB9" i="3"/>
  <c r="DZ9" i="3"/>
  <c r="DS9" i="3"/>
  <c r="DR9" i="3"/>
  <c r="DQ9" i="3"/>
  <c r="DP9" i="3"/>
  <c r="DN9" i="3"/>
  <c r="DK9" i="3"/>
  <c r="DJ9" i="3"/>
  <c r="DH9" i="3"/>
  <c r="DG9" i="3"/>
  <c r="DF9" i="3"/>
  <c r="DE9" i="3"/>
  <c r="DC9" i="3"/>
  <c r="DB9" i="3"/>
  <c r="CZ9" i="3"/>
  <c r="CY9" i="3"/>
  <c r="CW9" i="3"/>
  <c r="CV9" i="3"/>
  <c r="CT9" i="3"/>
  <c r="CS9" i="3"/>
  <c r="CR9" i="3"/>
  <c r="CQ9" i="3"/>
  <c r="CG9" i="3"/>
  <c r="CF9" i="3"/>
  <c r="CE9" i="3"/>
  <c r="CD9" i="3"/>
  <c r="DW9" i="3" s="1"/>
  <c r="CC9" i="3"/>
  <c r="BV9" i="3"/>
  <c r="BT9" i="3"/>
  <c r="BS9" i="3"/>
  <c r="BP9" i="3"/>
  <c r="DI9" i="3" s="1"/>
  <c r="BK9" i="3"/>
  <c r="DD9" i="3" s="1"/>
  <c r="BH9" i="3"/>
  <c r="BE9" i="3"/>
  <c r="BB9" i="3"/>
  <c r="AW9" i="3"/>
  <c r="AR9" i="3"/>
  <c r="AI9" i="3"/>
  <c r="AH9" i="3"/>
  <c r="AC9" i="3"/>
  <c r="W9" i="3"/>
  <c r="R9" i="3"/>
  <c r="O9" i="3"/>
  <c r="L9" i="3"/>
  <c r="I9" i="3"/>
  <c r="D9" i="3"/>
  <c r="EE8" i="3"/>
  <c r="EC8" i="3"/>
  <c r="EB8" i="3"/>
  <c r="DZ8" i="3"/>
  <c r="DS8" i="3"/>
  <c r="DR8" i="3"/>
  <c r="DP8" i="3"/>
  <c r="DN8" i="3"/>
  <c r="DK8" i="3"/>
  <c r="DJ8" i="3"/>
  <c r="DH8" i="3"/>
  <c r="DG8" i="3"/>
  <c r="DF8" i="3"/>
  <c r="DE8" i="3"/>
  <c r="DC8" i="3"/>
  <c r="DB8" i="3"/>
  <c r="DA8" i="3"/>
  <c r="CZ8" i="3"/>
  <c r="CY8" i="3"/>
  <c r="CW8" i="3"/>
  <c r="CV8" i="3"/>
  <c r="CT8" i="3"/>
  <c r="CS8" i="3"/>
  <c r="CR8" i="3"/>
  <c r="CQ8" i="3"/>
  <c r="CG8" i="3"/>
  <c r="CF8" i="3"/>
  <c r="DY8" i="3" s="1"/>
  <c r="CE8" i="3"/>
  <c r="CD8" i="3"/>
  <c r="DW8" i="3" s="1"/>
  <c r="CC8" i="3"/>
  <c r="BY8" i="3"/>
  <c r="BV8" i="3" s="1"/>
  <c r="BX8" i="3"/>
  <c r="BT8" i="3"/>
  <c r="DM8" i="3" s="1"/>
  <c r="BS8" i="3"/>
  <c r="BP8" i="3" s="1"/>
  <c r="BK8" i="3"/>
  <c r="BH8" i="3"/>
  <c r="BE8" i="3"/>
  <c r="BB8" i="3"/>
  <c r="CU8" i="3" s="1"/>
  <c r="AW8" i="3"/>
  <c r="AV8" i="3" s="1"/>
  <c r="AR8" i="3"/>
  <c r="ED8" i="3" s="1"/>
  <c r="AI8" i="3"/>
  <c r="AC8" i="3"/>
  <c r="W8" i="3"/>
  <c r="R8" i="3"/>
  <c r="O8" i="3"/>
  <c r="L8" i="3"/>
  <c r="I8" i="3"/>
  <c r="D8" i="3"/>
  <c r="A8" i="3"/>
  <c r="A9" i="3" s="1"/>
  <c r="A10" i="3" s="1"/>
  <c r="A11" i="3" s="1"/>
  <c r="A12" i="3" s="1"/>
  <c r="A13" i="3" s="1"/>
  <c r="A14" i="3" s="1"/>
  <c r="A15" i="3" s="1"/>
  <c r="A16" i="3" s="1"/>
  <c r="A17" i="3" s="1"/>
  <c r="A18" i="3" s="1"/>
  <c r="A19" i="3" s="1"/>
  <c r="A20" i="3" s="1"/>
  <c r="A21" i="3" s="1"/>
  <c r="A22" i="3" s="1"/>
  <c r="A23" i="3" s="1"/>
  <c r="A24" i="3" s="1"/>
  <c r="A25" i="3" s="1"/>
  <c r="A26" i="3" s="1"/>
  <c r="EE7" i="3"/>
  <c r="EC7" i="3"/>
  <c r="EB7" i="3"/>
  <c r="DS7" i="3"/>
  <c r="DR7" i="3"/>
  <c r="DQ7" i="3"/>
  <c r="DP7" i="3"/>
  <c r="DN7" i="3"/>
  <c r="DM7" i="3"/>
  <c r="DJ7" i="3"/>
  <c r="DH7" i="3"/>
  <c r="DG7" i="3"/>
  <c r="DF7" i="3"/>
  <c r="DE7" i="3"/>
  <c r="DC7" i="3"/>
  <c r="DB7" i="3"/>
  <c r="CZ7" i="3"/>
  <c r="CY7" i="3"/>
  <c r="CW7" i="3"/>
  <c r="CV7" i="3"/>
  <c r="CT7" i="3"/>
  <c r="CS7" i="3"/>
  <c r="CR7" i="3"/>
  <c r="CQ7" i="3"/>
  <c r="CO7" i="3"/>
  <c r="CG7" i="3"/>
  <c r="CF7" i="3"/>
  <c r="DY7" i="3" s="1"/>
  <c r="CE7" i="3"/>
  <c r="CD7" i="3"/>
  <c r="DW7" i="3" s="1"/>
  <c r="CC7" i="3"/>
  <c r="BV7" i="3"/>
  <c r="BT7" i="3"/>
  <c r="BS7" i="3"/>
  <c r="BR7" i="3"/>
  <c r="DK7" i="3" s="1"/>
  <c r="BQ7" i="3"/>
  <c r="BK7" i="3"/>
  <c r="BH7" i="3"/>
  <c r="BE7" i="3"/>
  <c r="BB7" i="3"/>
  <c r="AW7" i="3"/>
  <c r="AV7" i="3"/>
  <c r="AR7" i="3"/>
  <c r="AI7" i="3"/>
  <c r="AC7" i="3"/>
  <c r="DO7" i="3" s="1"/>
  <c r="W7" i="3"/>
  <c r="R7" i="3"/>
  <c r="O7" i="3"/>
  <c r="L7" i="3"/>
  <c r="CX7" i="3" s="1"/>
  <c r="I7" i="3"/>
  <c r="D7" i="3"/>
  <c r="C7" i="3"/>
  <c r="A7" i="3"/>
  <c r="EE6" i="3"/>
  <c r="EC6" i="3"/>
  <c r="EB6" i="3"/>
  <c r="EA6" i="3"/>
  <c r="DS6" i="3"/>
  <c r="DP6" i="3"/>
  <c r="DN6" i="3"/>
  <c r="DH6" i="3"/>
  <c r="DG6" i="3"/>
  <c r="DF6" i="3"/>
  <c r="DE6" i="3"/>
  <c r="DC6" i="3"/>
  <c r="DB6" i="3"/>
  <c r="CZ6" i="3"/>
  <c r="CY6" i="3"/>
  <c r="CW6" i="3"/>
  <c r="CV6" i="3"/>
  <c r="CT6" i="3"/>
  <c r="CS6" i="3"/>
  <c r="CR6" i="3"/>
  <c r="CG6" i="3"/>
  <c r="DZ6" i="3" s="1"/>
  <c r="CF6" i="3"/>
  <c r="DY6" i="3" s="1"/>
  <c r="CE6" i="3"/>
  <c r="CD6" i="3"/>
  <c r="CC6" i="3"/>
  <c r="CB6" i="3" s="1"/>
  <c r="BY6" i="3"/>
  <c r="BX6" i="3"/>
  <c r="BX27" i="3" s="1"/>
  <c r="BT6" i="3"/>
  <c r="DM6" i="3" s="1"/>
  <c r="BS6" i="3"/>
  <c r="BR6" i="3"/>
  <c r="DK6" i="3" s="1"/>
  <c r="BQ6" i="3"/>
  <c r="BK6" i="3"/>
  <c r="DD6" i="3" s="1"/>
  <c r="BH6" i="3"/>
  <c r="BE6" i="3"/>
  <c r="BB6" i="3"/>
  <c r="AW6" i="3"/>
  <c r="AV6" i="3"/>
  <c r="AR6" i="3"/>
  <c r="AH6" i="3" s="1"/>
  <c r="AI6" i="3"/>
  <c r="AC6" i="3"/>
  <c r="W6" i="3"/>
  <c r="R6" i="3"/>
  <c r="O6" i="3"/>
  <c r="DA6" i="3" s="1"/>
  <c r="L6" i="3"/>
  <c r="I6" i="3"/>
  <c r="E6" i="3"/>
  <c r="D6" i="3" s="1"/>
  <c r="C6" i="3" s="1"/>
  <c r="CO6" i="3" s="1"/>
  <c r="DO63" i="1"/>
  <c r="CE26" i="1"/>
  <c r="DO17" i="3" l="1"/>
  <c r="DO25" i="3"/>
  <c r="DU6" i="3"/>
  <c r="CA6" i="3"/>
  <c r="DL15" i="3"/>
  <c r="AV15" i="3"/>
  <c r="CO15" i="3" s="1"/>
  <c r="AV22" i="3"/>
  <c r="CO22" i="3" s="1"/>
  <c r="BP25" i="3"/>
  <c r="DI25" i="3" s="1"/>
  <c r="CP16" i="3"/>
  <c r="BP17" i="3"/>
  <c r="J26" i="3"/>
  <c r="CV26" i="3" s="1"/>
  <c r="L21" i="3"/>
  <c r="CX21" i="3" s="1"/>
  <c r="CK27" i="3"/>
  <c r="CY20" i="3"/>
  <c r="DV25" i="3"/>
  <c r="CL27" i="3"/>
  <c r="BP21" i="3"/>
  <c r="BV6" i="3"/>
  <c r="DO6" i="3" s="1"/>
  <c r="CB17" i="3"/>
  <c r="CA17" i="3" s="1"/>
  <c r="BP22" i="3"/>
  <c r="AH8" i="3"/>
  <c r="I17" i="3"/>
  <c r="DC22" i="3"/>
  <c r="DI22" i="3"/>
  <c r="CV22" i="3"/>
  <c r="I22" i="3"/>
  <c r="CU22" i="3" s="1"/>
  <c r="DA20" i="3"/>
  <c r="CU21" i="3"/>
  <c r="AT19" i="3"/>
  <c r="BS27" i="3"/>
  <c r="DM18" i="3"/>
  <c r="AT6" i="3"/>
  <c r="DN27" i="3"/>
  <c r="EB27" i="3"/>
  <c r="DX9" i="3"/>
  <c r="DI12" i="3"/>
  <c r="DV15" i="3"/>
  <c r="CB15" i="3"/>
  <c r="DW16" i="3"/>
  <c r="DV16" i="3"/>
  <c r="DU17" i="3"/>
  <c r="DW19" i="3"/>
  <c r="AH21" i="3"/>
  <c r="DU23" i="3"/>
  <c r="CA23" i="3"/>
  <c r="DO22" i="3"/>
  <c r="DX25" i="3"/>
  <c r="E27" i="3"/>
  <c r="DX22" i="3"/>
  <c r="BT27" i="3"/>
  <c r="DZ10" i="3"/>
  <c r="D27" i="3"/>
  <c r="BP7" i="3"/>
  <c r="DZ7" i="3"/>
  <c r="DL7" i="3"/>
  <c r="DI8" i="3"/>
  <c r="CX9" i="3"/>
  <c r="CO11" i="3"/>
  <c r="CP12" i="3"/>
  <c r="DO13" i="3"/>
  <c r="CU15" i="3"/>
  <c r="DX16" i="3"/>
  <c r="DX19" i="3"/>
  <c r="AT20" i="3"/>
  <c r="CQ6" i="3"/>
  <c r="EA7" i="3"/>
  <c r="CX8" i="3"/>
  <c r="DX8" i="3"/>
  <c r="EA9" i="3"/>
  <c r="DL9" i="3"/>
  <c r="CP11" i="3"/>
  <c r="DI15" i="3"/>
  <c r="DW15" i="3"/>
  <c r="AV17" i="3"/>
  <c r="DW17" i="3"/>
  <c r="CV17" i="3"/>
  <c r="CB18" i="3"/>
  <c r="DY19" i="3"/>
  <c r="DX20" i="3"/>
  <c r="CX20" i="3"/>
  <c r="C21" i="3"/>
  <c r="CB21" i="3"/>
  <c r="DV21" i="3"/>
  <c r="DW23" i="3"/>
  <c r="BP24" i="3"/>
  <c r="DL24" i="3"/>
  <c r="BH27" i="3"/>
  <c r="EA11" i="3"/>
  <c r="DX7" i="3"/>
  <c r="CB8" i="3"/>
  <c r="DV8" i="3"/>
  <c r="DA12" i="3"/>
  <c r="CP6" i="3"/>
  <c r="DY9" i="3"/>
  <c r="DM10" i="3"/>
  <c r="CB14" i="3"/>
  <c r="AT16" i="3"/>
  <c r="CU17" i="3"/>
  <c r="DI17" i="3"/>
  <c r="DW18" i="3"/>
  <c r="DP27" i="3"/>
  <c r="EE27" i="3"/>
  <c r="AW27" i="3"/>
  <c r="DR6" i="3"/>
  <c r="BY27" i="3"/>
  <c r="CR27" i="3"/>
  <c r="DQ6" i="3"/>
  <c r="AH7" i="3"/>
  <c r="AT7" i="3" s="1"/>
  <c r="DA7" i="3"/>
  <c r="EA8" i="3"/>
  <c r="DA9" i="3"/>
  <c r="DM9" i="3"/>
  <c r="BP10" i="3"/>
  <c r="DA10" i="3"/>
  <c r="DO10" i="3"/>
  <c r="DD11" i="3"/>
  <c r="AH12" i="3"/>
  <c r="DV13" i="3"/>
  <c r="CB13" i="3"/>
  <c r="AV14" i="3"/>
  <c r="DW14" i="3"/>
  <c r="CU14" i="3"/>
  <c r="DV14" i="3"/>
  <c r="DX15" i="3"/>
  <c r="DL16" i="3"/>
  <c r="DZ16" i="3"/>
  <c r="M22" i="3"/>
  <c r="M26" i="3"/>
  <c r="L17" i="3"/>
  <c r="CY17" i="3"/>
  <c r="DZ17" i="3"/>
  <c r="CV18" i="3"/>
  <c r="AV18" i="3"/>
  <c r="CU18" i="3"/>
  <c r="DZ18" i="3"/>
  <c r="L19" i="3"/>
  <c r="DL19" i="3"/>
  <c r="DY20" i="3"/>
  <c r="DW21" i="3"/>
  <c r="EA21" i="3"/>
  <c r="C23" i="3"/>
  <c r="CO23" i="3" s="1"/>
  <c r="CP23" i="3"/>
  <c r="DX23" i="3"/>
  <c r="DM24" i="3"/>
  <c r="CO26" i="3"/>
  <c r="C9" i="3"/>
  <c r="CP10" i="3"/>
  <c r="CA12" i="3"/>
  <c r="DU12" i="3"/>
  <c r="CU13" i="3"/>
  <c r="AT14" i="3"/>
  <c r="DX14" i="3"/>
  <c r="CX15" i="3"/>
  <c r="DY17" i="3"/>
  <c r="M24" i="3"/>
  <c r="CX19" i="3"/>
  <c r="EA19" i="3"/>
  <c r="CU20" i="3"/>
  <c r="DZ20" i="3"/>
  <c r="CV21" i="3"/>
  <c r="CU23" i="3"/>
  <c r="DD23" i="3"/>
  <c r="CG26" i="3"/>
  <c r="CG27" i="3" s="1"/>
  <c r="DT6" i="3"/>
  <c r="CP9" i="3"/>
  <c r="DW13" i="3"/>
  <c r="EA15" i="3"/>
  <c r="P22" i="3"/>
  <c r="DA17" i="3"/>
  <c r="M23" i="3"/>
  <c r="CX18" i="3"/>
  <c r="DA19" i="3"/>
  <c r="EA20" i="3"/>
  <c r="DL22" i="3"/>
  <c r="CV23" i="3"/>
  <c r="CB24" i="3"/>
  <c r="CP25" i="3"/>
  <c r="DV19" i="3"/>
  <c r="CB19" i="3"/>
  <c r="DO8" i="3"/>
  <c r="AH10" i="3"/>
  <c r="AT11" i="3"/>
  <c r="DV11" i="3"/>
  <c r="CB11" i="3"/>
  <c r="AV12" i="3"/>
  <c r="DW12" i="3"/>
  <c r="DV12" i="3"/>
  <c r="DX13" i="3"/>
  <c r="BP16" i="3"/>
  <c r="CO16" i="3"/>
  <c r="DA16" i="3"/>
  <c r="DO16" i="3"/>
  <c r="DB17" i="3"/>
  <c r="P23" i="3"/>
  <c r="O18" i="3"/>
  <c r="CY18" i="3"/>
  <c r="P24" i="3"/>
  <c r="DD19" i="3"/>
  <c r="CO19" i="3"/>
  <c r="DB19" i="3"/>
  <c r="P25" i="3"/>
  <c r="CO20" i="3"/>
  <c r="DB20" i="3"/>
  <c r="EA23" i="3"/>
  <c r="DW24" i="3"/>
  <c r="AH26" i="3"/>
  <c r="AI27" i="3"/>
  <c r="CZ27" i="3"/>
  <c r="BE27" i="3"/>
  <c r="W27" i="3"/>
  <c r="DH27" i="3"/>
  <c r="DX12" i="3"/>
  <c r="CX13" i="3"/>
  <c r="DM14" i="3"/>
  <c r="DC18" i="3"/>
  <c r="Q25" i="3"/>
  <c r="CP20" i="3"/>
  <c r="DC20" i="3"/>
  <c r="DO21" i="3"/>
  <c r="CM23" i="3"/>
  <c r="DS27" i="3"/>
  <c r="CT27" i="3"/>
  <c r="CC27" i="3"/>
  <c r="DW6" i="3"/>
  <c r="CD27" i="3"/>
  <c r="DV6" i="3"/>
  <c r="CB10" i="3"/>
  <c r="CE27" i="3"/>
  <c r="CB7" i="3"/>
  <c r="DL13" i="3"/>
  <c r="CP17" i="3"/>
  <c r="EA18" i="3"/>
  <c r="DL20" i="3"/>
  <c r="BP20" i="3"/>
  <c r="DD20" i="3"/>
  <c r="DC21" i="3"/>
  <c r="O21" i="3"/>
  <c r="DA21" i="3" s="1"/>
  <c r="CB22" i="3"/>
  <c r="Q23" i="3"/>
  <c r="Q27" i="3" s="1"/>
  <c r="DI23" i="3"/>
  <c r="CO24" i="3"/>
  <c r="CS27" i="3"/>
  <c r="R27" i="3"/>
  <c r="DG27" i="3"/>
  <c r="DD7" i="3"/>
  <c r="BK27" i="3"/>
  <c r="BP6" i="3"/>
  <c r="DW11" i="3"/>
  <c r="BQ27" i="3"/>
  <c r="CX6" i="3"/>
  <c r="CU7" i="3"/>
  <c r="DQ8" i="3"/>
  <c r="DV9" i="3"/>
  <c r="CB9" i="3"/>
  <c r="CU10" i="3"/>
  <c r="DX11" i="3"/>
  <c r="DL12" i="3"/>
  <c r="DO14" i="3"/>
  <c r="DD15" i="3"/>
  <c r="BP18" i="3"/>
  <c r="DD18" i="3"/>
  <c r="DI21" i="3"/>
  <c r="DD21" i="3"/>
  <c r="CP24" i="3"/>
  <c r="DV24" i="3"/>
  <c r="AR27" i="3"/>
  <c r="ED6" i="3"/>
  <c r="BB27" i="3"/>
  <c r="ED7" i="3"/>
  <c r="CU6" i="3"/>
  <c r="DL8" i="3"/>
  <c r="CP8" i="3"/>
  <c r="AC27" i="3"/>
  <c r="CW27" i="3"/>
  <c r="DX6" i="3"/>
  <c r="CP7" i="3"/>
  <c r="DD8" i="3"/>
  <c r="DI11" i="3"/>
  <c r="EA13" i="3"/>
  <c r="CF27" i="3"/>
  <c r="DJ6" i="3"/>
  <c r="DW10" i="3"/>
  <c r="DV10" i="3"/>
  <c r="DZ12" i="3"/>
  <c r="DM13" i="3"/>
  <c r="BP14" i="3"/>
  <c r="DA14" i="3"/>
  <c r="DM17" i="3"/>
  <c r="DL6" i="3"/>
  <c r="DV7" i="3"/>
  <c r="C8" i="3"/>
  <c r="AV9" i="3"/>
  <c r="AV27" i="3" s="1"/>
  <c r="CU9" i="3"/>
  <c r="C10" i="3"/>
  <c r="DX10" i="3"/>
  <c r="CX11" i="3"/>
  <c r="DY11" i="3"/>
  <c r="DM12" i="3"/>
  <c r="BP13" i="3"/>
  <c r="CO13" i="3"/>
  <c r="CB16" i="3"/>
  <c r="AH17" i="3"/>
  <c r="DT17" i="3" s="1"/>
  <c r="CP18" i="3"/>
  <c r="CP21" i="3"/>
  <c r="DX24" i="3"/>
  <c r="CF26" i="3"/>
  <c r="DY25" i="3"/>
  <c r="I26" i="3"/>
  <c r="DY24" i="3"/>
  <c r="DO9" i="3"/>
  <c r="DO11" i="3"/>
  <c r="DO15" i="3"/>
  <c r="DO19" i="3"/>
  <c r="J25" i="3"/>
  <c r="CB20" i="3"/>
  <c r="AH22" i="3"/>
  <c r="DV23" i="3"/>
  <c r="DZ24" i="3"/>
  <c r="DV26" i="3"/>
  <c r="DF26" i="3"/>
  <c r="X27" i="3"/>
  <c r="BL27" i="3"/>
  <c r="AH23" i="3"/>
  <c r="DO23" i="3"/>
  <c r="R26" i="3"/>
  <c r="DW26" i="3"/>
  <c r="DF27" i="3"/>
  <c r="DO18" i="3"/>
  <c r="J24" i="3"/>
  <c r="J27" i="3" s="1"/>
  <c r="M25" i="3"/>
  <c r="DX21" i="3"/>
  <c r="DM25" i="3"/>
  <c r="DE26" i="3"/>
  <c r="DE27" i="3" s="1"/>
  <c r="DL26" i="3"/>
  <c r="DC24" i="3"/>
  <c r="DJ26" i="3"/>
  <c r="CH27" i="3"/>
  <c r="CU26" i="3"/>
  <c r="AH25" i="3"/>
  <c r="DK26" i="3"/>
  <c r="Y27" i="3"/>
  <c r="BP26" i="3"/>
  <c r="CI27" i="3"/>
  <c r="BR27" i="3"/>
  <c r="DD10" i="3"/>
  <c r="DD12" i="3"/>
  <c r="DD14" i="3"/>
  <c r="DD16" i="3"/>
  <c r="DM22" i="3"/>
  <c r="DO24" i="3"/>
  <c r="S27" i="3"/>
  <c r="DM23" i="3"/>
  <c r="DY23" i="3"/>
  <c r="CB25" i="3"/>
  <c r="BV26" i="3"/>
  <c r="BV27" i="3" s="1"/>
  <c r="AV25" i="3"/>
  <c r="DQ26" i="3"/>
  <c r="EC26" i="3"/>
  <c r="BT7" i="1"/>
  <c r="BT6" i="1"/>
  <c r="BS7" i="1"/>
  <c r="BS6" i="1"/>
  <c r="M27" i="3" l="1"/>
  <c r="C27" i="3"/>
  <c r="CA16" i="3"/>
  <c r="CM16" i="3" s="1"/>
  <c r="DU16" i="3"/>
  <c r="AT17" i="3"/>
  <c r="DV27" i="3"/>
  <c r="DB23" i="3"/>
  <c r="O23" i="3"/>
  <c r="CO18" i="3"/>
  <c r="CQ27" i="3"/>
  <c r="CA22" i="3"/>
  <c r="DU22" i="3"/>
  <c r="CP27" i="3"/>
  <c r="CO8" i="3"/>
  <c r="AT10" i="3"/>
  <c r="DU9" i="3"/>
  <c r="CA9" i="3"/>
  <c r="DB25" i="3"/>
  <c r="O25" i="3"/>
  <c r="CO12" i="3"/>
  <c r="CM12" i="3"/>
  <c r="CX17" i="3"/>
  <c r="CO10" i="3"/>
  <c r="CO21" i="3"/>
  <c r="AT21" i="3"/>
  <c r="DM27" i="3"/>
  <c r="CY24" i="3"/>
  <c r="L24" i="3"/>
  <c r="CO25" i="3"/>
  <c r="DI14" i="3"/>
  <c r="DU11" i="3"/>
  <c r="CA11" i="3"/>
  <c r="AT9" i="3"/>
  <c r="DI10" i="3"/>
  <c r="DR27" i="3"/>
  <c r="DT12" i="3"/>
  <c r="DO26" i="3"/>
  <c r="EA26" i="3"/>
  <c r="CO9" i="3"/>
  <c r="CM9" i="3"/>
  <c r="DU8" i="3"/>
  <c r="CA8" i="3"/>
  <c r="DI24" i="3"/>
  <c r="DT23" i="3"/>
  <c r="CA15" i="3"/>
  <c r="DU15" i="3"/>
  <c r="CO14" i="3"/>
  <c r="CY23" i="3"/>
  <c r="L23" i="3"/>
  <c r="L25" i="3"/>
  <c r="CY25" i="3"/>
  <c r="DX27" i="3"/>
  <c r="DU13" i="3"/>
  <c r="CA13" i="3"/>
  <c r="DU18" i="3"/>
  <c r="CA18" i="3"/>
  <c r="AH27" i="3"/>
  <c r="DU25" i="3"/>
  <c r="CA25" i="3"/>
  <c r="DW27" i="3"/>
  <c r="DU20" i="3"/>
  <c r="CA20" i="3"/>
  <c r="DI16" i="3"/>
  <c r="CY26" i="3"/>
  <c r="L26" i="3"/>
  <c r="AT26" i="3" s="1"/>
  <c r="AT18" i="3"/>
  <c r="DI7" i="3"/>
  <c r="I24" i="3"/>
  <c r="CV24" i="3"/>
  <c r="CV25" i="3"/>
  <c r="I25" i="3"/>
  <c r="DL27" i="3"/>
  <c r="AT12" i="3"/>
  <c r="DZ26" i="3"/>
  <c r="CA14" i="3"/>
  <c r="CM14" i="3" s="1"/>
  <c r="DU14" i="3"/>
  <c r="EC27" i="3"/>
  <c r="AT8" i="3"/>
  <c r="DC25" i="3"/>
  <c r="DB24" i="3"/>
  <c r="O24" i="3"/>
  <c r="DI26" i="3"/>
  <c r="DY26" i="3"/>
  <c r="CB26" i="3"/>
  <c r="DA18" i="3"/>
  <c r="DQ27" i="3"/>
  <c r="DC23" i="3"/>
  <c r="DU7" i="3"/>
  <c r="CA7" i="3"/>
  <c r="DI13" i="3"/>
  <c r="DI18" i="3"/>
  <c r="CA24" i="3"/>
  <c r="DU24" i="3"/>
  <c r="DJ27" i="3"/>
  <c r="ED27" i="3"/>
  <c r="P27" i="3"/>
  <c r="CY22" i="3"/>
  <c r="L22" i="3"/>
  <c r="DD26" i="3"/>
  <c r="DD27" i="3" s="1"/>
  <c r="DK27" i="3"/>
  <c r="BP27" i="3"/>
  <c r="CM6" i="3"/>
  <c r="DI6" i="3"/>
  <c r="DI20" i="3"/>
  <c r="CA10" i="3"/>
  <c r="DU10" i="3"/>
  <c r="CA19" i="3"/>
  <c r="DU19" i="3"/>
  <c r="O22" i="3"/>
  <c r="DB22" i="3"/>
  <c r="DU21" i="3"/>
  <c r="CA21" i="3"/>
  <c r="CO17" i="3"/>
  <c r="CM17" i="3"/>
  <c r="DO27" i="3"/>
  <c r="CU29" i="3"/>
  <c r="BT26" i="1"/>
  <c r="BT12" i="1"/>
  <c r="BT13" i="1"/>
  <c r="BT14" i="1"/>
  <c r="BT15" i="1"/>
  <c r="BT16" i="1"/>
  <c r="BT17" i="1"/>
  <c r="BT18" i="1"/>
  <c r="BT19" i="1"/>
  <c r="BT20" i="1"/>
  <c r="BT21" i="1"/>
  <c r="BT22" i="1"/>
  <c r="BT23" i="1"/>
  <c r="BT24" i="1"/>
  <c r="BT25" i="1"/>
  <c r="BT11" i="1"/>
  <c r="BT9" i="1"/>
  <c r="BT10" i="1"/>
  <c r="BT8" i="1"/>
  <c r="BS26" i="1"/>
  <c r="BS19" i="1"/>
  <c r="BS20" i="1"/>
  <c r="BS21" i="1"/>
  <c r="BS22" i="1"/>
  <c r="BS23" i="1"/>
  <c r="BS24" i="1"/>
  <c r="BS25" i="1"/>
  <c r="BS18" i="1"/>
  <c r="BS17" i="1"/>
  <c r="BS14" i="1"/>
  <c r="BS15" i="1"/>
  <c r="BS16" i="1"/>
  <c r="BS13" i="1"/>
  <c r="BS12" i="1"/>
  <c r="BS10" i="1"/>
  <c r="BS11" i="1"/>
  <c r="BS9" i="1"/>
  <c r="BS8" i="1"/>
  <c r="O27" i="3" l="1"/>
  <c r="CX25" i="3"/>
  <c r="CX22" i="3"/>
  <c r="AT22" i="3"/>
  <c r="DU26" i="3"/>
  <c r="CA26" i="3"/>
  <c r="DT18" i="3"/>
  <c r="EF18" i="3" s="1"/>
  <c r="AU12" i="3"/>
  <c r="AU17" i="3"/>
  <c r="CX23" i="3"/>
  <c r="DT11" i="3"/>
  <c r="CM11" i="3"/>
  <c r="EF12" i="3"/>
  <c r="CO27" i="3"/>
  <c r="EF17" i="3"/>
  <c r="DC27" i="3"/>
  <c r="DA24" i="3"/>
  <c r="DT10" i="3"/>
  <c r="EF10" i="3" s="1"/>
  <c r="CM10" i="3"/>
  <c r="DT14" i="3"/>
  <c r="CU24" i="3"/>
  <c r="I27" i="3"/>
  <c r="AT24" i="3"/>
  <c r="DT20" i="3"/>
  <c r="CM20" i="3"/>
  <c r="DT13" i="3"/>
  <c r="CM13" i="3"/>
  <c r="DT8" i="3"/>
  <c r="CM8" i="3"/>
  <c r="DY27" i="3"/>
  <c r="DA25" i="3"/>
  <c r="CM18" i="3"/>
  <c r="DT21" i="3"/>
  <c r="CM21" i="3"/>
  <c r="DT7" i="3"/>
  <c r="CM7" i="3"/>
  <c r="CB27" i="3"/>
  <c r="DI27" i="3"/>
  <c r="EF6" i="3"/>
  <c r="EF14" i="3"/>
  <c r="L27" i="3"/>
  <c r="AT23" i="3"/>
  <c r="CV27" i="3"/>
  <c r="DU27" i="3"/>
  <c r="AU14" i="3"/>
  <c r="DT22" i="3"/>
  <c r="CM22" i="3"/>
  <c r="DA22" i="3"/>
  <c r="CY27" i="3"/>
  <c r="DT25" i="3"/>
  <c r="AU9" i="3"/>
  <c r="CM25" i="3"/>
  <c r="DT9" i="3"/>
  <c r="DA23" i="3"/>
  <c r="DT16" i="3"/>
  <c r="EF16" i="3" s="1"/>
  <c r="AU6" i="3"/>
  <c r="DT15" i="3"/>
  <c r="CM15" i="3"/>
  <c r="DT24" i="3"/>
  <c r="CM24" i="3"/>
  <c r="DZ27" i="3"/>
  <c r="CX26" i="3"/>
  <c r="AU16" i="3"/>
  <c r="DT19" i="3"/>
  <c r="CM19" i="3"/>
  <c r="CU25" i="3"/>
  <c r="EF25" i="3" s="1"/>
  <c r="AT25" i="3"/>
  <c r="CX24" i="3"/>
  <c r="EA27" i="3"/>
  <c r="DB27" i="3"/>
  <c r="BZ62" i="1"/>
  <c r="BW62" i="1"/>
  <c r="BU62" i="1"/>
  <c r="BR62" i="1"/>
  <c r="BQ62" i="1"/>
  <c r="BO62" i="1"/>
  <c r="BN62" i="1"/>
  <c r="BJ62" i="1"/>
  <c r="BI62" i="1"/>
  <c r="BG62" i="1"/>
  <c r="BF62" i="1"/>
  <c r="BD62" i="1"/>
  <c r="BC62" i="1"/>
  <c r="BA62" i="1"/>
  <c r="AZ62" i="1"/>
  <c r="AY62" i="1"/>
  <c r="AX62" i="1"/>
  <c r="AS62" i="1"/>
  <c r="AR62" i="1"/>
  <c r="AQ62" i="1"/>
  <c r="AP62" i="1"/>
  <c r="AO62" i="1"/>
  <c r="AN62" i="1"/>
  <c r="AM62" i="1"/>
  <c r="AL62" i="1"/>
  <c r="AK62" i="1"/>
  <c r="AJ62" i="1"/>
  <c r="AG62" i="1"/>
  <c r="AF62" i="1"/>
  <c r="AE62" i="1"/>
  <c r="AD62" i="1"/>
  <c r="AB62" i="1"/>
  <c r="AA62" i="1"/>
  <c r="Z62" i="1"/>
  <c r="V62" i="1"/>
  <c r="U62" i="1"/>
  <c r="Q62" i="1"/>
  <c r="P62" i="1"/>
  <c r="N62" i="1"/>
  <c r="K62" i="1"/>
  <c r="H62" i="1"/>
  <c r="G62" i="1"/>
  <c r="F62" i="1"/>
  <c r="E62" i="1"/>
  <c r="CL61" i="1"/>
  <c r="CK61" i="1"/>
  <c r="CJ61" i="1"/>
  <c r="CI61" i="1"/>
  <c r="BZ61" i="1"/>
  <c r="BY61" i="1"/>
  <c r="BX61" i="1"/>
  <c r="BW61" i="1"/>
  <c r="BU61" i="1"/>
  <c r="BR61" i="1"/>
  <c r="BQ61" i="1"/>
  <c r="BO61" i="1"/>
  <c r="BN61" i="1"/>
  <c r="BM61" i="1"/>
  <c r="BL61" i="1"/>
  <c r="BJ61" i="1"/>
  <c r="BI61" i="1"/>
  <c r="BG61" i="1"/>
  <c r="BF61" i="1"/>
  <c r="BD61" i="1"/>
  <c r="BC61" i="1"/>
  <c r="BA61" i="1"/>
  <c r="AZ61" i="1"/>
  <c r="AY61" i="1"/>
  <c r="AX61" i="1"/>
  <c r="AS61" i="1"/>
  <c r="AR61" i="1"/>
  <c r="AQ61" i="1"/>
  <c r="AP61" i="1"/>
  <c r="AO61" i="1"/>
  <c r="AN61" i="1"/>
  <c r="AM61" i="1"/>
  <c r="AL61" i="1"/>
  <c r="AK61" i="1"/>
  <c r="AJ61" i="1"/>
  <c r="AG61" i="1"/>
  <c r="AF61" i="1"/>
  <c r="AE61" i="1"/>
  <c r="AD61" i="1"/>
  <c r="AB61" i="1"/>
  <c r="AA61" i="1"/>
  <c r="Z61" i="1"/>
  <c r="Y61" i="1"/>
  <c r="X61" i="1"/>
  <c r="V61" i="1"/>
  <c r="U61" i="1"/>
  <c r="T61" i="1"/>
  <c r="S61" i="1"/>
  <c r="N61" i="1"/>
  <c r="K61" i="1"/>
  <c r="H61" i="1"/>
  <c r="G61" i="1"/>
  <c r="F61" i="1"/>
  <c r="E61" i="1"/>
  <c r="CL60" i="1"/>
  <c r="CK60" i="1"/>
  <c r="CJ60" i="1"/>
  <c r="CI60" i="1"/>
  <c r="BZ60" i="1"/>
  <c r="BY60" i="1"/>
  <c r="BX60" i="1"/>
  <c r="BW60" i="1"/>
  <c r="BU60" i="1"/>
  <c r="BR60" i="1"/>
  <c r="BQ60" i="1"/>
  <c r="BO60" i="1"/>
  <c r="BN60" i="1"/>
  <c r="BM60" i="1"/>
  <c r="BL60" i="1"/>
  <c r="BJ60" i="1"/>
  <c r="BI60" i="1"/>
  <c r="BG60" i="1"/>
  <c r="BF60" i="1"/>
  <c r="BD60" i="1"/>
  <c r="BC60" i="1"/>
  <c r="BA60" i="1"/>
  <c r="AZ60" i="1"/>
  <c r="AY60" i="1"/>
  <c r="AX60" i="1"/>
  <c r="AS60" i="1"/>
  <c r="AR60" i="1"/>
  <c r="AQ60" i="1"/>
  <c r="AP60" i="1"/>
  <c r="AO60" i="1"/>
  <c r="AN60" i="1"/>
  <c r="AM60" i="1"/>
  <c r="AL60" i="1"/>
  <c r="AK60" i="1"/>
  <c r="AJ60" i="1"/>
  <c r="AG60" i="1"/>
  <c r="AF60" i="1"/>
  <c r="AE60" i="1"/>
  <c r="AD60" i="1"/>
  <c r="AB60" i="1"/>
  <c r="AA60" i="1"/>
  <c r="Z60" i="1"/>
  <c r="Y60" i="1"/>
  <c r="X60" i="1"/>
  <c r="V60" i="1"/>
  <c r="U60" i="1"/>
  <c r="T60" i="1"/>
  <c r="S60" i="1"/>
  <c r="N60" i="1"/>
  <c r="K60" i="1"/>
  <c r="H60" i="1"/>
  <c r="G60" i="1"/>
  <c r="F60" i="1"/>
  <c r="E60" i="1"/>
  <c r="CL59" i="1"/>
  <c r="CK59" i="1"/>
  <c r="CJ59" i="1"/>
  <c r="CI59" i="1"/>
  <c r="BZ59" i="1"/>
  <c r="BY59" i="1"/>
  <c r="BX59" i="1"/>
  <c r="BW59" i="1"/>
  <c r="BU59" i="1"/>
  <c r="BR59" i="1"/>
  <c r="BQ59" i="1"/>
  <c r="BO59" i="1"/>
  <c r="BN59" i="1"/>
  <c r="BM59" i="1"/>
  <c r="BL59" i="1"/>
  <c r="BJ59" i="1"/>
  <c r="BI59" i="1"/>
  <c r="BG59" i="1"/>
  <c r="BF59" i="1"/>
  <c r="BD59" i="1"/>
  <c r="BC59" i="1"/>
  <c r="BA59" i="1"/>
  <c r="AZ59" i="1"/>
  <c r="AY59" i="1"/>
  <c r="AX59" i="1"/>
  <c r="AS59" i="1"/>
  <c r="AR59" i="1"/>
  <c r="AQ59" i="1"/>
  <c r="AP59" i="1"/>
  <c r="AO59" i="1"/>
  <c r="AN59" i="1"/>
  <c r="AM59" i="1"/>
  <c r="AL59" i="1"/>
  <c r="AK59" i="1"/>
  <c r="AJ59" i="1"/>
  <c r="AG59" i="1"/>
  <c r="AF59" i="1"/>
  <c r="AE59" i="1"/>
  <c r="AD59" i="1"/>
  <c r="AB59" i="1"/>
  <c r="AA59" i="1"/>
  <c r="Z59" i="1"/>
  <c r="Y59" i="1"/>
  <c r="X59" i="1"/>
  <c r="V59" i="1"/>
  <c r="U59" i="1"/>
  <c r="T59" i="1"/>
  <c r="S59" i="1"/>
  <c r="N59" i="1"/>
  <c r="K59" i="1"/>
  <c r="H59" i="1"/>
  <c r="G59" i="1"/>
  <c r="F59" i="1"/>
  <c r="E59" i="1"/>
  <c r="CL58" i="1"/>
  <c r="CK58" i="1"/>
  <c r="CJ58" i="1"/>
  <c r="CI58" i="1"/>
  <c r="BZ58" i="1"/>
  <c r="BY58" i="1"/>
  <c r="BX58" i="1"/>
  <c r="BW58" i="1"/>
  <c r="BU58" i="1"/>
  <c r="BR58" i="1"/>
  <c r="BQ58" i="1"/>
  <c r="BO58" i="1"/>
  <c r="BN58" i="1"/>
  <c r="BM58" i="1"/>
  <c r="BL58" i="1"/>
  <c r="BJ58" i="1"/>
  <c r="BI58" i="1"/>
  <c r="BG58" i="1"/>
  <c r="BF58" i="1"/>
  <c r="BD58" i="1"/>
  <c r="BC58" i="1"/>
  <c r="BA58" i="1"/>
  <c r="AZ58" i="1"/>
  <c r="AY58" i="1"/>
  <c r="AX58" i="1"/>
  <c r="AS58" i="1"/>
  <c r="AR58" i="1"/>
  <c r="AQ58" i="1"/>
  <c r="AP58" i="1"/>
  <c r="AO58" i="1"/>
  <c r="AN58" i="1"/>
  <c r="AM58" i="1"/>
  <c r="AL58" i="1"/>
  <c r="AK58" i="1"/>
  <c r="AJ58" i="1"/>
  <c r="AG58" i="1"/>
  <c r="AF58" i="1"/>
  <c r="AE58" i="1"/>
  <c r="AD58" i="1"/>
  <c r="AB58" i="1"/>
  <c r="AA58" i="1"/>
  <c r="Z58" i="1"/>
  <c r="Y58" i="1"/>
  <c r="X58" i="1"/>
  <c r="V58" i="1"/>
  <c r="U58" i="1"/>
  <c r="T58" i="1"/>
  <c r="S58" i="1"/>
  <c r="N58" i="1"/>
  <c r="K58" i="1"/>
  <c r="H58" i="1"/>
  <c r="G58" i="1"/>
  <c r="F58" i="1"/>
  <c r="E58" i="1"/>
  <c r="CL57" i="1"/>
  <c r="CK57" i="1"/>
  <c r="CJ57" i="1"/>
  <c r="CI57" i="1"/>
  <c r="BZ57" i="1"/>
  <c r="BY57" i="1"/>
  <c r="BX57" i="1"/>
  <c r="BW57" i="1"/>
  <c r="BU57" i="1"/>
  <c r="BR57" i="1"/>
  <c r="BQ57" i="1"/>
  <c r="BO57" i="1"/>
  <c r="BN57" i="1"/>
  <c r="BM57" i="1"/>
  <c r="BL57" i="1"/>
  <c r="BJ57" i="1"/>
  <c r="BI57" i="1"/>
  <c r="BG57" i="1"/>
  <c r="BF57" i="1"/>
  <c r="BD57" i="1"/>
  <c r="BC57" i="1"/>
  <c r="BA57" i="1"/>
  <c r="AZ57" i="1"/>
  <c r="AY57" i="1"/>
  <c r="AX57" i="1"/>
  <c r="AS57" i="1"/>
  <c r="AR57" i="1"/>
  <c r="AQ57" i="1"/>
  <c r="AP57" i="1"/>
  <c r="AO57" i="1"/>
  <c r="AN57" i="1"/>
  <c r="AM57" i="1"/>
  <c r="AL57" i="1"/>
  <c r="AK57" i="1"/>
  <c r="AJ57" i="1"/>
  <c r="AG57" i="1"/>
  <c r="AF57" i="1"/>
  <c r="AE57" i="1"/>
  <c r="AD57" i="1"/>
  <c r="AB57" i="1"/>
  <c r="AA57" i="1"/>
  <c r="Z57" i="1"/>
  <c r="Y57" i="1"/>
  <c r="X57" i="1"/>
  <c r="V57" i="1"/>
  <c r="U57" i="1"/>
  <c r="T57" i="1"/>
  <c r="S57" i="1"/>
  <c r="N57" i="1"/>
  <c r="K57" i="1"/>
  <c r="H57" i="1"/>
  <c r="G57" i="1"/>
  <c r="F57" i="1"/>
  <c r="E57" i="1"/>
  <c r="CL56" i="1"/>
  <c r="CK56" i="1"/>
  <c r="CJ56" i="1"/>
  <c r="CI56" i="1"/>
  <c r="BZ56" i="1"/>
  <c r="BY56" i="1"/>
  <c r="BX56" i="1"/>
  <c r="BW56" i="1"/>
  <c r="BU56" i="1"/>
  <c r="BR56" i="1"/>
  <c r="BQ56" i="1"/>
  <c r="BO56" i="1"/>
  <c r="BN56" i="1"/>
  <c r="BM56" i="1"/>
  <c r="BL56" i="1"/>
  <c r="BJ56" i="1"/>
  <c r="BI56" i="1"/>
  <c r="BG56" i="1"/>
  <c r="BF56" i="1"/>
  <c r="BD56" i="1"/>
  <c r="BC56" i="1"/>
  <c r="BA56" i="1"/>
  <c r="AZ56" i="1"/>
  <c r="AY56" i="1"/>
  <c r="AX56" i="1"/>
  <c r="AS56" i="1"/>
  <c r="AR56" i="1"/>
  <c r="AQ56" i="1"/>
  <c r="AP56" i="1"/>
  <c r="AO56" i="1"/>
  <c r="AN56" i="1"/>
  <c r="AM56" i="1"/>
  <c r="AL56" i="1"/>
  <c r="AK56" i="1"/>
  <c r="AJ56" i="1"/>
  <c r="AG56" i="1"/>
  <c r="AF56" i="1"/>
  <c r="AE56" i="1"/>
  <c r="AD56" i="1"/>
  <c r="AB56" i="1"/>
  <c r="AA56" i="1"/>
  <c r="Z56" i="1"/>
  <c r="Y56" i="1"/>
  <c r="X56" i="1"/>
  <c r="V56" i="1"/>
  <c r="U56" i="1"/>
  <c r="T56" i="1"/>
  <c r="S56" i="1"/>
  <c r="N56" i="1"/>
  <c r="K56" i="1"/>
  <c r="H56" i="1"/>
  <c r="G56" i="1"/>
  <c r="F56" i="1"/>
  <c r="E56" i="1"/>
  <c r="CL55" i="1"/>
  <c r="CK55" i="1"/>
  <c r="CJ55" i="1"/>
  <c r="CI55" i="1"/>
  <c r="BZ55" i="1"/>
  <c r="BY55" i="1"/>
  <c r="BX55" i="1"/>
  <c r="BW55" i="1"/>
  <c r="BU55" i="1"/>
  <c r="BR55" i="1"/>
  <c r="BQ55" i="1"/>
  <c r="BO55" i="1"/>
  <c r="BN55" i="1"/>
  <c r="BM55" i="1"/>
  <c r="BL55" i="1"/>
  <c r="BJ55" i="1"/>
  <c r="BI55" i="1"/>
  <c r="BG55" i="1"/>
  <c r="BF55" i="1"/>
  <c r="BD55" i="1"/>
  <c r="BC55" i="1"/>
  <c r="BA55" i="1"/>
  <c r="AZ55" i="1"/>
  <c r="AY55" i="1"/>
  <c r="AX55" i="1"/>
  <c r="AS55" i="1"/>
  <c r="AR55" i="1"/>
  <c r="AQ55" i="1"/>
  <c r="AP55" i="1"/>
  <c r="AO55" i="1"/>
  <c r="AN55" i="1"/>
  <c r="AM55" i="1"/>
  <c r="AL55" i="1"/>
  <c r="AK55" i="1"/>
  <c r="AJ55" i="1"/>
  <c r="AG55" i="1"/>
  <c r="AF55" i="1"/>
  <c r="AE55" i="1"/>
  <c r="AD55" i="1"/>
  <c r="AB55" i="1"/>
  <c r="AA55" i="1"/>
  <c r="Z55" i="1"/>
  <c r="Y55" i="1"/>
  <c r="X55" i="1"/>
  <c r="V55" i="1"/>
  <c r="U55" i="1"/>
  <c r="T55" i="1"/>
  <c r="S55" i="1"/>
  <c r="N55" i="1"/>
  <c r="K55" i="1"/>
  <c r="H55" i="1"/>
  <c r="G55" i="1"/>
  <c r="F55" i="1"/>
  <c r="E55" i="1"/>
  <c r="CL54" i="1"/>
  <c r="CK54" i="1"/>
  <c r="CJ54" i="1"/>
  <c r="CI54" i="1"/>
  <c r="BZ54" i="1"/>
  <c r="BY54" i="1"/>
  <c r="BX54" i="1"/>
  <c r="BW54" i="1"/>
  <c r="BU54" i="1"/>
  <c r="BR54" i="1"/>
  <c r="BQ54" i="1"/>
  <c r="BO54" i="1"/>
  <c r="BN54" i="1"/>
  <c r="BM54" i="1"/>
  <c r="BL54" i="1"/>
  <c r="BJ54" i="1"/>
  <c r="BI54" i="1"/>
  <c r="BG54" i="1"/>
  <c r="BF54" i="1"/>
  <c r="BD54" i="1"/>
  <c r="BC54" i="1"/>
  <c r="BA54" i="1"/>
  <c r="AZ54" i="1"/>
  <c r="AY54" i="1"/>
  <c r="AX54" i="1"/>
  <c r="AS54" i="1"/>
  <c r="AR54" i="1"/>
  <c r="AQ54" i="1"/>
  <c r="AP54" i="1"/>
  <c r="AO54" i="1"/>
  <c r="AN54" i="1"/>
  <c r="AM54" i="1"/>
  <c r="AL54" i="1"/>
  <c r="AK54" i="1"/>
  <c r="AJ54" i="1"/>
  <c r="AG54" i="1"/>
  <c r="AF54" i="1"/>
  <c r="AE54" i="1"/>
  <c r="AD54" i="1"/>
  <c r="AB54" i="1"/>
  <c r="AA54" i="1"/>
  <c r="Z54" i="1"/>
  <c r="Y54" i="1"/>
  <c r="X54" i="1"/>
  <c r="V54" i="1"/>
  <c r="U54" i="1"/>
  <c r="T54" i="1"/>
  <c r="S54" i="1"/>
  <c r="N54" i="1"/>
  <c r="K54" i="1"/>
  <c r="H54" i="1"/>
  <c r="G54" i="1"/>
  <c r="F54" i="1"/>
  <c r="E54" i="1"/>
  <c r="CL53" i="1"/>
  <c r="CK53" i="1"/>
  <c r="CJ53" i="1"/>
  <c r="CI53" i="1"/>
  <c r="BZ53" i="1"/>
  <c r="BY53" i="1"/>
  <c r="BX53" i="1"/>
  <c r="BW53" i="1"/>
  <c r="BU53" i="1"/>
  <c r="BR53" i="1"/>
  <c r="BQ53" i="1"/>
  <c r="BO53" i="1"/>
  <c r="BN53" i="1"/>
  <c r="BM53" i="1"/>
  <c r="BL53" i="1"/>
  <c r="BJ53" i="1"/>
  <c r="BI53" i="1"/>
  <c r="BG53" i="1"/>
  <c r="BF53" i="1"/>
  <c r="BD53" i="1"/>
  <c r="BC53" i="1"/>
  <c r="BA53" i="1"/>
  <c r="AZ53" i="1"/>
  <c r="AY53" i="1"/>
  <c r="AX53" i="1"/>
  <c r="AS53" i="1"/>
  <c r="AR53" i="1"/>
  <c r="AQ53" i="1"/>
  <c r="AP53" i="1"/>
  <c r="AO53" i="1"/>
  <c r="AN53" i="1"/>
  <c r="AM53" i="1"/>
  <c r="AL53" i="1"/>
  <c r="AK53" i="1"/>
  <c r="AJ53" i="1"/>
  <c r="AG53" i="1"/>
  <c r="AF53" i="1"/>
  <c r="AE53" i="1"/>
  <c r="AD53" i="1"/>
  <c r="AB53" i="1"/>
  <c r="AA53" i="1"/>
  <c r="Z53" i="1"/>
  <c r="Y53" i="1"/>
  <c r="X53" i="1"/>
  <c r="V53" i="1"/>
  <c r="U53" i="1"/>
  <c r="T53" i="1"/>
  <c r="S53" i="1"/>
  <c r="N53" i="1"/>
  <c r="K53" i="1"/>
  <c r="H53" i="1"/>
  <c r="G53" i="1"/>
  <c r="F53" i="1"/>
  <c r="E53" i="1"/>
  <c r="CL52" i="1"/>
  <c r="CK52" i="1"/>
  <c r="CJ52" i="1"/>
  <c r="CI52" i="1"/>
  <c r="BZ52" i="1"/>
  <c r="BY52" i="1"/>
  <c r="BX52" i="1"/>
  <c r="BW52" i="1"/>
  <c r="BU52" i="1"/>
  <c r="BR52" i="1"/>
  <c r="BQ52" i="1"/>
  <c r="BO52" i="1"/>
  <c r="BN52" i="1"/>
  <c r="BM52" i="1"/>
  <c r="BL52" i="1"/>
  <c r="BJ52" i="1"/>
  <c r="BI52" i="1"/>
  <c r="BG52" i="1"/>
  <c r="BF52" i="1"/>
  <c r="BD52" i="1"/>
  <c r="BC52" i="1"/>
  <c r="BA52" i="1"/>
  <c r="AZ52" i="1"/>
  <c r="AY52" i="1"/>
  <c r="AX52" i="1"/>
  <c r="AS52" i="1"/>
  <c r="AR52" i="1"/>
  <c r="AQ52" i="1"/>
  <c r="AP52" i="1"/>
  <c r="AO52" i="1"/>
  <c r="AN52" i="1"/>
  <c r="AM52" i="1"/>
  <c r="AL52" i="1"/>
  <c r="AK52" i="1"/>
  <c r="AJ52" i="1"/>
  <c r="AG52" i="1"/>
  <c r="AF52" i="1"/>
  <c r="AE52" i="1"/>
  <c r="AD52" i="1"/>
  <c r="AB52" i="1"/>
  <c r="AA52" i="1"/>
  <c r="Z52" i="1"/>
  <c r="Y52" i="1"/>
  <c r="X52" i="1"/>
  <c r="V52" i="1"/>
  <c r="U52" i="1"/>
  <c r="T52" i="1"/>
  <c r="S52" i="1"/>
  <c r="Q52" i="1"/>
  <c r="P52" i="1"/>
  <c r="N52" i="1"/>
  <c r="M52" i="1"/>
  <c r="K52" i="1"/>
  <c r="J52" i="1"/>
  <c r="H52" i="1"/>
  <c r="G52" i="1"/>
  <c r="F52" i="1"/>
  <c r="E52" i="1"/>
  <c r="CL51" i="1"/>
  <c r="CK51" i="1"/>
  <c r="CJ51" i="1"/>
  <c r="CI51" i="1"/>
  <c r="BZ51" i="1"/>
  <c r="BY51" i="1"/>
  <c r="BX51" i="1"/>
  <c r="BW51" i="1"/>
  <c r="BU51" i="1"/>
  <c r="BR51" i="1"/>
  <c r="BQ51" i="1"/>
  <c r="BO51" i="1"/>
  <c r="BN51" i="1"/>
  <c r="BM51" i="1"/>
  <c r="BL51" i="1"/>
  <c r="BJ51" i="1"/>
  <c r="BI51" i="1"/>
  <c r="BG51" i="1"/>
  <c r="BF51" i="1"/>
  <c r="BD51" i="1"/>
  <c r="BC51" i="1"/>
  <c r="BA51" i="1"/>
  <c r="AZ51" i="1"/>
  <c r="AY51" i="1"/>
  <c r="AX51" i="1"/>
  <c r="AS51" i="1"/>
  <c r="AR51" i="1"/>
  <c r="AQ51" i="1"/>
  <c r="AP51" i="1"/>
  <c r="AO51" i="1"/>
  <c r="AN51" i="1"/>
  <c r="AM51" i="1"/>
  <c r="AL51" i="1"/>
  <c r="AK51" i="1"/>
  <c r="AJ51" i="1"/>
  <c r="AG51" i="1"/>
  <c r="AF51" i="1"/>
  <c r="AE51" i="1"/>
  <c r="AD51" i="1"/>
  <c r="AB51" i="1"/>
  <c r="AA51" i="1"/>
  <c r="Z51" i="1"/>
  <c r="Y51" i="1"/>
  <c r="X51" i="1"/>
  <c r="V51" i="1"/>
  <c r="U51" i="1"/>
  <c r="T51" i="1"/>
  <c r="S51" i="1"/>
  <c r="Q51" i="1"/>
  <c r="P51" i="1"/>
  <c r="N51" i="1"/>
  <c r="M51" i="1"/>
  <c r="K51" i="1"/>
  <c r="J51" i="1"/>
  <c r="H51" i="1"/>
  <c r="G51" i="1"/>
  <c r="F51" i="1"/>
  <c r="E51" i="1"/>
  <c r="CL50" i="1"/>
  <c r="CK50" i="1"/>
  <c r="CJ50" i="1"/>
  <c r="CI50" i="1"/>
  <c r="BZ50" i="1"/>
  <c r="BY50" i="1"/>
  <c r="BX50" i="1"/>
  <c r="BW50" i="1"/>
  <c r="BU50" i="1"/>
  <c r="BR50" i="1"/>
  <c r="BQ50" i="1"/>
  <c r="BO50" i="1"/>
  <c r="BN50" i="1"/>
  <c r="BM50" i="1"/>
  <c r="BL50" i="1"/>
  <c r="BJ50" i="1"/>
  <c r="BI50" i="1"/>
  <c r="BG50" i="1"/>
  <c r="BF50" i="1"/>
  <c r="BD50" i="1"/>
  <c r="BC50" i="1"/>
  <c r="BA50" i="1"/>
  <c r="AZ50" i="1"/>
  <c r="AY50" i="1"/>
  <c r="AX50" i="1"/>
  <c r="AS50" i="1"/>
  <c r="AR50" i="1"/>
  <c r="AQ50" i="1"/>
  <c r="AP50" i="1"/>
  <c r="AO50" i="1"/>
  <c r="AN50" i="1"/>
  <c r="AM50" i="1"/>
  <c r="AL50" i="1"/>
  <c r="AK50" i="1"/>
  <c r="AJ50" i="1"/>
  <c r="AG50" i="1"/>
  <c r="AF50" i="1"/>
  <c r="AE50" i="1"/>
  <c r="AD50" i="1"/>
  <c r="AB50" i="1"/>
  <c r="AA50" i="1"/>
  <c r="Z50" i="1"/>
  <c r="Y50" i="1"/>
  <c r="X50" i="1"/>
  <c r="V50" i="1"/>
  <c r="U50" i="1"/>
  <c r="T50" i="1"/>
  <c r="S50" i="1"/>
  <c r="Q50" i="1"/>
  <c r="P50" i="1"/>
  <c r="N50" i="1"/>
  <c r="M50" i="1"/>
  <c r="K50" i="1"/>
  <c r="J50" i="1"/>
  <c r="H50" i="1"/>
  <c r="G50" i="1"/>
  <c r="F50" i="1"/>
  <c r="E50" i="1"/>
  <c r="CL49" i="1"/>
  <c r="CK49" i="1"/>
  <c r="CJ49" i="1"/>
  <c r="CI49" i="1"/>
  <c r="BZ49" i="1"/>
  <c r="BY49" i="1"/>
  <c r="BX49" i="1"/>
  <c r="BW49" i="1"/>
  <c r="BU49" i="1"/>
  <c r="BR49" i="1"/>
  <c r="BQ49" i="1"/>
  <c r="BO49" i="1"/>
  <c r="BN49" i="1"/>
  <c r="BM49" i="1"/>
  <c r="BL49" i="1"/>
  <c r="BJ49" i="1"/>
  <c r="BI49" i="1"/>
  <c r="BG49" i="1"/>
  <c r="BF49" i="1"/>
  <c r="BD49" i="1"/>
  <c r="BC49" i="1"/>
  <c r="BA49" i="1"/>
  <c r="AZ49" i="1"/>
  <c r="AY49" i="1"/>
  <c r="AX49" i="1"/>
  <c r="AS49" i="1"/>
  <c r="AR49" i="1"/>
  <c r="AQ49" i="1"/>
  <c r="AP49" i="1"/>
  <c r="AO49" i="1"/>
  <c r="AN49" i="1"/>
  <c r="AM49" i="1"/>
  <c r="AL49" i="1"/>
  <c r="AK49" i="1"/>
  <c r="AJ49" i="1"/>
  <c r="AG49" i="1"/>
  <c r="AF49" i="1"/>
  <c r="AE49" i="1"/>
  <c r="AD49" i="1"/>
  <c r="AB49" i="1"/>
  <c r="AA49" i="1"/>
  <c r="Z49" i="1"/>
  <c r="Y49" i="1"/>
  <c r="X49" i="1"/>
  <c r="V49" i="1"/>
  <c r="U49" i="1"/>
  <c r="T49" i="1"/>
  <c r="S49" i="1"/>
  <c r="Q49" i="1"/>
  <c r="P49" i="1"/>
  <c r="N49" i="1"/>
  <c r="M49" i="1"/>
  <c r="K49" i="1"/>
  <c r="J49" i="1"/>
  <c r="H49" i="1"/>
  <c r="G49" i="1"/>
  <c r="F49" i="1"/>
  <c r="E49" i="1"/>
  <c r="CL48" i="1"/>
  <c r="CK48" i="1"/>
  <c r="CJ48" i="1"/>
  <c r="CI48" i="1"/>
  <c r="BZ48" i="1"/>
  <c r="BY48" i="1"/>
  <c r="BX48" i="1"/>
  <c r="BW48" i="1"/>
  <c r="BU48" i="1"/>
  <c r="BR48" i="1"/>
  <c r="BQ48" i="1"/>
  <c r="BO48" i="1"/>
  <c r="BN48" i="1"/>
  <c r="BM48" i="1"/>
  <c r="BL48" i="1"/>
  <c r="BJ48" i="1"/>
  <c r="BI48" i="1"/>
  <c r="BG48" i="1"/>
  <c r="BF48" i="1"/>
  <c r="BD48" i="1"/>
  <c r="BC48" i="1"/>
  <c r="BA48" i="1"/>
  <c r="AZ48" i="1"/>
  <c r="AY48" i="1"/>
  <c r="AX48" i="1"/>
  <c r="AS48" i="1"/>
  <c r="AR48" i="1"/>
  <c r="AQ48" i="1"/>
  <c r="AP48" i="1"/>
  <c r="AO48" i="1"/>
  <c r="AN48" i="1"/>
  <c r="AM48" i="1"/>
  <c r="AL48" i="1"/>
  <c r="AK48" i="1"/>
  <c r="AJ48" i="1"/>
  <c r="AG48" i="1"/>
  <c r="AF48" i="1"/>
  <c r="AE48" i="1"/>
  <c r="AD48" i="1"/>
  <c r="AB48" i="1"/>
  <c r="AA48" i="1"/>
  <c r="Z48" i="1"/>
  <c r="Y48" i="1"/>
  <c r="X48" i="1"/>
  <c r="V48" i="1"/>
  <c r="U48" i="1"/>
  <c r="T48" i="1"/>
  <c r="S48" i="1"/>
  <c r="Q48" i="1"/>
  <c r="P48" i="1"/>
  <c r="N48" i="1"/>
  <c r="M48" i="1"/>
  <c r="K48" i="1"/>
  <c r="J48" i="1"/>
  <c r="H48" i="1"/>
  <c r="G48" i="1"/>
  <c r="F48" i="1"/>
  <c r="E48" i="1"/>
  <c r="CL47" i="1"/>
  <c r="CK47" i="1"/>
  <c r="CJ47" i="1"/>
  <c r="CI47" i="1"/>
  <c r="BZ47" i="1"/>
  <c r="BY47" i="1"/>
  <c r="BX47" i="1"/>
  <c r="BW47" i="1"/>
  <c r="BU47" i="1"/>
  <c r="BR47" i="1"/>
  <c r="BQ47" i="1"/>
  <c r="BO47" i="1"/>
  <c r="BN47" i="1"/>
  <c r="BM47" i="1"/>
  <c r="BL47" i="1"/>
  <c r="BJ47" i="1"/>
  <c r="BI47" i="1"/>
  <c r="BG47" i="1"/>
  <c r="BF47" i="1"/>
  <c r="BD47" i="1"/>
  <c r="BC47" i="1"/>
  <c r="BA47" i="1"/>
  <c r="AZ47" i="1"/>
  <c r="AY47" i="1"/>
  <c r="AX47" i="1"/>
  <c r="AS47" i="1"/>
  <c r="AR47" i="1"/>
  <c r="AQ47" i="1"/>
  <c r="AP47" i="1"/>
  <c r="AO47" i="1"/>
  <c r="AN47" i="1"/>
  <c r="AM47" i="1"/>
  <c r="AL47" i="1"/>
  <c r="AK47" i="1"/>
  <c r="AJ47" i="1"/>
  <c r="AG47" i="1"/>
  <c r="AF47" i="1"/>
  <c r="AE47" i="1"/>
  <c r="AD47" i="1"/>
  <c r="AB47" i="1"/>
  <c r="AA47" i="1"/>
  <c r="Z47" i="1"/>
  <c r="Y47" i="1"/>
  <c r="X47" i="1"/>
  <c r="V47" i="1"/>
  <c r="U47" i="1"/>
  <c r="T47" i="1"/>
  <c r="S47" i="1"/>
  <c r="Q47" i="1"/>
  <c r="P47" i="1"/>
  <c r="N47" i="1"/>
  <c r="M47" i="1"/>
  <c r="K47" i="1"/>
  <c r="J47" i="1"/>
  <c r="H47" i="1"/>
  <c r="G47" i="1"/>
  <c r="F47" i="1"/>
  <c r="E47" i="1"/>
  <c r="CL46" i="1"/>
  <c r="CK46" i="1"/>
  <c r="CJ46" i="1"/>
  <c r="CI46" i="1"/>
  <c r="BZ46" i="1"/>
  <c r="BY46" i="1"/>
  <c r="BX46" i="1"/>
  <c r="BW46" i="1"/>
  <c r="BU46" i="1"/>
  <c r="BR46" i="1"/>
  <c r="BQ46" i="1"/>
  <c r="BO46" i="1"/>
  <c r="BN46" i="1"/>
  <c r="BM46" i="1"/>
  <c r="BL46" i="1"/>
  <c r="BJ46" i="1"/>
  <c r="BI46" i="1"/>
  <c r="BG46" i="1"/>
  <c r="BF46" i="1"/>
  <c r="BD46" i="1"/>
  <c r="BC46" i="1"/>
  <c r="BA46" i="1"/>
  <c r="AZ46" i="1"/>
  <c r="AY46" i="1"/>
  <c r="AX46" i="1"/>
  <c r="AS46" i="1"/>
  <c r="AR46" i="1"/>
  <c r="AQ46" i="1"/>
  <c r="AP46" i="1"/>
  <c r="AO46" i="1"/>
  <c r="AN46" i="1"/>
  <c r="AM46" i="1"/>
  <c r="AL46" i="1"/>
  <c r="AK46" i="1"/>
  <c r="AJ46" i="1"/>
  <c r="AG46" i="1"/>
  <c r="AF46" i="1"/>
  <c r="AE46" i="1"/>
  <c r="AD46" i="1"/>
  <c r="AB46" i="1"/>
  <c r="AA46" i="1"/>
  <c r="Z46" i="1"/>
  <c r="Y46" i="1"/>
  <c r="X46" i="1"/>
  <c r="V46" i="1"/>
  <c r="U46" i="1"/>
  <c r="T46" i="1"/>
  <c r="S46" i="1"/>
  <c r="Q46" i="1"/>
  <c r="P46" i="1"/>
  <c r="N46" i="1"/>
  <c r="M46" i="1"/>
  <c r="K46" i="1"/>
  <c r="J46" i="1"/>
  <c r="H46" i="1"/>
  <c r="G46" i="1"/>
  <c r="F46" i="1"/>
  <c r="E46" i="1"/>
  <c r="CL45" i="1"/>
  <c r="CK45" i="1"/>
  <c r="CJ45" i="1"/>
  <c r="CI45" i="1"/>
  <c r="BZ45" i="1"/>
  <c r="BY45" i="1"/>
  <c r="BX45" i="1"/>
  <c r="BW45" i="1"/>
  <c r="BU45" i="1"/>
  <c r="BR45" i="1"/>
  <c r="BQ45" i="1"/>
  <c r="BO45" i="1"/>
  <c r="BN45" i="1"/>
  <c r="BM45" i="1"/>
  <c r="BL45" i="1"/>
  <c r="BJ45" i="1"/>
  <c r="BI45" i="1"/>
  <c r="BG45" i="1"/>
  <c r="BF45" i="1"/>
  <c r="BD45" i="1"/>
  <c r="BC45" i="1"/>
  <c r="BA45" i="1"/>
  <c r="AZ45" i="1"/>
  <c r="AY45" i="1"/>
  <c r="AX45" i="1"/>
  <c r="AS45" i="1"/>
  <c r="AQ45" i="1"/>
  <c r="AP45" i="1"/>
  <c r="AO45" i="1"/>
  <c r="AN45" i="1"/>
  <c r="AM45" i="1"/>
  <c r="AL45" i="1"/>
  <c r="AK45" i="1"/>
  <c r="AJ45" i="1"/>
  <c r="AG45" i="1"/>
  <c r="AF45" i="1"/>
  <c r="AE45" i="1"/>
  <c r="AD45" i="1"/>
  <c r="AB45" i="1"/>
  <c r="AA45" i="1"/>
  <c r="Z45" i="1"/>
  <c r="Y45" i="1"/>
  <c r="X45" i="1"/>
  <c r="V45" i="1"/>
  <c r="U45" i="1"/>
  <c r="T45" i="1"/>
  <c r="S45" i="1"/>
  <c r="Q45" i="1"/>
  <c r="P45" i="1"/>
  <c r="N45" i="1"/>
  <c r="M45" i="1"/>
  <c r="K45" i="1"/>
  <c r="J45" i="1"/>
  <c r="H45" i="1"/>
  <c r="G45" i="1"/>
  <c r="F45" i="1"/>
  <c r="E45" i="1"/>
  <c r="CL44" i="1"/>
  <c r="CK44" i="1"/>
  <c r="CJ44" i="1"/>
  <c r="CI44" i="1"/>
  <c r="BZ44" i="1"/>
  <c r="BW44" i="1"/>
  <c r="BU44" i="1"/>
  <c r="BR44" i="1"/>
  <c r="BQ44" i="1"/>
  <c r="BO44" i="1"/>
  <c r="BN44" i="1"/>
  <c r="BM44" i="1"/>
  <c r="BL44" i="1"/>
  <c r="BJ44" i="1"/>
  <c r="BI44" i="1"/>
  <c r="BG44" i="1"/>
  <c r="BF44" i="1"/>
  <c r="BD44" i="1"/>
  <c r="BC44" i="1"/>
  <c r="BA44" i="1"/>
  <c r="AZ44" i="1"/>
  <c r="AY44" i="1"/>
  <c r="AX44" i="1"/>
  <c r="AS44" i="1"/>
  <c r="AQ44" i="1"/>
  <c r="AP44" i="1"/>
  <c r="AO44" i="1"/>
  <c r="AN44" i="1"/>
  <c r="AM44" i="1"/>
  <c r="AL44" i="1"/>
  <c r="AK44" i="1"/>
  <c r="AJ44" i="1"/>
  <c r="AG44" i="1"/>
  <c r="AF44" i="1"/>
  <c r="AE44" i="1"/>
  <c r="AD44" i="1"/>
  <c r="AB44" i="1"/>
  <c r="AA44" i="1"/>
  <c r="Z44" i="1"/>
  <c r="Y44" i="1"/>
  <c r="X44" i="1"/>
  <c r="V44" i="1"/>
  <c r="U44" i="1"/>
  <c r="T44" i="1"/>
  <c r="S44" i="1"/>
  <c r="Q44" i="1"/>
  <c r="P44" i="1"/>
  <c r="N44" i="1"/>
  <c r="M44" i="1"/>
  <c r="K44" i="1"/>
  <c r="J44" i="1"/>
  <c r="H44" i="1"/>
  <c r="G44" i="1"/>
  <c r="F44" i="1"/>
  <c r="E44" i="1"/>
  <c r="CL43" i="1"/>
  <c r="CK43" i="1"/>
  <c r="CJ43" i="1"/>
  <c r="CI43" i="1"/>
  <c r="BZ43" i="1"/>
  <c r="BY43" i="1"/>
  <c r="BX43" i="1"/>
  <c r="BW43" i="1"/>
  <c r="BU43" i="1"/>
  <c r="BO43" i="1"/>
  <c r="BN43" i="1"/>
  <c r="BM43" i="1"/>
  <c r="BL43" i="1"/>
  <c r="BJ43" i="1"/>
  <c r="BI43" i="1"/>
  <c r="BG43" i="1"/>
  <c r="BF43" i="1"/>
  <c r="BD43" i="1"/>
  <c r="BC43" i="1"/>
  <c r="BA43" i="1"/>
  <c r="AZ43" i="1"/>
  <c r="AY43" i="1"/>
  <c r="AX43" i="1"/>
  <c r="AS43" i="1"/>
  <c r="AQ43" i="1"/>
  <c r="AP43" i="1"/>
  <c r="AO43" i="1"/>
  <c r="AN43" i="1"/>
  <c r="AM43" i="1"/>
  <c r="AL43" i="1"/>
  <c r="AK43" i="1"/>
  <c r="AJ43" i="1"/>
  <c r="AG43" i="1"/>
  <c r="AF43" i="1"/>
  <c r="AE43" i="1"/>
  <c r="AD43" i="1"/>
  <c r="AB43" i="1"/>
  <c r="AA43" i="1"/>
  <c r="Z43" i="1"/>
  <c r="Y43" i="1"/>
  <c r="X43" i="1"/>
  <c r="V43" i="1"/>
  <c r="U43" i="1"/>
  <c r="T43" i="1"/>
  <c r="S43" i="1"/>
  <c r="Q43" i="1"/>
  <c r="P43" i="1"/>
  <c r="N43" i="1"/>
  <c r="M43" i="1"/>
  <c r="K43" i="1"/>
  <c r="J43" i="1"/>
  <c r="H43" i="1"/>
  <c r="G43" i="1"/>
  <c r="F43" i="1"/>
  <c r="E43" i="1"/>
  <c r="CL42" i="1"/>
  <c r="CK42" i="1"/>
  <c r="CJ42" i="1"/>
  <c r="CI42" i="1"/>
  <c r="CH42" i="1"/>
  <c r="BZ42" i="1"/>
  <c r="BW42" i="1"/>
  <c r="BU42" i="1"/>
  <c r="BM42" i="1"/>
  <c r="BL42" i="1"/>
  <c r="BJ42" i="1"/>
  <c r="BI42" i="1"/>
  <c r="BG42" i="1"/>
  <c r="BF42" i="1"/>
  <c r="BD42" i="1"/>
  <c r="BC42" i="1"/>
  <c r="BA42" i="1"/>
  <c r="AZ42" i="1"/>
  <c r="AY42" i="1"/>
  <c r="AX42" i="1"/>
  <c r="AS42" i="1"/>
  <c r="AQ42" i="1"/>
  <c r="AP42" i="1"/>
  <c r="AO42" i="1"/>
  <c r="AN42" i="1"/>
  <c r="AM42" i="1"/>
  <c r="AL42" i="1"/>
  <c r="AK42" i="1"/>
  <c r="AJ42" i="1"/>
  <c r="AG42" i="1"/>
  <c r="AF42" i="1"/>
  <c r="AE42" i="1"/>
  <c r="AD42" i="1"/>
  <c r="AB42" i="1"/>
  <c r="AA42" i="1"/>
  <c r="Z42" i="1"/>
  <c r="Y42" i="1"/>
  <c r="X42" i="1"/>
  <c r="V42" i="1"/>
  <c r="U42" i="1"/>
  <c r="T42" i="1"/>
  <c r="S42" i="1"/>
  <c r="Q42" i="1"/>
  <c r="P42" i="1"/>
  <c r="N42" i="1"/>
  <c r="M42" i="1"/>
  <c r="K42" i="1"/>
  <c r="J42" i="1"/>
  <c r="H42" i="1"/>
  <c r="G42" i="1"/>
  <c r="F42" i="1"/>
  <c r="A43" i="1"/>
  <c r="A44" i="1" s="1"/>
  <c r="A45" i="1" s="1"/>
  <c r="A46" i="1" s="1"/>
  <c r="A47" i="1" s="1"/>
  <c r="A48" i="1" s="1"/>
  <c r="A49" i="1" s="1"/>
  <c r="A50" i="1" s="1"/>
  <c r="A51" i="1" s="1"/>
  <c r="A52" i="1" s="1"/>
  <c r="A53" i="1" s="1"/>
  <c r="A54" i="1" s="1"/>
  <c r="A55" i="1" s="1"/>
  <c r="A56" i="1" s="1"/>
  <c r="A57" i="1" s="1"/>
  <c r="A58" i="1" s="1"/>
  <c r="A59" i="1" s="1"/>
  <c r="A60" i="1" s="1"/>
  <c r="A61" i="1" s="1"/>
  <c r="A62" i="1" s="1"/>
  <c r="BS43" i="1"/>
  <c r="BT62" i="1"/>
  <c r="BT54" i="1"/>
  <c r="BT55" i="1"/>
  <c r="BT56" i="1"/>
  <c r="BT57" i="1"/>
  <c r="BT58" i="1"/>
  <c r="BT59" i="1"/>
  <c r="BT60" i="1"/>
  <c r="BT61" i="1"/>
  <c r="BS62" i="1"/>
  <c r="BS55" i="1"/>
  <c r="BS56" i="1"/>
  <c r="BS57" i="1"/>
  <c r="BS58" i="1"/>
  <c r="BS59" i="1"/>
  <c r="BS60" i="1"/>
  <c r="BS61" i="1"/>
  <c r="BS54" i="1"/>
  <c r="BT53" i="1"/>
  <c r="BS53" i="1"/>
  <c r="BS46" i="1"/>
  <c r="BS47" i="1"/>
  <c r="BS48" i="1"/>
  <c r="BS49" i="1"/>
  <c r="BS50" i="1"/>
  <c r="BS51" i="1"/>
  <c r="BS52" i="1"/>
  <c r="BT45" i="1"/>
  <c r="BT46" i="1"/>
  <c r="BT47" i="1"/>
  <c r="BT48" i="1"/>
  <c r="BT49" i="1"/>
  <c r="BT50" i="1"/>
  <c r="BT51" i="1"/>
  <c r="BT52" i="1"/>
  <c r="BS45" i="1"/>
  <c r="EF19" i="3" l="1"/>
  <c r="EK25" i="3"/>
  <c r="EI25" i="3"/>
  <c r="AU23" i="3"/>
  <c r="AU7" i="3"/>
  <c r="EF8" i="3"/>
  <c r="AU22" i="3"/>
  <c r="EI12" i="3"/>
  <c r="EK12" i="3"/>
  <c r="EF13" i="3"/>
  <c r="EF9" i="3"/>
  <c r="EI14" i="3"/>
  <c r="EK14" i="3"/>
  <c r="AU13" i="3"/>
  <c r="AU10" i="3"/>
  <c r="AU21" i="3"/>
  <c r="AU11" i="3"/>
  <c r="AU15" i="3"/>
  <c r="EI16" i="3"/>
  <c r="EK16" i="3"/>
  <c r="EF11" i="3"/>
  <c r="DT26" i="3"/>
  <c r="EF26" i="3" s="1"/>
  <c r="CM26" i="3"/>
  <c r="CM27" i="3" s="1"/>
  <c r="EF15" i="3"/>
  <c r="AU25" i="3"/>
  <c r="EK6" i="3"/>
  <c r="EI6" i="3"/>
  <c r="AU20" i="3"/>
  <c r="AU18" i="3"/>
  <c r="EF23" i="3"/>
  <c r="AU24" i="3"/>
  <c r="CX27" i="3"/>
  <c r="EK18" i="3"/>
  <c r="EI18" i="3"/>
  <c r="EI17" i="3"/>
  <c r="EK17" i="3"/>
  <c r="EF22" i="3"/>
  <c r="EF21" i="3"/>
  <c r="AT27" i="3"/>
  <c r="EI10" i="3"/>
  <c r="EK10" i="3"/>
  <c r="CU27" i="3"/>
  <c r="EF24" i="3"/>
  <c r="EF20" i="3"/>
  <c r="AU19" i="3"/>
  <c r="DA27" i="3"/>
  <c r="EF7" i="3"/>
  <c r="CA27" i="3"/>
  <c r="AU8" i="3"/>
  <c r="BT44" i="1"/>
  <c r="BS44" i="1"/>
  <c r="BT43" i="1"/>
  <c r="BT42" i="1"/>
  <c r="BS42" i="1"/>
  <c r="EK8" i="3" l="1"/>
  <c r="EI8" i="3"/>
  <c r="EK26" i="3"/>
  <c r="EI26" i="3"/>
  <c r="EI21" i="3"/>
  <c r="EK21" i="3"/>
  <c r="EK9" i="3"/>
  <c r="EI9" i="3"/>
  <c r="AU26" i="3"/>
  <c r="EK13" i="3"/>
  <c r="EI13" i="3"/>
  <c r="EK15" i="3"/>
  <c r="EI15" i="3"/>
  <c r="EK24" i="3"/>
  <c r="EI24" i="3"/>
  <c r="EK11" i="3"/>
  <c r="EI11" i="3"/>
  <c r="EK22" i="3"/>
  <c r="EI22" i="3"/>
  <c r="DT27" i="3"/>
  <c r="EK19" i="3"/>
  <c r="EI19" i="3"/>
  <c r="EK20" i="3"/>
  <c r="EI20" i="3"/>
  <c r="EI23" i="3"/>
  <c r="EK23" i="3"/>
  <c r="EI7" i="3"/>
  <c r="EK7" i="3"/>
  <c r="Q18" i="1"/>
  <c r="Q54" i="1" s="1"/>
  <c r="Q19" i="1"/>
  <c r="Q55" i="1" s="1"/>
  <c r="Q20" i="1"/>
  <c r="Q56" i="1" s="1"/>
  <c r="Q21" i="1"/>
  <c r="Q57" i="1" s="1"/>
  <c r="Q24" i="1"/>
  <c r="Q60" i="1" s="1"/>
  <c r="P18" i="1"/>
  <c r="P54" i="1" s="1"/>
  <c r="P19" i="1"/>
  <c r="P20" i="1"/>
  <c r="P56" i="1" s="1"/>
  <c r="P21" i="1"/>
  <c r="P57" i="1" s="1"/>
  <c r="M18" i="1"/>
  <c r="M54" i="1" s="1"/>
  <c r="M19" i="1"/>
  <c r="M20" i="1"/>
  <c r="M56" i="1" s="1"/>
  <c r="M21" i="1"/>
  <c r="M57" i="1" s="1"/>
  <c r="J18" i="1"/>
  <c r="J19" i="1"/>
  <c r="J20" i="1"/>
  <c r="J21" i="1"/>
  <c r="J57" i="1" s="1"/>
  <c r="T26" i="1"/>
  <c r="T62" i="1" s="1"/>
  <c r="S62" i="1"/>
  <c r="BM26" i="1"/>
  <c r="BM62" i="1" s="1"/>
  <c r="CG10" i="1"/>
  <c r="CG46" i="1" s="1"/>
  <c r="CG11" i="1"/>
  <c r="CG47" i="1" s="1"/>
  <c r="CG12" i="1"/>
  <c r="CG48" i="1" s="1"/>
  <c r="CG13" i="1"/>
  <c r="CG49" i="1" s="1"/>
  <c r="CG14" i="1"/>
  <c r="CG50" i="1" s="1"/>
  <c r="CG15" i="1"/>
  <c r="CG51" i="1" s="1"/>
  <c r="CG16" i="1"/>
  <c r="CG52" i="1" s="1"/>
  <c r="CG17" i="1"/>
  <c r="CG53" i="1" s="1"/>
  <c r="CG18" i="1"/>
  <c r="CG54" i="1" s="1"/>
  <c r="CG19" i="1"/>
  <c r="CG55" i="1" s="1"/>
  <c r="CG20" i="1"/>
  <c r="CG56" i="1" s="1"/>
  <c r="CG21" i="1"/>
  <c r="CG57" i="1" s="1"/>
  <c r="CG22" i="1"/>
  <c r="CG58" i="1" s="1"/>
  <c r="CG23" i="1"/>
  <c r="CG59" i="1" s="1"/>
  <c r="CG24" i="1"/>
  <c r="CG60" i="1" s="1"/>
  <c r="CG25" i="1"/>
  <c r="CG61" i="1" s="1"/>
  <c r="CG9" i="1"/>
  <c r="CG45" i="1" s="1"/>
  <c r="CG8" i="1"/>
  <c r="CG44" i="1" s="1"/>
  <c r="BX26" i="1"/>
  <c r="BX62" i="1" s="1"/>
  <c r="CF10" i="1"/>
  <c r="CF46" i="1" s="1"/>
  <c r="CF11" i="1"/>
  <c r="CF47" i="1" s="1"/>
  <c r="CF12" i="1"/>
  <c r="CF48" i="1" s="1"/>
  <c r="CF13" i="1"/>
  <c r="CF49" i="1" s="1"/>
  <c r="CF14" i="1"/>
  <c r="CF50" i="1" s="1"/>
  <c r="CF15" i="1"/>
  <c r="CF51" i="1" s="1"/>
  <c r="CF16" i="1"/>
  <c r="CF52" i="1" s="1"/>
  <c r="CF17" i="1"/>
  <c r="CF53" i="1" s="1"/>
  <c r="CF18" i="1"/>
  <c r="CF54" i="1" s="1"/>
  <c r="CF19" i="1"/>
  <c r="CF55" i="1" s="1"/>
  <c r="CF20" i="1"/>
  <c r="CF56" i="1" s="1"/>
  <c r="CF21" i="1"/>
  <c r="CF57" i="1" s="1"/>
  <c r="CF22" i="1"/>
  <c r="CF58" i="1" s="1"/>
  <c r="CF23" i="1"/>
  <c r="CF59" i="1" s="1"/>
  <c r="CF24" i="1"/>
  <c r="CF60" i="1" s="1"/>
  <c r="CF25" i="1"/>
  <c r="CF61" i="1" s="1"/>
  <c r="CF9" i="1"/>
  <c r="CF45" i="1" s="1"/>
  <c r="CF8" i="1"/>
  <c r="CF44" i="1" s="1"/>
  <c r="CE11" i="1"/>
  <c r="CE47" i="1" s="1"/>
  <c r="CE12" i="1"/>
  <c r="CE48" i="1" s="1"/>
  <c r="CE13" i="1"/>
  <c r="CE49" i="1" s="1"/>
  <c r="CE14" i="1"/>
  <c r="CE50" i="1" s="1"/>
  <c r="CE15" i="1"/>
  <c r="CE51" i="1" s="1"/>
  <c r="CE16" i="1"/>
  <c r="CE52" i="1" s="1"/>
  <c r="CE17" i="1"/>
  <c r="CE53" i="1" s="1"/>
  <c r="CE18" i="1"/>
  <c r="CE54" i="1" s="1"/>
  <c r="CE19" i="1"/>
  <c r="CE55" i="1" s="1"/>
  <c r="CE20" i="1"/>
  <c r="CE56" i="1" s="1"/>
  <c r="CE21" i="1"/>
  <c r="CE57" i="1" s="1"/>
  <c r="CE22" i="1"/>
  <c r="CE58" i="1" s="1"/>
  <c r="CE23" i="1"/>
  <c r="CE59" i="1" s="1"/>
  <c r="CE24" i="1"/>
  <c r="CE60" i="1" s="1"/>
  <c r="CE25" i="1"/>
  <c r="CE61" i="1" s="1"/>
  <c r="CE62" i="1"/>
  <c r="CE10" i="1"/>
  <c r="CE46" i="1" s="1"/>
  <c r="CE9" i="1"/>
  <c r="CE45" i="1" s="1"/>
  <c r="CE8" i="1"/>
  <c r="CE44" i="1" s="1"/>
  <c r="BX8" i="1"/>
  <c r="BX44" i="1" s="1"/>
  <c r="CD10" i="1"/>
  <c r="CD46" i="1" s="1"/>
  <c r="CD11" i="1"/>
  <c r="CD47" i="1" s="1"/>
  <c r="CD12" i="1"/>
  <c r="CD48" i="1" s="1"/>
  <c r="CD13" i="1"/>
  <c r="CD49" i="1" s="1"/>
  <c r="CD14" i="1"/>
  <c r="CD50" i="1" s="1"/>
  <c r="CD15" i="1"/>
  <c r="CD51" i="1" s="1"/>
  <c r="CD16" i="1"/>
  <c r="CD52" i="1" s="1"/>
  <c r="CD17" i="1"/>
  <c r="CD53" i="1" s="1"/>
  <c r="CD18" i="1"/>
  <c r="CD54" i="1" s="1"/>
  <c r="CD19" i="1"/>
  <c r="CD55" i="1" s="1"/>
  <c r="CD20" i="1"/>
  <c r="CD56" i="1" s="1"/>
  <c r="CD21" i="1"/>
  <c r="CD57" i="1" s="1"/>
  <c r="CD22" i="1"/>
  <c r="CD58" i="1" s="1"/>
  <c r="CD23" i="1"/>
  <c r="CD59" i="1" s="1"/>
  <c r="CD24" i="1"/>
  <c r="CD60" i="1" s="1"/>
  <c r="CD25" i="1"/>
  <c r="CD61" i="1" s="1"/>
  <c r="CD9" i="1"/>
  <c r="CD45" i="1" s="1"/>
  <c r="CD8" i="1"/>
  <c r="CD44" i="1" s="1"/>
  <c r="CD7" i="1"/>
  <c r="CD43" i="1" s="1"/>
  <c r="CI26" i="1"/>
  <c r="CI62" i="1" s="1"/>
  <c r="CJ26" i="1"/>
  <c r="CJ62" i="1" s="1"/>
  <c r="CK26" i="1"/>
  <c r="CK62" i="1" s="1"/>
  <c r="CL26" i="1"/>
  <c r="CL62" i="1" s="1"/>
  <c r="CC10" i="1"/>
  <c r="CC46" i="1" s="1"/>
  <c r="CC11" i="1"/>
  <c r="CC47" i="1" s="1"/>
  <c r="CC12" i="1"/>
  <c r="CC48" i="1" s="1"/>
  <c r="CC13" i="1"/>
  <c r="CC49" i="1" s="1"/>
  <c r="CC14" i="1"/>
  <c r="CC50" i="1" s="1"/>
  <c r="CC15" i="1"/>
  <c r="CC51" i="1" s="1"/>
  <c r="CC16" i="1"/>
  <c r="CC52" i="1" s="1"/>
  <c r="CC17" i="1"/>
  <c r="CC53" i="1" s="1"/>
  <c r="CC18" i="1"/>
  <c r="CC54" i="1" s="1"/>
  <c r="CC19" i="1"/>
  <c r="CC55" i="1" s="1"/>
  <c r="CC20" i="1"/>
  <c r="CC56" i="1" s="1"/>
  <c r="CC21" i="1"/>
  <c r="CC57" i="1" s="1"/>
  <c r="CC22" i="1"/>
  <c r="CC58" i="1" s="1"/>
  <c r="CC23" i="1"/>
  <c r="CC59" i="1" s="1"/>
  <c r="CC24" i="1"/>
  <c r="CC60" i="1" s="1"/>
  <c r="CC25" i="1"/>
  <c r="CC9" i="1"/>
  <c r="CC45" i="1" s="1"/>
  <c r="CC8" i="1"/>
  <c r="CC44" i="1" s="1"/>
  <c r="CC7" i="1"/>
  <c r="CC43" i="1" s="1"/>
  <c r="CC6" i="1"/>
  <c r="CC42" i="1" s="1"/>
  <c r="CH10" i="1"/>
  <c r="CH46" i="1" s="1"/>
  <c r="CH11" i="1"/>
  <c r="CH47" i="1" s="1"/>
  <c r="CH12" i="1"/>
  <c r="CH48" i="1" s="1"/>
  <c r="CH13" i="1"/>
  <c r="CH49" i="1" s="1"/>
  <c r="CH14" i="1"/>
  <c r="CH50" i="1" s="1"/>
  <c r="CH15" i="1"/>
  <c r="CH51" i="1" s="1"/>
  <c r="CH16" i="1"/>
  <c r="CH52" i="1" s="1"/>
  <c r="CH17" i="1"/>
  <c r="CH53" i="1" s="1"/>
  <c r="CH18" i="1"/>
  <c r="CH54" i="1" s="1"/>
  <c r="CH19" i="1"/>
  <c r="CH55" i="1" s="1"/>
  <c r="CH20" i="1"/>
  <c r="CH56" i="1" s="1"/>
  <c r="CH21" i="1"/>
  <c r="CH57" i="1" s="1"/>
  <c r="CH22" i="1"/>
  <c r="CH58" i="1" s="1"/>
  <c r="CH23" i="1"/>
  <c r="CH59" i="1" s="1"/>
  <c r="CH24" i="1"/>
  <c r="CH60" i="1" s="1"/>
  <c r="CH25" i="1"/>
  <c r="CH9" i="1"/>
  <c r="CH45" i="1" s="1"/>
  <c r="CH8" i="1"/>
  <c r="CH44" i="1" s="1"/>
  <c r="CH7" i="1"/>
  <c r="CH43" i="1" s="1"/>
  <c r="EI27" i="3" l="1"/>
  <c r="EK27" i="3"/>
  <c r="AU27" i="3"/>
  <c r="EF27" i="3"/>
  <c r="P23" i="1"/>
  <c r="P59" i="1" s="1"/>
  <c r="CG26" i="1"/>
  <c r="CG62" i="1" s="1"/>
  <c r="Q23" i="1"/>
  <c r="Q59" i="1" s="1"/>
  <c r="P25" i="1"/>
  <c r="P61" i="1" s="1"/>
  <c r="M25" i="1"/>
  <c r="M61" i="1" s="1"/>
  <c r="J23" i="1"/>
  <c r="J59" i="1" s="1"/>
  <c r="J54" i="1"/>
  <c r="M23" i="1"/>
  <c r="M59" i="1" s="1"/>
  <c r="J25" i="1"/>
  <c r="J61" i="1" s="1"/>
  <c r="J56" i="1"/>
  <c r="CH26" i="1"/>
  <c r="CH62" i="1" s="1"/>
  <c r="CH61" i="1"/>
  <c r="P24" i="1"/>
  <c r="P60" i="1" s="1"/>
  <c r="P55" i="1"/>
  <c r="CC26" i="1"/>
  <c r="CC62" i="1" s="1"/>
  <c r="CC61" i="1"/>
  <c r="J24" i="1"/>
  <c r="J60" i="1" s="1"/>
  <c r="J55" i="1"/>
  <c r="CF26" i="1"/>
  <c r="CF62" i="1" s="1"/>
  <c r="CD26" i="1"/>
  <c r="CD62" i="1" s="1"/>
  <c r="M24" i="1"/>
  <c r="M60" i="1" s="1"/>
  <c r="M55" i="1"/>
  <c r="Q25" i="1"/>
  <c r="Q61" i="1" s="1"/>
  <c r="EA7" i="1"/>
  <c r="EA43" i="1" s="1"/>
  <c r="DZ18" i="1"/>
  <c r="DZ54" i="1" s="1"/>
  <c r="DZ19" i="1"/>
  <c r="DZ55" i="1" s="1"/>
  <c r="DZ20" i="1"/>
  <c r="DZ56" i="1" s="1"/>
  <c r="DY20" i="1"/>
  <c r="DY56" i="1" s="1"/>
  <c r="DX18" i="1"/>
  <c r="DX54" i="1" s="1"/>
  <c r="DX20" i="1"/>
  <c r="DX56" i="1" s="1"/>
  <c r="DX25" i="1"/>
  <c r="DX61" i="1" s="1"/>
  <c r="DW20" i="1"/>
  <c r="DW56" i="1" s="1"/>
  <c r="DV18" i="1"/>
  <c r="DV54" i="1" s="1"/>
  <c r="CB21" i="1"/>
  <c r="CQ7" i="1"/>
  <c r="CQ43" i="1" s="1"/>
  <c r="CR7" i="1"/>
  <c r="CR43" i="1" s="1"/>
  <c r="CS7" i="1"/>
  <c r="CS43" i="1" s="1"/>
  <c r="CT7" i="1"/>
  <c r="CT43" i="1" s="1"/>
  <c r="CV7" i="1"/>
  <c r="CV43" i="1" s="1"/>
  <c r="CW7" i="1"/>
  <c r="CW43" i="1" s="1"/>
  <c r="CY7" i="1"/>
  <c r="CY43" i="1" s="1"/>
  <c r="CZ7" i="1"/>
  <c r="CZ43" i="1" s="1"/>
  <c r="DB7" i="1"/>
  <c r="DB43" i="1" s="1"/>
  <c r="DC7" i="1"/>
  <c r="DC43" i="1" s="1"/>
  <c r="DE7" i="1"/>
  <c r="DE43" i="1" s="1"/>
  <c r="DF7" i="1"/>
  <c r="DF43" i="1" s="1"/>
  <c r="DG7" i="1"/>
  <c r="DG43" i="1" s="1"/>
  <c r="DH7" i="1"/>
  <c r="DH43" i="1" s="1"/>
  <c r="DN7" i="1"/>
  <c r="DN43" i="1" s="1"/>
  <c r="DP7" i="1"/>
  <c r="DP43" i="1" s="1"/>
  <c r="DQ7" i="1"/>
  <c r="DQ43" i="1" s="1"/>
  <c r="DR7" i="1"/>
  <c r="DR43" i="1" s="1"/>
  <c r="DS7" i="1"/>
  <c r="DS43" i="1" s="1"/>
  <c r="EB7" i="1"/>
  <c r="EB43" i="1" s="1"/>
  <c r="EC7" i="1"/>
  <c r="EC43" i="1" s="1"/>
  <c r="EE7" i="1"/>
  <c r="EE43" i="1" s="1"/>
  <c r="CQ8" i="1"/>
  <c r="CQ44" i="1" s="1"/>
  <c r="CR8" i="1"/>
  <c r="CR44" i="1" s="1"/>
  <c r="CS8" i="1"/>
  <c r="CS44" i="1" s="1"/>
  <c r="CT8" i="1"/>
  <c r="CT44" i="1" s="1"/>
  <c r="CV8" i="1"/>
  <c r="CV44" i="1" s="1"/>
  <c r="CW8" i="1"/>
  <c r="CW44" i="1" s="1"/>
  <c r="CY8" i="1"/>
  <c r="CY44" i="1" s="1"/>
  <c r="CZ8" i="1"/>
  <c r="CZ44" i="1" s="1"/>
  <c r="DB8" i="1"/>
  <c r="DB44" i="1" s="1"/>
  <c r="DC8" i="1"/>
  <c r="DC44" i="1" s="1"/>
  <c r="DE8" i="1"/>
  <c r="DE44" i="1" s="1"/>
  <c r="DF8" i="1"/>
  <c r="DF44" i="1" s="1"/>
  <c r="DG8" i="1"/>
  <c r="DG44" i="1" s="1"/>
  <c r="DH8" i="1"/>
  <c r="DH44" i="1" s="1"/>
  <c r="DJ8" i="1"/>
  <c r="DJ44" i="1" s="1"/>
  <c r="DK8" i="1"/>
  <c r="DK44" i="1" s="1"/>
  <c r="DN8" i="1"/>
  <c r="DN44" i="1" s="1"/>
  <c r="DP8" i="1"/>
  <c r="DP44" i="1" s="1"/>
  <c r="DS8" i="1"/>
  <c r="DS44" i="1" s="1"/>
  <c r="EA8" i="1"/>
  <c r="EA44" i="1" s="1"/>
  <c r="EB8" i="1"/>
  <c r="EB44" i="1" s="1"/>
  <c r="EC8" i="1"/>
  <c r="EC44" i="1" s="1"/>
  <c r="EE8" i="1"/>
  <c r="EE44" i="1" s="1"/>
  <c r="CQ9" i="1"/>
  <c r="CQ45" i="1" s="1"/>
  <c r="CR9" i="1"/>
  <c r="CR45" i="1" s="1"/>
  <c r="CS9" i="1"/>
  <c r="CS45" i="1" s="1"/>
  <c r="CT9" i="1"/>
  <c r="CT45" i="1" s="1"/>
  <c r="CV9" i="1"/>
  <c r="CV45" i="1" s="1"/>
  <c r="CW9" i="1"/>
  <c r="CW45" i="1" s="1"/>
  <c r="CY9" i="1"/>
  <c r="CY45" i="1" s="1"/>
  <c r="CZ9" i="1"/>
  <c r="CZ45" i="1" s="1"/>
  <c r="DB9" i="1"/>
  <c r="DB45" i="1" s="1"/>
  <c r="DC9" i="1"/>
  <c r="DC45" i="1" s="1"/>
  <c r="DE9" i="1"/>
  <c r="DE45" i="1" s="1"/>
  <c r="DF9" i="1"/>
  <c r="DF45" i="1" s="1"/>
  <c r="DG9" i="1"/>
  <c r="DG45" i="1" s="1"/>
  <c r="DH9" i="1"/>
  <c r="DH45" i="1" s="1"/>
  <c r="DJ9" i="1"/>
  <c r="DJ45" i="1" s="1"/>
  <c r="DK9" i="1"/>
  <c r="DK45" i="1" s="1"/>
  <c r="DN9" i="1"/>
  <c r="DN45" i="1" s="1"/>
  <c r="DP9" i="1"/>
  <c r="DP45" i="1" s="1"/>
  <c r="DQ9" i="1"/>
  <c r="DQ45" i="1" s="1"/>
  <c r="DR9" i="1"/>
  <c r="DR45" i="1" s="1"/>
  <c r="DS9" i="1"/>
  <c r="DS45" i="1" s="1"/>
  <c r="EA9" i="1"/>
  <c r="EA45" i="1" s="1"/>
  <c r="EB9" i="1"/>
  <c r="EB45" i="1" s="1"/>
  <c r="EC9" i="1"/>
  <c r="EC45" i="1" s="1"/>
  <c r="EE9" i="1"/>
  <c r="EE45" i="1" s="1"/>
  <c r="CQ10" i="1"/>
  <c r="CQ46" i="1" s="1"/>
  <c r="CR10" i="1"/>
  <c r="CR46" i="1" s="1"/>
  <c r="CS10" i="1"/>
  <c r="CS46" i="1" s="1"/>
  <c r="CT10" i="1"/>
  <c r="CT46" i="1" s="1"/>
  <c r="CV10" i="1"/>
  <c r="CV46" i="1" s="1"/>
  <c r="CW10" i="1"/>
  <c r="CW46" i="1" s="1"/>
  <c r="CY10" i="1"/>
  <c r="CY46" i="1" s="1"/>
  <c r="CZ10" i="1"/>
  <c r="CZ46" i="1" s="1"/>
  <c r="DB10" i="1"/>
  <c r="DB46" i="1" s="1"/>
  <c r="DC10" i="1"/>
  <c r="DC46" i="1" s="1"/>
  <c r="DE10" i="1"/>
  <c r="DE46" i="1" s="1"/>
  <c r="DF10" i="1"/>
  <c r="DF46" i="1" s="1"/>
  <c r="DG10" i="1"/>
  <c r="DG46" i="1" s="1"/>
  <c r="DH10" i="1"/>
  <c r="DH46" i="1" s="1"/>
  <c r="DJ10" i="1"/>
  <c r="DJ46" i="1" s="1"/>
  <c r="DK10" i="1"/>
  <c r="DK46" i="1" s="1"/>
  <c r="DN10" i="1"/>
  <c r="DN46" i="1" s="1"/>
  <c r="DP10" i="1"/>
  <c r="DP46" i="1" s="1"/>
  <c r="DQ10" i="1"/>
  <c r="DQ46" i="1" s="1"/>
  <c r="DR10" i="1"/>
  <c r="DR46" i="1" s="1"/>
  <c r="DS10" i="1"/>
  <c r="DS46" i="1" s="1"/>
  <c r="EA10" i="1"/>
  <c r="EA46" i="1" s="1"/>
  <c r="EB10" i="1"/>
  <c r="EB46" i="1" s="1"/>
  <c r="EC10" i="1"/>
  <c r="EC46" i="1" s="1"/>
  <c r="ED10" i="1"/>
  <c r="ED46" i="1" s="1"/>
  <c r="EE10" i="1"/>
  <c r="EE46" i="1" s="1"/>
  <c r="CQ11" i="1"/>
  <c r="CQ47" i="1" s="1"/>
  <c r="CR11" i="1"/>
  <c r="CR47" i="1" s="1"/>
  <c r="CS11" i="1"/>
  <c r="CS47" i="1" s="1"/>
  <c r="CT11" i="1"/>
  <c r="CT47" i="1" s="1"/>
  <c r="CV11" i="1"/>
  <c r="CV47" i="1" s="1"/>
  <c r="CW11" i="1"/>
  <c r="CW47" i="1" s="1"/>
  <c r="CY11" i="1"/>
  <c r="CY47" i="1" s="1"/>
  <c r="CZ11" i="1"/>
  <c r="CZ47" i="1" s="1"/>
  <c r="DB11" i="1"/>
  <c r="DB47" i="1" s="1"/>
  <c r="DC11" i="1"/>
  <c r="DC47" i="1" s="1"/>
  <c r="DE11" i="1"/>
  <c r="DE47" i="1" s="1"/>
  <c r="DF11" i="1"/>
  <c r="DF47" i="1" s="1"/>
  <c r="DG11" i="1"/>
  <c r="DG47" i="1" s="1"/>
  <c r="DH11" i="1"/>
  <c r="DH47" i="1" s="1"/>
  <c r="DJ11" i="1"/>
  <c r="DJ47" i="1" s="1"/>
  <c r="DK11" i="1"/>
  <c r="DK47" i="1" s="1"/>
  <c r="DN11" i="1"/>
  <c r="DN47" i="1" s="1"/>
  <c r="DP11" i="1"/>
  <c r="DP47" i="1" s="1"/>
  <c r="DQ11" i="1"/>
  <c r="DQ47" i="1" s="1"/>
  <c r="DR11" i="1"/>
  <c r="DR47" i="1" s="1"/>
  <c r="DS11" i="1"/>
  <c r="DS47" i="1" s="1"/>
  <c r="EA11" i="1"/>
  <c r="EA47" i="1" s="1"/>
  <c r="EB11" i="1"/>
  <c r="EB47" i="1" s="1"/>
  <c r="EC11" i="1"/>
  <c r="EC47" i="1" s="1"/>
  <c r="ED11" i="1"/>
  <c r="ED47" i="1" s="1"/>
  <c r="EE11" i="1"/>
  <c r="EE47" i="1" s="1"/>
  <c r="CQ12" i="1"/>
  <c r="CQ48" i="1" s="1"/>
  <c r="CR12" i="1"/>
  <c r="CR48" i="1" s="1"/>
  <c r="CS12" i="1"/>
  <c r="CS48" i="1" s="1"/>
  <c r="CT12" i="1"/>
  <c r="CT48" i="1" s="1"/>
  <c r="CV12" i="1"/>
  <c r="CV48" i="1" s="1"/>
  <c r="CW12" i="1"/>
  <c r="CW48" i="1" s="1"/>
  <c r="CY12" i="1"/>
  <c r="CY48" i="1" s="1"/>
  <c r="CZ12" i="1"/>
  <c r="CZ48" i="1" s="1"/>
  <c r="DB12" i="1"/>
  <c r="DB48" i="1" s="1"/>
  <c r="DC12" i="1"/>
  <c r="DC48" i="1" s="1"/>
  <c r="DE12" i="1"/>
  <c r="DE48" i="1" s="1"/>
  <c r="DF12" i="1"/>
  <c r="DF48" i="1" s="1"/>
  <c r="DG12" i="1"/>
  <c r="DG48" i="1" s="1"/>
  <c r="DH12" i="1"/>
  <c r="DH48" i="1" s="1"/>
  <c r="DJ12" i="1"/>
  <c r="DJ48" i="1" s="1"/>
  <c r="DK12" i="1"/>
  <c r="DK48" i="1" s="1"/>
  <c r="DN12" i="1"/>
  <c r="DN48" i="1" s="1"/>
  <c r="DP12" i="1"/>
  <c r="DP48" i="1" s="1"/>
  <c r="DQ12" i="1"/>
  <c r="DQ48" i="1" s="1"/>
  <c r="DR12" i="1"/>
  <c r="DR48" i="1" s="1"/>
  <c r="DS12" i="1"/>
  <c r="DS48" i="1" s="1"/>
  <c r="EA12" i="1"/>
  <c r="EA48" i="1" s="1"/>
  <c r="EB12" i="1"/>
  <c r="EB48" i="1" s="1"/>
  <c r="EC12" i="1"/>
  <c r="EC48" i="1" s="1"/>
  <c r="ED12" i="1"/>
  <c r="ED48" i="1" s="1"/>
  <c r="EE12" i="1"/>
  <c r="EE48" i="1" s="1"/>
  <c r="CQ13" i="1"/>
  <c r="CQ49" i="1" s="1"/>
  <c r="CR13" i="1"/>
  <c r="CR49" i="1" s="1"/>
  <c r="CS13" i="1"/>
  <c r="CS49" i="1" s="1"/>
  <c r="CT13" i="1"/>
  <c r="CT49" i="1" s="1"/>
  <c r="CV13" i="1"/>
  <c r="CV49" i="1" s="1"/>
  <c r="CW13" i="1"/>
  <c r="CW49" i="1" s="1"/>
  <c r="CY13" i="1"/>
  <c r="CY49" i="1" s="1"/>
  <c r="CZ13" i="1"/>
  <c r="CZ49" i="1" s="1"/>
  <c r="DB13" i="1"/>
  <c r="DB49" i="1" s="1"/>
  <c r="DC13" i="1"/>
  <c r="DC49" i="1" s="1"/>
  <c r="DE13" i="1"/>
  <c r="DE49" i="1" s="1"/>
  <c r="DF13" i="1"/>
  <c r="DF49" i="1" s="1"/>
  <c r="DG13" i="1"/>
  <c r="DG49" i="1" s="1"/>
  <c r="DH13" i="1"/>
  <c r="DH49" i="1" s="1"/>
  <c r="DJ13" i="1"/>
  <c r="DJ49" i="1" s="1"/>
  <c r="DK13" i="1"/>
  <c r="DK49" i="1" s="1"/>
  <c r="DL13" i="1"/>
  <c r="DL49" i="1" s="1"/>
  <c r="DM13" i="1"/>
  <c r="DM49" i="1" s="1"/>
  <c r="DN13" i="1"/>
  <c r="DN49" i="1" s="1"/>
  <c r="DP13" i="1"/>
  <c r="DP49" i="1" s="1"/>
  <c r="DQ13" i="1"/>
  <c r="DQ49" i="1" s="1"/>
  <c r="DR13" i="1"/>
  <c r="DR49" i="1" s="1"/>
  <c r="DS13" i="1"/>
  <c r="DS49" i="1" s="1"/>
  <c r="DV13" i="1"/>
  <c r="DV49" i="1" s="1"/>
  <c r="DW13" i="1"/>
  <c r="DW49" i="1" s="1"/>
  <c r="DX13" i="1"/>
  <c r="DX49" i="1" s="1"/>
  <c r="DY13" i="1"/>
  <c r="DY49" i="1" s="1"/>
  <c r="DZ13" i="1"/>
  <c r="DZ49" i="1" s="1"/>
  <c r="EA13" i="1"/>
  <c r="EA49" i="1" s="1"/>
  <c r="EB13" i="1"/>
  <c r="EB49" i="1" s="1"/>
  <c r="EC13" i="1"/>
  <c r="EC49" i="1" s="1"/>
  <c r="ED13" i="1"/>
  <c r="ED49" i="1" s="1"/>
  <c r="EE13" i="1"/>
  <c r="EE49" i="1" s="1"/>
  <c r="CQ14" i="1"/>
  <c r="CQ50" i="1" s="1"/>
  <c r="CR14" i="1"/>
  <c r="CR50" i="1" s="1"/>
  <c r="CS14" i="1"/>
  <c r="CS50" i="1" s="1"/>
  <c r="CT14" i="1"/>
  <c r="CT50" i="1" s="1"/>
  <c r="CV14" i="1"/>
  <c r="CV50" i="1" s="1"/>
  <c r="CW14" i="1"/>
  <c r="CW50" i="1" s="1"/>
  <c r="CY14" i="1"/>
  <c r="CY50" i="1" s="1"/>
  <c r="CZ14" i="1"/>
  <c r="CZ50" i="1" s="1"/>
  <c r="DB14" i="1"/>
  <c r="DB50" i="1" s="1"/>
  <c r="DC14" i="1"/>
  <c r="DC50" i="1" s="1"/>
  <c r="DE14" i="1"/>
  <c r="DE50" i="1" s="1"/>
  <c r="DF14" i="1"/>
  <c r="DF50" i="1" s="1"/>
  <c r="DG14" i="1"/>
  <c r="DG50" i="1" s="1"/>
  <c r="DH14" i="1"/>
  <c r="DH50" i="1" s="1"/>
  <c r="DJ14" i="1"/>
  <c r="DJ50" i="1" s="1"/>
  <c r="DK14" i="1"/>
  <c r="DK50" i="1" s="1"/>
  <c r="DL14" i="1"/>
  <c r="DL50" i="1" s="1"/>
  <c r="DM14" i="1"/>
  <c r="DM50" i="1" s="1"/>
  <c r="DN14" i="1"/>
  <c r="DN50" i="1" s="1"/>
  <c r="DP14" i="1"/>
  <c r="DP50" i="1" s="1"/>
  <c r="DQ14" i="1"/>
  <c r="DQ50" i="1" s="1"/>
  <c r="DR14" i="1"/>
  <c r="DR50" i="1" s="1"/>
  <c r="DS14" i="1"/>
  <c r="DS50" i="1" s="1"/>
  <c r="DV14" i="1"/>
  <c r="DV50" i="1" s="1"/>
  <c r="DW14" i="1"/>
  <c r="DW50" i="1" s="1"/>
  <c r="DX14" i="1"/>
  <c r="DX50" i="1" s="1"/>
  <c r="DY14" i="1"/>
  <c r="DY50" i="1" s="1"/>
  <c r="DZ14" i="1"/>
  <c r="DZ50" i="1" s="1"/>
  <c r="EA14" i="1"/>
  <c r="EA50" i="1" s="1"/>
  <c r="EB14" i="1"/>
  <c r="EB50" i="1" s="1"/>
  <c r="EC14" i="1"/>
  <c r="EC50" i="1" s="1"/>
  <c r="ED14" i="1"/>
  <c r="ED50" i="1" s="1"/>
  <c r="EE14" i="1"/>
  <c r="EE50" i="1" s="1"/>
  <c r="CQ15" i="1"/>
  <c r="CQ51" i="1" s="1"/>
  <c r="CR15" i="1"/>
  <c r="CR51" i="1" s="1"/>
  <c r="CS15" i="1"/>
  <c r="CS51" i="1" s="1"/>
  <c r="CT15" i="1"/>
  <c r="CT51" i="1" s="1"/>
  <c r="CV15" i="1"/>
  <c r="CV51" i="1" s="1"/>
  <c r="CW15" i="1"/>
  <c r="CW51" i="1" s="1"/>
  <c r="CY15" i="1"/>
  <c r="CY51" i="1" s="1"/>
  <c r="CZ15" i="1"/>
  <c r="CZ51" i="1" s="1"/>
  <c r="DB15" i="1"/>
  <c r="DB51" i="1" s="1"/>
  <c r="DC15" i="1"/>
  <c r="DC51" i="1" s="1"/>
  <c r="DE15" i="1"/>
  <c r="DE51" i="1" s="1"/>
  <c r="DF15" i="1"/>
  <c r="DF51" i="1" s="1"/>
  <c r="DG15" i="1"/>
  <c r="DG51" i="1" s="1"/>
  <c r="DH15" i="1"/>
  <c r="DH51" i="1" s="1"/>
  <c r="DJ15" i="1"/>
  <c r="DJ51" i="1" s="1"/>
  <c r="DK15" i="1"/>
  <c r="DK51" i="1" s="1"/>
  <c r="DL15" i="1"/>
  <c r="DL51" i="1" s="1"/>
  <c r="DM15" i="1"/>
  <c r="DM51" i="1" s="1"/>
  <c r="DN15" i="1"/>
  <c r="DN51" i="1" s="1"/>
  <c r="DP15" i="1"/>
  <c r="DP51" i="1" s="1"/>
  <c r="DQ15" i="1"/>
  <c r="DQ51" i="1" s="1"/>
  <c r="DR15" i="1"/>
  <c r="DR51" i="1" s="1"/>
  <c r="DS15" i="1"/>
  <c r="DS51" i="1" s="1"/>
  <c r="DV15" i="1"/>
  <c r="DV51" i="1" s="1"/>
  <c r="DW15" i="1"/>
  <c r="DW51" i="1" s="1"/>
  <c r="DX15" i="1"/>
  <c r="DX51" i="1" s="1"/>
  <c r="DY15" i="1"/>
  <c r="DY51" i="1" s="1"/>
  <c r="DZ15" i="1"/>
  <c r="DZ51" i="1" s="1"/>
  <c r="EA15" i="1"/>
  <c r="EA51" i="1" s="1"/>
  <c r="EB15" i="1"/>
  <c r="EB51" i="1" s="1"/>
  <c r="EC15" i="1"/>
  <c r="EC51" i="1" s="1"/>
  <c r="ED15" i="1"/>
  <c r="ED51" i="1" s="1"/>
  <c r="EE15" i="1"/>
  <c r="EE51" i="1" s="1"/>
  <c r="CQ16" i="1"/>
  <c r="CQ52" i="1" s="1"/>
  <c r="CR16" i="1"/>
  <c r="CR52" i="1" s="1"/>
  <c r="CS16" i="1"/>
  <c r="CS52" i="1" s="1"/>
  <c r="CT16" i="1"/>
  <c r="CT52" i="1" s="1"/>
  <c r="CV16" i="1"/>
  <c r="CV52" i="1" s="1"/>
  <c r="CW16" i="1"/>
  <c r="CW52" i="1" s="1"/>
  <c r="CY16" i="1"/>
  <c r="CY52" i="1" s="1"/>
  <c r="CZ16" i="1"/>
  <c r="CZ52" i="1" s="1"/>
  <c r="DB16" i="1"/>
  <c r="DB52" i="1" s="1"/>
  <c r="DC16" i="1"/>
  <c r="DC52" i="1" s="1"/>
  <c r="DE16" i="1"/>
  <c r="DE52" i="1" s="1"/>
  <c r="DF16" i="1"/>
  <c r="DF52" i="1" s="1"/>
  <c r="DG16" i="1"/>
  <c r="DG52" i="1" s="1"/>
  <c r="DH16" i="1"/>
  <c r="DH52" i="1" s="1"/>
  <c r="DJ16" i="1"/>
  <c r="DJ52" i="1" s="1"/>
  <c r="DK16" i="1"/>
  <c r="DK52" i="1" s="1"/>
  <c r="DL16" i="1"/>
  <c r="DL52" i="1" s="1"/>
  <c r="DM16" i="1"/>
  <c r="DM52" i="1" s="1"/>
  <c r="DN16" i="1"/>
  <c r="DN52" i="1" s="1"/>
  <c r="DP16" i="1"/>
  <c r="DP52" i="1" s="1"/>
  <c r="DQ16" i="1"/>
  <c r="DQ52" i="1" s="1"/>
  <c r="DR16" i="1"/>
  <c r="DR52" i="1" s="1"/>
  <c r="DS16" i="1"/>
  <c r="DS52" i="1" s="1"/>
  <c r="DV16" i="1"/>
  <c r="DV52" i="1" s="1"/>
  <c r="DW16" i="1"/>
  <c r="DW52" i="1" s="1"/>
  <c r="DX16" i="1"/>
  <c r="DX52" i="1" s="1"/>
  <c r="DY16" i="1"/>
  <c r="DY52" i="1" s="1"/>
  <c r="DZ16" i="1"/>
  <c r="DZ52" i="1" s="1"/>
  <c r="EA16" i="1"/>
  <c r="EA52" i="1" s="1"/>
  <c r="EB16" i="1"/>
  <c r="EB52" i="1" s="1"/>
  <c r="EC16" i="1"/>
  <c r="EC52" i="1" s="1"/>
  <c r="ED16" i="1"/>
  <c r="ED52" i="1" s="1"/>
  <c r="EE16" i="1"/>
  <c r="EE52" i="1" s="1"/>
  <c r="CW17" i="1"/>
  <c r="CW53" i="1" s="1"/>
  <c r="CZ17" i="1"/>
  <c r="CZ53" i="1" s="1"/>
  <c r="DE17" i="1"/>
  <c r="DE53" i="1" s="1"/>
  <c r="DF17" i="1"/>
  <c r="DF53" i="1" s="1"/>
  <c r="DG17" i="1"/>
  <c r="DG53" i="1" s="1"/>
  <c r="DH17" i="1"/>
  <c r="DH53" i="1" s="1"/>
  <c r="DJ17" i="1"/>
  <c r="DJ53" i="1" s="1"/>
  <c r="DK17" i="1"/>
  <c r="DK53" i="1" s="1"/>
  <c r="DN17" i="1"/>
  <c r="DN53" i="1" s="1"/>
  <c r="DP17" i="1"/>
  <c r="DP53" i="1" s="1"/>
  <c r="DQ17" i="1"/>
  <c r="DQ53" i="1" s="1"/>
  <c r="DR17" i="1"/>
  <c r="DR53" i="1" s="1"/>
  <c r="DS17" i="1"/>
  <c r="DS53" i="1" s="1"/>
  <c r="EA17" i="1"/>
  <c r="EA53" i="1" s="1"/>
  <c r="EB17" i="1"/>
  <c r="EB53" i="1" s="1"/>
  <c r="EC17" i="1"/>
  <c r="EC53" i="1" s="1"/>
  <c r="ED17" i="1"/>
  <c r="ED53" i="1" s="1"/>
  <c r="EE17" i="1"/>
  <c r="EE53" i="1" s="1"/>
  <c r="CQ18" i="1"/>
  <c r="CQ54" i="1" s="1"/>
  <c r="CR18" i="1"/>
  <c r="CR54" i="1" s="1"/>
  <c r="CS18" i="1"/>
  <c r="CS54" i="1" s="1"/>
  <c r="CT18" i="1"/>
  <c r="CT54" i="1" s="1"/>
  <c r="CV18" i="1"/>
  <c r="CV54" i="1" s="1"/>
  <c r="CW18" i="1"/>
  <c r="CW54" i="1" s="1"/>
  <c r="CY18" i="1"/>
  <c r="CY54" i="1" s="1"/>
  <c r="CZ18" i="1"/>
  <c r="CZ54" i="1" s="1"/>
  <c r="DB18" i="1"/>
  <c r="DB54" i="1" s="1"/>
  <c r="DC18" i="1"/>
  <c r="DC54" i="1" s="1"/>
  <c r="DE18" i="1"/>
  <c r="DE54" i="1" s="1"/>
  <c r="DF18" i="1"/>
  <c r="DF54" i="1" s="1"/>
  <c r="DG18" i="1"/>
  <c r="DG54" i="1" s="1"/>
  <c r="DH18" i="1"/>
  <c r="DH54" i="1" s="1"/>
  <c r="DJ18" i="1"/>
  <c r="DJ54" i="1" s="1"/>
  <c r="DK18" i="1"/>
  <c r="DK54" i="1" s="1"/>
  <c r="DL18" i="1"/>
  <c r="DL54" i="1" s="1"/>
  <c r="DM18" i="1"/>
  <c r="DM54" i="1" s="1"/>
  <c r="DN18" i="1"/>
  <c r="DN54" i="1" s="1"/>
  <c r="DP18" i="1"/>
  <c r="DP54" i="1" s="1"/>
  <c r="DQ18" i="1"/>
  <c r="DQ54" i="1" s="1"/>
  <c r="DR18" i="1"/>
  <c r="DR54" i="1" s="1"/>
  <c r="DS18" i="1"/>
  <c r="DS54" i="1" s="1"/>
  <c r="DW18" i="1"/>
  <c r="DW54" i="1" s="1"/>
  <c r="DY18" i="1"/>
  <c r="DY54" i="1" s="1"/>
  <c r="EA18" i="1"/>
  <c r="EA54" i="1" s="1"/>
  <c r="EB18" i="1"/>
  <c r="EB54" i="1" s="1"/>
  <c r="EC18" i="1"/>
  <c r="EC54" i="1" s="1"/>
  <c r="ED18" i="1"/>
  <c r="ED54" i="1" s="1"/>
  <c r="EE18" i="1"/>
  <c r="EE54" i="1" s="1"/>
  <c r="CQ19" i="1"/>
  <c r="CQ55" i="1" s="1"/>
  <c r="CR19" i="1"/>
  <c r="CR55" i="1" s="1"/>
  <c r="CS19" i="1"/>
  <c r="CS55" i="1" s="1"/>
  <c r="CT19" i="1"/>
  <c r="CT55" i="1" s="1"/>
  <c r="CV19" i="1"/>
  <c r="CV55" i="1" s="1"/>
  <c r="CW19" i="1"/>
  <c r="CW55" i="1" s="1"/>
  <c r="CY19" i="1"/>
  <c r="CY55" i="1" s="1"/>
  <c r="CZ19" i="1"/>
  <c r="CZ55" i="1" s="1"/>
  <c r="DB19" i="1"/>
  <c r="DB55" i="1" s="1"/>
  <c r="DC19" i="1"/>
  <c r="DC55" i="1" s="1"/>
  <c r="DE19" i="1"/>
  <c r="DE55" i="1" s="1"/>
  <c r="DF19" i="1"/>
  <c r="DF55" i="1" s="1"/>
  <c r="DG19" i="1"/>
  <c r="DG55" i="1" s="1"/>
  <c r="DH19" i="1"/>
  <c r="DH55" i="1" s="1"/>
  <c r="DJ19" i="1"/>
  <c r="DJ55" i="1" s="1"/>
  <c r="DK19" i="1"/>
  <c r="DK55" i="1" s="1"/>
  <c r="DL19" i="1"/>
  <c r="DL55" i="1" s="1"/>
  <c r="DM19" i="1"/>
  <c r="DM55" i="1" s="1"/>
  <c r="DN19" i="1"/>
  <c r="DN55" i="1" s="1"/>
  <c r="DP19" i="1"/>
  <c r="DP55" i="1" s="1"/>
  <c r="DQ19" i="1"/>
  <c r="DQ55" i="1" s="1"/>
  <c r="DR19" i="1"/>
  <c r="DR55" i="1" s="1"/>
  <c r="DS19" i="1"/>
  <c r="DS55" i="1" s="1"/>
  <c r="DV19" i="1"/>
  <c r="DV55" i="1" s="1"/>
  <c r="DX19" i="1"/>
  <c r="DX55" i="1" s="1"/>
  <c r="DY19" i="1"/>
  <c r="DY55" i="1" s="1"/>
  <c r="EA19" i="1"/>
  <c r="EA55" i="1" s="1"/>
  <c r="EB19" i="1"/>
  <c r="EB55" i="1" s="1"/>
  <c r="EC19" i="1"/>
  <c r="EC55" i="1" s="1"/>
  <c r="ED19" i="1"/>
  <c r="ED55" i="1" s="1"/>
  <c r="EE19" i="1"/>
  <c r="EE55" i="1" s="1"/>
  <c r="CQ20" i="1"/>
  <c r="CQ56" i="1" s="1"/>
  <c r="CR20" i="1"/>
  <c r="CR56" i="1" s="1"/>
  <c r="CS20" i="1"/>
  <c r="CS56" i="1" s="1"/>
  <c r="CT20" i="1"/>
  <c r="CT56" i="1" s="1"/>
  <c r="CV20" i="1"/>
  <c r="CV56" i="1" s="1"/>
  <c r="CW20" i="1"/>
  <c r="CW56" i="1" s="1"/>
  <c r="CY20" i="1"/>
  <c r="CY56" i="1" s="1"/>
  <c r="CZ20" i="1"/>
  <c r="CZ56" i="1" s="1"/>
  <c r="DB20" i="1"/>
  <c r="DB56" i="1" s="1"/>
  <c r="DC20" i="1"/>
  <c r="DC56" i="1" s="1"/>
  <c r="DE20" i="1"/>
  <c r="DE56" i="1" s="1"/>
  <c r="DF20" i="1"/>
  <c r="DF56" i="1" s="1"/>
  <c r="DG20" i="1"/>
  <c r="DG56" i="1" s="1"/>
  <c r="DH20" i="1"/>
  <c r="DH56" i="1" s="1"/>
  <c r="DJ20" i="1"/>
  <c r="DJ56" i="1" s="1"/>
  <c r="DK20" i="1"/>
  <c r="DK56" i="1" s="1"/>
  <c r="DL20" i="1"/>
  <c r="DL56" i="1" s="1"/>
  <c r="DM20" i="1"/>
  <c r="DM56" i="1" s="1"/>
  <c r="DN20" i="1"/>
  <c r="DN56" i="1" s="1"/>
  <c r="DP20" i="1"/>
  <c r="DP56" i="1" s="1"/>
  <c r="DQ20" i="1"/>
  <c r="DQ56" i="1" s="1"/>
  <c r="DR20" i="1"/>
  <c r="DR56" i="1" s="1"/>
  <c r="DS20" i="1"/>
  <c r="DS56" i="1" s="1"/>
  <c r="DV20" i="1"/>
  <c r="DV56" i="1" s="1"/>
  <c r="EA20" i="1"/>
  <c r="EA56" i="1" s="1"/>
  <c r="EB20" i="1"/>
  <c r="EB56" i="1" s="1"/>
  <c r="EC20" i="1"/>
  <c r="EC56" i="1" s="1"/>
  <c r="ED20" i="1"/>
  <c r="ED56" i="1" s="1"/>
  <c r="EE20" i="1"/>
  <c r="EE56" i="1" s="1"/>
  <c r="CQ21" i="1"/>
  <c r="CQ57" i="1" s="1"/>
  <c r="CR21" i="1"/>
  <c r="CR57" i="1" s="1"/>
  <c r="CS21" i="1"/>
  <c r="CS57" i="1" s="1"/>
  <c r="CT21" i="1"/>
  <c r="CT57" i="1" s="1"/>
  <c r="CV21" i="1"/>
  <c r="CV57" i="1" s="1"/>
  <c r="CW21" i="1"/>
  <c r="CW57" i="1" s="1"/>
  <c r="CY21" i="1"/>
  <c r="CY57" i="1" s="1"/>
  <c r="CZ21" i="1"/>
  <c r="CZ57" i="1" s="1"/>
  <c r="DB21" i="1"/>
  <c r="DB57" i="1" s="1"/>
  <c r="DC21" i="1"/>
  <c r="DC57" i="1" s="1"/>
  <c r="DE21" i="1"/>
  <c r="DE57" i="1" s="1"/>
  <c r="DF21" i="1"/>
  <c r="DF57" i="1" s="1"/>
  <c r="DG21" i="1"/>
  <c r="DG57" i="1" s="1"/>
  <c r="DH21" i="1"/>
  <c r="DH57" i="1" s="1"/>
  <c r="DJ21" i="1"/>
  <c r="DJ57" i="1" s="1"/>
  <c r="DK21" i="1"/>
  <c r="DK57" i="1" s="1"/>
  <c r="DL21" i="1"/>
  <c r="DL57" i="1" s="1"/>
  <c r="DM21" i="1"/>
  <c r="DM57" i="1" s="1"/>
  <c r="DN21" i="1"/>
  <c r="DN57" i="1" s="1"/>
  <c r="DP21" i="1"/>
  <c r="DP57" i="1" s="1"/>
  <c r="DQ21" i="1"/>
  <c r="DQ57" i="1" s="1"/>
  <c r="DR21" i="1"/>
  <c r="DR57" i="1" s="1"/>
  <c r="DS21" i="1"/>
  <c r="DS57" i="1" s="1"/>
  <c r="DV21" i="1"/>
  <c r="DV57" i="1" s="1"/>
  <c r="DW21" i="1"/>
  <c r="DW57" i="1" s="1"/>
  <c r="DX21" i="1"/>
  <c r="DX57" i="1" s="1"/>
  <c r="DY21" i="1"/>
  <c r="DY57" i="1" s="1"/>
  <c r="DZ21" i="1"/>
  <c r="DZ57" i="1" s="1"/>
  <c r="EA21" i="1"/>
  <c r="EA57" i="1" s="1"/>
  <c r="EB21" i="1"/>
  <c r="EB57" i="1" s="1"/>
  <c r="EC21" i="1"/>
  <c r="EC57" i="1" s="1"/>
  <c r="ED21" i="1"/>
  <c r="ED57" i="1" s="1"/>
  <c r="EE21" i="1"/>
  <c r="EE57" i="1" s="1"/>
  <c r="CQ22" i="1"/>
  <c r="CQ58" i="1" s="1"/>
  <c r="CR22" i="1"/>
  <c r="CR58" i="1" s="1"/>
  <c r="CS22" i="1"/>
  <c r="CS58" i="1" s="1"/>
  <c r="CT22" i="1"/>
  <c r="CT58" i="1" s="1"/>
  <c r="CW22" i="1"/>
  <c r="CW58" i="1" s="1"/>
  <c r="CZ22" i="1"/>
  <c r="CZ58" i="1" s="1"/>
  <c r="DE22" i="1"/>
  <c r="DE58" i="1" s="1"/>
  <c r="DF22" i="1"/>
  <c r="DF58" i="1" s="1"/>
  <c r="DG22" i="1"/>
  <c r="DG58" i="1" s="1"/>
  <c r="DH22" i="1"/>
  <c r="DH58" i="1" s="1"/>
  <c r="DJ22" i="1"/>
  <c r="DJ58" i="1" s="1"/>
  <c r="DK22" i="1"/>
  <c r="DK58" i="1" s="1"/>
  <c r="DL22" i="1"/>
  <c r="DL58" i="1" s="1"/>
  <c r="DM22" i="1"/>
  <c r="DM58" i="1" s="1"/>
  <c r="DN22" i="1"/>
  <c r="DN58" i="1" s="1"/>
  <c r="DP22" i="1"/>
  <c r="DP58" i="1" s="1"/>
  <c r="DQ22" i="1"/>
  <c r="DQ58" i="1" s="1"/>
  <c r="DR22" i="1"/>
  <c r="DR58" i="1" s="1"/>
  <c r="DS22" i="1"/>
  <c r="DS58" i="1" s="1"/>
  <c r="DV22" i="1"/>
  <c r="DV58" i="1" s="1"/>
  <c r="DW22" i="1"/>
  <c r="DW58" i="1" s="1"/>
  <c r="DX22" i="1"/>
  <c r="DX58" i="1" s="1"/>
  <c r="DY22" i="1"/>
  <c r="DY58" i="1" s="1"/>
  <c r="DZ22" i="1"/>
  <c r="DZ58" i="1" s="1"/>
  <c r="EA22" i="1"/>
  <c r="EA58" i="1" s="1"/>
  <c r="EB22" i="1"/>
  <c r="EB58" i="1" s="1"/>
  <c r="EC22" i="1"/>
  <c r="EC58" i="1" s="1"/>
  <c r="ED22" i="1"/>
  <c r="ED58" i="1" s="1"/>
  <c r="EE22" i="1"/>
  <c r="EE58" i="1" s="1"/>
  <c r="CQ23" i="1"/>
  <c r="CQ59" i="1" s="1"/>
  <c r="CR23" i="1"/>
  <c r="CR59" i="1" s="1"/>
  <c r="CS23" i="1"/>
  <c r="CS59" i="1" s="1"/>
  <c r="CT23" i="1"/>
  <c r="CT59" i="1" s="1"/>
  <c r="CV23" i="1"/>
  <c r="CV59" i="1" s="1"/>
  <c r="CW23" i="1"/>
  <c r="CW59" i="1" s="1"/>
  <c r="CZ23" i="1"/>
  <c r="CZ59" i="1" s="1"/>
  <c r="DB23" i="1"/>
  <c r="DB59" i="1" s="1"/>
  <c r="DC23" i="1"/>
  <c r="DC59" i="1" s="1"/>
  <c r="DE23" i="1"/>
  <c r="DE59" i="1" s="1"/>
  <c r="DF23" i="1"/>
  <c r="DF59" i="1" s="1"/>
  <c r="DG23" i="1"/>
  <c r="DG59" i="1" s="1"/>
  <c r="DH23" i="1"/>
  <c r="DH59" i="1" s="1"/>
  <c r="DJ23" i="1"/>
  <c r="DJ59" i="1" s="1"/>
  <c r="DK23" i="1"/>
  <c r="DK59" i="1" s="1"/>
  <c r="DL23" i="1"/>
  <c r="DL59" i="1" s="1"/>
  <c r="DM23" i="1"/>
  <c r="DM59" i="1" s="1"/>
  <c r="DN23" i="1"/>
  <c r="DN59" i="1" s="1"/>
  <c r="DP23" i="1"/>
  <c r="DP59" i="1" s="1"/>
  <c r="DQ23" i="1"/>
  <c r="DQ59" i="1" s="1"/>
  <c r="DR23" i="1"/>
  <c r="DR59" i="1" s="1"/>
  <c r="DS23" i="1"/>
  <c r="DS59" i="1" s="1"/>
  <c r="DV23" i="1"/>
  <c r="DV59" i="1" s="1"/>
  <c r="DW23" i="1"/>
  <c r="DW59" i="1" s="1"/>
  <c r="DX23" i="1"/>
  <c r="DX59" i="1" s="1"/>
  <c r="DY23" i="1"/>
  <c r="DY59" i="1" s="1"/>
  <c r="DZ23" i="1"/>
  <c r="DZ59" i="1" s="1"/>
  <c r="EA23" i="1"/>
  <c r="EA59" i="1" s="1"/>
  <c r="EB23" i="1"/>
  <c r="EB59" i="1" s="1"/>
  <c r="EC23" i="1"/>
  <c r="EC59" i="1" s="1"/>
  <c r="ED23" i="1"/>
  <c r="ED59" i="1" s="1"/>
  <c r="EE23" i="1"/>
  <c r="EE59" i="1" s="1"/>
  <c r="CQ24" i="1"/>
  <c r="CQ60" i="1" s="1"/>
  <c r="CR24" i="1"/>
  <c r="CR60" i="1" s="1"/>
  <c r="CS24" i="1"/>
  <c r="CS60" i="1" s="1"/>
  <c r="CT24" i="1"/>
  <c r="CT60" i="1" s="1"/>
  <c r="CV24" i="1"/>
  <c r="CV60" i="1" s="1"/>
  <c r="CW24" i="1"/>
  <c r="CW60" i="1" s="1"/>
  <c r="CZ24" i="1"/>
  <c r="CZ60" i="1" s="1"/>
  <c r="DC24" i="1"/>
  <c r="DC60" i="1" s="1"/>
  <c r="DE24" i="1"/>
  <c r="DE60" i="1" s="1"/>
  <c r="DF24" i="1"/>
  <c r="DF60" i="1" s="1"/>
  <c r="DG24" i="1"/>
  <c r="DG60" i="1" s="1"/>
  <c r="DH24" i="1"/>
  <c r="DH60" i="1" s="1"/>
  <c r="DJ24" i="1"/>
  <c r="DJ60" i="1" s="1"/>
  <c r="DK24" i="1"/>
  <c r="DK60" i="1" s="1"/>
  <c r="DL24" i="1"/>
  <c r="DL60" i="1" s="1"/>
  <c r="DM24" i="1"/>
  <c r="DM60" i="1" s="1"/>
  <c r="DN24" i="1"/>
  <c r="DN60" i="1" s="1"/>
  <c r="DP24" i="1"/>
  <c r="DP60" i="1" s="1"/>
  <c r="DQ24" i="1"/>
  <c r="DQ60" i="1" s="1"/>
  <c r="DR24" i="1"/>
  <c r="DR60" i="1" s="1"/>
  <c r="DS24" i="1"/>
  <c r="DS60" i="1" s="1"/>
  <c r="DV24" i="1"/>
  <c r="DV60" i="1" s="1"/>
  <c r="DW24" i="1"/>
  <c r="DW60" i="1" s="1"/>
  <c r="DX24" i="1"/>
  <c r="DX60" i="1" s="1"/>
  <c r="DY24" i="1"/>
  <c r="DY60" i="1" s="1"/>
  <c r="DZ24" i="1"/>
  <c r="DZ60" i="1" s="1"/>
  <c r="EA24" i="1"/>
  <c r="EA60" i="1" s="1"/>
  <c r="EB24" i="1"/>
  <c r="EB60" i="1" s="1"/>
  <c r="EC24" i="1"/>
  <c r="EC60" i="1" s="1"/>
  <c r="ED24" i="1"/>
  <c r="ED60" i="1" s="1"/>
  <c r="EE24" i="1"/>
  <c r="EE60" i="1" s="1"/>
  <c r="CQ25" i="1"/>
  <c r="CQ61" i="1" s="1"/>
  <c r="CR25" i="1"/>
  <c r="CR61" i="1" s="1"/>
  <c r="CS25" i="1"/>
  <c r="CS61" i="1" s="1"/>
  <c r="CT25" i="1"/>
  <c r="CT61" i="1" s="1"/>
  <c r="CV25" i="1"/>
  <c r="CV61" i="1" s="1"/>
  <c r="CW25" i="1"/>
  <c r="CW61" i="1" s="1"/>
  <c r="CY25" i="1"/>
  <c r="CY61" i="1" s="1"/>
  <c r="CZ25" i="1"/>
  <c r="CZ61" i="1" s="1"/>
  <c r="DB25" i="1"/>
  <c r="DB61" i="1" s="1"/>
  <c r="DC25" i="1"/>
  <c r="DC61" i="1" s="1"/>
  <c r="DE25" i="1"/>
  <c r="DE61" i="1" s="1"/>
  <c r="DF25" i="1"/>
  <c r="DF61" i="1" s="1"/>
  <c r="DG25" i="1"/>
  <c r="DG61" i="1" s="1"/>
  <c r="DH25" i="1"/>
  <c r="DH61" i="1" s="1"/>
  <c r="DJ25" i="1"/>
  <c r="DJ61" i="1" s="1"/>
  <c r="DK25" i="1"/>
  <c r="DK61" i="1" s="1"/>
  <c r="DL25" i="1"/>
  <c r="DL61" i="1" s="1"/>
  <c r="DM25" i="1"/>
  <c r="DM61" i="1" s="1"/>
  <c r="DN25" i="1"/>
  <c r="DN61" i="1" s="1"/>
  <c r="DP25" i="1"/>
  <c r="DP61" i="1" s="1"/>
  <c r="DQ25" i="1"/>
  <c r="DQ61" i="1" s="1"/>
  <c r="DR25" i="1"/>
  <c r="DR61" i="1" s="1"/>
  <c r="DS25" i="1"/>
  <c r="DS61" i="1" s="1"/>
  <c r="DV25" i="1"/>
  <c r="DV61" i="1" s="1"/>
  <c r="DW25" i="1"/>
  <c r="DW61" i="1" s="1"/>
  <c r="DY25" i="1"/>
  <c r="DY61" i="1" s="1"/>
  <c r="DZ25" i="1"/>
  <c r="DZ61" i="1" s="1"/>
  <c r="EA25" i="1"/>
  <c r="EA61" i="1" s="1"/>
  <c r="EB25" i="1"/>
  <c r="EB61" i="1" s="1"/>
  <c r="EC25" i="1"/>
  <c r="EC61" i="1" s="1"/>
  <c r="ED25" i="1"/>
  <c r="ED61" i="1" s="1"/>
  <c r="EE25" i="1"/>
  <c r="EE61" i="1" s="1"/>
  <c r="CQ26" i="1"/>
  <c r="CQ62" i="1" s="1"/>
  <c r="CR26" i="1"/>
  <c r="CR62" i="1" s="1"/>
  <c r="CS26" i="1"/>
  <c r="CS62" i="1" s="1"/>
  <c r="CT26" i="1"/>
  <c r="CT62" i="1" s="1"/>
  <c r="CW26" i="1"/>
  <c r="CW62" i="1" s="1"/>
  <c r="CZ26" i="1"/>
  <c r="CZ62" i="1" s="1"/>
  <c r="DB26" i="1"/>
  <c r="DB62" i="1" s="1"/>
  <c r="DC26" i="1"/>
  <c r="DC62" i="1" s="1"/>
  <c r="DG26" i="1"/>
  <c r="DG62" i="1" s="1"/>
  <c r="DH26" i="1"/>
  <c r="DH62" i="1" s="1"/>
  <c r="DN26" i="1"/>
  <c r="DN62" i="1" s="1"/>
  <c r="DP26" i="1"/>
  <c r="DP62" i="1" s="1"/>
  <c r="DS26" i="1"/>
  <c r="DS62" i="1" s="1"/>
  <c r="EA26" i="1"/>
  <c r="EA62" i="1" s="1"/>
  <c r="EB26" i="1"/>
  <c r="EB62" i="1" s="1"/>
  <c r="EC26" i="1"/>
  <c r="EC62" i="1" s="1"/>
  <c r="ED26" i="1"/>
  <c r="ED62" i="1" s="1"/>
  <c r="EE26" i="1"/>
  <c r="EE62" i="1" s="1"/>
  <c r="CB13" i="1"/>
  <c r="CB14" i="1"/>
  <c r="CB15" i="1"/>
  <c r="CB51" i="1" s="1"/>
  <c r="CB16" i="1"/>
  <c r="CB22" i="1"/>
  <c r="CB23" i="1"/>
  <c r="CB59" i="1" s="1"/>
  <c r="CB24" i="1"/>
  <c r="BV7" i="1"/>
  <c r="BV43" i="1" s="1"/>
  <c r="BV9" i="1"/>
  <c r="BV45" i="1" s="1"/>
  <c r="BV10" i="1"/>
  <c r="BV46" i="1" s="1"/>
  <c r="BV11" i="1"/>
  <c r="BV47" i="1" s="1"/>
  <c r="BV12" i="1"/>
  <c r="BV48" i="1" s="1"/>
  <c r="BV13" i="1"/>
  <c r="BV49" i="1" s="1"/>
  <c r="BV14" i="1"/>
  <c r="BV50" i="1" s="1"/>
  <c r="BV15" i="1"/>
  <c r="BV51" i="1" s="1"/>
  <c r="BV16" i="1"/>
  <c r="BV52" i="1" s="1"/>
  <c r="BV17" i="1"/>
  <c r="BV53" i="1" s="1"/>
  <c r="BV18" i="1"/>
  <c r="BV54" i="1" s="1"/>
  <c r="BV19" i="1"/>
  <c r="BV55" i="1" s="1"/>
  <c r="BV20" i="1"/>
  <c r="BV56" i="1" s="1"/>
  <c r="BV21" i="1"/>
  <c r="BV57" i="1" s="1"/>
  <c r="BV22" i="1"/>
  <c r="BV58" i="1" s="1"/>
  <c r="BV23" i="1"/>
  <c r="BV59" i="1" s="1"/>
  <c r="BV24" i="1"/>
  <c r="BV60" i="1" s="1"/>
  <c r="BV25" i="1"/>
  <c r="BV61" i="1" s="1"/>
  <c r="BP13" i="1"/>
  <c r="BP14" i="1"/>
  <c r="BP15" i="1"/>
  <c r="BP16" i="1"/>
  <c r="BP18" i="1"/>
  <c r="BP19" i="1"/>
  <c r="BP20" i="1"/>
  <c r="BP21" i="1"/>
  <c r="BP22" i="1"/>
  <c r="BP23" i="1"/>
  <c r="BP24" i="1"/>
  <c r="BP25" i="1"/>
  <c r="BK7" i="1"/>
  <c r="BK43" i="1" s="1"/>
  <c r="BK8" i="1"/>
  <c r="BK44" i="1" s="1"/>
  <c r="BK9" i="1"/>
  <c r="BK45" i="1" s="1"/>
  <c r="BK10" i="1"/>
  <c r="BK46" i="1" s="1"/>
  <c r="BK11" i="1"/>
  <c r="BK47" i="1" s="1"/>
  <c r="BK12" i="1"/>
  <c r="BK48" i="1" s="1"/>
  <c r="BK13" i="1"/>
  <c r="BK49" i="1" s="1"/>
  <c r="BK14" i="1"/>
  <c r="BK50" i="1" s="1"/>
  <c r="BK15" i="1"/>
  <c r="BK51" i="1" s="1"/>
  <c r="BK16" i="1"/>
  <c r="BK52" i="1" s="1"/>
  <c r="BK17" i="1"/>
  <c r="BK53" i="1" s="1"/>
  <c r="BK18" i="1"/>
  <c r="BK54" i="1" s="1"/>
  <c r="BK19" i="1"/>
  <c r="BK55" i="1" s="1"/>
  <c r="BK20" i="1"/>
  <c r="BK56" i="1" s="1"/>
  <c r="BK21" i="1"/>
  <c r="BK57" i="1" s="1"/>
  <c r="BK22" i="1"/>
  <c r="BK58" i="1" s="1"/>
  <c r="BK23" i="1"/>
  <c r="BK59" i="1" s="1"/>
  <c r="BK24" i="1"/>
  <c r="BK60" i="1" s="1"/>
  <c r="BK25" i="1"/>
  <c r="BK61" i="1" s="1"/>
  <c r="BH7" i="1"/>
  <c r="BH43" i="1" s="1"/>
  <c r="BH8" i="1"/>
  <c r="BH44" i="1" s="1"/>
  <c r="BH9" i="1"/>
  <c r="BH45" i="1" s="1"/>
  <c r="BH10" i="1"/>
  <c r="BH46" i="1" s="1"/>
  <c r="BH11" i="1"/>
  <c r="BH47" i="1" s="1"/>
  <c r="BH12" i="1"/>
  <c r="BH48" i="1" s="1"/>
  <c r="BH13" i="1"/>
  <c r="BH49" i="1" s="1"/>
  <c r="BH14" i="1"/>
  <c r="BH50" i="1" s="1"/>
  <c r="BH15" i="1"/>
  <c r="BH51" i="1" s="1"/>
  <c r="BH16" i="1"/>
  <c r="BH52" i="1" s="1"/>
  <c r="BH18" i="1"/>
  <c r="BH54" i="1" s="1"/>
  <c r="BH19" i="1"/>
  <c r="BH55" i="1" s="1"/>
  <c r="BH20" i="1"/>
  <c r="BH56" i="1" s="1"/>
  <c r="BH21" i="1"/>
  <c r="BH57" i="1" s="1"/>
  <c r="BH22" i="1"/>
  <c r="BH58" i="1" s="1"/>
  <c r="BH23" i="1"/>
  <c r="BH59" i="1" s="1"/>
  <c r="BH24" i="1"/>
  <c r="BH60" i="1" s="1"/>
  <c r="BH25" i="1"/>
  <c r="BH61" i="1" s="1"/>
  <c r="BH26" i="1"/>
  <c r="BH62" i="1" s="1"/>
  <c r="BE7" i="1"/>
  <c r="BE43" i="1" s="1"/>
  <c r="BE8" i="1"/>
  <c r="BE44" i="1" s="1"/>
  <c r="BE9" i="1"/>
  <c r="BE45" i="1" s="1"/>
  <c r="BE10" i="1"/>
  <c r="BE46" i="1" s="1"/>
  <c r="BE11" i="1"/>
  <c r="BE47" i="1" s="1"/>
  <c r="BE12" i="1"/>
  <c r="BE48" i="1" s="1"/>
  <c r="BE13" i="1"/>
  <c r="BE49" i="1" s="1"/>
  <c r="BE14" i="1"/>
  <c r="BE50" i="1" s="1"/>
  <c r="BE15" i="1"/>
  <c r="BE51" i="1" s="1"/>
  <c r="BE16" i="1"/>
  <c r="BE52" i="1" s="1"/>
  <c r="BE17" i="1"/>
  <c r="BE53" i="1" s="1"/>
  <c r="BE18" i="1"/>
  <c r="BE54" i="1" s="1"/>
  <c r="BE19" i="1"/>
  <c r="BE55" i="1" s="1"/>
  <c r="BE20" i="1"/>
  <c r="BE56" i="1" s="1"/>
  <c r="BE21" i="1"/>
  <c r="BE57" i="1" s="1"/>
  <c r="BE22" i="1"/>
  <c r="BE58" i="1" s="1"/>
  <c r="BE23" i="1"/>
  <c r="BE59" i="1" s="1"/>
  <c r="BE24" i="1"/>
  <c r="BE60" i="1" s="1"/>
  <c r="BE25" i="1"/>
  <c r="BE61" i="1" s="1"/>
  <c r="BE26" i="1"/>
  <c r="BE62" i="1" s="1"/>
  <c r="BB7" i="1"/>
  <c r="BB43" i="1" s="1"/>
  <c r="BB8" i="1"/>
  <c r="BB44" i="1" s="1"/>
  <c r="BB9" i="1"/>
  <c r="BB45" i="1" s="1"/>
  <c r="BB10" i="1"/>
  <c r="BB46" i="1" s="1"/>
  <c r="BB11" i="1"/>
  <c r="BB47" i="1" s="1"/>
  <c r="BB12" i="1"/>
  <c r="BB48" i="1" s="1"/>
  <c r="BB13" i="1"/>
  <c r="BB49" i="1" s="1"/>
  <c r="BB14" i="1"/>
  <c r="BB50" i="1" s="1"/>
  <c r="BB15" i="1"/>
  <c r="BB51" i="1" s="1"/>
  <c r="BB16" i="1"/>
  <c r="BB52" i="1" s="1"/>
  <c r="BB17" i="1"/>
  <c r="BB53" i="1" s="1"/>
  <c r="BB18" i="1"/>
  <c r="BB54" i="1" s="1"/>
  <c r="BB19" i="1"/>
  <c r="BB55" i="1" s="1"/>
  <c r="BB20" i="1"/>
  <c r="BB56" i="1" s="1"/>
  <c r="BB21" i="1"/>
  <c r="BB57" i="1" s="1"/>
  <c r="BB22" i="1"/>
  <c r="BB58" i="1" s="1"/>
  <c r="BB23" i="1"/>
  <c r="BB59" i="1" s="1"/>
  <c r="BB24" i="1"/>
  <c r="BB60" i="1" s="1"/>
  <c r="BB25" i="1"/>
  <c r="BB61" i="1" s="1"/>
  <c r="BB26" i="1"/>
  <c r="BB62" i="1" s="1"/>
  <c r="AW7" i="1"/>
  <c r="AW43" i="1" s="1"/>
  <c r="AW8" i="1"/>
  <c r="AW9" i="1"/>
  <c r="AW10" i="1"/>
  <c r="AW46" i="1" s="1"/>
  <c r="AW11" i="1"/>
  <c r="AW12" i="1"/>
  <c r="AW13" i="1"/>
  <c r="AW14" i="1"/>
  <c r="AW15" i="1"/>
  <c r="AW16" i="1"/>
  <c r="AW18" i="1"/>
  <c r="AW54" i="1" s="1"/>
  <c r="AW19" i="1"/>
  <c r="AW55" i="1" s="1"/>
  <c r="AW20" i="1"/>
  <c r="AW21" i="1"/>
  <c r="AW22" i="1"/>
  <c r="AW23" i="1"/>
  <c r="AW24" i="1"/>
  <c r="AW25" i="1"/>
  <c r="AW26" i="1"/>
  <c r="AV19" i="1"/>
  <c r="AI7" i="1"/>
  <c r="AI43" i="1" s="1"/>
  <c r="AI8" i="1"/>
  <c r="AI44" i="1" s="1"/>
  <c r="AI9" i="1"/>
  <c r="AI45" i="1" s="1"/>
  <c r="AI10" i="1"/>
  <c r="AI11" i="1"/>
  <c r="AI47" i="1" s="1"/>
  <c r="AI12" i="1"/>
  <c r="AI13" i="1"/>
  <c r="AI49" i="1" s="1"/>
  <c r="AI14" i="1"/>
  <c r="AI50" i="1" s="1"/>
  <c r="AI15" i="1"/>
  <c r="AI16" i="1"/>
  <c r="AI52" i="1" s="1"/>
  <c r="AI17" i="1"/>
  <c r="AI18" i="1"/>
  <c r="AI19" i="1"/>
  <c r="AI20" i="1"/>
  <c r="AI21" i="1"/>
  <c r="AI57" i="1" s="1"/>
  <c r="AI22" i="1"/>
  <c r="AI58" i="1" s="1"/>
  <c r="AI23" i="1"/>
  <c r="AI24" i="1"/>
  <c r="AI25" i="1"/>
  <c r="AI61" i="1" s="1"/>
  <c r="AI26" i="1"/>
  <c r="AH11" i="1"/>
  <c r="AH47" i="1" s="1"/>
  <c r="AH21" i="1"/>
  <c r="AH57" i="1" s="1"/>
  <c r="AH22" i="1"/>
  <c r="AH58" i="1" s="1"/>
  <c r="AC7" i="1"/>
  <c r="AC43" i="1" s="1"/>
  <c r="AC8" i="1"/>
  <c r="AC44" i="1" s="1"/>
  <c r="AC9" i="1"/>
  <c r="AC45" i="1" s="1"/>
  <c r="AC10" i="1"/>
  <c r="AC46" i="1" s="1"/>
  <c r="AC11" i="1"/>
  <c r="AC47" i="1" s="1"/>
  <c r="AC12" i="1"/>
  <c r="AC48" i="1" s="1"/>
  <c r="AC13" i="1"/>
  <c r="AC49" i="1" s="1"/>
  <c r="AC14" i="1"/>
  <c r="AC50" i="1" s="1"/>
  <c r="AC15" i="1"/>
  <c r="AC51" i="1" s="1"/>
  <c r="AC16" i="1"/>
  <c r="AC52" i="1" s="1"/>
  <c r="AC17" i="1"/>
  <c r="AC53" i="1" s="1"/>
  <c r="AC18" i="1"/>
  <c r="AC54" i="1" s="1"/>
  <c r="AC19" i="1"/>
  <c r="AC55" i="1" s="1"/>
  <c r="AC20" i="1"/>
  <c r="AC56" i="1" s="1"/>
  <c r="AC21" i="1"/>
  <c r="AC57" i="1" s="1"/>
  <c r="AC22" i="1"/>
  <c r="AC58" i="1" s="1"/>
  <c r="AC23" i="1"/>
  <c r="AC59" i="1" s="1"/>
  <c r="AC24" i="1"/>
  <c r="AC60" i="1" s="1"/>
  <c r="AC25" i="1"/>
  <c r="AC61" i="1" s="1"/>
  <c r="AC26" i="1"/>
  <c r="AC62" i="1" s="1"/>
  <c r="W7" i="1"/>
  <c r="W43" i="1" s="1"/>
  <c r="W8" i="1"/>
  <c r="W44" i="1" s="1"/>
  <c r="W9" i="1"/>
  <c r="W45" i="1" s="1"/>
  <c r="W10" i="1"/>
  <c r="W46" i="1" s="1"/>
  <c r="W11" i="1"/>
  <c r="W47" i="1" s="1"/>
  <c r="W12" i="1"/>
  <c r="W48" i="1" s="1"/>
  <c r="W13" i="1"/>
  <c r="W49" i="1" s="1"/>
  <c r="W14" i="1"/>
  <c r="W50" i="1" s="1"/>
  <c r="W15" i="1"/>
  <c r="W51" i="1" s="1"/>
  <c r="W16" i="1"/>
  <c r="W52" i="1" s="1"/>
  <c r="W17" i="1"/>
  <c r="W53" i="1" s="1"/>
  <c r="W18" i="1"/>
  <c r="W54" i="1" s="1"/>
  <c r="W19" i="1"/>
  <c r="W55" i="1" s="1"/>
  <c r="W20" i="1"/>
  <c r="W56" i="1" s="1"/>
  <c r="W21" i="1"/>
  <c r="W22" i="1"/>
  <c r="W58" i="1" s="1"/>
  <c r="W23" i="1"/>
  <c r="W59" i="1" s="1"/>
  <c r="W24" i="1"/>
  <c r="W60" i="1" s="1"/>
  <c r="W25" i="1"/>
  <c r="R13" i="1"/>
  <c r="AT13" i="1" s="1"/>
  <c r="R14" i="1"/>
  <c r="R15" i="1"/>
  <c r="R16" i="1"/>
  <c r="R17" i="1"/>
  <c r="R18" i="1"/>
  <c r="R19" i="1"/>
  <c r="R20" i="1"/>
  <c r="R21" i="1"/>
  <c r="AT21" i="1" s="1"/>
  <c r="R22" i="1"/>
  <c r="R23" i="1"/>
  <c r="R24" i="1"/>
  <c r="R25" i="1"/>
  <c r="O13" i="1"/>
  <c r="O14" i="1"/>
  <c r="O50" i="1" s="1"/>
  <c r="O15" i="1"/>
  <c r="O16" i="1"/>
  <c r="O52" i="1" s="1"/>
  <c r="O18" i="1"/>
  <c r="O54" i="1" s="1"/>
  <c r="O19" i="1"/>
  <c r="O55" i="1" s="1"/>
  <c r="O20" i="1"/>
  <c r="O56" i="1" s="1"/>
  <c r="O21" i="1"/>
  <c r="O57" i="1" s="1"/>
  <c r="O23" i="1"/>
  <c r="O25" i="1"/>
  <c r="O26" i="1"/>
  <c r="O62" i="1" s="1"/>
  <c r="L13" i="1"/>
  <c r="L49" i="1" s="1"/>
  <c r="L14" i="1"/>
  <c r="L15" i="1"/>
  <c r="L51" i="1" s="1"/>
  <c r="L16" i="1"/>
  <c r="L52" i="1" s="1"/>
  <c r="L18" i="1"/>
  <c r="L54" i="1" s="1"/>
  <c r="L19" i="1"/>
  <c r="L55" i="1" s="1"/>
  <c r="L20" i="1"/>
  <c r="L56" i="1" s="1"/>
  <c r="L21" i="1"/>
  <c r="L57" i="1" s="1"/>
  <c r="L25" i="1"/>
  <c r="I13" i="1"/>
  <c r="I49" i="1" s="1"/>
  <c r="I14" i="1"/>
  <c r="I50" i="1" s="1"/>
  <c r="I15" i="1"/>
  <c r="I51" i="1" s="1"/>
  <c r="I16" i="1"/>
  <c r="I52" i="1" s="1"/>
  <c r="I18" i="1"/>
  <c r="I54" i="1" s="1"/>
  <c r="I19" i="1"/>
  <c r="I55" i="1" s="1"/>
  <c r="I20" i="1"/>
  <c r="I56" i="1" s="1"/>
  <c r="I21" i="1"/>
  <c r="I57" i="1" s="1"/>
  <c r="I23" i="1"/>
  <c r="I59" i="1" s="1"/>
  <c r="I24" i="1"/>
  <c r="I60" i="1" s="1"/>
  <c r="D13" i="1"/>
  <c r="D14" i="1"/>
  <c r="D50" i="1" s="1"/>
  <c r="D15" i="1"/>
  <c r="D16" i="1"/>
  <c r="D17" i="1"/>
  <c r="D53" i="1" s="1"/>
  <c r="D18" i="1"/>
  <c r="D19" i="1"/>
  <c r="D20" i="1"/>
  <c r="D56" i="1" s="1"/>
  <c r="D21" i="1"/>
  <c r="D22" i="1"/>
  <c r="D23" i="1"/>
  <c r="D24" i="1"/>
  <c r="D25" i="1"/>
  <c r="D61" i="1" s="1"/>
  <c r="D26" i="1"/>
  <c r="D62" i="1" s="1"/>
  <c r="A7" i="1"/>
  <c r="A8" i="1" s="1"/>
  <c r="A9" i="1" s="1"/>
  <c r="A10" i="1" s="1"/>
  <c r="A11" i="1" s="1"/>
  <c r="A12" i="1" s="1"/>
  <c r="A13" i="1" s="1"/>
  <c r="A14" i="1" s="1"/>
  <c r="A15" i="1" s="1"/>
  <c r="A16" i="1" s="1"/>
  <c r="A17" i="1" s="1"/>
  <c r="A18" i="1" s="1"/>
  <c r="A19" i="1" s="1"/>
  <c r="A20" i="1" s="1"/>
  <c r="A21" i="1" s="1"/>
  <c r="A22" i="1" s="1"/>
  <c r="A23" i="1" s="1"/>
  <c r="A24" i="1" s="1"/>
  <c r="A25" i="1" s="1"/>
  <c r="A26" i="1" s="1"/>
  <c r="EA6" i="1"/>
  <c r="EA42" i="1" s="1"/>
  <c r="CH27" i="1"/>
  <c r="CH63" i="1" s="1"/>
  <c r="AI6" i="1"/>
  <c r="AI42" i="1" s="1"/>
  <c r="AO27" i="1"/>
  <c r="AO63" i="1" s="1"/>
  <c r="R55" i="1" l="1"/>
  <c r="AT19" i="1"/>
  <c r="R59" i="1"/>
  <c r="AT23" i="1"/>
  <c r="R54" i="1"/>
  <c r="AT18" i="1"/>
  <c r="R50" i="1"/>
  <c r="AT14" i="1"/>
  <c r="R58" i="1"/>
  <c r="AT22" i="1"/>
  <c r="R56" i="1"/>
  <c r="AT20" i="1"/>
  <c r="R53" i="1"/>
  <c r="AT17" i="1"/>
  <c r="R52" i="1"/>
  <c r="AT16" i="1"/>
  <c r="R51" i="1"/>
  <c r="AT15" i="1"/>
  <c r="R60" i="1"/>
  <c r="AT24" i="1"/>
  <c r="R61" i="1"/>
  <c r="AT25" i="1"/>
  <c r="BP61" i="1"/>
  <c r="CM25" i="1"/>
  <c r="BP60" i="1"/>
  <c r="CM24" i="1"/>
  <c r="BP59" i="1"/>
  <c r="CM23" i="1"/>
  <c r="BP57" i="1"/>
  <c r="CM21" i="1"/>
  <c r="BP56" i="1"/>
  <c r="CM20" i="1"/>
  <c r="BP55" i="1"/>
  <c r="CM19" i="1"/>
  <c r="BP58" i="1"/>
  <c r="CM22" i="1"/>
  <c r="BP54" i="1"/>
  <c r="CM18" i="1"/>
  <c r="BP50" i="1"/>
  <c r="CM14" i="1"/>
  <c r="BP52" i="1"/>
  <c r="CM16" i="1"/>
  <c r="BP51" i="1"/>
  <c r="CM15" i="1"/>
  <c r="BP49" i="1"/>
  <c r="CM13" i="1"/>
  <c r="AH13" i="1"/>
  <c r="AH49" i="1" s="1"/>
  <c r="L23" i="1"/>
  <c r="L59" i="1" s="1"/>
  <c r="C20" i="1"/>
  <c r="CY23" i="1"/>
  <c r="CY59" i="1" s="1"/>
  <c r="AH25" i="1"/>
  <c r="AH61" i="1" s="1"/>
  <c r="AH14" i="1"/>
  <c r="AH50" i="1" s="1"/>
  <c r="I25" i="1"/>
  <c r="I61" i="1" s="1"/>
  <c r="AH12" i="1"/>
  <c r="AH48" i="1" s="1"/>
  <c r="AI48" i="1"/>
  <c r="AV16" i="1"/>
  <c r="AW52" i="1"/>
  <c r="AV8" i="1"/>
  <c r="AW44" i="1"/>
  <c r="L24" i="1"/>
  <c r="L60" i="1" s="1"/>
  <c r="AH19" i="1"/>
  <c r="AH55" i="1" s="1"/>
  <c r="AI55" i="1"/>
  <c r="AV15" i="1"/>
  <c r="AW51" i="1"/>
  <c r="CA16" i="1"/>
  <c r="CA52" i="1" s="1"/>
  <c r="CB52" i="1"/>
  <c r="AH18" i="1"/>
  <c r="AH54" i="1" s="1"/>
  <c r="AI54" i="1"/>
  <c r="CA14" i="1"/>
  <c r="CA50" i="1" s="1"/>
  <c r="CB50" i="1"/>
  <c r="CA21" i="1"/>
  <c r="CA57" i="1" s="1"/>
  <c r="CB57" i="1"/>
  <c r="CA22" i="1"/>
  <c r="CA58" i="1" s="1"/>
  <c r="CB58" i="1"/>
  <c r="C24" i="1"/>
  <c r="D60" i="1"/>
  <c r="C23" i="1"/>
  <c r="D59" i="1"/>
  <c r="AH26" i="1"/>
  <c r="AH62" i="1" s="1"/>
  <c r="AI62" i="1"/>
  <c r="DD21" i="1"/>
  <c r="DD57" i="1" s="1"/>
  <c r="R57" i="1"/>
  <c r="AH17" i="1"/>
  <c r="AH53" i="1" s="1"/>
  <c r="AI53" i="1"/>
  <c r="AV13" i="1"/>
  <c r="AW49" i="1"/>
  <c r="AH24" i="1"/>
  <c r="AH60" i="1" s="1"/>
  <c r="AI60" i="1"/>
  <c r="AV21" i="1"/>
  <c r="AW57" i="1"/>
  <c r="AV12" i="1"/>
  <c r="AW48" i="1"/>
  <c r="CA13" i="1"/>
  <c r="CA49" i="1" s="1"/>
  <c r="CB49" i="1"/>
  <c r="CX25" i="1"/>
  <c r="CX61" i="1" s="1"/>
  <c r="L61" i="1"/>
  <c r="AH20" i="1"/>
  <c r="AH56" i="1" s="1"/>
  <c r="AI56" i="1"/>
  <c r="CY24" i="1"/>
  <c r="CY60" i="1" s="1"/>
  <c r="AV23" i="1"/>
  <c r="AW59" i="1"/>
  <c r="C22" i="1"/>
  <c r="D58" i="1"/>
  <c r="AV22" i="1"/>
  <c r="AW58" i="1"/>
  <c r="C21" i="1"/>
  <c r="D57" i="1"/>
  <c r="O24" i="1"/>
  <c r="O60" i="1" s="1"/>
  <c r="AH23" i="1"/>
  <c r="AH59" i="1" s="1"/>
  <c r="AI59" i="1"/>
  <c r="AH15" i="1"/>
  <c r="AH51" i="1" s="1"/>
  <c r="AI51" i="1"/>
  <c r="AV20" i="1"/>
  <c r="AW56" i="1"/>
  <c r="AV11" i="1"/>
  <c r="AW47" i="1"/>
  <c r="DI21" i="1"/>
  <c r="W57" i="1"/>
  <c r="C16" i="1"/>
  <c r="D52" i="1"/>
  <c r="CX14" i="1"/>
  <c r="CX50" i="1" s="1"/>
  <c r="L50" i="1"/>
  <c r="AV24" i="1"/>
  <c r="CO24" i="1" s="1"/>
  <c r="AW60" i="1"/>
  <c r="C15" i="1"/>
  <c r="D51" i="1"/>
  <c r="AV14" i="1"/>
  <c r="AW50" i="1"/>
  <c r="DD13" i="1"/>
  <c r="DD49" i="1" s="1"/>
  <c r="R49" i="1"/>
  <c r="C17" i="1"/>
  <c r="C19" i="1"/>
  <c r="D55" i="1"/>
  <c r="DA23" i="1"/>
  <c r="DA59" i="1" s="1"/>
  <c r="O59" i="1"/>
  <c r="DA13" i="1"/>
  <c r="DA49" i="1" s="1"/>
  <c r="O49" i="1"/>
  <c r="AH16" i="1"/>
  <c r="AH52" i="1" s="1"/>
  <c r="AV55" i="1"/>
  <c r="CA24" i="1"/>
  <c r="CA60" i="1" s="1"/>
  <c r="CB60" i="1"/>
  <c r="AV25" i="1"/>
  <c r="AW61" i="1"/>
  <c r="AH10" i="1"/>
  <c r="AH46" i="1" s="1"/>
  <c r="AI46" i="1"/>
  <c r="C13" i="1"/>
  <c r="D49" i="1"/>
  <c r="DA25" i="1"/>
  <c r="DA61" i="1" s="1"/>
  <c r="O61" i="1"/>
  <c r="DA15" i="1"/>
  <c r="DA51" i="1" s="1"/>
  <c r="O51" i="1"/>
  <c r="DI25" i="1"/>
  <c r="W61" i="1"/>
  <c r="C18" i="1"/>
  <c r="D54" i="1"/>
  <c r="AV26" i="1"/>
  <c r="AW62" i="1"/>
  <c r="AV9" i="1"/>
  <c r="AW45" i="1"/>
  <c r="DB24" i="1"/>
  <c r="DB60" i="1" s="1"/>
  <c r="DA21" i="1"/>
  <c r="DA57" i="1" s="1"/>
  <c r="DA19" i="1"/>
  <c r="DA55" i="1" s="1"/>
  <c r="DO11" i="1"/>
  <c r="DO47" i="1" s="1"/>
  <c r="DO9" i="1"/>
  <c r="DO45" i="1" s="1"/>
  <c r="DT21" i="1"/>
  <c r="DT57" i="1" s="1"/>
  <c r="DI23" i="1"/>
  <c r="CP25" i="1"/>
  <c r="CP61" i="1" s="1"/>
  <c r="CX19" i="1"/>
  <c r="CX55" i="1" s="1"/>
  <c r="CX13" i="1"/>
  <c r="CX49" i="1" s="1"/>
  <c r="CX21" i="1"/>
  <c r="CX57" i="1" s="1"/>
  <c r="DA14" i="1"/>
  <c r="DA50" i="1" s="1"/>
  <c r="CX23" i="1"/>
  <c r="CX59" i="1" s="1"/>
  <c r="CX18" i="1"/>
  <c r="CX54" i="1" s="1"/>
  <c r="CX15" i="1"/>
  <c r="CX51" i="1" s="1"/>
  <c r="CX16" i="1"/>
  <c r="CX52" i="1" s="1"/>
  <c r="CU23" i="1"/>
  <c r="CU59" i="1" s="1"/>
  <c r="CU21" i="1"/>
  <c r="CU57" i="1" s="1"/>
  <c r="CU13" i="1"/>
  <c r="CU49" i="1" s="1"/>
  <c r="CU18" i="1"/>
  <c r="CU54" i="1" s="1"/>
  <c r="CU15" i="1"/>
  <c r="CU51" i="1" s="1"/>
  <c r="CU14" i="1"/>
  <c r="CU50" i="1" s="1"/>
  <c r="CP20" i="1"/>
  <c r="CP56" i="1" s="1"/>
  <c r="C25" i="1"/>
  <c r="AT61" i="1" s="1"/>
  <c r="CP19" i="1"/>
  <c r="CP55" i="1" s="1"/>
  <c r="CO20" i="1"/>
  <c r="DD25" i="1"/>
  <c r="DD61" i="1" s="1"/>
  <c r="DD23" i="1"/>
  <c r="DD59" i="1" s="1"/>
  <c r="DD20" i="1"/>
  <c r="DD56" i="1" s="1"/>
  <c r="DD19" i="1"/>
  <c r="DD55" i="1" s="1"/>
  <c r="DD17" i="1"/>
  <c r="DD53" i="1" s="1"/>
  <c r="DD15" i="1"/>
  <c r="DD51" i="1" s="1"/>
  <c r="DO25" i="1"/>
  <c r="DO61" i="1" s="1"/>
  <c r="DO22" i="1"/>
  <c r="DO58" i="1" s="1"/>
  <c r="DO21" i="1"/>
  <c r="DO57" i="1" s="1"/>
  <c r="DO19" i="1"/>
  <c r="DO55" i="1" s="1"/>
  <c r="DO17" i="1"/>
  <c r="DO53" i="1" s="1"/>
  <c r="DO14" i="1"/>
  <c r="DO50" i="1" s="1"/>
  <c r="DO13" i="1"/>
  <c r="DO49" i="1" s="1"/>
  <c r="DI15" i="1"/>
  <c r="DI13" i="1"/>
  <c r="DI20" i="1"/>
  <c r="DI18" i="1"/>
  <c r="CB19" i="1"/>
  <c r="CB25" i="1"/>
  <c r="DW19" i="1"/>
  <c r="DW55" i="1" s="1"/>
  <c r="CB20" i="1"/>
  <c r="DU20" i="1" s="1"/>
  <c r="DU56" i="1" s="1"/>
  <c r="DU22" i="1"/>
  <c r="DU58" i="1" s="1"/>
  <c r="CB18" i="1"/>
  <c r="DU14" i="1"/>
  <c r="DU50" i="1" s="1"/>
  <c r="DU13" i="1"/>
  <c r="DU49" i="1" s="1"/>
  <c r="DU21" i="1"/>
  <c r="DU57" i="1" s="1"/>
  <c r="AV18" i="1"/>
  <c r="CP18" i="1"/>
  <c r="CP54" i="1" s="1"/>
  <c r="DD24" i="1"/>
  <c r="DD60" i="1" s="1"/>
  <c r="DD16" i="1"/>
  <c r="DD52" i="1" s="1"/>
  <c r="DI19" i="1"/>
  <c r="DO18" i="1"/>
  <c r="DO54" i="1" s="1"/>
  <c r="DO10" i="1"/>
  <c r="DO46" i="1" s="1"/>
  <c r="DU16" i="1"/>
  <c r="DU52" i="1" s="1"/>
  <c r="CP26" i="1"/>
  <c r="CP62" i="1" s="1"/>
  <c r="CP16" i="1"/>
  <c r="CP52" i="1" s="1"/>
  <c r="CU20" i="1"/>
  <c r="CU56" i="1" s="1"/>
  <c r="DA20" i="1"/>
  <c r="DA56" i="1" s="1"/>
  <c r="DU24" i="1"/>
  <c r="DU60" i="1" s="1"/>
  <c r="DU15" i="1"/>
  <c r="DU51" i="1" s="1"/>
  <c r="CP23" i="1"/>
  <c r="CP59" i="1" s="1"/>
  <c r="CP15" i="1"/>
  <c r="CP51" i="1" s="1"/>
  <c r="CP13" i="1"/>
  <c r="CP49" i="1" s="1"/>
  <c r="AV7" i="1"/>
  <c r="CU19" i="1"/>
  <c r="CU55" i="1" s="1"/>
  <c r="DD22" i="1"/>
  <c r="DD58" i="1" s="1"/>
  <c r="DD14" i="1"/>
  <c r="DD50" i="1" s="1"/>
  <c r="DI16" i="1"/>
  <c r="DO24" i="1"/>
  <c r="DO60" i="1" s="1"/>
  <c r="DO16" i="1"/>
  <c r="DO52" i="1" s="1"/>
  <c r="DU23" i="1"/>
  <c r="DU59" i="1" s="1"/>
  <c r="AV10" i="1"/>
  <c r="DA26" i="1"/>
  <c r="DA62" i="1" s="1"/>
  <c r="DA18" i="1"/>
  <c r="DA54" i="1" s="1"/>
  <c r="DI24" i="1"/>
  <c r="DO23" i="1"/>
  <c r="DO59" i="1" s="1"/>
  <c r="DO15" i="1"/>
  <c r="DO51" i="1" s="1"/>
  <c r="DO7" i="1"/>
  <c r="DO43" i="1" s="1"/>
  <c r="CP24" i="1"/>
  <c r="CP60" i="1" s="1"/>
  <c r="C14" i="1"/>
  <c r="CP14" i="1"/>
  <c r="CP50" i="1" s="1"/>
  <c r="DA16" i="1"/>
  <c r="DA52" i="1" s="1"/>
  <c r="DI14" i="1"/>
  <c r="CU24" i="1"/>
  <c r="CU60" i="1" s="1"/>
  <c r="CU16" i="1"/>
  <c r="CU52" i="1" s="1"/>
  <c r="CX20" i="1"/>
  <c r="CX56" i="1" s="1"/>
  <c r="DI22" i="1"/>
  <c r="CP21" i="1"/>
  <c r="CP57" i="1" s="1"/>
  <c r="DD18" i="1"/>
  <c r="DD54" i="1" s="1"/>
  <c r="DO20" i="1"/>
  <c r="DO56" i="1" s="1"/>
  <c r="DO12" i="1"/>
  <c r="DO48" i="1" s="1"/>
  <c r="DT22" i="1"/>
  <c r="DT58" i="1" s="1"/>
  <c r="CP22" i="1"/>
  <c r="CP58" i="1" s="1"/>
  <c r="CA23" i="1"/>
  <c r="CA15" i="1"/>
  <c r="EA27" i="1"/>
  <c r="EA63" i="1" s="1"/>
  <c r="DI59" i="1" l="1"/>
  <c r="EF23" i="1"/>
  <c r="DI57" i="1"/>
  <c r="EF21" i="1"/>
  <c r="DI61" i="1"/>
  <c r="EF25" i="1"/>
  <c r="DI56" i="1"/>
  <c r="EF20" i="1"/>
  <c r="DI58" i="1"/>
  <c r="EF22" i="1"/>
  <c r="DI60" i="1"/>
  <c r="EF24" i="1"/>
  <c r="DI55" i="1"/>
  <c r="EF19" i="1"/>
  <c r="DI54" i="1"/>
  <c r="EF18" i="1"/>
  <c r="DI51" i="1"/>
  <c r="EF15" i="1"/>
  <c r="DI50" i="1"/>
  <c r="EF14" i="1"/>
  <c r="DI52" i="1"/>
  <c r="EF16" i="1"/>
  <c r="DI49" i="1"/>
  <c r="EF13" i="1"/>
  <c r="C58" i="1"/>
  <c r="C50" i="1"/>
  <c r="AT50" i="1"/>
  <c r="C51" i="1"/>
  <c r="AT51" i="1"/>
  <c r="C59" i="1"/>
  <c r="AT59" i="1"/>
  <c r="C55" i="1"/>
  <c r="AT55" i="1"/>
  <c r="C53" i="1"/>
  <c r="C60" i="1"/>
  <c r="AT60" i="1"/>
  <c r="C54" i="1"/>
  <c r="AT54" i="1"/>
  <c r="C49" i="1"/>
  <c r="AT49" i="1"/>
  <c r="C57" i="1"/>
  <c r="AT57" i="1"/>
  <c r="CO22" i="1"/>
  <c r="C56" i="1"/>
  <c r="AT56" i="1"/>
  <c r="C52" i="1"/>
  <c r="AT52" i="1"/>
  <c r="CO16" i="1"/>
  <c r="CU25" i="1"/>
  <c r="CU61" i="1" s="1"/>
  <c r="CO23" i="1"/>
  <c r="DT16" i="1"/>
  <c r="DT52" i="1" s="1"/>
  <c r="CO59" i="1"/>
  <c r="CO60" i="1"/>
  <c r="AV49" i="1"/>
  <c r="CM49" i="1"/>
  <c r="CO25" i="1"/>
  <c r="C61" i="1"/>
  <c r="AV47" i="1"/>
  <c r="AV44" i="1"/>
  <c r="DU25" i="1"/>
  <c r="DU61" i="1" s="1"/>
  <c r="CB61" i="1"/>
  <c r="AV58" i="1"/>
  <c r="CM58" i="1"/>
  <c r="AV52" i="1"/>
  <c r="CM52" i="1"/>
  <c r="CO58" i="1"/>
  <c r="CO56" i="1"/>
  <c r="AV62" i="1"/>
  <c r="DT23" i="1"/>
  <c r="DT59" i="1" s="1"/>
  <c r="CA59" i="1"/>
  <c r="CA20" i="1"/>
  <c r="CB56" i="1"/>
  <c r="DA24" i="1"/>
  <c r="DA60" i="1" s="1"/>
  <c r="AV57" i="1"/>
  <c r="CM57" i="1"/>
  <c r="DT14" i="1"/>
  <c r="DT50" i="1" s="1"/>
  <c r="CO13" i="1"/>
  <c r="CA19" i="1"/>
  <c r="DT19" i="1" s="1"/>
  <c r="DT55" i="1" s="1"/>
  <c r="CB55" i="1"/>
  <c r="AV45" i="1"/>
  <c r="AV61" i="1"/>
  <c r="AV50" i="1"/>
  <c r="CM50" i="1"/>
  <c r="AV51" i="1"/>
  <c r="CM51" i="1"/>
  <c r="DT15" i="1"/>
  <c r="DT51" i="1" s="1"/>
  <c r="CA51" i="1"/>
  <c r="AV43" i="1"/>
  <c r="CO15" i="1"/>
  <c r="DU18" i="1"/>
  <c r="DU54" i="1" s="1"/>
  <c r="CB54" i="1"/>
  <c r="AV59" i="1"/>
  <c r="CM59" i="1"/>
  <c r="DT24" i="1"/>
  <c r="DT60" i="1" s="1"/>
  <c r="CO52" i="1"/>
  <c r="EF52" i="1"/>
  <c r="AV60" i="1"/>
  <c r="CM60" i="1"/>
  <c r="AV48" i="1"/>
  <c r="AV54" i="1"/>
  <c r="CO19" i="1"/>
  <c r="AV56" i="1"/>
  <c r="CM56" i="1"/>
  <c r="CO21" i="1"/>
  <c r="AV46" i="1"/>
  <c r="CX24" i="1"/>
  <c r="CX60" i="1" s="1"/>
  <c r="DT13" i="1"/>
  <c r="DT49" i="1" s="1"/>
  <c r="AU24" i="1"/>
  <c r="AU60" i="1" s="1"/>
  <c r="DU19" i="1"/>
  <c r="DU55" i="1" s="1"/>
  <c r="CA25" i="1"/>
  <c r="CM61" i="1" s="1"/>
  <c r="AU21" i="1"/>
  <c r="AU57" i="1" s="1"/>
  <c r="CA18" i="1"/>
  <c r="AU14" i="1"/>
  <c r="AU50" i="1" s="1"/>
  <c r="BH17" i="1"/>
  <c r="BH53" i="1" s="1"/>
  <c r="CO14" i="1"/>
  <c r="CO18" i="1"/>
  <c r="AU15" i="1"/>
  <c r="AU51" i="1" s="1"/>
  <c r="CT17" i="1"/>
  <c r="CT53" i="1" s="1"/>
  <c r="CS17" i="1"/>
  <c r="CS53" i="1" s="1"/>
  <c r="CR17" i="1"/>
  <c r="CR53" i="1" s="1"/>
  <c r="AU13" i="1" l="1"/>
  <c r="AU49" i="1" s="1"/>
  <c r="AU23" i="1"/>
  <c r="AU59" i="1" s="1"/>
  <c r="AU16" i="1"/>
  <c r="AU52" i="1" s="1"/>
  <c r="EF59" i="1"/>
  <c r="DT18" i="1"/>
  <c r="DT54" i="1" s="1"/>
  <c r="CA54" i="1"/>
  <c r="CO51" i="1"/>
  <c r="EF51" i="1"/>
  <c r="AU20" i="1"/>
  <c r="AU56" i="1" s="1"/>
  <c r="CO61" i="1"/>
  <c r="EF55" i="1"/>
  <c r="CO55" i="1"/>
  <c r="CO54" i="1"/>
  <c r="CM54" i="1"/>
  <c r="EF50" i="1"/>
  <c r="CO50" i="1"/>
  <c r="EF60" i="1"/>
  <c r="DT25" i="1"/>
  <c r="DT61" i="1" s="1"/>
  <c r="CA61" i="1"/>
  <c r="DT20" i="1"/>
  <c r="CA56" i="1"/>
  <c r="CA55" i="1"/>
  <c r="CO57" i="1"/>
  <c r="CO49" i="1"/>
  <c r="EF49" i="1"/>
  <c r="EK15" i="1"/>
  <c r="EI15" i="1"/>
  <c r="EK23" i="1"/>
  <c r="EI23" i="1"/>
  <c r="EK16" i="1"/>
  <c r="EI16" i="1"/>
  <c r="AU25" i="1"/>
  <c r="AU61" i="1" s="1"/>
  <c r="CQ17" i="1"/>
  <c r="CQ53" i="1" s="1"/>
  <c r="AW17" i="1"/>
  <c r="AW53" i="1" s="1"/>
  <c r="DL10" i="1"/>
  <c r="DL46" i="1" s="1"/>
  <c r="DL17" i="1"/>
  <c r="DL53" i="1" s="1"/>
  <c r="DL8" i="1"/>
  <c r="DL44" i="1" s="1"/>
  <c r="DL9" i="1"/>
  <c r="DL45" i="1" s="1"/>
  <c r="DL26" i="1"/>
  <c r="DL62" i="1" s="1"/>
  <c r="DL12" i="1"/>
  <c r="DL48" i="1" s="1"/>
  <c r="DL11" i="1"/>
  <c r="DL47" i="1" s="1"/>
  <c r="DZ26" i="1"/>
  <c r="DZ62" i="1" s="1"/>
  <c r="DZ17" i="1"/>
  <c r="DZ53" i="1" s="1"/>
  <c r="DZ12" i="1"/>
  <c r="DZ48" i="1" s="1"/>
  <c r="DZ11" i="1"/>
  <c r="DZ47" i="1" s="1"/>
  <c r="DZ10" i="1"/>
  <c r="DZ46" i="1" s="1"/>
  <c r="DZ9" i="1"/>
  <c r="DZ45" i="1" s="1"/>
  <c r="DZ8" i="1"/>
  <c r="DZ44" i="1" s="1"/>
  <c r="DY26" i="1"/>
  <c r="DY62" i="1" s="1"/>
  <c r="DY17" i="1"/>
  <c r="DY53" i="1" s="1"/>
  <c r="DY12" i="1"/>
  <c r="DY48" i="1" s="1"/>
  <c r="DY11" i="1"/>
  <c r="DY47" i="1" s="1"/>
  <c r="DY10" i="1"/>
  <c r="DY46" i="1" s="1"/>
  <c r="DY9" i="1"/>
  <c r="DY45" i="1" s="1"/>
  <c r="DY8" i="1"/>
  <c r="DY44" i="1" s="1"/>
  <c r="DX26" i="1"/>
  <c r="DX62" i="1" s="1"/>
  <c r="DX17" i="1"/>
  <c r="DX53" i="1" s="1"/>
  <c r="DX12" i="1"/>
  <c r="DX48" i="1" s="1"/>
  <c r="DX11" i="1"/>
  <c r="DX47" i="1" s="1"/>
  <c r="DX10" i="1"/>
  <c r="DX46" i="1" s="1"/>
  <c r="DX9" i="1"/>
  <c r="DX45" i="1" s="1"/>
  <c r="DX8" i="1"/>
  <c r="DX44" i="1" s="1"/>
  <c r="DW26" i="1"/>
  <c r="DW62" i="1" s="1"/>
  <c r="DW17" i="1"/>
  <c r="DW53" i="1" s="1"/>
  <c r="DW12" i="1"/>
  <c r="DW48" i="1" s="1"/>
  <c r="DW11" i="1"/>
  <c r="DW47" i="1" s="1"/>
  <c r="DW10" i="1"/>
  <c r="DW46" i="1" s="1"/>
  <c r="DW9" i="1"/>
  <c r="DW45" i="1" s="1"/>
  <c r="DW8" i="1"/>
  <c r="DW44" i="1" s="1"/>
  <c r="EK14" i="1" l="1"/>
  <c r="AU18" i="1"/>
  <c r="AU54" i="1" s="1"/>
  <c r="EI13" i="1"/>
  <c r="EF54" i="1"/>
  <c r="EK13" i="1"/>
  <c r="CM55" i="1"/>
  <c r="AU19" i="1"/>
  <c r="AU55" i="1" s="1"/>
  <c r="EI24" i="1"/>
  <c r="EI14" i="1"/>
  <c r="EK19" i="1"/>
  <c r="EF57" i="1"/>
  <c r="EK21" i="1"/>
  <c r="EI21" i="1"/>
  <c r="EK24" i="1"/>
  <c r="EI19" i="1"/>
  <c r="DT56" i="1"/>
  <c r="EK18" i="1"/>
  <c r="DV12" i="1"/>
  <c r="DV48" i="1" s="1"/>
  <c r="CB12" i="1"/>
  <c r="CB48" i="1" s="1"/>
  <c r="CB17" i="1"/>
  <c r="CB53" i="1" s="1"/>
  <c r="DV17" i="1"/>
  <c r="DV53" i="1" s="1"/>
  <c r="DQ8" i="1"/>
  <c r="DQ44" i="1" s="1"/>
  <c r="DV8" i="1"/>
  <c r="DV44" i="1" s="1"/>
  <c r="CB8" i="1"/>
  <c r="CB44" i="1" s="1"/>
  <c r="DV9" i="1"/>
  <c r="DV45" i="1" s="1"/>
  <c r="CB9" i="1"/>
  <c r="CB45" i="1" s="1"/>
  <c r="AV17" i="1"/>
  <c r="CP17" i="1"/>
  <c r="CP53" i="1" s="1"/>
  <c r="DV26" i="1"/>
  <c r="DV62" i="1" s="1"/>
  <c r="CB26" i="1"/>
  <c r="CB62" i="1" s="1"/>
  <c r="DV10" i="1"/>
  <c r="DV46" i="1" s="1"/>
  <c r="CB10" i="1"/>
  <c r="CB46" i="1" s="1"/>
  <c r="CB11" i="1"/>
  <c r="CB47" i="1" s="1"/>
  <c r="DV11" i="1"/>
  <c r="DV47" i="1" s="1"/>
  <c r="BX6" i="1"/>
  <c r="BX42" i="1" s="1"/>
  <c r="BO42" i="1"/>
  <c r="BN42" i="1"/>
  <c r="CG7" i="1"/>
  <c r="CG42" i="1"/>
  <c r="BL26" i="1"/>
  <c r="BL62" i="1" s="1"/>
  <c r="CF7" i="1"/>
  <c r="CF42" i="1"/>
  <c r="CE7" i="1"/>
  <c r="CE42" i="1"/>
  <c r="BY8" i="1"/>
  <c r="DW7" i="1"/>
  <c r="DW43" i="1" s="1"/>
  <c r="CD6" i="1"/>
  <c r="CD42" i="1" s="1"/>
  <c r="EI18" i="1" l="1"/>
  <c r="DY7" i="1"/>
  <c r="DY43" i="1" s="1"/>
  <c r="CF43" i="1"/>
  <c r="EF56" i="1"/>
  <c r="EK20" i="1"/>
  <c r="EI20" i="1"/>
  <c r="DZ7" i="1"/>
  <c r="DZ43" i="1" s="1"/>
  <c r="CG43" i="1"/>
  <c r="EF61" i="1"/>
  <c r="EI25" i="1"/>
  <c r="EK25" i="1"/>
  <c r="DR8" i="1"/>
  <c r="DR44" i="1" s="1"/>
  <c r="BY44" i="1"/>
  <c r="DX7" i="1"/>
  <c r="DX43" i="1" s="1"/>
  <c r="CE43" i="1"/>
  <c r="AV53" i="1"/>
  <c r="DU8" i="1"/>
  <c r="DU44" i="1" s="1"/>
  <c r="CA8" i="1"/>
  <c r="CA44" i="1" s="1"/>
  <c r="BV8" i="1"/>
  <c r="DU10" i="1"/>
  <c r="DU46" i="1" s="1"/>
  <c r="CA10" i="1"/>
  <c r="DU26" i="1"/>
  <c r="DU62" i="1" s="1"/>
  <c r="CA26" i="1"/>
  <c r="CO17" i="1"/>
  <c r="DU17" i="1"/>
  <c r="DU53" i="1" s="1"/>
  <c r="CA17" i="1"/>
  <c r="BK26" i="1"/>
  <c r="DU9" i="1"/>
  <c r="DU45" i="1" s="1"/>
  <c r="CA9" i="1"/>
  <c r="CA45" i="1" s="1"/>
  <c r="DU12" i="1"/>
  <c r="DU48" i="1" s="1"/>
  <c r="CA12" i="1"/>
  <c r="DU11" i="1"/>
  <c r="DU47" i="1" s="1"/>
  <c r="CA11" i="1"/>
  <c r="CO53" i="1" l="1"/>
  <c r="DT26" i="1"/>
  <c r="DT62" i="1" s="1"/>
  <c r="CA62" i="1"/>
  <c r="DT12" i="1"/>
  <c r="DT48" i="1" s="1"/>
  <c r="CA48" i="1"/>
  <c r="DT10" i="1"/>
  <c r="DT46" i="1" s="1"/>
  <c r="CA46" i="1"/>
  <c r="BK62" i="1"/>
  <c r="DO8" i="1"/>
  <c r="DO44" i="1" s="1"/>
  <c r="BV44" i="1"/>
  <c r="DT17" i="1"/>
  <c r="DT53" i="1" s="1"/>
  <c r="CA53" i="1"/>
  <c r="DT11" i="1"/>
  <c r="DT47" i="1" s="1"/>
  <c r="CA47" i="1"/>
  <c r="DM17" i="1"/>
  <c r="DM53" i="1" s="1"/>
  <c r="BP17" i="1"/>
  <c r="CM17" i="1" s="1"/>
  <c r="DM26" i="1"/>
  <c r="DM62" i="1" s="1"/>
  <c r="BP26" i="1"/>
  <c r="CB6" i="1"/>
  <c r="CB42" i="1" s="1"/>
  <c r="DM7" i="1"/>
  <c r="DM43" i="1" s="1"/>
  <c r="DL7" i="1"/>
  <c r="DL43" i="1" s="1"/>
  <c r="BP62" i="1" l="1"/>
  <c r="CM26" i="1"/>
  <c r="BP53" i="1"/>
  <c r="CM53" i="1"/>
  <c r="DV7" i="1"/>
  <c r="DV43" i="1" s="1"/>
  <c r="CB7" i="1"/>
  <c r="CB43" i="1" s="1"/>
  <c r="DI17" i="1"/>
  <c r="DM9" i="1"/>
  <c r="DM45" i="1" s="1"/>
  <c r="BP9" i="1"/>
  <c r="CM9" i="1" s="1"/>
  <c r="DM11" i="1"/>
  <c r="DM47" i="1" s="1"/>
  <c r="BP11" i="1"/>
  <c r="CM11" i="1" s="1"/>
  <c r="DM8" i="1"/>
  <c r="DM44" i="1" s="1"/>
  <c r="BP8" i="1"/>
  <c r="CM8" i="1" s="1"/>
  <c r="DM12" i="1"/>
  <c r="DM48" i="1" s="1"/>
  <c r="BP12" i="1"/>
  <c r="CM12" i="1" s="1"/>
  <c r="DM10" i="1"/>
  <c r="DM46" i="1" s="1"/>
  <c r="BP10" i="1"/>
  <c r="CM10" i="1" s="1"/>
  <c r="Y26" i="1"/>
  <c r="X26" i="1"/>
  <c r="X62" i="1" s="1"/>
  <c r="BY26" i="1"/>
  <c r="DI53" i="1" l="1"/>
  <c r="EF17" i="1"/>
  <c r="BP45" i="1"/>
  <c r="CM45" i="1"/>
  <c r="BP48" i="1"/>
  <c r="CM48" i="1"/>
  <c r="BP46" i="1"/>
  <c r="CM46" i="1"/>
  <c r="BP44" i="1"/>
  <c r="CM44" i="1"/>
  <c r="DR26" i="1"/>
  <c r="DR62" i="1" s="1"/>
  <c r="BY62" i="1"/>
  <c r="BP47" i="1"/>
  <c r="CM47" i="1"/>
  <c r="DK26" i="1"/>
  <c r="DK62" i="1" s="1"/>
  <c r="Y62" i="1"/>
  <c r="DI12" i="1"/>
  <c r="DI10" i="1"/>
  <c r="DI9" i="1"/>
  <c r="DU7" i="1"/>
  <c r="DU43" i="1" s="1"/>
  <c r="CA7" i="1"/>
  <c r="CA43" i="1" s="1"/>
  <c r="DQ26" i="1"/>
  <c r="DQ62" i="1" s="1"/>
  <c r="BV26" i="1"/>
  <c r="DI8" i="1"/>
  <c r="W26" i="1"/>
  <c r="DJ26" i="1"/>
  <c r="DJ62" i="1" s="1"/>
  <c r="DI11" i="1"/>
  <c r="DG6" i="1"/>
  <c r="DG42" i="1" s="1"/>
  <c r="BY6" i="1"/>
  <c r="AC6" i="1"/>
  <c r="AC42" i="1" s="1"/>
  <c r="DF6" i="1"/>
  <c r="DF42" i="1" s="1"/>
  <c r="DE6" i="1"/>
  <c r="DE42" i="1" s="1"/>
  <c r="BM27" i="1"/>
  <c r="BM63" i="1" s="1"/>
  <c r="V27" i="1"/>
  <c r="V63" i="1" s="1"/>
  <c r="DF26" i="1"/>
  <c r="DF62" i="1" s="1"/>
  <c r="DI46" i="1" l="1"/>
  <c r="DI48" i="1"/>
  <c r="DI47" i="1"/>
  <c r="DI45" i="1"/>
  <c r="DI44" i="1"/>
  <c r="BV62" i="1"/>
  <c r="CM62" i="1"/>
  <c r="BY27" i="1"/>
  <c r="BY63" i="1" s="1"/>
  <c r="BY42" i="1"/>
  <c r="DI26" i="1"/>
  <c r="W62" i="1"/>
  <c r="BV6" i="1"/>
  <c r="BV42" i="1" s="1"/>
  <c r="DO26" i="1"/>
  <c r="DO62" i="1" s="1"/>
  <c r="T27" i="1"/>
  <c r="T63" i="1" s="1"/>
  <c r="DF27" i="1"/>
  <c r="DF63" i="1" s="1"/>
  <c r="DI62" i="1" l="1"/>
  <c r="R6" i="1"/>
  <c r="R42" i="1" l="1"/>
  <c r="AT6" i="1"/>
  <c r="BR7" i="1"/>
  <c r="BR6" i="1"/>
  <c r="BR42" i="1" s="1"/>
  <c r="BQ7" i="1"/>
  <c r="BQ43" i="1" s="1"/>
  <c r="BQ6" i="1"/>
  <c r="BQ42" i="1" s="1"/>
  <c r="Q17" i="1"/>
  <c r="Q53" i="1" s="1"/>
  <c r="P17" i="1"/>
  <c r="M17" i="1"/>
  <c r="J17" i="1"/>
  <c r="M22" i="1" l="1"/>
  <c r="M58" i="1" s="1"/>
  <c r="M53" i="1"/>
  <c r="P22" i="1"/>
  <c r="P58" i="1" s="1"/>
  <c r="P53" i="1"/>
  <c r="J22" i="1"/>
  <c r="J58" i="1" s="1"/>
  <c r="J53" i="1"/>
  <c r="DK7" i="1"/>
  <c r="DK43" i="1" s="1"/>
  <c r="BR43" i="1"/>
  <c r="CY22" i="1"/>
  <c r="CY58" i="1" s="1"/>
  <c r="L22" i="1"/>
  <c r="DB22" i="1"/>
  <c r="DB58" i="1" s="1"/>
  <c r="DC17" i="1"/>
  <c r="DC53" i="1" s="1"/>
  <c r="Q22" i="1"/>
  <c r="Q58" i="1" s="1"/>
  <c r="O17" i="1"/>
  <c r="DB17" i="1"/>
  <c r="DB53" i="1" s="1"/>
  <c r="BP7" i="1"/>
  <c r="CM7" i="1" s="1"/>
  <c r="DJ7" i="1"/>
  <c r="DJ43" i="1" s="1"/>
  <c r="I17" i="1"/>
  <c r="CV17" i="1"/>
  <c r="CV53" i="1" s="1"/>
  <c r="M26" i="1"/>
  <c r="M62" i="1" s="1"/>
  <c r="CY17" i="1"/>
  <c r="CY53" i="1" s="1"/>
  <c r="L17" i="1"/>
  <c r="J26" i="1"/>
  <c r="J62" i="1" s="1"/>
  <c r="E6" i="1"/>
  <c r="U27" i="1"/>
  <c r="U63" i="1" s="1"/>
  <c r="R7" i="1"/>
  <c r="AT7" i="1" s="1"/>
  <c r="W6" i="1"/>
  <c r="W42" i="1" s="1"/>
  <c r="R8" i="1"/>
  <c r="AT8" i="1" s="1"/>
  <c r="R9" i="1"/>
  <c r="AT9" i="1" s="1"/>
  <c r="R10" i="1"/>
  <c r="AT10" i="1" s="1"/>
  <c r="R11" i="1"/>
  <c r="AT11" i="1" s="1"/>
  <c r="R12" i="1"/>
  <c r="AT12" i="1" s="1"/>
  <c r="Z27" i="1"/>
  <c r="Z63" i="1" s="1"/>
  <c r="AA27" i="1"/>
  <c r="AA63" i="1" s="1"/>
  <c r="EE6" i="1"/>
  <c r="EE42" i="1" s="1"/>
  <c r="EC6" i="1"/>
  <c r="EC42" i="1" s="1"/>
  <c r="EB6" i="1"/>
  <c r="EB42" i="1" s="1"/>
  <c r="DZ6" i="1"/>
  <c r="DZ42" i="1" s="1"/>
  <c r="DY6" i="1"/>
  <c r="DY42" i="1" s="1"/>
  <c r="DX6" i="1"/>
  <c r="DX42" i="1" s="1"/>
  <c r="DW6" i="1"/>
  <c r="DW42" i="1" s="1"/>
  <c r="DV6" i="1"/>
  <c r="DV42" i="1" s="1"/>
  <c r="DS6" i="1"/>
  <c r="DS42" i="1" s="1"/>
  <c r="DR6" i="1"/>
  <c r="DR42" i="1" s="1"/>
  <c r="DQ6" i="1"/>
  <c r="DQ42" i="1" s="1"/>
  <c r="DP6" i="1"/>
  <c r="DP42" i="1" s="1"/>
  <c r="DN6" i="1"/>
  <c r="DN42" i="1" s="1"/>
  <c r="DM6" i="1"/>
  <c r="DM42" i="1" s="1"/>
  <c r="DL6" i="1"/>
  <c r="DL42" i="1" s="1"/>
  <c r="DK6" i="1"/>
  <c r="DK42" i="1" s="1"/>
  <c r="DJ6" i="1"/>
  <c r="DJ42" i="1" s="1"/>
  <c r="DH6" i="1"/>
  <c r="DH42" i="1" s="1"/>
  <c r="DC6" i="1"/>
  <c r="DC42" i="1" s="1"/>
  <c r="DB6" i="1"/>
  <c r="DB42" i="1" s="1"/>
  <c r="CZ6" i="1"/>
  <c r="CZ42" i="1" s="1"/>
  <c r="CY6" i="1"/>
  <c r="CY42" i="1" s="1"/>
  <c r="CW6" i="1"/>
  <c r="CW42" i="1" s="1"/>
  <c r="CV6" i="1"/>
  <c r="CV42" i="1" s="1"/>
  <c r="CT6" i="1"/>
  <c r="CT42" i="1" s="1"/>
  <c r="CS6" i="1"/>
  <c r="CS42" i="1" s="1"/>
  <c r="CR6" i="1"/>
  <c r="CR42" i="1" s="1"/>
  <c r="BP6" i="1"/>
  <c r="BZ27" i="1"/>
  <c r="BZ63" i="1" s="1"/>
  <c r="AE27" i="1"/>
  <c r="AE63" i="1" s="1"/>
  <c r="AF27" i="1"/>
  <c r="AF63" i="1" s="1"/>
  <c r="AG27" i="1"/>
  <c r="AG63" i="1" s="1"/>
  <c r="BS27" i="1"/>
  <c r="BS63" i="1" s="1"/>
  <c r="BT27" i="1"/>
  <c r="BT63" i="1" s="1"/>
  <c r="BW27" i="1"/>
  <c r="BW63" i="1" s="1"/>
  <c r="BU27" i="1"/>
  <c r="BU63" i="1" s="1"/>
  <c r="BR27" i="1"/>
  <c r="BR63" i="1" s="1"/>
  <c r="BQ27" i="1"/>
  <c r="BQ63" i="1" s="1"/>
  <c r="BO27" i="1"/>
  <c r="BO63" i="1" s="1"/>
  <c r="BN27" i="1"/>
  <c r="BN63" i="1" s="1"/>
  <c r="BJ27" i="1"/>
  <c r="BJ63" i="1" s="1"/>
  <c r="BI27" i="1"/>
  <c r="BI63" i="1" s="1"/>
  <c r="BG27" i="1"/>
  <c r="BG63" i="1" s="1"/>
  <c r="BF27" i="1"/>
  <c r="BF63" i="1" s="1"/>
  <c r="BD27" i="1"/>
  <c r="BD63" i="1" s="1"/>
  <c r="BC27" i="1"/>
  <c r="BC63" i="1" s="1"/>
  <c r="BA27" i="1"/>
  <c r="BA63" i="1" s="1"/>
  <c r="AZ27" i="1"/>
  <c r="AZ63" i="1" s="1"/>
  <c r="AY27" i="1"/>
  <c r="AY63" i="1" s="1"/>
  <c r="CA6" i="1"/>
  <c r="CA42" i="1" s="1"/>
  <c r="BK6" i="1"/>
  <c r="BK42" i="1" s="1"/>
  <c r="BH6" i="1"/>
  <c r="BH42" i="1" s="1"/>
  <c r="BE6" i="1"/>
  <c r="BE42" i="1" s="1"/>
  <c r="BB6" i="1"/>
  <c r="BB42" i="1" s="1"/>
  <c r="AW6" i="1"/>
  <c r="AW42" i="1" s="1"/>
  <c r="O12" i="1"/>
  <c r="O11" i="1"/>
  <c r="O10" i="1"/>
  <c r="O9" i="1"/>
  <c r="O8" i="1"/>
  <c r="O7" i="1"/>
  <c r="O6" i="1"/>
  <c r="O42" i="1" s="1"/>
  <c r="L12" i="1"/>
  <c r="L11" i="1"/>
  <c r="L10" i="1"/>
  <c r="L9" i="1"/>
  <c r="L8" i="1"/>
  <c r="L7" i="1"/>
  <c r="L6" i="1"/>
  <c r="L42" i="1" s="1"/>
  <c r="I7" i="1"/>
  <c r="I8" i="1"/>
  <c r="I9" i="1"/>
  <c r="I10" i="1"/>
  <c r="I11" i="1"/>
  <c r="I12" i="1"/>
  <c r="I6" i="1"/>
  <c r="I42" i="1" s="1"/>
  <c r="D7" i="1"/>
  <c r="D43" i="1" s="1"/>
  <c r="D8" i="1"/>
  <c r="D44" i="1" s="1"/>
  <c r="D9" i="1"/>
  <c r="D45" i="1" s="1"/>
  <c r="D10" i="1"/>
  <c r="D46" i="1" s="1"/>
  <c r="D11" i="1"/>
  <c r="D47" i="1" s="1"/>
  <c r="D12" i="1"/>
  <c r="D48" i="1" s="1"/>
  <c r="BP42" i="1" l="1"/>
  <c r="CM6" i="1"/>
  <c r="I53" i="1"/>
  <c r="AT53" i="1"/>
  <c r="DD10" i="1"/>
  <c r="R46" i="1"/>
  <c r="CX17" i="1"/>
  <c r="CX53" i="1" s="1"/>
  <c r="L53" i="1"/>
  <c r="DA17" i="1"/>
  <c r="DA53" i="1" s="1"/>
  <c r="O53" i="1"/>
  <c r="CU12" i="1"/>
  <c r="CU48" i="1" s="1"/>
  <c r="I48" i="1"/>
  <c r="CX8" i="1"/>
  <c r="CX44" i="1" s="1"/>
  <c r="L44" i="1"/>
  <c r="DA9" i="1"/>
  <c r="DA45" i="1" s="1"/>
  <c r="O45" i="1"/>
  <c r="DD9" i="1"/>
  <c r="R45" i="1"/>
  <c r="CU10" i="1"/>
  <c r="CU46" i="1" s="1"/>
  <c r="I46" i="1"/>
  <c r="CU9" i="1"/>
  <c r="CU45" i="1" s="1"/>
  <c r="I45" i="1"/>
  <c r="CX11" i="1"/>
  <c r="CX47" i="1" s="1"/>
  <c r="L47" i="1"/>
  <c r="DA12" i="1"/>
  <c r="DA48" i="1" s="1"/>
  <c r="O48" i="1"/>
  <c r="DD7" i="1"/>
  <c r="DD43" i="1" s="1"/>
  <c r="R43" i="1"/>
  <c r="CX22" i="1"/>
  <c r="CX58" i="1" s="1"/>
  <c r="L58" i="1"/>
  <c r="DA8" i="1"/>
  <c r="DA44" i="1" s="1"/>
  <c r="O44" i="1"/>
  <c r="CX9" i="1"/>
  <c r="CX45" i="1" s="1"/>
  <c r="L45" i="1"/>
  <c r="CU8" i="1"/>
  <c r="CU44" i="1" s="1"/>
  <c r="I44" i="1"/>
  <c r="CX7" i="1"/>
  <c r="CX43" i="1" s="1"/>
  <c r="L43" i="1"/>
  <c r="CU11" i="1"/>
  <c r="CU47" i="1" s="1"/>
  <c r="I47" i="1"/>
  <c r="DA10" i="1"/>
  <c r="DA46" i="1" s="1"/>
  <c r="O46" i="1"/>
  <c r="DD8" i="1"/>
  <c r="R44" i="1"/>
  <c r="CX10" i="1"/>
  <c r="CX46" i="1" s="1"/>
  <c r="L46" i="1"/>
  <c r="CX12" i="1"/>
  <c r="CX48" i="1" s="1"/>
  <c r="L48" i="1"/>
  <c r="CU7" i="1"/>
  <c r="CU43" i="1" s="1"/>
  <c r="I43" i="1"/>
  <c r="DD12" i="1"/>
  <c r="R48" i="1"/>
  <c r="AX27" i="1"/>
  <c r="AX63" i="1" s="1"/>
  <c r="E42" i="1"/>
  <c r="BP43" i="1"/>
  <c r="CM43" i="1"/>
  <c r="I22" i="1"/>
  <c r="DA11" i="1"/>
  <c r="DA47" i="1" s="1"/>
  <c r="O47" i="1"/>
  <c r="DA7" i="1"/>
  <c r="DA43" i="1" s="1"/>
  <c r="O43" i="1"/>
  <c r="DD11" i="1"/>
  <c r="R47" i="1"/>
  <c r="CV22" i="1"/>
  <c r="CV58" i="1" s="1"/>
  <c r="DC22" i="1"/>
  <c r="DC58" i="1" s="1"/>
  <c r="O22" i="1"/>
  <c r="D6" i="1"/>
  <c r="CP6" i="1" s="1"/>
  <c r="CP42" i="1" s="1"/>
  <c r="C11" i="1"/>
  <c r="CP11" i="1"/>
  <c r="CP47" i="1" s="1"/>
  <c r="C10" i="1"/>
  <c r="CP10" i="1"/>
  <c r="CP46" i="1" s="1"/>
  <c r="CY26" i="1"/>
  <c r="L26" i="1"/>
  <c r="DI7" i="1"/>
  <c r="CQ6" i="1"/>
  <c r="CV26" i="1"/>
  <c r="I26" i="1"/>
  <c r="C12" i="1"/>
  <c r="CP12" i="1"/>
  <c r="CP48" i="1" s="1"/>
  <c r="C9" i="1"/>
  <c r="CP9" i="1"/>
  <c r="CP45" i="1" s="1"/>
  <c r="C8" i="1"/>
  <c r="CP8" i="1"/>
  <c r="CP44" i="1" s="1"/>
  <c r="CU17" i="1"/>
  <c r="C7" i="1"/>
  <c r="CP7" i="1"/>
  <c r="CP43" i="1" s="1"/>
  <c r="R26" i="1"/>
  <c r="AT26" i="1" s="1"/>
  <c r="DE26" i="1"/>
  <c r="DE62" i="1" s="1"/>
  <c r="DD6" i="1"/>
  <c r="DD42" i="1" s="1"/>
  <c r="CE27" i="1"/>
  <c r="CE63" i="1" s="1"/>
  <c r="DO6" i="1"/>
  <c r="DO42" i="1" s="1"/>
  <c r="S27" i="1"/>
  <c r="S63" i="1" s="1"/>
  <c r="CD27" i="1"/>
  <c r="CD63" i="1" s="1"/>
  <c r="BX27" i="1"/>
  <c r="BX63" i="1" s="1"/>
  <c r="CL27" i="1"/>
  <c r="CL63" i="1" s="1"/>
  <c r="C26" i="1"/>
  <c r="AV6" i="1"/>
  <c r="CK27" i="1"/>
  <c r="CK63" i="1" s="1"/>
  <c r="CF27" i="1"/>
  <c r="CF63" i="1" s="1"/>
  <c r="CI27" i="1"/>
  <c r="CI63" i="1" s="1"/>
  <c r="CC27" i="1"/>
  <c r="CC63" i="1" s="1"/>
  <c r="CG27" i="1"/>
  <c r="CG63" i="1" s="1"/>
  <c r="CJ27" i="1"/>
  <c r="CJ63" i="1" s="1"/>
  <c r="DG27" i="1"/>
  <c r="DG63" i="1" s="1"/>
  <c r="CU6" i="1"/>
  <c r="CU42" i="1" s="1"/>
  <c r="DH27" i="1"/>
  <c r="DH63" i="1" s="1"/>
  <c r="CX6" i="1"/>
  <c r="CX42" i="1" s="1"/>
  <c r="DI6" i="1"/>
  <c r="DA6" i="1"/>
  <c r="DA42" i="1" s="1"/>
  <c r="DL27" i="1"/>
  <c r="DL63" i="1" s="1"/>
  <c r="CZ27" i="1"/>
  <c r="CZ63" i="1" s="1"/>
  <c r="DM27" i="1"/>
  <c r="DM63" i="1" s="1"/>
  <c r="DN27" i="1"/>
  <c r="DN63" i="1" s="1"/>
  <c r="CS27" i="1"/>
  <c r="CS63" i="1" s="1"/>
  <c r="DS27" i="1"/>
  <c r="DS63" i="1" s="1"/>
  <c r="DB27" i="1"/>
  <c r="DB63" i="1" s="1"/>
  <c r="EB27" i="1"/>
  <c r="EB63" i="1" s="1"/>
  <c r="CT27" i="1"/>
  <c r="CT63" i="1" s="1"/>
  <c r="CW27" i="1"/>
  <c r="CW63" i="1" s="1"/>
  <c r="BL27" i="1"/>
  <c r="BL63" i="1" s="1"/>
  <c r="BP27" i="1"/>
  <c r="BP63" i="1" s="1"/>
  <c r="BE27" i="1"/>
  <c r="BE63" i="1" s="1"/>
  <c r="BH27" i="1"/>
  <c r="BH63" i="1" s="1"/>
  <c r="BB27" i="1"/>
  <c r="BB63" i="1" s="1"/>
  <c r="AW27" i="1"/>
  <c r="AW63" i="1" s="1"/>
  <c r="DD45" i="1" l="1"/>
  <c r="EF9" i="1"/>
  <c r="DD46" i="1"/>
  <c r="EF10" i="1"/>
  <c r="DD44" i="1"/>
  <c r="EF8" i="1"/>
  <c r="DD48" i="1"/>
  <c r="EF12" i="1"/>
  <c r="DD47" i="1"/>
  <c r="EF11" i="1"/>
  <c r="DI43" i="1"/>
  <c r="EF7" i="1"/>
  <c r="DI42" i="1"/>
  <c r="EF6" i="1"/>
  <c r="C62" i="1"/>
  <c r="AT62" i="1"/>
  <c r="C45" i="1"/>
  <c r="I58" i="1"/>
  <c r="C48" i="1"/>
  <c r="AT48" i="1"/>
  <c r="C46" i="1"/>
  <c r="AT46" i="1"/>
  <c r="C43" i="1"/>
  <c r="C47" i="1"/>
  <c r="AT47" i="1"/>
  <c r="C44" i="1"/>
  <c r="DC27" i="1"/>
  <c r="DC63" i="1" s="1"/>
  <c r="AV42" i="1"/>
  <c r="CM42" i="1"/>
  <c r="CX26" i="1"/>
  <c r="CX62" i="1" s="1"/>
  <c r="L62" i="1"/>
  <c r="CU22" i="1"/>
  <c r="CY27" i="1"/>
  <c r="CY63" i="1" s="1"/>
  <c r="CY62" i="1"/>
  <c r="CU26" i="1"/>
  <c r="CU62" i="1" s="1"/>
  <c r="I62" i="1"/>
  <c r="DA22" i="1"/>
  <c r="DA58" i="1" s="1"/>
  <c r="O58" i="1"/>
  <c r="CU53" i="1"/>
  <c r="EF53" i="1"/>
  <c r="CV27" i="1"/>
  <c r="CV63" i="1" s="1"/>
  <c r="CV62" i="1"/>
  <c r="DD26" i="1"/>
  <c r="R62" i="1"/>
  <c r="CQ27" i="1"/>
  <c r="CQ63" i="1" s="1"/>
  <c r="CQ42" i="1"/>
  <c r="C6" i="1"/>
  <c r="D42" i="1"/>
  <c r="CO26" i="1"/>
  <c r="CO9" i="1"/>
  <c r="CO7" i="1"/>
  <c r="CO12" i="1"/>
  <c r="CO10" i="1"/>
  <c r="CO11" i="1"/>
  <c r="CO8" i="1"/>
  <c r="EJ27" i="1"/>
  <c r="CR27" i="1"/>
  <c r="CR63" i="1" s="1"/>
  <c r="DR27" i="1"/>
  <c r="DR63" i="1" s="1"/>
  <c r="DQ27" i="1"/>
  <c r="DQ63" i="1" s="1"/>
  <c r="EC27" i="1"/>
  <c r="EC63" i="1" s="1"/>
  <c r="DV27" i="1"/>
  <c r="DV63" i="1" s="1"/>
  <c r="DY27" i="1"/>
  <c r="DY63" i="1" s="1"/>
  <c r="CB27" i="1"/>
  <c r="CB63" i="1" s="1"/>
  <c r="EE27" i="1"/>
  <c r="EE63" i="1" s="1"/>
  <c r="AV27" i="1"/>
  <c r="AV63" i="1" s="1"/>
  <c r="DW27" i="1"/>
  <c r="DW63" i="1" s="1"/>
  <c r="DP27" i="1"/>
  <c r="DP63" i="1" s="1"/>
  <c r="DJ27" i="1"/>
  <c r="DJ63" i="1" s="1"/>
  <c r="DK27" i="1"/>
  <c r="DK63" i="1" s="1"/>
  <c r="CO6" i="1"/>
  <c r="DX27" i="1"/>
  <c r="DX63" i="1" s="1"/>
  <c r="DZ27" i="1"/>
  <c r="DZ63" i="1" s="1"/>
  <c r="BV27" i="1"/>
  <c r="BV63" i="1" s="1"/>
  <c r="CX27" i="1"/>
  <c r="CX63" i="1" s="1"/>
  <c r="CP27" i="1"/>
  <c r="CP63" i="1" s="1"/>
  <c r="DA27" i="1"/>
  <c r="DA63" i="1" s="1"/>
  <c r="BK27" i="1"/>
  <c r="BK63" i="1" s="1"/>
  <c r="DD62" i="1" l="1"/>
  <c r="EF26" i="1"/>
  <c r="EF62" i="1" s="1"/>
  <c r="AT58" i="1"/>
  <c r="AU22" i="1"/>
  <c r="AU58" i="1" s="1"/>
  <c r="C42" i="1"/>
  <c r="CO46" i="1"/>
  <c r="EF46" i="1"/>
  <c r="EF47" i="1"/>
  <c r="CO47" i="1"/>
  <c r="CU58" i="1"/>
  <c r="CO43" i="1"/>
  <c r="CU27" i="1"/>
  <c r="CU63" i="1" s="1"/>
  <c r="CO62" i="1"/>
  <c r="EI17" i="1"/>
  <c r="CO42" i="1"/>
  <c r="EF48" i="1"/>
  <c r="CO48" i="1"/>
  <c r="CO45" i="1"/>
  <c r="CO44" i="1"/>
  <c r="EK17" i="1"/>
  <c r="EI26" i="1"/>
  <c r="EI11" i="1"/>
  <c r="EK10" i="1"/>
  <c r="AU12" i="1"/>
  <c r="AU48" i="1" s="1"/>
  <c r="AU10" i="1"/>
  <c r="AU46" i="1" s="1"/>
  <c r="AU11" i="1"/>
  <c r="AU47" i="1" s="1"/>
  <c r="AU26" i="1"/>
  <c r="AU62" i="1" s="1"/>
  <c r="AU17" i="1"/>
  <c r="AU53" i="1" s="1"/>
  <c r="EH27" i="1"/>
  <c r="CU29" i="1"/>
  <c r="DI27" i="1"/>
  <c r="CO27" i="1"/>
  <c r="CO63" i="1" s="1"/>
  <c r="CA27" i="1"/>
  <c r="CA63" i="1" s="1"/>
  <c r="DO27" i="1"/>
  <c r="EK26" i="1" l="1"/>
  <c r="DI63" i="1"/>
  <c r="EK11" i="1"/>
  <c r="EK12" i="1"/>
  <c r="EI10" i="1"/>
  <c r="EF58" i="1"/>
  <c r="EI22" i="1"/>
  <c r="EK22" i="1"/>
  <c r="EI12" i="1"/>
  <c r="CM27" i="1"/>
  <c r="CM63" i="1" s="1"/>
  <c r="D27" i="1"/>
  <c r="D63" i="1" s="1"/>
  <c r="E27" i="1"/>
  <c r="E63" i="1" s="1"/>
  <c r="F27" i="1"/>
  <c r="F63" i="1" s="1"/>
  <c r="G27" i="1"/>
  <c r="G63" i="1" s="1"/>
  <c r="H27" i="1"/>
  <c r="H63" i="1" s="1"/>
  <c r="I27" i="1"/>
  <c r="I63" i="1" s="1"/>
  <c r="J27" i="1"/>
  <c r="J63" i="1" s="1"/>
  <c r="K27" i="1"/>
  <c r="K63" i="1" s="1"/>
  <c r="L27" i="1"/>
  <c r="L63" i="1" s="1"/>
  <c r="M27" i="1"/>
  <c r="M63" i="1" s="1"/>
  <c r="N27" i="1"/>
  <c r="N63" i="1" s="1"/>
  <c r="O27" i="1"/>
  <c r="O63" i="1" s="1"/>
  <c r="P27" i="1"/>
  <c r="P63" i="1" s="1"/>
  <c r="Q27" i="1"/>
  <c r="Q63" i="1" s="1"/>
  <c r="W27" i="1"/>
  <c r="W63" i="1" s="1"/>
  <c r="X27" i="1"/>
  <c r="X63" i="1" s="1"/>
  <c r="Y27" i="1"/>
  <c r="Y63" i="1" s="1"/>
  <c r="AB27" i="1"/>
  <c r="AB63" i="1" s="1"/>
  <c r="AC27" i="1"/>
  <c r="AC63" i="1" s="1"/>
  <c r="AD27" i="1"/>
  <c r="AD63" i="1" s="1"/>
  <c r="AJ27" i="1"/>
  <c r="AJ63" i="1" s="1"/>
  <c r="AK27" i="1"/>
  <c r="AK63" i="1" s="1"/>
  <c r="AL27" i="1"/>
  <c r="AL63" i="1" s="1"/>
  <c r="AM27" i="1"/>
  <c r="AM63" i="1" s="1"/>
  <c r="AN27" i="1"/>
  <c r="AN63" i="1" s="1"/>
  <c r="AP27" i="1"/>
  <c r="AP63" i="1" s="1"/>
  <c r="AQ27" i="1"/>
  <c r="AQ63" i="1" s="1"/>
  <c r="AS27" i="1"/>
  <c r="AS63" i="1" s="1"/>
  <c r="C27" i="1"/>
  <c r="C63" i="1" s="1"/>
  <c r="DU6" i="1" l="1"/>
  <c r="DU42" i="1" s="1"/>
  <c r="AI27" i="1"/>
  <c r="AI63" i="1" s="1"/>
  <c r="DU27" i="1" l="1"/>
  <c r="DU63" i="1" s="1"/>
  <c r="AR9" i="1"/>
  <c r="AR45" i="1" s="1"/>
  <c r="AR8" i="1"/>
  <c r="AR44" i="1" s="1"/>
  <c r="AR7" i="1"/>
  <c r="AR43" i="1" s="1"/>
  <c r="AR6" i="1"/>
  <c r="AR42" i="1" s="1"/>
  <c r="ED7" i="1" l="1"/>
  <c r="ED43" i="1" s="1"/>
  <c r="AH7" i="1"/>
  <c r="ED8" i="1"/>
  <c r="ED44" i="1" s="1"/>
  <c r="AH8" i="1"/>
  <c r="ED9" i="1"/>
  <c r="ED45" i="1" s="1"/>
  <c r="AH9" i="1"/>
  <c r="ED6" i="1"/>
  <c r="ED42" i="1" s="1"/>
  <c r="AH6" i="1"/>
  <c r="DE27" i="1"/>
  <c r="DE63" i="1" s="1"/>
  <c r="AR27" i="1"/>
  <c r="AR63" i="1" s="1"/>
  <c r="R27" i="1"/>
  <c r="R63" i="1" s="1"/>
  <c r="AH44" i="1" l="1"/>
  <c r="AT44" i="1"/>
  <c r="AH42" i="1"/>
  <c r="AT42" i="1"/>
  <c r="AH45" i="1"/>
  <c r="AT45" i="1"/>
  <c r="AH43" i="1"/>
  <c r="AT43" i="1"/>
  <c r="DT7" i="1"/>
  <c r="DT9" i="1"/>
  <c r="DT8" i="1"/>
  <c r="AU8" i="1"/>
  <c r="AU44" i="1" s="1"/>
  <c r="DT6" i="1"/>
  <c r="ED27" i="1"/>
  <c r="ED63" i="1" s="1"/>
  <c r="DD27" i="1"/>
  <c r="AH27" i="1"/>
  <c r="AH63" i="1" s="1"/>
  <c r="DD63" i="1" l="1"/>
  <c r="AU9" i="1"/>
  <c r="AU45" i="1" s="1"/>
  <c r="AU7" i="1"/>
  <c r="AU43" i="1" s="1"/>
  <c r="DT44" i="1"/>
  <c r="EF44" i="1"/>
  <c r="DT42" i="1"/>
  <c r="EF42" i="1"/>
  <c r="DT45" i="1"/>
  <c r="EF45" i="1"/>
  <c r="DT43" i="1"/>
  <c r="EF43" i="1"/>
  <c r="AU6" i="1"/>
  <c r="AU42" i="1" s="1"/>
  <c r="DT27" i="1"/>
  <c r="DT63" i="1" s="1"/>
  <c r="AT27" i="1"/>
  <c r="AT63" i="1" s="1"/>
  <c r="EF27" i="1" l="1"/>
  <c r="EF63" i="1" s="1"/>
  <c r="EK8" i="1"/>
  <c r="EI8" i="1"/>
  <c r="EK7" i="1"/>
  <c r="EI7" i="1"/>
  <c r="EI9" i="1"/>
  <c r="EK9" i="1"/>
  <c r="EI6" i="1"/>
  <c r="EK6" i="1"/>
  <c r="AU27" i="1"/>
  <c r="AU63" i="1" s="1"/>
  <c r="EK27" i="1" l="1"/>
  <c r="EI27" i="1"/>
  <c r="J5" i="23" l="1"/>
  <c r="L5"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tc={6B047A76-CB42-4888-9308-3412E7A9DC12}</author>
    <author>tc={CC999BCE-828A-4D45-851A-728EB14733ED}</author>
    <author>tc={390A2BBB-E70A-453A-834C-C8CF3985D7D9}</author>
    <author>tc={7F9678C2-C171-4110-ADAC-5D6CDE7E880C}</author>
  </authors>
  <commentList>
    <comment ref="D1" authorId="0" shapeId="0" xr:uid="{6B047A76-CB42-4888-9308-3412E7A9DC12}">
      <text>
        <t>[Threaded comment]
Your version of Excel allows you to read this threaded comment; however, any edits to it will get removed if the file is opened in a newer version of Excel. Learn more: https://go.microsoft.com/fwlink/?linkid=870924
Comment:
    Ja vajag kaut ko mainīt, papildināt kolonnas, rindas, lūdzu dodiet ziņu!</t>
      </text>
    </comment>
    <comment ref="AW1" authorId="1" shapeId="0" xr:uid="{CC999BCE-828A-4D45-851A-728EB14733ED}">
      <text>
        <t>[Threaded comment]
Your version of Excel allows you to read this threaded comment; however, any edits to it will get removed if the file is opened in a newer version of Excel. Learn more: https://go.microsoft.com/fwlink/?linkid=870924
Comment:
    Ja vajag kaut ko mainīt, papildināt kolonnas, rindas, lūdzu dodiet ziņu!</t>
      </text>
    </comment>
    <comment ref="J6" authorId="2" shapeId="0" xr:uid="{390A2BBB-E70A-453A-834C-C8CF3985D7D9}">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 ref="M6" authorId="3" shapeId="0" xr:uid="{7F9678C2-C171-4110-ADAC-5D6CDE7E880C}">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tc={98A9F13C-9948-402D-A7A5-5BCDFF17B603}</author>
    <author>tc={058FE866-44AB-4ACE-A754-C567BE3E2244}</author>
    <author>tc={895672B0-BD94-4F2C-80B8-E7E2BA78ABAD}</author>
    <author>tc={78EEF6E3-7BC4-4EB9-8E47-9E1E209029AD}</author>
    <author>tc={F5BB09BF-91E0-4D95-85DE-254497D5512B}</author>
    <author>tc={887D3606-44CD-488B-A038-9F888684A80B}</author>
  </authors>
  <commentList>
    <comment ref="D1" authorId="0" shapeId="0" xr:uid="{98A9F13C-9948-402D-A7A5-5BCDFF17B603}">
      <text>
        <t>[Threaded comment]
Your version of Excel allows you to read this threaded comment; however, any edits to it will get removed if the file is opened in a newer version of Excel. Learn more: https://go.microsoft.com/fwlink/?linkid=870924
Comment:
    Ja vajag kaut ko mainīt, papildināt kolonnas, rindas, lūdzu dodiet ziņu!</t>
      </text>
    </comment>
    <comment ref="AW1" authorId="1" shapeId="0" xr:uid="{058FE866-44AB-4ACE-A754-C567BE3E2244}">
      <text>
        <t>[Threaded comment]
Your version of Excel allows you to read this threaded comment; however, any edits to it will get removed if the file is opened in a newer version of Excel. Learn more: https://go.microsoft.com/fwlink/?linkid=870924
Comment:
    Ja vajag kaut ko mainīt, papildināt kolonnas, rindas, lūdzu dodiet ziņu!</t>
      </text>
    </comment>
    <comment ref="J6" authorId="2" shapeId="0" xr:uid="{895672B0-BD94-4F2C-80B8-E7E2BA78ABAD}">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 ref="M6" authorId="3" shapeId="0" xr:uid="{78EEF6E3-7BC4-4EB9-8E47-9E1E209029AD}">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 ref="J42" authorId="4" shapeId="0" xr:uid="{F5BB09BF-91E0-4D95-85DE-254497D5512B}">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 ref="M42" authorId="5" shapeId="0" xr:uid="{887D3606-44CD-488B-A038-9F888684A80B}">
      <text>
        <t>[Threaded comment]
Your version of Excel allows you to read this threaded comment; however, any edits to it will get removed if the file is opened in a newer version of Excel. Learn more: https://go.microsoft.com/fwlink/?linkid=870924
Comment:
    LM saskaņotais finansējuma apmērs</t>
      </text>
    </comment>
  </commentList>
</comments>
</file>

<file path=xl/sharedStrings.xml><?xml version="1.0" encoding="utf-8"?>
<sst xmlns="http://schemas.openxmlformats.org/spreadsheetml/2006/main" count="803" uniqueCount="197">
  <si>
    <t>Nr.p.k.</t>
  </si>
  <si>
    <t>Pārskata periods (gads)</t>
  </si>
  <si>
    <t>Nomas un papildu maksājumi Talejas ielā 1 ar PVN gadā</t>
  </si>
  <si>
    <t>Pārcelšanās izdevumi ar PVN gadā</t>
  </si>
  <si>
    <t>Nomas, papildu maksājumu un pārcelšanās izdevumi ar PVN gadā kopā</t>
  </si>
  <si>
    <t>VID</t>
  </si>
  <si>
    <t>AiM</t>
  </si>
  <si>
    <t>IAUI</t>
  </si>
  <si>
    <t>LRP</t>
  </si>
  <si>
    <t>VI</t>
  </si>
  <si>
    <t>EM</t>
  </si>
  <si>
    <t>NVA</t>
  </si>
  <si>
    <t>kopā:</t>
  </si>
  <si>
    <t>PAVISAM KOPĀ:</t>
  </si>
  <si>
    <t xml:space="preserve">Jāliek AR PVN </t>
  </si>
  <si>
    <t xml:space="preserve">Apstiprinātais finansējums </t>
  </si>
  <si>
    <t>Izmaiņas +/-</t>
  </si>
  <si>
    <t xml:space="preserve">Precizētais finansējums </t>
  </si>
  <si>
    <t>Izmaiņas</t>
  </si>
  <si>
    <t>Valsts ieņēmumu dienests</t>
  </si>
  <si>
    <t>Aizsardzības ministrija</t>
  </si>
  <si>
    <t>Valsts darba inspekcija</t>
  </si>
  <si>
    <t>Valsts sociālās apdrošināšanas aģentūra</t>
  </si>
  <si>
    <t>Izložu un azartspēļu uzraudzības inspekcija</t>
  </si>
  <si>
    <t>Latvijas republikas prokuratūra</t>
  </si>
  <si>
    <t>Veselības inspekcija</t>
  </si>
  <si>
    <t>Ekonomikas ministrija un iestādes</t>
  </si>
  <si>
    <t>Nodrošinājuma valsts aģentūra</t>
  </si>
  <si>
    <t>1.</t>
  </si>
  <si>
    <t>2.</t>
  </si>
  <si>
    <r>
      <t>2044 (</t>
    </r>
    <r>
      <rPr>
        <b/>
        <sz val="7"/>
        <color rgb="FFFF0000"/>
        <rFont val="Times New Roman"/>
        <family val="1"/>
        <charset val="186"/>
      </rPr>
      <t>4</t>
    </r>
    <r>
      <rPr>
        <sz val="7"/>
        <color theme="1"/>
        <rFont val="Times New Roman"/>
        <family val="1"/>
      </rPr>
      <t xml:space="preserve"> mēneši)</t>
    </r>
  </si>
  <si>
    <t>* apstiprinātā finansējuma daļā VID, IAUI, LRP finansējums 2044.gadā ir norādīts par 3 mēnešiem.</t>
  </si>
  <si>
    <t>IAUI nomas maksa Talejas 1 apstiprinātā pēc MK rīkojuma</t>
  </si>
  <si>
    <t>IAUI nomas maksa Talejas 1 pēc 26.09.2023. PPP starpība</t>
  </si>
  <si>
    <t>LRP 
esošo telpu nomas un papildu maksājumi
Talejas 1</t>
  </si>
  <si>
    <t>LRP
esošo telpu nomas maksa Talejas 1 apstiprinātā pēc MK rīkojuma</t>
  </si>
  <si>
    <t>LRP
esošo telpu nomas maksa Talejas 1 pēc 26.09.2023. PPP starpība</t>
  </si>
  <si>
    <t>LRP 
jauno (pagaidu) telpu nomas un papildu maksājumi
kopā</t>
  </si>
  <si>
    <t>LRP 
jauno (pagaidu) telpu nomas un papildu maksājumi
Talejas 1</t>
  </si>
  <si>
    <t>LRP 
jauno (pagaidu) telpu nomas un papildu maksājumi
Ierēdņu ielā 3</t>
  </si>
  <si>
    <t>LRP 
jauno (pagaidu) telpu komunālie maksājumi Talejas 1 un Ierēdņu 3</t>
  </si>
  <si>
    <t>VI
nomas un papildu maksājumi
Klijānu 7</t>
  </si>
  <si>
    <t>VI
nomas un papildu maksājumi
 Talejas 1</t>
  </si>
  <si>
    <t>VI
pārcelšanās izdevumi</t>
  </si>
  <si>
    <t>EM un iestāžu
esošo telpu izmaksas</t>
  </si>
  <si>
    <t>EM un iestāžu
nomas un papildu maksājumi
 Talejas 1</t>
  </si>
  <si>
    <t>EM un iestāžu pārcelšanās izmaksas</t>
  </si>
  <si>
    <t>NVA (VUGD un VRS) nomas un papildu maksājumi
Talejas 1</t>
  </si>
  <si>
    <t>NVA (VUGD) telpu pielāgošana  Talejas 1</t>
  </si>
  <si>
    <t>NVA nomas un papildu maksājumi citām ilgtermiņa saistībām un apsaimniekošanai</t>
  </si>
  <si>
    <t>G=H+I</t>
  </si>
  <si>
    <t>J=K+N</t>
  </si>
  <si>
    <t>K=L+M</t>
  </si>
  <si>
    <t>N=O+P+Q</t>
  </si>
  <si>
    <t>R=S+T+U</t>
  </si>
  <si>
    <t>V=W+X+Y</t>
  </si>
  <si>
    <t>Z=AA+AB+AC</t>
  </si>
  <si>
    <t>AD=C+D+E+F+G+J+R+V+Z</t>
  </si>
  <si>
    <t>AE=BG-AD</t>
  </si>
  <si>
    <t>AJ=AK+AL</t>
  </si>
  <si>
    <t>AM=AN+AQ</t>
  </si>
  <si>
    <t>AN=AO+AP</t>
  </si>
  <si>
    <t>AQ=AR+AS+AT</t>
  </si>
  <si>
    <t>AU=AV+AW+AX</t>
  </si>
  <si>
    <t>AY=AZ+BA+BB</t>
  </si>
  <si>
    <t>BC=BD+BE+BF</t>
  </si>
  <si>
    <t>BG=AF+AG+AH+AI+JA+AM+AU+AY+BC</t>
  </si>
  <si>
    <t>VID pieejamais ilgtermiņa saistībām T1</t>
  </si>
  <si>
    <t>VID nepieciešamais ilgtermiņa saistībām T1</t>
  </si>
  <si>
    <t>VID ilgtermiņa saistību samazinājums</t>
  </si>
  <si>
    <r>
      <t xml:space="preserve">ar </t>
    </r>
    <r>
      <rPr>
        <b/>
        <u/>
        <sz val="7"/>
        <color theme="1"/>
        <rFont val="Times New Roman"/>
        <family val="1"/>
        <charset val="186"/>
      </rPr>
      <t>MK</t>
    </r>
    <r>
      <rPr>
        <sz val="7"/>
        <color theme="1"/>
        <rFont val="Times New Roman"/>
        <family val="1"/>
        <charset val="186"/>
      </rPr>
      <t xml:space="preserve"> rīkojumu pārdala no VID uz</t>
    </r>
  </si>
  <si>
    <r>
      <t xml:space="preserve">ar </t>
    </r>
    <r>
      <rPr>
        <b/>
        <u/>
        <sz val="7"/>
        <color theme="1"/>
        <rFont val="Times New Roman"/>
        <family val="1"/>
        <charset val="186"/>
      </rPr>
      <t>FM</t>
    </r>
    <r>
      <rPr>
        <sz val="7"/>
        <color theme="1"/>
        <rFont val="Times New Roman"/>
        <family val="1"/>
        <charset val="186"/>
      </rPr>
      <t xml:space="preserve"> rīkojumu pārdala no VID uz IAUI*</t>
    </r>
  </si>
  <si>
    <r>
      <t xml:space="preserve">pārdala no VID </t>
    </r>
    <r>
      <rPr>
        <b/>
        <sz val="7"/>
        <color theme="1"/>
        <rFont val="Times New Roman"/>
        <family val="1"/>
        <charset val="186"/>
      </rPr>
      <t>kopā</t>
    </r>
  </si>
  <si>
    <t>Atlikums, kas paliek VID</t>
  </si>
  <si>
    <t>citiem kopā</t>
  </si>
  <si>
    <t>J=E+F+G+H+I</t>
  </si>
  <si>
    <t>L=J+K</t>
  </si>
  <si>
    <t>M=D-L</t>
  </si>
  <si>
    <t>* Likuma par budžetu un finanšu vadību 9. panta piecpadsmitā daļa nosaka, ka "Finanšu ministram ir tiesības veikt apropriācijas pārdali starp ministrijām un citām centrālajām valsts iestādēm, tai skaitā funkciju pārdales vai strukturālo reformu gadījumos, ja ir pieņemts Ministru kabineta lēmums un Saeima ar atsevišķu lēmumu piekritusi šādai pārdalei. "</t>
  </si>
  <si>
    <r>
      <rPr>
        <sz val="7"/>
        <color theme="1"/>
        <rFont val="Times New Roman"/>
        <family val="1"/>
        <charset val="186"/>
      </rPr>
      <t xml:space="preserve">Finansējums </t>
    </r>
    <r>
      <rPr>
        <b/>
        <u/>
        <sz val="7"/>
        <color theme="1"/>
        <rFont val="Times New Roman"/>
        <family val="1"/>
        <charset val="186"/>
      </rPr>
      <t>nomas un papildu maksājumu</t>
    </r>
    <r>
      <rPr>
        <sz val="7"/>
        <color theme="1"/>
        <rFont val="Times New Roman"/>
        <family val="1"/>
        <charset val="186"/>
      </rPr>
      <t xml:space="preserve"> segšanai Talejas ielā 1</t>
    </r>
  </si>
  <si>
    <r>
      <rPr>
        <sz val="7"/>
        <color theme="1"/>
        <rFont val="Times New Roman"/>
        <family val="1"/>
        <charset val="186"/>
      </rPr>
      <t xml:space="preserve">Finansējums </t>
    </r>
    <r>
      <rPr>
        <b/>
        <u/>
        <sz val="7"/>
        <color theme="1"/>
        <rFont val="Times New Roman"/>
        <family val="1"/>
        <charset val="186"/>
      </rPr>
      <t>pārcelšanās izdevumu</t>
    </r>
    <r>
      <rPr>
        <b/>
        <sz val="7"/>
        <color theme="1"/>
        <rFont val="Times New Roman"/>
        <family val="1"/>
        <charset val="186"/>
      </rPr>
      <t xml:space="preserve"> </t>
    </r>
    <r>
      <rPr>
        <sz val="7"/>
        <color theme="1"/>
        <rFont val="Times New Roman"/>
        <family val="1"/>
        <charset val="186"/>
      </rPr>
      <t>segšanai</t>
    </r>
  </si>
  <si>
    <r>
      <rPr>
        <sz val="7"/>
        <color theme="1"/>
        <rFont val="Times New Roman"/>
        <family val="1"/>
        <charset val="186"/>
      </rPr>
      <t xml:space="preserve">Finansējums nomas, papildu maksājumu un pārcelšanās izdevumu segšanai </t>
    </r>
    <r>
      <rPr>
        <b/>
        <u/>
        <sz val="7"/>
        <color theme="1"/>
        <rFont val="Times New Roman"/>
        <family val="1"/>
        <charset val="186"/>
      </rPr>
      <t>kopā</t>
    </r>
  </si>
  <si>
    <t>Atlikums, kas paliek VI no pieejamā finansējuma*</t>
  </si>
  <si>
    <t>VI nepieciešamais</t>
  </si>
  <si>
    <t>VI pieejamais</t>
  </si>
  <si>
    <t>no VID uz VI pārdalāmais</t>
  </si>
  <si>
    <t>D=IF(C&gt;B;0;B-C)</t>
  </si>
  <si>
    <t>G=IF(F&gt;E;0;E-F)</t>
  </si>
  <si>
    <t>H=B+E</t>
  </si>
  <si>
    <t>I=C+F</t>
  </si>
  <si>
    <t>J=D+G</t>
  </si>
  <si>
    <t>L=I-H+J</t>
  </si>
  <si>
    <t>*VI pieejamais finansējums no 2036,gada līdz 2044.gadam ir lielāks nekā nepieciešams Talejas 1 nomas un papildu maksājumu segšanai</t>
  </si>
  <si>
    <t>EM nepieciešamais</t>
  </si>
  <si>
    <t>EM pieejamais</t>
  </si>
  <si>
    <t>no LM uz EM pārdalāmais</t>
  </si>
  <si>
    <t>no LRP uz EM pārdalāmais</t>
  </si>
  <si>
    <t>no IAUI uz EM pārdalāmais</t>
  </si>
  <si>
    <t>no VID uz EM pārdalāmais</t>
  </si>
  <si>
    <t>no LM uz EM jāpārdala</t>
  </si>
  <si>
    <t>no VID uz EM jāpārdala</t>
  </si>
  <si>
    <t>J=B+I</t>
  </si>
  <si>
    <t>K=C+G</t>
  </si>
  <si>
    <t>L=D+H</t>
  </si>
  <si>
    <t>M=E+I</t>
  </si>
  <si>
    <r>
      <rPr>
        <sz val="7"/>
        <color theme="1"/>
        <rFont val="Times New Roman"/>
        <family val="1"/>
        <charset val="186"/>
      </rPr>
      <t xml:space="preserve">Finansējums </t>
    </r>
    <r>
      <rPr>
        <b/>
        <u/>
        <sz val="7"/>
        <color theme="1"/>
        <rFont val="Times New Roman"/>
        <family val="1"/>
        <charset val="186"/>
      </rPr>
      <t>nomas un papildu maksājumu</t>
    </r>
    <r>
      <rPr>
        <sz val="7"/>
        <color theme="1"/>
        <rFont val="Times New Roman"/>
        <family val="1"/>
        <charset val="186"/>
      </rPr>
      <t xml:space="preserve"> segšanai </t>
    </r>
    <r>
      <rPr>
        <b/>
        <u/>
        <sz val="7"/>
        <color theme="1"/>
        <rFont val="Times New Roman"/>
        <family val="1"/>
        <charset val="186"/>
      </rPr>
      <t>esošajām</t>
    </r>
    <r>
      <rPr>
        <sz val="7"/>
        <color theme="1"/>
        <rFont val="Times New Roman"/>
        <family val="1"/>
        <charset val="186"/>
      </rPr>
      <t xml:space="preserve"> telpām Talejas ielā 1</t>
    </r>
  </si>
  <si>
    <r>
      <rPr>
        <sz val="7"/>
        <color theme="1"/>
        <rFont val="Times New Roman"/>
        <family val="1"/>
        <charset val="186"/>
      </rPr>
      <t xml:space="preserve">Finansējums </t>
    </r>
    <r>
      <rPr>
        <b/>
        <u/>
        <sz val="7"/>
        <color theme="1"/>
        <rFont val="Times New Roman"/>
        <family val="1"/>
        <charset val="186"/>
      </rPr>
      <t>nomas un papildu maksājumu</t>
    </r>
    <r>
      <rPr>
        <sz val="7"/>
        <color theme="1"/>
        <rFont val="Times New Roman"/>
        <family val="1"/>
        <charset val="186"/>
      </rPr>
      <t xml:space="preserve"> segšanai </t>
    </r>
    <r>
      <rPr>
        <b/>
        <u/>
        <sz val="7"/>
        <color theme="1"/>
        <rFont val="Times New Roman"/>
        <family val="1"/>
        <charset val="186"/>
      </rPr>
      <t>pagaidu</t>
    </r>
    <r>
      <rPr>
        <sz val="7"/>
        <color theme="1"/>
        <rFont val="Times New Roman"/>
        <family val="1"/>
        <charset val="186"/>
      </rPr>
      <t xml:space="preserve"> telpām Talejas ielā 1</t>
    </r>
  </si>
  <si>
    <r>
      <rPr>
        <sz val="7"/>
        <color theme="1"/>
        <rFont val="Times New Roman"/>
        <family val="1"/>
        <charset val="186"/>
      </rPr>
      <t xml:space="preserve">Finansējums </t>
    </r>
    <r>
      <rPr>
        <b/>
        <u/>
        <sz val="7"/>
        <color theme="1"/>
        <rFont val="Times New Roman"/>
        <family val="1"/>
        <charset val="186"/>
      </rPr>
      <t>nomas un papildu maksājumu</t>
    </r>
    <r>
      <rPr>
        <sz val="7"/>
        <color theme="1"/>
        <rFont val="Times New Roman"/>
        <family val="1"/>
        <charset val="186"/>
      </rPr>
      <t xml:space="preserve"> segšanai </t>
    </r>
    <r>
      <rPr>
        <b/>
        <u/>
        <sz val="7"/>
        <color theme="1"/>
        <rFont val="Times New Roman"/>
        <family val="1"/>
        <charset val="186"/>
      </rPr>
      <t>kopā</t>
    </r>
  </si>
  <si>
    <t>No LRP uz EM pārdalāmais fiansējums</t>
  </si>
  <si>
    <t>LRP nepieciešamais</t>
  </si>
  <si>
    <t>LRP pieejamais</t>
  </si>
  <si>
    <t>no VID uz LRP pārdalāmais</t>
  </si>
  <si>
    <t>no VID uz LRP pārdalāmais**</t>
  </si>
  <si>
    <t>G=IF(F&gt;E;0;E-F)**</t>
  </si>
  <si>
    <t>*LRP pieejamais finansējums no 2027,gada līdz 2043.gadam ir lielāks nekā nepieciešams Talejas 1 nomas un papildu maksājumu segšanai</t>
  </si>
  <si>
    <t>**2024.gadā no VID uz LRP pagaidu telpu nomas un papildu maksājumu pieauguma segšanai tiek pārdalīts finansējums par 1009 EUR mazākā apmērā kā nepieciešams, jo ietaupījums rodas no esošo telpu nomas un papildu maksājuma samazinājuma</t>
  </si>
  <si>
    <t>No IAUI uz EM pārdalāmais fiansējums</t>
  </si>
  <si>
    <t>IAUI nepieciešamais</t>
  </si>
  <si>
    <t>IAUI pieejamais</t>
  </si>
  <si>
    <r>
      <t xml:space="preserve">no VID uz IAUI pārdalāmais ar </t>
    </r>
    <r>
      <rPr>
        <b/>
        <u/>
        <sz val="7"/>
        <color theme="1"/>
        <rFont val="Times New Roman"/>
        <family val="1"/>
        <charset val="186"/>
      </rPr>
      <t>MK</t>
    </r>
    <r>
      <rPr>
        <sz val="7"/>
        <color theme="1"/>
        <rFont val="Times New Roman"/>
        <family val="1"/>
        <charset val="186"/>
      </rPr>
      <t xml:space="preserve"> rīkojumu</t>
    </r>
  </si>
  <si>
    <r>
      <t xml:space="preserve">no VID uz IAUI pārdalāmais ar </t>
    </r>
    <r>
      <rPr>
        <b/>
        <u/>
        <sz val="7"/>
        <color theme="1"/>
        <rFont val="Times New Roman"/>
        <family val="1"/>
        <charset val="186"/>
      </rPr>
      <t>FM</t>
    </r>
    <r>
      <rPr>
        <sz val="7"/>
        <color theme="1"/>
        <rFont val="Times New Roman"/>
        <family val="1"/>
        <charset val="186"/>
      </rPr>
      <t xml:space="preserve"> rīkojumu</t>
    </r>
  </si>
  <si>
    <r>
      <t xml:space="preserve">no VID uz IAUI pārdalāmais </t>
    </r>
    <r>
      <rPr>
        <b/>
        <u/>
        <sz val="7"/>
        <color theme="1"/>
        <rFont val="Times New Roman"/>
        <family val="1"/>
        <charset val="186"/>
      </rPr>
      <t>kopā</t>
    </r>
  </si>
  <si>
    <t>F=IF(C&gt;B;0;B-C)</t>
  </si>
  <si>
    <t>H=C-B+F</t>
  </si>
  <si>
    <t>*IAUI pieejamais finansējums no 2027,gada līdz 2043.gadam ir lielāks nekā nepieciešams Talejas 1 nomas un papildu maksājumu segšanai</t>
  </si>
  <si>
    <t>IEM nepieciešamais</t>
  </si>
  <si>
    <t>IEM pieejamais</t>
  </si>
  <si>
    <t>no IEM Č1 uz IEM T1 pārdalāmais</t>
  </si>
  <si>
    <t>no VID uz IEM pārdalāmais</t>
  </si>
  <si>
    <t>E=B-C-D</t>
  </si>
  <si>
    <t>AIM nepieciešamais</t>
  </si>
  <si>
    <t>AIM pieejamais</t>
  </si>
  <si>
    <t>no VID uz AIM pārdalāmais</t>
  </si>
  <si>
    <t>D=C-B</t>
  </si>
  <si>
    <t>LM nepieciešamais</t>
  </si>
  <si>
    <t>LM pieejamais</t>
  </si>
  <si>
    <t>Talejas 1 kredīta pamatsummas atlikums uz 01.09.2024.:</t>
  </si>
  <si>
    <t>EUR</t>
  </si>
  <si>
    <t>Plānots dzēst kredītu no atsavināšanas ieņēmumiem līdz 2027. gadam:</t>
  </si>
  <si>
    <t>Nomnieki pēc telpu pārņemšanas no VID:</t>
  </si>
  <si>
    <t>Nosaukums</t>
  </si>
  <si>
    <t>Iznomātā platība, m2</t>
  </si>
  <si>
    <t>Esošā kapitālieguldījumu atmaksas komponente euro ar PVN</t>
  </si>
  <si>
    <t>Plānotā kapitālieguldījumu atmaksas komponente euro ar PVN 2026.gadā</t>
  </si>
  <si>
    <t>Samazinājums attiecībā pret esošo euro ar PVN 2026.gadā</t>
  </si>
  <si>
    <t>Plānotā kapitālieguldījumu atmaksas komponente euro ar PVN no 2027.gada</t>
  </si>
  <si>
    <t>Samazinājums attiecībā pret esošo euro ar PVN 2027.gadā</t>
  </si>
  <si>
    <t>m2</t>
  </si>
  <si>
    <t>euro/m2</t>
  </si>
  <si>
    <t>mēnesī</t>
  </si>
  <si>
    <t>gadā</t>
  </si>
  <si>
    <t>Kopā:</t>
  </si>
  <si>
    <r>
      <t xml:space="preserve">Valsts budžetā </t>
    </r>
    <r>
      <rPr>
        <b/>
        <u/>
        <sz val="7"/>
        <color theme="1"/>
        <rFont val="Times New Roman"/>
        <family val="1"/>
        <charset val="186"/>
      </rPr>
      <t>kopā pieejamais</t>
    </r>
    <r>
      <rPr>
        <sz val="7"/>
        <color theme="1"/>
        <rFont val="Times New Roman"/>
        <family val="1"/>
      </rPr>
      <t xml:space="preserve"> finansējums telpu Talejas ielā 1, Rīgā nomas, papildu maksājumu un pārcelšanās izdevumu segšanai*</t>
    </r>
  </si>
  <si>
    <r>
      <t xml:space="preserve">Ja </t>
    </r>
    <r>
      <rPr>
        <b/>
        <u/>
        <sz val="9"/>
        <color theme="1"/>
        <rFont val="Times New Roman"/>
        <family val="1"/>
        <charset val="186"/>
      </rPr>
      <t>samazina</t>
    </r>
    <r>
      <rPr>
        <sz val="9"/>
        <color theme="1"/>
        <rFont val="Times New Roman"/>
        <family val="1"/>
      </rPr>
      <t xml:space="preserve"> kredītsaistības un no 2026.gada piemēro attiecīgi samazinātu kapitālieguldījumu atmaksas komponenti</t>
    </r>
  </si>
  <si>
    <r>
      <t xml:space="preserve">Ja </t>
    </r>
    <r>
      <rPr>
        <b/>
        <u/>
        <sz val="9"/>
        <color theme="1"/>
        <rFont val="Times New Roman"/>
        <family val="1"/>
        <charset val="186"/>
      </rPr>
      <t>nesamazina</t>
    </r>
    <r>
      <rPr>
        <sz val="9"/>
        <color theme="1"/>
        <rFont val="Times New Roman"/>
        <family val="1"/>
      </rPr>
      <t xml:space="preserve"> kredītsaistības un saglabā esošo kapitālieguldījumu atmaksas komponenti</t>
    </r>
  </si>
  <si>
    <r>
      <t xml:space="preserve">Valsts budžetā </t>
    </r>
    <r>
      <rPr>
        <b/>
        <u/>
        <sz val="7"/>
        <color theme="1"/>
        <rFont val="Times New Roman"/>
        <family val="1"/>
        <charset val="186"/>
      </rPr>
      <t>kopā nepieciešamais</t>
    </r>
    <r>
      <rPr>
        <sz val="7"/>
        <color theme="1"/>
        <rFont val="Times New Roman"/>
        <family val="1"/>
      </rPr>
      <t xml:space="preserve"> finansējums telpu Talejas ielā 1, Rīgā nomas, papildu maksājumu un pārcelšanās izdevumu segšanai</t>
    </r>
  </si>
  <si>
    <r>
      <t xml:space="preserve">Valsts budžeta </t>
    </r>
    <r>
      <rPr>
        <b/>
        <u/>
        <sz val="7"/>
        <color theme="1"/>
        <rFont val="Times New Roman"/>
        <family val="1"/>
        <charset val="186"/>
      </rPr>
      <t xml:space="preserve">izdevumu izmaiņas
</t>
    </r>
    <r>
      <rPr>
        <sz val="7"/>
        <color theme="1"/>
        <rFont val="Times New Roman"/>
        <family val="1"/>
      </rPr>
      <t>(- ietaupījums : + pieaugums)</t>
    </r>
  </si>
  <si>
    <t>F=E-C</t>
  </si>
  <si>
    <t>I=H-C</t>
  </si>
  <si>
    <t>2044 (4 mēneši)</t>
  </si>
  <si>
    <t>* Tai skaitā esošajiem nomniekiem noteiktās ilgtermiņa saistības un jaunajiem nomniekiem pieejamais finansējums</t>
  </si>
  <si>
    <t>FORMULAS NEMAINĪT!</t>
  </si>
  <si>
    <t>Šī brīža bāze</t>
  </si>
  <si>
    <t>VID 
nomas maksa Talejas 1 kopā</t>
  </si>
  <si>
    <t>VID 
biroja telpu nomas maksa Talejas 1</t>
  </si>
  <si>
    <t>VID 
speciālā režīma telpu nomas maksa Talejas 1</t>
  </si>
  <si>
    <t>VID 
laboratorijas telpu nomas maksa 
Talejas 1</t>
  </si>
  <si>
    <t>VID 
NĪN un apdrošināšana Talejas 1</t>
  </si>
  <si>
    <t>VDI 
nomas maksa
 Talejas 1</t>
  </si>
  <si>
    <t>VDI
NĪN un apdrošināšana Talejas 1</t>
  </si>
  <si>
    <t>VSAA
nomas maksa
 Talejas 1</t>
  </si>
  <si>
    <t>VSAA
NĪN un apdrošināšana Talejas 1</t>
  </si>
  <si>
    <t>IAUI
nomas maksa
 Talejas 1</t>
  </si>
  <si>
    <t>IAUI
NĪN un apdrošināšana Talejas 1</t>
  </si>
  <si>
    <t>LRP 
esošo telpu nomas maksa Talejas 1</t>
  </si>
  <si>
    <t>LRP 
NĪN un apdrošināšana Talejas 1</t>
  </si>
  <si>
    <t>LRP 
jauno (pagaidu) telpu nomas maksa 
Talejas 1</t>
  </si>
  <si>
    <t>VI
nomas maksa
Klijānu 7</t>
  </si>
  <si>
    <t>VI
NĪN un apdrošināšana Klijānu 7</t>
  </si>
  <si>
    <t>VI
nomas maksa
 Talejas 1</t>
  </si>
  <si>
    <t>VI
NĪN un apdrošināšana Talejas 1</t>
  </si>
  <si>
    <t>EM un iestāžu
nomas maksa
 Talejas 1</t>
  </si>
  <si>
    <t>EM un iestāžu
NĪN un apdrošināšana Talejas 1</t>
  </si>
  <si>
    <t>NVA (VUGD un VRS) nomas maksa
Talejas 1</t>
  </si>
  <si>
    <t>NVA (VUGD) nomas maksa Talejas 1 nomas objekts Nr.1</t>
  </si>
  <si>
    <t>NVA (VUGD) nomas maksa Talejas 1 nomas objekts Nr.2</t>
  </si>
  <si>
    <t>NVA (VUGD) nomas maksa Talejas 1 nomas objekts Nr.3</t>
  </si>
  <si>
    <t>NVA (VUGD) nomas maksa Talejas 1 nomas objekts Nr.4</t>
  </si>
  <si>
    <t>NVA (VUGD) nomas maksa Talejas 1 nomas objekts Nr.5</t>
  </si>
  <si>
    <t>NVA (VRS) nomas maksa Talejas 1 nomas objekts Nr.6</t>
  </si>
  <si>
    <t>NVA (VUGD un VRS) NĪN un apdrošināšana Talejas 1</t>
  </si>
  <si>
    <t>NVA nomas maksa Čiekurkalna 1.līnija 1 k-1</t>
  </si>
  <si>
    <t>NVA NĪN un apdrošināšana  Čiekurkalna 1.līnija 1 k-1</t>
  </si>
  <si>
    <t>LAUI
nomas maksa
 Talejas 1</t>
  </si>
  <si>
    <t>LAUI
NĪN un apdrošināšana Talejas 1</t>
  </si>
  <si>
    <t>VID ietaupījums</t>
  </si>
  <si>
    <t>Starpība valsts budžetā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</si>
</sst>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 #,##0;\-\ #,##0;#,##0"/>
    <numFmt numFmtId="166" formatCode="_-* #,##0_-;\-* #,##0_-;_-* &quot;-&quot;??_-;_-@_-"/>
    <numFmt numFmtId="167" formatCode="_-* #,##0.00\ _€_-;\-* #,##0.00\ _€_-;_-* &quot;-&quot;??\ _€_-;_-@_-"/>
  </numFmts>
  <fonts count="34"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8"/>
      <color theme="1"/>
      <name val="Times New Roman"/>
      <family val="1"/>
    </font>
    <font>
      <sz val="8"/>
      <color rgb="FF000000"/>
      <name val="Times New Roman"/>
      <family val="1"/>
    </font>
    <font>
      <i/>
      <sz val="8"/>
      <color theme="1"/>
      <name val="Times New Roman"/>
      <family val="1"/>
    </font>
    <font>
      <b/>
      <sz val="8"/>
      <color theme="1"/>
      <name val="Times New Roman"/>
      <family val="1"/>
    </font>
    <font>
      <i/>
      <sz val="7"/>
      <color theme="1"/>
      <name val="Times New Roman"/>
      <family val="1"/>
    </font>
    <font>
      <sz val="7"/>
      <color theme="1"/>
      <name val="Times New Roman"/>
      <family val="1"/>
    </font>
    <font>
      <sz val="7"/>
      <name val="Times New Roman"/>
      <family val="1"/>
    </font>
    <font>
      <b/>
      <sz val="7"/>
      <color theme="1"/>
      <name val="Times New Roman"/>
      <family val="1"/>
    </font>
    <font>
      <sz val="8"/>
      <color theme="1"/>
      <name val="Calibri"/>
      <family val="2"/>
      <scheme val="minor"/>
    </font>
    <font>
      <sz val="7"/>
      <color theme="1"/>
      <name val="Times New Roman"/>
      <family val="1"/>
      <charset val="186"/>
    </font>
    <font>
      <sz val="11"/>
      <color theme="0"/>
      <name val="Calibri"/>
      <family val="2"/>
      <charset val="186"/>
      <scheme val="minor"/>
    </font>
    <font>
      <b/>
      <sz val="7"/>
      <color theme="1"/>
      <name val="Times New Roman"/>
      <family val="1"/>
      <charset val="186"/>
    </font>
    <font>
      <b/>
      <sz val="11"/>
      <color rgb="FFFF0000"/>
      <name val="Calibri"/>
      <family val="2"/>
      <charset val="186"/>
      <scheme val="minor"/>
    </font>
    <font>
      <b/>
      <sz val="8"/>
      <color rgb="FFFF0000"/>
      <name val="Calibri"/>
      <family val="2"/>
      <charset val="186"/>
      <scheme val="minor"/>
    </font>
    <font>
      <b/>
      <i/>
      <sz val="7"/>
      <color theme="1"/>
      <name val="Times New Roman"/>
      <family val="1"/>
      <charset val="186"/>
    </font>
    <font>
      <b/>
      <sz val="10"/>
      <color rgb="FFFF0000"/>
      <name val="Times New Roman"/>
      <family val="1"/>
      <charset val="186"/>
    </font>
    <font>
      <i/>
      <sz val="7"/>
      <color theme="1"/>
      <name val="Times New Roman"/>
      <family val="1"/>
      <charset val="186"/>
    </font>
    <font>
      <b/>
      <sz val="7"/>
      <name val="Times New Roman"/>
      <family val="1"/>
      <charset val="186"/>
    </font>
    <font>
      <b/>
      <sz val="9"/>
      <color rgb="FF000000"/>
      <name val="Times New Roman"/>
      <family val="1"/>
      <charset val="186"/>
    </font>
    <font>
      <sz val="7"/>
      <color rgb="FF000000"/>
      <name val="Times New Roman"/>
      <family val="1"/>
    </font>
    <font>
      <b/>
      <sz val="7"/>
      <color rgb="FFFF0000"/>
      <name val="Times New Roman"/>
      <family val="1"/>
      <charset val="186"/>
    </font>
    <font>
      <sz val="7"/>
      <name val="Times New Roman"/>
      <family val="1"/>
      <charset val="186"/>
    </font>
    <font>
      <i/>
      <sz val="7"/>
      <name val="Times New Roman"/>
      <family val="1"/>
      <charset val="186"/>
    </font>
    <font>
      <b/>
      <u/>
      <sz val="7"/>
      <color theme="1"/>
      <name val="Times New Roman"/>
      <family val="1"/>
      <charset val="186"/>
    </font>
    <font>
      <b/>
      <sz val="11"/>
      <color theme="1"/>
      <name val="Calibri"/>
      <family val="2"/>
      <scheme val="minor"/>
    </font>
    <font>
      <b/>
      <i/>
      <sz val="11"/>
      <color theme="1"/>
      <name val="Calibri"/>
      <family val="2"/>
      <scheme val="minor"/>
    </font>
    <font>
      <sz val="9"/>
      <color theme="1"/>
      <name val="Times New Roman"/>
      <family val="1"/>
    </font>
    <font>
      <b/>
      <u/>
      <sz val="9"/>
      <color theme="1"/>
      <name val="Times New Roman"/>
      <family val="1"/>
      <charset val="186"/>
    </font>
    <font>
      <sz val="9"/>
      <color theme="1"/>
      <name val="Calibri"/>
      <family val="2"/>
      <scheme val="minor"/>
    </font>
  </fonts>
  <fills count="32">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39997558519241921"/>
        <bgColor indexed="65"/>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rgb="FFF8CBAD"/>
        <bgColor indexed="64"/>
      </patternFill>
    </fill>
    <fill>
      <patternFill patternType="solid">
        <fgColor rgb="FFF2F2F2"/>
        <bgColor indexed="64"/>
      </patternFill>
    </fill>
    <fill>
      <patternFill patternType="solid">
        <fgColor rgb="FFBDD7EE"/>
        <bgColor indexed="64"/>
      </patternFill>
    </fill>
    <fill>
      <patternFill patternType="solid">
        <fgColor rgb="FFFFE699"/>
        <bgColor indexed="64"/>
      </patternFill>
    </fill>
    <fill>
      <patternFill patternType="solid">
        <fgColor rgb="FFFFD966"/>
        <bgColor indexed="64"/>
      </patternFill>
    </fill>
    <fill>
      <patternFill patternType="solid">
        <fgColor rgb="FFFFF2CC"/>
        <bgColor indexed="64"/>
      </patternFill>
    </fill>
    <fill>
      <patternFill patternType="solid">
        <fgColor rgb="FFD0CECE"/>
        <bgColor indexed="64"/>
      </patternFill>
    </fill>
    <fill>
      <patternFill patternType="solid">
        <fgColor rgb="FFDBDBDB"/>
        <bgColor indexed="64"/>
      </patternFill>
    </fill>
    <fill>
      <patternFill patternType="solid">
        <fgColor rgb="FFD6DCE4"/>
        <bgColor indexed="64"/>
      </patternFill>
    </fill>
    <fill>
      <patternFill patternType="solid">
        <fgColor rgb="FFF8CBAD"/>
        <bgColor rgb="FF000000"/>
      </patternFill>
    </fill>
    <fill>
      <patternFill patternType="solid">
        <fgColor theme="5"/>
        <bgColor indexed="64"/>
      </patternFill>
    </fill>
    <fill>
      <patternFill patternType="solid">
        <fgColor rgb="FFFFC000"/>
        <bgColor indexed="64"/>
      </patternFill>
    </fill>
    <fill>
      <patternFill patternType="solid">
        <fgColor rgb="FFFFFF00"/>
        <bgColor indexed="64"/>
      </patternFill>
    </fill>
    <fill>
      <patternFill patternType="solid">
        <fgColor rgb="FFCBA9E5"/>
        <bgColor indexed="64"/>
      </patternFill>
    </fill>
    <fill>
      <patternFill patternType="solid">
        <fgColor theme="2"/>
        <bgColor indexed="64"/>
      </patternFill>
    </fill>
    <fill>
      <patternFill patternType="solid">
        <fgColor rgb="FFE7E6E6"/>
        <bgColor indexed="64"/>
      </patternFill>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s>
  <cellStyleXfs count="8">
    <xf numFmtId="0" fontId="0" fillId="0" borderId="0"/>
    <xf numFmtId="0" fontId="3" fillId="0" borderId="0"/>
    <xf numFmtId="43" fontId="3" fillId="0" borderId="0" applyFont="0" applyFill="0" applyBorder="0" applyAlignment="0" applyProtection="0"/>
    <xf numFmtId="0" fontId="2" fillId="0" borderId="0"/>
    <xf numFmtId="0" fontId="15" fillId="6" borderId="0" applyNumberFormat="0" applyBorder="0" applyAlignment="0" applyProtection="0"/>
    <xf numFmtId="164"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cellStyleXfs>
  <cellXfs count="195">
    <xf numFmtId="0" fontId="0" fillId="0" borderId="0" xfId="0"/>
    <xf numFmtId="3" fontId="0" fillId="0" borderId="0" xfId="0" applyNumberFormat="1"/>
    <xf numFmtId="0" fontId="6" fillId="0" borderId="0" xfId="0" applyFont="1" applyAlignment="1">
      <alignment horizontal="center" vertical="center"/>
    </xf>
    <xf numFmtId="49" fontId="7" fillId="0" borderId="0" xfId="0" applyNumberFormat="1" applyFont="1" applyAlignment="1">
      <alignment horizontal="center" vertical="center" wrapText="1"/>
    </xf>
    <xf numFmtId="3" fontId="5" fillId="0" borderId="0" xfId="0" applyNumberFormat="1" applyFont="1" applyAlignment="1">
      <alignment vertical="center" wrapText="1"/>
    </xf>
    <xf numFmtId="3" fontId="8" fillId="0" borderId="0" xfId="0" applyNumberFormat="1" applyFont="1" applyAlignment="1">
      <alignment vertical="center" wrapText="1"/>
    </xf>
    <xf numFmtId="0" fontId="5" fillId="0" borderId="0" xfId="0" applyFont="1" applyAlignment="1">
      <alignment horizontal="center" vertical="center" wrapText="1"/>
    </xf>
    <xf numFmtId="3" fontId="13" fillId="0" borderId="0" xfId="0" applyNumberFormat="1" applyFont="1"/>
    <xf numFmtId="0" fontId="17" fillId="0" borderId="0" xfId="0" applyFont="1"/>
    <xf numFmtId="0" fontId="20" fillId="0" borderId="0" xfId="0" applyFont="1" applyAlignment="1">
      <alignment vertical="center"/>
    </xf>
    <xf numFmtId="0" fontId="10" fillId="3"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21" fillId="7" borderId="1"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10" fillId="12"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21" fillId="10"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14"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6" fillId="9" borderId="1" xfId="0" applyFont="1" applyFill="1" applyBorder="1" applyAlignment="1">
      <alignment horizontal="center" vertical="center" wrapText="1"/>
    </xf>
    <xf numFmtId="0" fontId="16" fillId="13" borderId="1" xfId="0"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11" borderId="1" xfId="0" applyFont="1" applyFill="1" applyBorder="1" applyAlignment="1">
      <alignment horizontal="center" vertical="center" wrapText="1"/>
    </xf>
    <xf numFmtId="0" fontId="16" fillId="14"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6" fillId="3" borderId="1" xfId="0" applyNumberFormat="1"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3" fontId="10" fillId="4" borderId="1" xfId="0" applyNumberFormat="1" applyFont="1" applyFill="1" applyBorder="1" applyAlignment="1">
      <alignment horizontal="center" vertical="center" wrapText="1"/>
    </xf>
    <xf numFmtId="3" fontId="22" fillId="4" borderId="1" xfId="0" applyNumberFormat="1" applyFont="1" applyFill="1" applyBorder="1" applyAlignment="1">
      <alignment horizontal="center" vertical="center" wrapText="1"/>
    </xf>
    <xf numFmtId="3" fontId="22" fillId="0" borderId="1" xfId="0" applyNumberFormat="1" applyFont="1" applyBorder="1" applyAlignment="1">
      <alignment horizontal="center" vertical="center" wrapText="1"/>
    </xf>
    <xf numFmtId="3" fontId="16" fillId="4" borderId="1" xfId="0" applyNumberFormat="1" applyFont="1" applyFill="1" applyBorder="1" applyAlignment="1">
      <alignment horizontal="center" vertical="center" wrapText="1"/>
    </xf>
    <xf numFmtId="165" fontId="12" fillId="3" borderId="1" xfId="0" applyNumberFormat="1" applyFont="1" applyFill="1" applyBorder="1" applyAlignment="1">
      <alignment horizontal="center" vertical="center" wrapText="1"/>
    </xf>
    <xf numFmtId="165" fontId="16" fillId="3" borderId="1" xfId="0" applyNumberFormat="1" applyFont="1" applyFill="1" applyBorder="1" applyAlignment="1">
      <alignment horizontal="center" vertical="center" wrapText="1"/>
    </xf>
    <xf numFmtId="0" fontId="10" fillId="15" borderId="1" xfId="0" applyFont="1" applyFill="1" applyBorder="1" applyAlignment="1">
      <alignment horizontal="center" vertical="center" wrapText="1"/>
    </xf>
    <xf numFmtId="0" fontId="16" fillId="15" borderId="1" xfId="0" applyFont="1" applyFill="1" applyBorder="1" applyAlignment="1">
      <alignment horizontal="center" vertical="center" wrapText="1"/>
    </xf>
    <xf numFmtId="165" fontId="16" fillId="4" borderId="1" xfId="0" applyNumberFormat="1" applyFont="1" applyFill="1" applyBorder="1" applyAlignment="1">
      <alignment horizontal="center" vertical="center" wrapText="1"/>
    </xf>
    <xf numFmtId="165" fontId="10" fillId="4" borderId="1" xfId="0" applyNumberFormat="1" applyFont="1" applyFill="1" applyBorder="1" applyAlignment="1">
      <alignment horizontal="center" vertical="center" wrapText="1"/>
    </xf>
    <xf numFmtId="165" fontId="11" fillId="4" borderId="1" xfId="0" applyNumberFormat="1" applyFont="1" applyFill="1" applyBorder="1" applyAlignment="1">
      <alignment horizontal="center" vertical="center" wrapText="1"/>
    </xf>
    <xf numFmtId="165" fontId="11" fillId="0" borderId="1" xfId="0" applyNumberFormat="1" applyFont="1" applyBorder="1" applyAlignment="1">
      <alignment horizontal="center" vertical="center" wrapText="1"/>
    </xf>
    <xf numFmtId="165" fontId="22" fillId="4" borderId="1" xfId="0" applyNumberFormat="1" applyFont="1" applyFill="1" applyBorder="1" applyAlignment="1">
      <alignment horizontal="center" vertical="center" wrapText="1"/>
    </xf>
    <xf numFmtId="165" fontId="22" fillId="0" borderId="1" xfId="0" applyNumberFormat="1" applyFont="1" applyBorder="1" applyAlignment="1">
      <alignment horizontal="center" vertical="center" wrapText="1"/>
    </xf>
    <xf numFmtId="3" fontId="12" fillId="16" borderId="1" xfId="0" applyNumberFormat="1" applyFont="1" applyFill="1" applyBorder="1" applyAlignment="1">
      <alignment horizontal="center" vertical="center" wrapText="1"/>
    </xf>
    <xf numFmtId="165" fontId="16" fillId="16" borderId="1" xfId="0" applyNumberFormat="1" applyFont="1" applyFill="1" applyBorder="1" applyAlignment="1">
      <alignment horizontal="center" vertical="center" wrapText="1"/>
    </xf>
    <xf numFmtId="0" fontId="21" fillId="17" borderId="1" xfId="0" applyFont="1" applyFill="1" applyBorder="1" applyAlignment="1">
      <alignment horizontal="center" vertical="center" wrapText="1"/>
    </xf>
    <xf numFmtId="0" fontId="10" fillId="18" borderId="1" xfId="0" applyFont="1" applyFill="1" applyBorder="1" applyAlignment="1">
      <alignment horizontal="center" vertical="center" wrapText="1"/>
    </xf>
    <xf numFmtId="3" fontId="11" fillId="18" borderId="1" xfId="0" applyNumberFormat="1" applyFont="1" applyFill="1" applyBorder="1" applyAlignment="1">
      <alignment horizontal="center" vertical="center" wrapText="1"/>
    </xf>
    <xf numFmtId="0" fontId="10" fillId="19" borderId="1" xfId="0" applyFont="1" applyFill="1" applyBorder="1" applyAlignment="1">
      <alignment horizontal="center" vertical="center" wrapText="1"/>
    </xf>
    <xf numFmtId="3" fontId="11" fillId="19" borderId="1" xfId="0" applyNumberFormat="1" applyFont="1" applyFill="1" applyBorder="1" applyAlignment="1">
      <alignment horizontal="center" vertical="center" wrapText="1"/>
    </xf>
    <xf numFmtId="3" fontId="10" fillId="19" borderId="1" xfId="0" applyNumberFormat="1" applyFont="1" applyFill="1" applyBorder="1" applyAlignment="1">
      <alignment horizontal="center" vertical="center" wrapText="1"/>
    </xf>
    <xf numFmtId="0" fontId="10" fillId="20" borderId="1" xfId="0" applyFont="1" applyFill="1" applyBorder="1" applyAlignment="1">
      <alignment horizontal="center" vertical="center" wrapText="1"/>
    </xf>
    <xf numFmtId="3" fontId="11" fillId="20" borderId="1" xfId="0" applyNumberFormat="1" applyFont="1" applyFill="1" applyBorder="1" applyAlignment="1">
      <alignment horizontal="center" vertical="center" wrapText="1"/>
    </xf>
    <xf numFmtId="0" fontId="21" fillId="15" borderId="1" xfId="0" applyFont="1" applyFill="1" applyBorder="1" applyAlignment="1">
      <alignment horizontal="center" vertical="center" wrapText="1"/>
    </xf>
    <xf numFmtId="3" fontId="11" fillId="15" borderId="1" xfId="0" applyNumberFormat="1" applyFont="1" applyFill="1" applyBorder="1" applyAlignment="1">
      <alignment horizontal="center" vertical="center" wrapText="1"/>
    </xf>
    <xf numFmtId="0" fontId="10" fillId="21" borderId="1" xfId="0" applyFont="1" applyFill="1" applyBorder="1" applyAlignment="1">
      <alignment horizontal="center" vertical="center" wrapText="1"/>
    </xf>
    <xf numFmtId="0" fontId="10" fillId="22" borderId="1" xfId="0" applyFont="1" applyFill="1" applyBorder="1" applyAlignment="1">
      <alignment horizontal="center" vertical="center" wrapText="1"/>
    </xf>
    <xf numFmtId="0" fontId="10" fillId="23" borderId="1" xfId="0" applyFont="1" applyFill="1" applyBorder="1" applyAlignment="1">
      <alignment horizontal="center" vertical="center" wrapText="1"/>
    </xf>
    <xf numFmtId="0" fontId="14" fillId="0" borderId="0" xfId="0" applyFont="1"/>
    <xf numFmtId="4" fontId="18" fillId="0" borderId="0" xfId="0" applyNumberFormat="1" applyFont="1"/>
    <xf numFmtId="4" fontId="13" fillId="0" borderId="0" xfId="0" applyNumberFormat="1" applyFont="1"/>
    <xf numFmtId="1" fontId="18" fillId="0" borderId="0" xfId="0" applyNumberFormat="1" applyFont="1"/>
    <xf numFmtId="3" fontId="24" fillId="20" borderId="1" xfId="0" applyNumberFormat="1" applyFont="1" applyFill="1" applyBorder="1" applyAlignment="1">
      <alignment horizontal="center" vertical="center" wrapText="1"/>
    </xf>
    <xf numFmtId="4" fontId="0" fillId="0" borderId="0" xfId="0" applyNumberFormat="1"/>
    <xf numFmtId="3" fontId="10" fillId="17" borderId="1" xfId="0" applyNumberFormat="1" applyFont="1" applyFill="1" applyBorder="1" applyAlignment="1">
      <alignment horizontal="center" vertical="center" wrapText="1"/>
    </xf>
    <xf numFmtId="3" fontId="10" fillId="21" borderId="1" xfId="0" applyNumberFormat="1" applyFont="1" applyFill="1" applyBorder="1" applyAlignment="1">
      <alignment horizontal="center" vertical="center" wrapText="1"/>
    </xf>
    <xf numFmtId="3" fontId="10" fillId="22" borderId="1" xfId="0" applyNumberFormat="1" applyFont="1" applyFill="1" applyBorder="1" applyAlignment="1">
      <alignment horizontal="center" vertical="center" wrapText="1"/>
    </xf>
    <xf numFmtId="3" fontId="11" fillId="23" borderId="1" xfId="0" applyNumberFormat="1" applyFont="1" applyFill="1" applyBorder="1" applyAlignment="1">
      <alignment horizontal="center" vertical="center" wrapText="1"/>
    </xf>
    <xf numFmtId="3" fontId="10" fillId="20" borderId="1" xfId="0" applyNumberFormat="1" applyFont="1" applyFill="1" applyBorder="1" applyAlignment="1">
      <alignment horizontal="center" vertical="center" wrapText="1"/>
    </xf>
    <xf numFmtId="3" fontId="10" fillId="18" borderId="1" xfId="0" applyNumberFormat="1" applyFont="1" applyFill="1" applyBorder="1" applyAlignment="1">
      <alignment horizontal="center" vertical="center" wrapText="1"/>
    </xf>
    <xf numFmtId="3" fontId="10" fillId="15" borderId="1" xfId="0" applyNumberFormat="1" applyFont="1" applyFill="1" applyBorder="1" applyAlignment="1">
      <alignment horizontal="center" vertical="center" wrapText="1"/>
    </xf>
    <xf numFmtId="3" fontId="10" fillId="23" borderId="1" xfId="0" applyNumberFormat="1" applyFont="1" applyFill="1" applyBorder="1" applyAlignment="1">
      <alignment horizontal="center" vertical="center" wrapText="1"/>
    </xf>
    <xf numFmtId="3" fontId="11" fillId="17" borderId="1" xfId="0" applyNumberFormat="1" applyFont="1" applyFill="1" applyBorder="1" applyAlignment="1">
      <alignment horizontal="center" vertical="center" wrapText="1"/>
    </xf>
    <xf numFmtId="3" fontId="11" fillId="21" borderId="1" xfId="0" applyNumberFormat="1" applyFont="1" applyFill="1" applyBorder="1" applyAlignment="1">
      <alignment horizontal="center" vertical="center" wrapText="1"/>
    </xf>
    <xf numFmtId="3" fontId="11" fillId="22" borderId="1" xfId="0" applyNumberFormat="1" applyFont="1" applyFill="1" applyBorder="1" applyAlignment="1">
      <alignment horizontal="center" vertical="center" wrapText="1"/>
    </xf>
    <xf numFmtId="165" fontId="0" fillId="0" borderId="0" xfId="0" applyNumberFormat="1"/>
    <xf numFmtId="0" fontId="21" fillId="25" borderId="1" xfId="0" applyFont="1" applyFill="1" applyBorder="1" applyAlignment="1">
      <alignment horizontal="center" vertical="center" wrapText="1"/>
    </xf>
    <xf numFmtId="0" fontId="11" fillId="24" borderId="1" xfId="0" applyFont="1" applyFill="1" applyBorder="1" applyAlignment="1">
      <alignment horizontal="center" vertical="center" wrapText="1"/>
    </xf>
    <xf numFmtId="3" fontId="11" fillId="24" borderId="5" xfId="0" applyNumberFormat="1" applyFont="1" applyFill="1" applyBorder="1" applyAlignment="1">
      <alignment horizontal="center" vertical="center" wrapText="1"/>
    </xf>
    <xf numFmtId="165" fontId="10" fillId="0" borderId="1" xfId="0" applyNumberFormat="1" applyFont="1" applyBorder="1" applyAlignment="1">
      <alignment horizontal="center" vertical="center" wrapText="1"/>
    </xf>
    <xf numFmtId="165" fontId="12" fillId="26" borderId="1" xfId="0" applyNumberFormat="1" applyFont="1" applyFill="1" applyBorder="1" applyAlignment="1">
      <alignment horizontal="center" vertical="center" wrapText="1"/>
    </xf>
    <xf numFmtId="165" fontId="10" fillId="25" borderId="1" xfId="0" applyNumberFormat="1" applyFont="1" applyFill="1" applyBorder="1" applyAlignment="1">
      <alignment horizontal="center" vertical="center" wrapText="1"/>
    </xf>
    <xf numFmtId="165" fontId="12" fillId="27" borderId="1" xfId="0" applyNumberFormat="1" applyFont="1" applyFill="1" applyBorder="1" applyAlignment="1">
      <alignment horizontal="center" vertical="center" wrapText="1"/>
    </xf>
    <xf numFmtId="0" fontId="18" fillId="0" borderId="0" xfId="0" applyFont="1"/>
    <xf numFmtId="3" fontId="10" fillId="9" borderId="1" xfId="0" applyNumberFormat="1" applyFont="1" applyFill="1" applyBorder="1" applyAlignment="1">
      <alignment horizontal="center" vertical="center" wrapText="1"/>
    </xf>
    <xf numFmtId="3" fontId="11" fillId="9" borderId="1" xfId="0" applyNumberFormat="1" applyFont="1" applyFill="1" applyBorder="1" applyAlignment="1">
      <alignment horizontal="center" vertical="center" wrapText="1"/>
    </xf>
    <xf numFmtId="3" fontId="11" fillId="0" borderId="1" xfId="0" applyNumberFormat="1" applyFont="1" applyBorder="1" applyAlignment="1">
      <alignment horizontal="center" vertical="center" wrapText="1"/>
    </xf>
    <xf numFmtId="0" fontId="16" fillId="28" borderId="1" xfId="0" applyFont="1" applyFill="1" applyBorder="1" applyAlignment="1">
      <alignment horizontal="center" vertical="center" wrapText="1"/>
    </xf>
    <xf numFmtId="0" fontId="16" fillId="21" borderId="1" xfId="0" applyFont="1" applyFill="1" applyBorder="1" applyAlignment="1">
      <alignment horizontal="center" vertical="center" wrapText="1"/>
    </xf>
    <xf numFmtId="0" fontId="16" fillId="22" borderId="1" xfId="0" applyFont="1" applyFill="1" applyBorder="1" applyAlignment="1">
      <alignment horizontal="center" vertical="center" wrapText="1"/>
    </xf>
    <xf numFmtId="0" fontId="16" fillId="23" borderId="1" xfId="0" applyFont="1" applyFill="1" applyBorder="1" applyAlignment="1">
      <alignment horizontal="center" vertical="center" wrapText="1"/>
    </xf>
    <xf numFmtId="3" fontId="16" fillId="0" borderId="1" xfId="0" applyNumberFormat="1" applyFont="1" applyBorder="1" applyAlignment="1">
      <alignment horizontal="center" vertical="center" wrapText="1"/>
    </xf>
    <xf numFmtId="0" fontId="14" fillId="23" borderId="1" xfId="0" applyFont="1" applyFill="1" applyBorder="1" applyAlignment="1">
      <alignment horizontal="center" vertical="center" wrapText="1"/>
    </xf>
    <xf numFmtId="3" fontId="10" fillId="0" borderId="1" xfId="0" applyNumberFormat="1" applyFont="1" applyBorder="1" applyAlignment="1">
      <alignment horizontal="center" vertical="center" wrapText="1"/>
    </xf>
    <xf numFmtId="165" fontId="26" fillId="0" borderId="1" xfId="0" applyNumberFormat="1" applyFont="1" applyBorder="1" applyAlignment="1">
      <alignment horizontal="center" vertical="center" wrapText="1"/>
    </xf>
    <xf numFmtId="3" fontId="12" fillId="29" borderId="1" xfId="0" applyNumberFormat="1" applyFont="1" applyFill="1" applyBorder="1" applyAlignment="1">
      <alignment horizontal="center" vertical="center" wrapText="1"/>
    </xf>
    <xf numFmtId="3" fontId="16" fillId="29" borderId="1" xfId="0" applyNumberFormat="1" applyFont="1" applyFill="1" applyBorder="1" applyAlignment="1">
      <alignment horizontal="center" vertical="center" wrapText="1"/>
    </xf>
    <xf numFmtId="3" fontId="14" fillId="29" borderId="1" xfId="0" applyNumberFormat="1" applyFont="1" applyFill="1" applyBorder="1" applyAlignment="1">
      <alignment horizontal="center" vertical="center" wrapText="1"/>
    </xf>
    <xf numFmtId="165" fontId="22" fillId="29" borderId="1" xfId="0" applyNumberFormat="1" applyFont="1" applyFill="1" applyBorder="1" applyAlignment="1">
      <alignment horizontal="center" vertical="center" wrapText="1"/>
    </xf>
    <xf numFmtId="165" fontId="26" fillId="29" borderId="1" xfId="0" applyNumberFormat="1" applyFont="1" applyFill="1" applyBorder="1" applyAlignment="1">
      <alignment horizontal="center" vertical="center" wrapText="1"/>
    </xf>
    <xf numFmtId="3" fontId="21" fillId="0" borderId="1" xfId="0" applyNumberFormat="1" applyFont="1" applyBorder="1" applyAlignment="1">
      <alignment horizontal="center" vertical="center" wrapText="1"/>
    </xf>
    <xf numFmtId="3" fontId="21" fillId="29" borderId="1" xfId="0" applyNumberFormat="1" applyFont="1" applyFill="1" applyBorder="1" applyAlignment="1">
      <alignment horizontal="center" vertical="center" wrapText="1"/>
    </xf>
    <xf numFmtId="3" fontId="27" fillId="0" borderId="1" xfId="0" applyNumberFormat="1" applyFont="1" applyBorder="1" applyAlignment="1">
      <alignment horizontal="center" vertical="center" wrapText="1"/>
    </xf>
    <xf numFmtId="165" fontId="27" fillId="0" borderId="1" xfId="0" applyNumberFormat="1" applyFont="1" applyBorder="1" applyAlignment="1">
      <alignment horizontal="center" vertical="center" wrapText="1"/>
    </xf>
    <xf numFmtId="165" fontId="27" fillId="29"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 fillId="0" borderId="0" xfId="0" applyFont="1"/>
    <xf numFmtId="3" fontId="26" fillId="0" borderId="1" xfId="0" applyNumberFormat="1" applyFont="1" applyBorder="1" applyAlignment="1">
      <alignment horizontal="center" vertical="center" wrapText="1"/>
    </xf>
    <xf numFmtId="0" fontId="21" fillId="9" borderId="1" xfId="0" applyFont="1" applyFill="1" applyBorder="1" applyAlignment="1">
      <alignment horizontal="center" vertical="center" wrapText="1"/>
    </xf>
    <xf numFmtId="3" fontId="22" fillId="29" borderId="1" xfId="0" applyNumberFormat="1" applyFont="1" applyFill="1" applyBorder="1" applyAlignment="1">
      <alignment horizontal="center" vertical="center" wrapText="1"/>
    </xf>
    <xf numFmtId="3" fontId="14" fillId="0" borderId="1" xfId="0" applyNumberFormat="1" applyFont="1" applyBorder="1" applyAlignment="1">
      <alignment horizontal="center" vertical="center" wrapText="1"/>
    </xf>
    <xf numFmtId="0" fontId="10" fillId="3" borderId="6"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6" fillId="16" borderId="1" xfId="0" applyFont="1" applyFill="1" applyBorder="1" applyAlignment="1">
      <alignment horizontal="center" vertical="center" wrapText="1"/>
    </xf>
    <xf numFmtId="3" fontId="26" fillId="29" borderId="1" xfId="0" applyNumberFormat="1" applyFont="1" applyFill="1" applyBorder="1" applyAlignment="1">
      <alignment horizontal="center" vertical="center" wrapText="1"/>
    </xf>
    <xf numFmtId="3" fontId="26" fillId="31" borderId="1" xfId="0" applyNumberFormat="1" applyFont="1" applyFill="1" applyBorder="1" applyAlignment="1">
      <alignment horizontal="center" vertical="center" wrapText="1"/>
    </xf>
    <xf numFmtId="0" fontId="14" fillId="16" borderId="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14" fillId="16" borderId="1" xfId="0" applyFont="1" applyFill="1" applyBorder="1" applyAlignment="1">
      <alignment horizontal="center" vertical="center" wrapText="1"/>
    </xf>
    <xf numFmtId="3" fontId="10" fillId="4" borderId="0" xfId="0" applyNumberFormat="1" applyFont="1" applyFill="1" applyAlignment="1">
      <alignment vertical="center" wrapText="1"/>
    </xf>
    <xf numFmtId="0" fontId="14" fillId="16" borderId="5" xfId="0" applyFont="1" applyFill="1" applyBorder="1" applyAlignment="1">
      <alignment horizontal="center" vertical="center" wrapText="1"/>
    </xf>
    <xf numFmtId="3" fontId="26" fillId="30" borderId="1" xfId="0" applyNumberFormat="1" applyFont="1" applyFill="1" applyBorder="1" applyAlignment="1">
      <alignment horizontal="center" vertical="center" wrapText="1"/>
    </xf>
    <xf numFmtId="3" fontId="14" fillId="2" borderId="1" xfId="0" applyNumberFormat="1" applyFont="1" applyFill="1" applyBorder="1" applyAlignment="1">
      <alignment horizontal="center" vertical="center" wrapText="1"/>
    </xf>
    <xf numFmtId="3" fontId="29" fillId="0" borderId="0" xfId="0" applyNumberFormat="1" applyFont="1" applyAlignment="1">
      <alignment vertical="center"/>
    </xf>
    <xf numFmtId="0" fontId="29" fillId="0" borderId="0" xfId="0" applyFont="1" applyAlignment="1">
      <alignment vertical="center"/>
    </xf>
    <xf numFmtId="43" fontId="0" fillId="0" borderId="1" xfId="7" applyFont="1" applyBorder="1"/>
    <xf numFmtId="166" fontId="0" fillId="0" borderId="1" xfId="7" applyNumberFormat="1" applyFont="1" applyBorder="1"/>
    <xf numFmtId="0" fontId="0" fillId="0" borderId="0" xfId="0" applyAlignment="1">
      <alignment wrapText="1"/>
    </xf>
    <xf numFmtId="0" fontId="29" fillId="0" borderId="0" xfId="0" applyFont="1" applyAlignment="1">
      <alignment vertical="center" wrapText="1"/>
    </xf>
    <xf numFmtId="0" fontId="0" fillId="0" borderId="0" xfId="0" applyAlignment="1">
      <alignment vertical="center"/>
    </xf>
    <xf numFmtId="3" fontId="33" fillId="0" borderId="0" xfId="0" applyNumberFormat="1" applyFont="1"/>
    <xf numFmtId="166" fontId="0" fillId="0" borderId="0" xfId="0" applyNumberFormat="1"/>
    <xf numFmtId="2" fontId="0" fillId="0" borderId="0" xfId="0" applyNumberFormat="1"/>
    <xf numFmtId="167" fontId="0" fillId="0" borderId="0" xfId="0" applyNumberFormat="1"/>
    <xf numFmtId="0" fontId="30" fillId="0" borderId="0" xfId="0" applyFont="1"/>
    <xf numFmtId="0" fontId="29" fillId="0" borderId="1" xfId="0" applyFont="1" applyBorder="1" applyAlignment="1">
      <alignment horizontal="center" vertical="center"/>
    </xf>
    <xf numFmtId="0" fontId="29" fillId="0" borderId="16" xfId="0" applyFont="1" applyBorder="1" applyAlignment="1">
      <alignment horizontal="center" vertical="center"/>
    </xf>
    <xf numFmtId="0" fontId="29" fillId="0" borderId="17" xfId="0" applyFont="1" applyBorder="1" applyAlignment="1">
      <alignment horizontal="center" vertical="center"/>
    </xf>
    <xf numFmtId="0" fontId="0" fillId="0" borderId="16" xfId="0" applyBorder="1"/>
    <xf numFmtId="166" fontId="0" fillId="0" borderId="17" xfId="7" applyNumberFormat="1" applyFont="1" applyBorder="1"/>
    <xf numFmtId="0" fontId="29" fillId="0" borderId="2" xfId="0" applyFont="1" applyBorder="1" applyAlignment="1">
      <alignment horizontal="center" vertical="center"/>
    </xf>
    <xf numFmtId="43" fontId="0" fillId="0" borderId="2" xfId="7" applyFont="1" applyBorder="1"/>
    <xf numFmtId="43" fontId="0" fillId="0" borderId="2" xfId="7" applyFont="1" applyFill="1" applyBorder="1"/>
    <xf numFmtId="43" fontId="0" fillId="0" borderId="16" xfId="7" applyFont="1" applyBorder="1"/>
    <xf numFmtId="0" fontId="29" fillId="29" borderId="11" xfId="0" applyFont="1" applyFill="1" applyBorder="1" applyAlignment="1">
      <alignment horizontal="center" vertical="center"/>
    </xf>
    <xf numFmtId="49" fontId="29" fillId="29" borderId="12" xfId="7" applyNumberFormat="1" applyFont="1" applyFill="1" applyBorder="1" applyAlignment="1">
      <alignment horizontal="center" vertical="center" wrapText="1"/>
    </xf>
    <xf numFmtId="0" fontId="29" fillId="29" borderId="18" xfId="0" applyFont="1" applyFill="1" applyBorder="1"/>
    <xf numFmtId="43" fontId="29" fillId="29" borderId="21" xfId="7" applyFont="1" applyFill="1" applyBorder="1"/>
    <xf numFmtId="43" fontId="29" fillId="29" borderId="18" xfId="7" applyFont="1" applyFill="1" applyBorder="1"/>
    <xf numFmtId="166" fontId="29" fillId="29" borderId="19" xfId="7" applyNumberFormat="1" applyFont="1" applyFill="1" applyBorder="1"/>
    <xf numFmtId="166" fontId="29" fillId="29" borderId="20" xfId="7" applyNumberFormat="1" applyFont="1" applyFill="1" applyBorder="1"/>
    <xf numFmtId="166" fontId="29" fillId="29" borderId="18" xfId="7" applyNumberFormat="1" applyFont="1" applyFill="1" applyBorder="1"/>
    <xf numFmtId="43" fontId="29" fillId="29" borderId="19" xfId="7" applyFont="1" applyFill="1" applyBorder="1"/>
    <xf numFmtId="0" fontId="12" fillId="29"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23" fillId="3" borderId="2"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14" fillId="5" borderId="0" xfId="0" applyFont="1" applyFill="1" applyAlignment="1">
      <alignment horizontal="center" vertical="center"/>
    </xf>
    <xf numFmtId="0" fontId="16" fillId="3" borderId="1" xfId="0" applyFont="1" applyFill="1" applyBorder="1" applyAlignment="1">
      <alignment horizontal="center" vertical="center" wrapText="1"/>
    </xf>
    <xf numFmtId="3" fontId="10" fillId="4" borderId="1" xfId="0" applyNumberFormat="1" applyFont="1" applyFill="1" applyBorder="1" applyAlignment="1">
      <alignment horizontal="left" vertical="center" wrapText="1"/>
    </xf>
    <xf numFmtId="0" fontId="14" fillId="16" borderId="1" xfId="0" applyFont="1" applyFill="1" applyBorder="1" applyAlignment="1">
      <alignment horizontal="center" vertical="center" wrapText="1"/>
    </xf>
    <xf numFmtId="0" fontId="14" fillId="16" borderId="6" xfId="0" applyFont="1" applyFill="1" applyBorder="1" applyAlignment="1">
      <alignment horizontal="center" vertical="center" wrapText="1"/>
    </xf>
    <xf numFmtId="0" fontId="14" fillId="16" borderId="5"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4" fillId="16" borderId="10" xfId="0" applyFont="1" applyFill="1" applyBorder="1" applyAlignment="1">
      <alignment horizontal="center" vertical="center" wrapText="1"/>
    </xf>
    <xf numFmtId="0" fontId="14" fillId="16" borderId="8" xfId="0" applyFont="1" applyFill="1" applyBorder="1" applyAlignment="1">
      <alignment horizontal="center" vertical="center" wrapText="1"/>
    </xf>
    <xf numFmtId="0" fontId="16" fillId="16" borderId="2" xfId="0" applyFont="1" applyFill="1" applyBorder="1" applyAlignment="1">
      <alignment horizontal="center" vertical="center" wrapText="1"/>
    </xf>
    <xf numFmtId="0" fontId="16" fillId="16" borderId="3" xfId="0" applyFont="1" applyFill="1" applyBorder="1" applyAlignment="1">
      <alignment horizontal="center" vertical="center" wrapText="1"/>
    </xf>
    <xf numFmtId="0" fontId="16" fillId="16" borderId="4" xfId="0" applyFont="1" applyFill="1" applyBorder="1" applyAlignment="1">
      <alignment horizontal="center" vertical="center" wrapText="1"/>
    </xf>
    <xf numFmtId="0" fontId="29" fillId="29" borderId="12" xfId="0" applyFont="1" applyFill="1" applyBorder="1" applyAlignment="1">
      <alignment horizontal="center" vertical="center" wrapText="1"/>
    </xf>
    <xf numFmtId="0" fontId="29" fillId="29" borderId="13" xfId="0" applyFont="1" applyFill="1" applyBorder="1" applyAlignment="1">
      <alignment horizontal="center" vertical="center" wrapText="1"/>
    </xf>
    <xf numFmtId="0" fontId="29" fillId="29" borderId="15" xfId="0" applyFont="1" applyFill="1" applyBorder="1" applyAlignment="1">
      <alignment horizontal="center" vertical="center" wrapText="1"/>
    </xf>
    <xf numFmtId="0" fontId="29" fillId="29" borderId="22" xfId="0" applyFont="1" applyFill="1" applyBorder="1" applyAlignment="1">
      <alignment horizontal="center" vertical="center" wrapText="1"/>
    </xf>
    <xf numFmtId="0" fontId="29" fillId="29" borderId="14" xfId="0" applyFont="1" applyFill="1" applyBorder="1" applyAlignment="1">
      <alignment horizontal="center" vertical="center" wrapText="1"/>
    </xf>
    <xf numFmtId="0" fontId="14" fillId="2" borderId="7" xfId="0" applyFont="1" applyFill="1" applyBorder="1" applyAlignment="1">
      <alignment horizontal="left" vertical="center" wrapText="1"/>
    </xf>
    <xf numFmtId="0" fontId="14" fillId="2" borderId="0" xfId="0" applyFont="1" applyFill="1" applyAlignment="1">
      <alignment horizontal="left" vertical="center" wrapText="1"/>
    </xf>
    <xf numFmtId="0" fontId="0" fillId="0" borderId="0" xfId="0" applyAlignment="1">
      <alignment horizontal="center"/>
    </xf>
    <xf numFmtId="0" fontId="31" fillId="3" borderId="2" xfId="0" applyFont="1" applyFill="1" applyBorder="1" applyAlignment="1">
      <alignment horizontal="center" vertical="center" wrapText="1"/>
    </xf>
    <xf numFmtId="0" fontId="31" fillId="3" borderId="4"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4" fillId="0" borderId="0" xfId="0" applyFont="1" applyAlignment="1">
      <alignment horizontal="center" vertical="center"/>
    </xf>
  </cellXfs>
  <cellStyles count="8">
    <cellStyle name="60% - Accent1 2" xfId="4" xr:uid="{DD7A57FB-8EEF-4084-B3F3-90AB3BE936DC}"/>
    <cellStyle name="Comma" xfId="7" builtinId="3"/>
    <cellStyle name="Comma 2" xfId="2" xr:uid="{6655E962-D716-40BC-9859-F8E2FC1423C6}"/>
    <cellStyle name="Comma 2 6 2" xfId="5" xr:uid="{36EFAE8D-5F12-474A-873F-0EBDE4D36DD3}"/>
    <cellStyle name="Comma 3" xfId="6" xr:uid="{F4D197DC-1F8E-402A-B8B2-2D1C8BC88D09}"/>
    <cellStyle name="Normal" xfId="0" builtinId="0"/>
    <cellStyle name="Normal 2" xfId="1" xr:uid="{38915611-CA6C-4FCE-B496-6787597BC832}"/>
    <cellStyle name="Normal 2 4 3" xfId="3" xr:uid="{A781C364-2D0C-47C7-B0A7-E446AFD13464}"/>
  </cellStyles>
  <dxfs count="16">
    <dxf>
      <font>
        <color rgb="FF9C0006"/>
      </font>
    </dxf>
    <dxf>
      <font>
        <strike val="0"/>
        <color rgb="FF00B050"/>
      </font>
    </dxf>
    <dxf>
      <font>
        <color rgb="FF9C0006"/>
      </font>
    </dxf>
    <dxf>
      <font>
        <strike val="0"/>
        <color rgb="FF00B050"/>
      </font>
    </dxf>
    <dxf>
      <font>
        <color rgb="FF9C0006"/>
      </font>
    </dxf>
    <dxf>
      <font>
        <strike val="0"/>
        <color rgb="FF00B050"/>
      </font>
    </dxf>
    <dxf>
      <font>
        <color rgb="FF9C0006"/>
      </font>
    </dxf>
    <dxf>
      <font>
        <strike val="0"/>
        <color rgb="FF00B050"/>
      </font>
    </dxf>
    <dxf>
      <font>
        <color rgb="FF9C0006"/>
      </font>
    </dxf>
    <dxf>
      <font>
        <strike val="0"/>
        <color rgb="FF00B050"/>
      </font>
    </dxf>
    <dxf>
      <font>
        <color rgb="FF9C0006"/>
      </font>
    </dxf>
    <dxf>
      <font>
        <strike val="0"/>
        <color rgb="FF00B050"/>
      </font>
    </dxf>
    <dxf>
      <font>
        <color rgb="FF9C0006"/>
      </font>
    </dxf>
    <dxf>
      <font>
        <strike val="0"/>
        <color rgb="FF00B050"/>
      </font>
    </dxf>
    <dxf>
      <font>
        <color rgb="FF9C0006"/>
      </font>
    </dxf>
    <dxf>
      <font>
        <strike val="0"/>
        <color rgb="FF00B050"/>
      </font>
    </dxf>
  </dxfs>
  <tableStyles count="0" defaultTableStyle="TableStyleMedium2" defaultPivotStyle="PivotStyleLight16"/>
  <colors>
    <mruColors>
      <color rgb="FFE7E6E6"/>
      <color rgb="FFF2F2F2"/>
      <color rgb="FFD6DCE4"/>
      <color rgb="FFDBDBDB"/>
      <color rgb="FFD0CECE"/>
      <color rgb="FFCBA9E5"/>
      <color rgb="FFBDD7EE"/>
      <color rgb="FFF8CBAD"/>
      <color rgb="FFFFD966"/>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calcChain" Target="calcChain.xml"/><Relationship Id="rId30"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ondratenko\Dropbox\ELR%20LSP4\!reporting\2011-Feb%20-%202013-Jun\2013-09-19%20Modified%20report\2013-11-06%20List_of_Support_docs_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riede\AppData\Local\Microsoft\Windows\Temporary%20Internet%20Files\Content.Outlook\5E37TMOJ\2013-11-06%20List_of_Support_docs_lates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FINAN&#352;U%20NODA&#315;A\APROPRI&#256;CIJAS\Apropri&#257;cijas_p&#257;rdales_2017.g\APRO%20p&#257;rda&#316;u%20sist&#275;m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FINAN&#352;U%20NODA&#315;A\2021_2023_bud&#382;ets\B&#257;ze\B&#257;ze_2021-2023.xlsb"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1"/>
      <sheetName val="Taul2"/>
      <sheetName val="Taul3"/>
      <sheetName val="Taul4"/>
      <sheetName val="2"/>
      <sheetName val="kopt. kopsav."/>
      <sheetName val="ProdKodi"/>
      <sheetName val="kopt__kopsav_"/>
      <sheetName val="kopt__kopsav_1"/>
      <sheetName val="kopt__kopsav_2"/>
      <sheetName val="kopt__kopsav_3"/>
      <sheetName val="kopt__kopsav_4"/>
      <sheetName val="kopt__kopsav_5"/>
      <sheetName val="kopt__kopsav_6"/>
      <sheetName val="kopt__kopsav_7"/>
      <sheetName val="kopt__kopsav_8"/>
      <sheetName val="kopt__kopsav_10"/>
      <sheetName val="kopt__kopsav_9"/>
      <sheetName val="kopt__kopsav_11"/>
      <sheetName val="kopt__kopsav_12"/>
      <sheetName val="kopt__kopsav_13"/>
      <sheetName val="kopt__kopsav_14"/>
      <sheetName val="kopt__kopsav_18"/>
      <sheetName val="kopt__kopsav_15"/>
      <sheetName val="kopt__kopsav_16"/>
      <sheetName val="kopt__kopsav_17"/>
      <sheetName val="kopt__kopsav_19"/>
      <sheetName val="kopt__kopsav_20"/>
      <sheetName val="kopt__kopsav_21"/>
      <sheetName val="kopt__kopsav_22"/>
      <sheetName val="kopt__kopsav_23"/>
      <sheetName val="kopt__kopsav_24"/>
      <sheetName val="kopt__kopsav_25"/>
      <sheetName val="kopt__kopsav_27"/>
      <sheetName val="kopt__kopsav_26"/>
      <sheetName val="kopt__kopsav_28"/>
      <sheetName val="kopt__kopsav_29"/>
      <sheetName val="kopt__kopsav_31"/>
      <sheetName val="kopt__kopsav_30"/>
      <sheetName val="kopt__kopsav_32"/>
      <sheetName val="kopt__kopsav_33"/>
      <sheetName val="kopt__kopsav_34"/>
      <sheetName val="kopt__kopsav_35"/>
      <sheetName val="kopt__kopsav_36"/>
      <sheetName val="kopt__kopsav_37"/>
      <sheetName val="kopt__kopsav_40"/>
      <sheetName val="kopt__kopsav_39"/>
      <sheetName val="kopt__kopsav_38"/>
      <sheetName val="kopt__kopsav_41"/>
      <sheetName val="kopt__kopsav_42"/>
      <sheetName val="kopt__kopsav_43"/>
      <sheetName val="kopt__kopsav_44"/>
      <sheetName val="kopt__kopsav_45"/>
      <sheetName val="kopt__kopsav_46"/>
      <sheetName val="kopt__kopsav_47"/>
      <sheetName val="kopt__kopsav_48"/>
      <sheetName val="kopt__kopsav_49"/>
      <sheetName val="kopt__kopsav_50"/>
      <sheetName val="kopt__kopsav_51"/>
      <sheetName val="kopt__kopsav_54"/>
      <sheetName val="kopt__kopsav_53"/>
      <sheetName val="kopt__kopsav_52"/>
      <sheetName val="Merv"/>
      <sheetName val="kopt__kopsav_55"/>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 val="BH1-Human_resources"/>
      <sheetName val="BH2-Travel_costs"/>
      <sheetName val="BH3-Equipment_and_supplies"/>
      <sheetName val="BH4-Direct_office_costs"/>
      <sheetName val="BH5-Other_costs_and_ext_service"/>
      <sheetName val="BH1-Human_resources1"/>
      <sheetName val="BH2-Travel_costs1"/>
      <sheetName val="BH3-Equipment_and_supplies1"/>
      <sheetName val="BH4-Direct_office_costs1"/>
      <sheetName val="BH5-Other_costs_and_ext_servic1"/>
      <sheetName val="BH1-Human_resources2"/>
      <sheetName val="BH2-Travel_costs2"/>
      <sheetName val="BH3-Equipment_and_supplies2"/>
      <sheetName val="BH4-Direct_office_costs2"/>
      <sheetName val="BH5-Other_costs_and_ext_servic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 val="BH1-Human_resources"/>
      <sheetName val="BH2-Travel_costs"/>
      <sheetName val="BH3-Equipment_and_supplies"/>
      <sheetName val="BH4-Direct_office_costs"/>
      <sheetName val="BH5-Other_costs_and_ext_service"/>
      <sheetName val="BH1-Human_resources1"/>
      <sheetName val="BH2-Travel_costs1"/>
      <sheetName val="BH3-Equipment_and_supplies1"/>
      <sheetName val="BH4-Direct_office_costs1"/>
      <sheetName val="BH5-Other_costs_and_ext_servic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āme Nr_11"/>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_Nr_11"/>
      <sheetName val="Tāme_Nr_1"/>
      <sheetName val="Tāme_Nr_2"/>
      <sheetName val="Tāme_Nr_3"/>
      <sheetName val="Tāme_N_4"/>
      <sheetName val="Tāme_Nr_5"/>
      <sheetName val="Tāme_Nr_6"/>
      <sheetName val="Tāme_Nr_7"/>
      <sheetName val="Tāme_Nr_8"/>
      <sheetName val="Tāme_Nr_9"/>
      <sheetName val="Tāme_Nr_10"/>
      <sheetName val="Tāme_Nr_111"/>
      <sheetName val="Tāme_Nr_12"/>
      <sheetName val="Tāme_Nr_13"/>
      <sheetName val="Tāme_Nr_14"/>
      <sheetName val="Tāme_Nr_112"/>
      <sheetName val="Tāme_Nr_15"/>
      <sheetName val="Tāme_Nr_21"/>
      <sheetName val="Tāme_Nr_31"/>
      <sheetName val="Tāme_N_41"/>
      <sheetName val="Tāme_Nr_51"/>
      <sheetName val="Tāme_Nr_61"/>
      <sheetName val="Tāme_Nr_71"/>
      <sheetName val="Tāme_Nr_81"/>
      <sheetName val="Tāme_Nr_91"/>
      <sheetName val="Tāme_Nr_101"/>
      <sheetName val="Tāme_Nr_113"/>
      <sheetName val="Tāme_Nr_121"/>
      <sheetName val="Tāme_Nr_131"/>
      <sheetName val="Tāme_Nr_141"/>
      <sheetName val="Tāme_Nr_118"/>
      <sheetName val="Tāme_Nr_18"/>
      <sheetName val="Tāme_Nr_24"/>
      <sheetName val="Tāme_Nr_34"/>
      <sheetName val="Tāme_N_44"/>
      <sheetName val="Tāme_Nr_54"/>
      <sheetName val="Tāme_Nr_64"/>
      <sheetName val="Tāme_Nr_74"/>
      <sheetName val="Tāme_Nr_84"/>
      <sheetName val="Tāme_Nr_94"/>
      <sheetName val="Tāme_Nr_104"/>
      <sheetName val="Tāme_Nr_119"/>
      <sheetName val="Tāme_Nr_124"/>
      <sheetName val="Tāme_Nr_134"/>
      <sheetName val="Tāme_Nr_144"/>
      <sheetName val="Tāme_Nr_116"/>
      <sheetName val="Tāme_Nr_17"/>
      <sheetName val="Tāme_Nr_23"/>
      <sheetName val="Tāme_Nr_33"/>
      <sheetName val="Tāme_N_43"/>
      <sheetName val="Tāme_Nr_53"/>
      <sheetName val="Tāme_Nr_63"/>
      <sheetName val="Tāme_Nr_73"/>
      <sheetName val="Tāme_Nr_83"/>
      <sheetName val="Tāme_Nr_93"/>
      <sheetName val="Tāme_Nr_103"/>
      <sheetName val="Tāme_Nr_117"/>
      <sheetName val="Tāme_Nr_123"/>
      <sheetName val="Tāme_Nr_133"/>
      <sheetName val="Tāme_Nr_143"/>
      <sheetName val="Tāme_Nr_114"/>
      <sheetName val="Tāme_Nr_16"/>
      <sheetName val="Tāme_Nr_22"/>
      <sheetName val="Tāme_Nr_32"/>
      <sheetName val="Tāme_N_42"/>
      <sheetName val="Tāme_Nr_52"/>
      <sheetName val="Tāme_Nr_62"/>
      <sheetName val="Tāme_Nr_72"/>
      <sheetName val="Tāme_Nr_82"/>
      <sheetName val="Tāme_Nr_92"/>
      <sheetName val="Tāme_Nr_102"/>
      <sheetName val="Tāme_Nr_115"/>
      <sheetName val="Tāme_Nr_122"/>
      <sheetName val="Tāme_Nr_132"/>
      <sheetName val="Tāme_Nr_142"/>
      <sheetName val="Tāme_Nr_1110"/>
      <sheetName val="Tāme_Nr_19"/>
      <sheetName val="Tāme_Nr_25"/>
      <sheetName val="Tāme_Nr_35"/>
      <sheetName val="Tāme_N_45"/>
      <sheetName val="Tāme_Nr_55"/>
      <sheetName val="Tāme_Nr_65"/>
      <sheetName val="Tāme_Nr_75"/>
      <sheetName val="Tāme_Nr_85"/>
      <sheetName val="Tāme_Nr_95"/>
      <sheetName val="Tāme_Nr_105"/>
      <sheetName val="Tāme_Nr_1111"/>
      <sheetName val="Tāme_Nr_125"/>
      <sheetName val="Tāme_Nr_135"/>
      <sheetName val="Tāme_Nr_145"/>
      <sheetName val="Tāme_Nr_1112"/>
      <sheetName val="Tāme_Nr_110"/>
      <sheetName val="Tāme_Nr_26"/>
      <sheetName val="Tāme_Nr_36"/>
      <sheetName val="Tāme_N_46"/>
      <sheetName val="Tāme_Nr_56"/>
      <sheetName val="Tāme_Nr_66"/>
      <sheetName val="Tāme_Nr_76"/>
      <sheetName val="Tāme_Nr_86"/>
      <sheetName val="Tāme_Nr_96"/>
      <sheetName val="Tāme_Nr_106"/>
      <sheetName val="Tāme_Nr_1113"/>
      <sheetName val="Tāme_Nr_126"/>
      <sheetName val="Tāme_Nr_136"/>
      <sheetName val="Tāme_Nr_146"/>
      <sheetName val="Tāme_Nr_1118"/>
      <sheetName val="Tāme_Nr_130"/>
      <sheetName val="Tāme_Nr_29"/>
      <sheetName val="Tāme_Nr_39"/>
      <sheetName val="Tāme_N_49"/>
      <sheetName val="Tāme_Nr_59"/>
      <sheetName val="Tāme_Nr_69"/>
      <sheetName val="Tāme_Nr_79"/>
      <sheetName val="Tāme_Nr_89"/>
      <sheetName val="Tāme_Nr_99"/>
      <sheetName val="Tāme_Nr_109"/>
      <sheetName val="Tāme_Nr_1119"/>
      <sheetName val="Tāme_Nr_1210"/>
      <sheetName val="Tāme_Nr_139"/>
      <sheetName val="Tāme_Nr_149"/>
      <sheetName val="Tāme_Nr_1116"/>
      <sheetName val="Tāme_Nr_128"/>
      <sheetName val="Tāme_Nr_28"/>
      <sheetName val="Tāme_Nr_38"/>
      <sheetName val="Tāme_N_48"/>
      <sheetName val="Tāme_Nr_58"/>
      <sheetName val="Tāme_Nr_68"/>
      <sheetName val="Tāme_Nr_78"/>
      <sheetName val="Tāme_Nr_88"/>
      <sheetName val="Tāme_Nr_98"/>
      <sheetName val="Tāme_Nr_108"/>
      <sheetName val="Tāme_Nr_1117"/>
      <sheetName val="Tāme_Nr_129"/>
      <sheetName val="Tāme_Nr_138"/>
      <sheetName val="Tāme_Nr_148"/>
      <sheetName val="Tāme_Nr_1114"/>
      <sheetName val="Tāme_Nr_120"/>
      <sheetName val="Tāme_Nr_27"/>
      <sheetName val="Tāme_Nr_37"/>
      <sheetName val="Tāme_N_47"/>
      <sheetName val="Tāme_Nr_57"/>
      <sheetName val="Tāme_Nr_67"/>
      <sheetName val="Tāme_Nr_77"/>
      <sheetName val="Tāme_Nr_87"/>
      <sheetName val="Tāme_Nr_97"/>
      <sheetName val="Tāme_Nr_107"/>
      <sheetName val="Tāme_Nr_1115"/>
      <sheetName val="Tāme_Nr_127"/>
      <sheetName val="Tāme_Nr_137"/>
      <sheetName val="Tāme_Nr_147"/>
      <sheetName val="Tāme_Nr_1120"/>
      <sheetName val="Tāme_Nr_140"/>
      <sheetName val="Tāme_Nr_210"/>
      <sheetName val="Tāme_Nr_310"/>
      <sheetName val="Tāme_N_410"/>
      <sheetName val="Tāme_Nr_510"/>
      <sheetName val="Tāme_Nr_610"/>
      <sheetName val="Tāme_Nr_710"/>
      <sheetName val="Tāme_Nr_810"/>
      <sheetName val="Tāme_Nr_910"/>
      <sheetName val="Tāme_Nr_1010"/>
      <sheetName val="Tāme_Nr_1121"/>
      <sheetName val="Tāme_Nr_1211"/>
      <sheetName val="Tāme_Nr_1310"/>
      <sheetName val="Tāme_Nr_1410"/>
      <sheetName val="T?me Nr.11"/>
      <sheetName val="Tāme_Nr_150"/>
      <sheetName val="Tāme_Nr_211"/>
      <sheetName val="Tāme_Nr_311"/>
      <sheetName val="Tāme_N_411"/>
      <sheetName val="Tāme_Nr_511"/>
      <sheetName val="Tāme_Nr_611"/>
      <sheetName val="Tāme_Nr_711"/>
      <sheetName val="Tāme_Nr_811"/>
      <sheetName val="Tāme_Nr_911"/>
      <sheetName val="Tāme_Nr_1011"/>
      <sheetName val="Tāme_Nr_1122"/>
      <sheetName val="Tāme_Nr_1212"/>
      <sheetName val="Tāme_Nr_1311"/>
      <sheetName val="Tāme_Nr_1411"/>
      <sheetName val="Tāme_Nr_1123"/>
      <sheetName val="T?me_Nr_11"/>
      <sheetName val="Tāme_Nr_151"/>
      <sheetName val="Tāme_Nr_212"/>
      <sheetName val="Tāme_Nr_312"/>
      <sheetName val="Tāme_N_412"/>
      <sheetName val="Tāme_Nr_512"/>
      <sheetName val="Tāme_Nr_612"/>
      <sheetName val="Tāme_Nr_712"/>
      <sheetName val="Tāme_Nr_812"/>
      <sheetName val="Tāme_Nr_912"/>
      <sheetName val="Tāme_Nr_1012"/>
      <sheetName val="Tāme_Nr_1124"/>
      <sheetName val="Tāme_Nr_1213"/>
      <sheetName val="Tāme_Nr_1312"/>
      <sheetName val="Tāme_Nr_1412"/>
      <sheetName val="Tāme_Nr_1125"/>
      <sheetName val="T?me_Nr_111"/>
      <sheetName val="Tāme_Nr_152"/>
      <sheetName val="Tāme_Nr_213"/>
      <sheetName val="Tāme_Nr_313"/>
      <sheetName val="Tāme_N_413"/>
      <sheetName val="Tāme_Nr_513"/>
      <sheetName val="Tāme_Nr_613"/>
      <sheetName val="Tāme_Nr_713"/>
      <sheetName val="Tāme_Nr_813"/>
      <sheetName val="Tāme_Nr_913"/>
      <sheetName val="Tāme_Nr_1013"/>
      <sheetName val="Tāme_Nr_1126"/>
      <sheetName val="Tāme_Nr_1214"/>
      <sheetName val="Tāme_Nr_1313"/>
      <sheetName val="Tāme_Nr_1413"/>
      <sheetName val="Tāme_Nr_1127"/>
      <sheetName val="T?me_Nr_112"/>
      <sheetName val="Tāme_Nr_153"/>
      <sheetName val="Tāme_Nr_214"/>
      <sheetName val="Tāme_Nr_314"/>
      <sheetName val="Tāme_N_414"/>
      <sheetName val="Tāme_Nr_514"/>
      <sheetName val="Tāme_Nr_614"/>
      <sheetName val="Tāme_Nr_714"/>
      <sheetName val="Tāme_Nr_814"/>
      <sheetName val="Tāme_Nr_914"/>
      <sheetName val="Tāme_Nr_1014"/>
      <sheetName val="Tāme_Nr_1128"/>
      <sheetName val="Tāme_Nr_1215"/>
      <sheetName val="Tāme_Nr_1314"/>
      <sheetName val="Tāme_Nr_1414"/>
      <sheetName val="Tāme_Nr_1129"/>
      <sheetName val="T?me_Nr_113"/>
      <sheetName val="Tāme_Nr_154"/>
      <sheetName val="Tāme_Nr_215"/>
      <sheetName val="Tāme_Nr_315"/>
      <sheetName val="Tāme_N_415"/>
      <sheetName val="Tāme_Nr_515"/>
      <sheetName val="Tāme_Nr_615"/>
      <sheetName val="Tāme_Nr_715"/>
      <sheetName val="Tāme_Nr_815"/>
      <sheetName val="Tāme_Nr_915"/>
      <sheetName val="Tāme_Nr_1015"/>
      <sheetName val="Tāme_Nr_1130"/>
      <sheetName val="Tāme_Nr_1216"/>
      <sheetName val="Tāme_Nr_1315"/>
      <sheetName val="Tāme_Nr_1415"/>
      <sheetName val="Tāme_Nr_1131"/>
      <sheetName val="T?me_Nr_114"/>
      <sheetName val="Tāme_Nr_1132"/>
      <sheetName val="Tāme_Nr_155"/>
      <sheetName val="Tāme_Nr_216"/>
      <sheetName val="Tāme_Nr_316"/>
      <sheetName val="Tāme_N_416"/>
      <sheetName val="Tāme_Nr_516"/>
      <sheetName val="Tāme_Nr_616"/>
      <sheetName val="Tāme_Nr_716"/>
      <sheetName val="Tāme_Nr_816"/>
      <sheetName val="Tāme_Nr_916"/>
      <sheetName val="Tāme_Nr_1016"/>
      <sheetName val="Tāme_Nr_1133"/>
      <sheetName val="Tāme_Nr_1217"/>
      <sheetName val="Tāme_Nr_1316"/>
      <sheetName val="Tāme_Nr_1416"/>
      <sheetName val="T?me_Nr_115"/>
      <sheetName val="Tāme_Nr_1134"/>
      <sheetName val="Tāme_Nr_156"/>
      <sheetName val="Tāme_Nr_217"/>
      <sheetName val="Tāme_Nr_317"/>
      <sheetName val="Tāme_N_417"/>
      <sheetName val="Tāme_Nr_517"/>
      <sheetName val="Tāme_Nr_617"/>
      <sheetName val="Tāme_Nr_717"/>
      <sheetName val="Tāme_Nr_817"/>
      <sheetName val="Tāme_Nr_917"/>
      <sheetName val="Tāme_Nr_1017"/>
      <sheetName val="Tāme_Nr_1135"/>
      <sheetName val="Tāme_Nr_1218"/>
      <sheetName val="Tāme_Nr_1317"/>
      <sheetName val="Tāme_Nr_1417"/>
      <sheetName val="T?me_Nr_116"/>
      <sheetName val="Opex_Capex"/>
      <sheetName val="ATUP_pakalpojums"/>
      <sheetName val="Capex_2019"/>
      <sheetName val="Tāme_Nr_1136"/>
      <sheetName val="Tāme_Nr_157"/>
      <sheetName val="Tāme_Nr_218"/>
      <sheetName val="Tāme_Nr_318"/>
      <sheetName val="Tāme_N_418"/>
      <sheetName val="Tāme_Nr_518"/>
      <sheetName val="Tāme_Nr_618"/>
      <sheetName val="Tāme_Nr_718"/>
      <sheetName val="Tāme_Nr_818"/>
      <sheetName val="Tāme_Nr_918"/>
      <sheetName val="Tāme_Nr_1018"/>
      <sheetName val="Tāme_Nr_1137"/>
      <sheetName val="Tāme_Nr_1219"/>
      <sheetName val="Tāme_Nr_1318"/>
      <sheetName val="Tāme_Nr_1418"/>
      <sheetName val="T?me_Nr_117"/>
      <sheetName val="Tāme_Nr_1138"/>
      <sheetName val="Tāme_Nr_158"/>
      <sheetName val="Tāme_Nr_219"/>
      <sheetName val="Tāme_Nr_319"/>
      <sheetName val="Tāme_N_419"/>
      <sheetName val="Tāme_Nr_519"/>
      <sheetName val="Tāme_Nr_619"/>
      <sheetName val="Tāme_Nr_719"/>
      <sheetName val="Tāme_Nr_819"/>
      <sheetName val="Tāme_Nr_919"/>
      <sheetName val="Tāme_Nr_1019"/>
      <sheetName val="Tāme_Nr_1139"/>
      <sheetName val="Tāme_Nr_1220"/>
      <sheetName val="Tāme_Nr_1319"/>
      <sheetName val="Tāme_Nr_1419"/>
      <sheetName val="T?me_Nr_118"/>
      <sheetName val="T_me_Nr_115"/>
      <sheetName val="T_me_Nr_11"/>
      <sheetName val="T_me_Nr_111"/>
      <sheetName val="T_me_Nr_112"/>
      <sheetName val="T_me_Nr_113"/>
      <sheetName val="T_me_Nr_114"/>
      <sheetName val="T_me Nr.11"/>
      <sheetName val="Tāme_Nr_1140"/>
      <sheetName val="Tāme_Nr_159"/>
      <sheetName val="Tāme_Nr_220"/>
      <sheetName val="Tāme_Nr_320"/>
      <sheetName val="Tāme_N_420"/>
      <sheetName val="Tāme_Nr_520"/>
      <sheetName val="Tāme_Nr_620"/>
      <sheetName val="Tāme_Nr_720"/>
      <sheetName val="Tāme_Nr_820"/>
      <sheetName val="Tāme_Nr_920"/>
      <sheetName val="Tāme_Nr_1020"/>
      <sheetName val="Tāme_Nr_1141"/>
      <sheetName val="Tāme_Nr_1221"/>
      <sheetName val="Tāme_Nr_1320"/>
      <sheetName val="Tāme_Nr_1420"/>
      <sheetName val="T?me_Nr_119"/>
      <sheetName val="T_me_Nr_116"/>
      <sheetName val="Tāme_Nr_1142"/>
      <sheetName val="Tāme_Nr_160"/>
      <sheetName val="Tāme_Nr_221"/>
      <sheetName val="Tāme_Nr_321"/>
      <sheetName val="Tāme_N_421"/>
      <sheetName val="Tāme_Nr_521"/>
      <sheetName val="Tāme_Nr_621"/>
      <sheetName val="Tāme_Nr_721"/>
      <sheetName val="Tāme_Nr_821"/>
      <sheetName val="Tāme_Nr_921"/>
      <sheetName val="Tāme_Nr_1021"/>
      <sheetName val="Tāme_Nr_1143"/>
      <sheetName val="Tāme_Nr_1222"/>
      <sheetName val="Tāme_Nr_1321"/>
      <sheetName val="Tāme_Nr_1421"/>
      <sheetName val="T?me_Nr_1110"/>
      <sheetName val="T_me_Nr_117"/>
      <sheetName val="Tāme_Nr_1144"/>
      <sheetName val="Tāme_Nr_161"/>
      <sheetName val="Tāme_Nr_222"/>
      <sheetName val="Tāme_Nr_322"/>
      <sheetName val="Tāme_N_422"/>
      <sheetName val="Tāme_Nr_522"/>
      <sheetName val="Tāme_Nr_622"/>
      <sheetName val="Tāme_Nr_722"/>
      <sheetName val="Tāme_Nr_822"/>
      <sheetName val="Tāme_Nr_922"/>
      <sheetName val="Tāme_Nr_1022"/>
      <sheetName val="Tāme_Nr_1145"/>
      <sheetName val="Tāme_Nr_1223"/>
      <sheetName val="Tāme_Nr_1322"/>
      <sheetName val="Tāme_Nr_1422"/>
      <sheetName val="T?me_Nr_1111"/>
      <sheetName val="T_me_Nr_118"/>
      <sheetName val="Tāme_Nr_1148"/>
      <sheetName val="Tāme_Nr_163"/>
      <sheetName val="Tāme_Nr_224"/>
      <sheetName val="Tāme_Nr_324"/>
      <sheetName val="Tāme_N_424"/>
      <sheetName val="Tāme_Nr_524"/>
      <sheetName val="Tāme_Nr_624"/>
      <sheetName val="Tāme_Nr_724"/>
      <sheetName val="Tāme_Nr_824"/>
      <sheetName val="Tāme_Nr_924"/>
      <sheetName val="Tāme_Nr_1024"/>
      <sheetName val="Tāme_Nr_1149"/>
      <sheetName val="Tāme_Nr_1225"/>
      <sheetName val="Tāme_Nr_1324"/>
      <sheetName val="Tāme_Nr_1424"/>
      <sheetName val="T?me_Nr_1113"/>
      <sheetName val="T_me_Nr_1110"/>
      <sheetName val="Tāme_Nr_1146"/>
      <sheetName val="Tāme_Nr_162"/>
      <sheetName val="Tāme_Nr_223"/>
      <sheetName val="Tāme_Nr_323"/>
      <sheetName val="Tāme_N_423"/>
      <sheetName val="Tāme_Nr_523"/>
      <sheetName val="Tāme_Nr_623"/>
      <sheetName val="Tāme_Nr_723"/>
      <sheetName val="Tāme_Nr_823"/>
      <sheetName val="Tāme_Nr_923"/>
      <sheetName val="Tāme_Nr_1023"/>
      <sheetName val="Tāme_Nr_1147"/>
      <sheetName val="Tāme_Nr_1224"/>
      <sheetName val="Tāme_Nr_1323"/>
      <sheetName val="Tāme_Nr_1423"/>
      <sheetName val="T?me_Nr_1112"/>
      <sheetName val="T_me_Nr_119"/>
      <sheetName val="Tāme_Nr_1152"/>
      <sheetName val="Tāme_Nr_165"/>
      <sheetName val="Tāme_Nr_226"/>
      <sheetName val="Tāme_Nr_326"/>
      <sheetName val="Tāme_N_426"/>
      <sheetName val="Tāme_Nr_526"/>
      <sheetName val="Tāme_Nr_626"/>
      <sheetName val="Tāme_Nr_726"/>
      <sheetName val="Tāme_Nr_826"/>
      <sheetName val="Tāme_Nr_926"/>
      <sheetName val="Tāme_Nr_1026"/>
      <sheetName val="Tāme_Nr_1153"/>
      <sheetName val="Tāme_Nr_1227"/>
      <sheetName val="Tāme_Nr_1326"/>
      <sheetName val="Tāme_Nr_1426"/>
      <sheetName val="T?me_Nr_1115"/>
      <sheetName val="T_me_Nr_1112"/>
      <sheetName val="Tāme_Nr_1150"/>
      <sheetName val="Tāme_Nr_164"/>
      <sheetName val="Tāme_Nr_225"/>
      <sheetName val="Tāme_Nr_325"/>
      <sheetName val="Tāme_N_425"/>
      <sheetName val="Tāme_Nr_525"/>
      <sheetName val="Tāme_Nr_625"/>
      <sheetName val="Tāme_Nr_725"/>
      <sheetName val="Tāme_Nr_825"/>
      <sheetName val="Tāme_Nr_925"/>
      <sheetName val="Tāme_Nr_1025"/>
      <sheetName val="Tāme_Nr_1151"/>
      <sheetName val="Tāme_Nr_1226"/>
      <sheetName val="Tāme_Nr_1325"/>
      <sheetName val="Tāme_Nr_1425"/>
      <sheetName val="T?me_Nr_1114"/>
      <sheetName val="T_me_Nr_1111"/>
      <sheetName val="Tāme_Nr_1154"/>
      <sheetName val="Tāme_Nr_166"/>
      <sheetName val="Tāme_Nr_227"/>
      <sheetName val="Tāme_Nr_327"/>
      <sheetName val="Tāme_N_427"/>
      <sheetName val="Tāme_Nr_527"/>
      <sheetName val="Tāme_Nr_627"/>
      <sheetName val="Tāme_Nr_727"/>
      <sheetName val="Tāme_Nr_827"/>
      <sheetName val="Tāme_Nr_927"/>
      <sheetName val="Tāme_Nr_1027"/>
      <sheetName val="Tāme_Nr_1155"/>
      <sheetName val="Tāme_Nr_1228"/>
      <sheetName val="Tāme_Nr_1327"/>
      <sheetName val="Tāme_Nr_1427"/>
      <sheetName val="T?me_Nr_1116"/>
      <sheetName val="T_me_Nr_1113"/>
      <sheetName val="Tāme_Nr_1158"/>
      <sheetName val="Tāme_Nr_168"/>
      <sheetName val="Tāme_Nr_229"/>
      <sheetName val="Tāme_Nr_329"/>
      <sheetName val="Tāme_N_429"/>
      <sheetName val="Tāme_Nr_529"/>
      <sheetName val="Tāme_Nr_629"/>
      <sheetName val="Tāme_Nr_729"/>
      <sheetName val="Tāme_Nr_829"/>
      <sheetName val="Tāme_Nr_929"/>
      <sheetName val="Tāme_Nr_1029"/>
      <sheetName val="Tāme_Nr_1159"/>
      <sheetName val="Tāme_Nr_1230"/>
      <sheetName val="Tāme_Nr_1329"/>
      <sheetName val="Tāme_Nr_1429"/>
      <sheetName val="T?me_Nr_1118"/>
      <sheetName val="T_me_Nr_1115"/>
      <sheetName val="Tāme_Nr_1156"/>
      <sheetName val="Tāme_Nr_167"/>
      <sheetName val="Tāme_Nr_228"/>
      <sheetName val="Tāme_Nr_328"/>
      <sheetName val="Tāme_N_428"/>
      <sheetName val="Tāme_Nr_528"/>
      <sheetName val="Tāme_Nr_628"/>
      <sheetName val="Tāme_Nr_728"/>
      <sheetName val="Tāme_Nr_828"/>
      <sheetName val="Tāme_Nr_928"/>
      <sheetName val="Tāme_Nr_1028"/>
      <sheetName val="Tāme_Nr_1157"/>
      <sheetName val="Tāme_Nr_1229"/>
      <sheetName val="Tāme_Nr_1328"/>
      <sheetName val="Tāme_Nr_1428"/>
      <sheetName val="T?me_Nr_1117"/>
      <sheetName val="T_me_Nr_1114"/>
      <sheetName val="Tāme_Nr_1160"/>
      <sheetName val="Tāme_Nr_169"/>
      <sheetName val="Tāme_Nr_230"/>
      <sheetName val="Tāme_Nr_330"/>
      <sheetName val="Tāme_N_430"/>
      <sheetName val="Tāme_Nr_530"/>
      <sheetName val="Tāme_Nr_630"/>
      <sheetName val="Tāme_Nr_730"/>
      <sheetName val="Tāme_Nr_830"/>
      <sheetName val="Tāme_Nr_930"/>
      <sheetName val="Tāme_Nr_1030"/>
      <sheetName val="Tāme_Nr_1161"/>
      <sheetName val="Tāme_Nr_1231"/>
      <sheetName val="Tāme_Nr_1330"/>
      <sheetName val="Tāme_Nr_1430"/>
      <sheetName val="T?me_Nr_1119"/>
      <sheetName val="T_me_Nr_1116"/>
      <sheetName val="T_me_Nr_1117"/>
      <sheetName val="Tāme_Nr_170"/>
      <sheetName val="Tāme_Nr_231"/>
      <sheetName val="Tāme_Nr_331"/>
      <sheetName val="Tāme_N_431"/>
      <sheetName val="Tāme_Nr_531"/>
      <sheetName val="Tāme_Nr_631"/>
      <sheetName val="Tāme_Nr_731"/>
      <sheetName val="Tāme_Nr_831"/>
      <sheetName val="Tāme_Nr_931"/>
      <sheetName val="Tāme_Nr_1031"/>
      <sheetName val="Tāme_Nr_1162"/>
      <sheetName val="Tāme_Nr_1232"/>
      <sheetName val="Tāme_Nr_1331"/>
      <sheetName val="Tāme_Nr_1431"/>
      <sheetName val="Tāme_Nr_1163"/>
      <sheetName val="T?me_Nr_1120"/>
      <sheetName val="T_me_Nr_1119"/>
      <sheetName val="T_me_Nr_1118"/>
      <sheetName val="Tāme_Nr_171"/>
      <sheetName val="Tāme_Nr_232"/>
      <sheetName val="Tāme_Nr_332"/>
      <sheetName val="Tāme_N_432"/>
      <sheetName val="Tāme_Nr_532"/>
      <sheetName val="Tāme_Nr_632"/>
      <sheetName val="Tāme_Nr_732"/>
      <sheetName val="Tāme_Nr_832"/>
      <sheetName val="Tāme_Nr_932"/>
      <sheetName val="Tāme_Nr_1032"/>
      <sheetName val="Tāme_Nr_1164"/>
      <sheetName val="Tāme_Nr_1233"/>
      <sheetName val="Tāme_Nr_1332"/>
      <sheetName val="Tāme_Nr_1432"/>
      <sheetName val="Tāme_Nr_1165"/>
      <sheetName val="T?me_Nr_1121"/>
      <sheetName val="T_me_Nr_1120"/>
      <sheetName val="Tāme_Nr_172"/>
      <sheetName val="Tāme_Nr_233"/>
      <sheetName val="Tāme_Nr_333"/>
      <sheetName val="Tāme_N_433"/>
      <sheetName val="Tāme_Nr_533"/>
      <sheetName val="Tāme_Nr_633"/>
      <sheetName val="Tāme_Nr_733"/>
      <sheetName val="Tāme_Nr_833"/>
      <sheetName val="Tāme_Nr_933"/>
      <sheetName val="Tāme_Nr_1033"/>
      <sheetName val="Tāme_Nr_1166"/>
      <sheetName val="Tāme_Nr_1234"/>
      <sheetName val="Tāme_Nr_1333"/>
      <sheetName val="Tāme_Nr_1433"/>
      <sheetName val="Tāme_Nr_1167"/>
      <sheetName val="T?me_Nr_1122"/>
      <sheetName val="T_me_Nr_1121"/>
      <sheetName val="Tāme_Nr_173"/>
      <sheetName val="Tāme_Nr_234"/>
      <sheetName val="Tāme_Nr_334"/>
      <sheetName val="Tāme_N_434"/>
      <sheetName val="Tāme_Nr_534"/>
      <sheetName val="Tāme_Nr_634"/>
      <sheetName val="Tāme_Nr_734"/>
      <sheetName val="Tāme_Nr_834"/>
      <sheetName val="Tāme_Nr_934"/>
      <sheetName val="Tāme_Nr_1034"/>
      <sheetName val="Tāme_Nr_1168"/>
      <sheetName val="Tāme_Nr_1235"/>
      <sheetName val="Tāme_Nr_1334"/>
      <sheetName val="Tāme_Nr_1434"/>
      <sheetName val="Tāme_Nr_1169"/>
      <sheetName val="T?me_Nr_1123"/>
      <sheetName val="T_me_Nr_1122"/>
      <sheetName val="Tāme_Nr_174"/>
      <sheetName val="Tāme_Nr_235"/>
      <sheetName val="Tāme_Nr_335"/>
      <sheetName val="Tāme_N_435"/>
      <sheetName val="Tāme_Nr_535"/>
      <sheetName val="Tāme_Nr_635"/>
      <sheetName val="Tāme_Nr_735"/>
      <sheetName val="Tāme_Nr_835"/>
      <sheetName val="Tāme_Nr_935"/>
      <sheetName val="Tāme_Nr_1035"/>
      <sheetName val="Tāme_Nr_1170"/>
      <sheetName val="Tāme_Nr_1236"/>
      <sheetName val="Tāme_Nr_1335"/>
      <sheetName val="Tāme_Nr_1435"/>
      <sheetName val="Tāme_Nr_1171"/>
      <sheetName val="T?me_Nr_1124"/>
      <sheetName val="T_me_Nr_1123"/>
      <sheetName val="Tāme_Nr_178"/>
      <sheetName val="Tāme_Nr_239"/>
      <sheetName val="Tāme_Nr_339"/>
      <sheetName val="Tāme_N_439"/>
      <sheetName val="Tāme_Nr_539"/>
      <sheetName val="Tāme_Nr_639"/>
      <sheetName val="Tāme_Nr_739"/>
      <sheetName val="Tāme_Nr_839"/>
      <sheetName val="Tāme_Nr_939"/>
      <sheetName val="Tāme_Nr_1039"/>
      <sheetName val="Tāme_Nr_1178"/>
      <sheetName val="Tāme_Nr_1240"/>
      <sheetName val="Tāme_Nr_1339"/>
      <sheetName val="Tāme_Nr_1439"/>
      <sheetName val="Tāme_Nr_1179"/>
      <sheetName val="T?me_Nr_1128"/>
      <sheetName val="T_me_Nr_1127"/>
      <sheetName val="Tāme_Nr_175"/>
      <sheetName val="Tāme_Nr_236"/>
      <sheetName val="Tāme_Nr_336"/>
      <sheetName val="Tāme_N_436"/>
      <sheetName val="Tāme_Nr_536"/>
      <sheetName val="Tāme_Nr_636"/>
      <sheetName val="Tāme_Nr_736"/>
      <sheetName val="Tāme_Nr_836"/>
      <sheetName val="Tāme_Nr_936"/>
      <sheetName val="Tāme_Nr_1036"/>
      <sheetName val="Tāme_Nr_1172"/>
      <sheetName val="Tāme_Nr_1237"/>
      <sheetName val="Tāme_Nr_1336"/>
      <sheetName val="Tāme_Nr_1436"/>
      <sheetName val="Tāme_Nr_1173"/>
      <sheetName val="T?me_Nr_1125"/>
      <sheetName val="T_me_Nr_1124"/>
      <sheetName val="Tāme_Nr_176"/>
      <sheetName val="Tāme_Nr_237"/>
      <sheetName val="Tāme_Nr_337"/>
      <sheetName val="Tāme_N_437"/>
      <sheetName val="Tāme_Nr_537"/>
      <sheetName val="Tāme_Nr_637"/>
      <sheetName val="Tāme_Nr_737"/>
      <sheetName val="Tāme_Nr_837"/>
      <sheetName val="Tāme_Nr_937"/>
      <sheetName val="Tāme_Nr_1037"/>
      <sheetName val="Tāme_Nr_1174"/>
      <sheetName val="Tāme_Nr_1238"/>
      <sheetName val="Tāme_Nr_1337"/>
      <sheetName val="Tāme_Nr_1437"/>
      <sheetName val="Tāme_Nr_1175"/>
      <sheetName val="T?me_Nr_1126"/>
      <sheetName val="T_me_Nr_1125"/>
      <sheetName val="Tāme_Nr_177"/>
      <sheetName val="Tāme_Nr_238"/>
      <sheetName val="Tāme_Nr_338"/>
      <sheetName val="Tāme_N_438"/>
      <sheetName val="Tāme_Nr_538"/>
      <sheetName val="Tāme_Nr_638"/>
      <sheetName val="Tāme_Nr_738"/>
      <sheetName val="Tāme_Nr_838"/>
      <sheetName val="Tāme_Nr_938"/>
      <sheetName val="Tāme_Nr_1038"/>
      <sheetName val="Tāme_Nr_1176"/>
      <sheetName val="Tāme_Nr_1239"/>
      <sheetName val="Tāme_Nr_1338"/>
      <sheetName val="Tāme_Nr_1438"/>
      <sheetName val="Tāme_Nr_1177"/>
      <sheetName val="T?me_Nr_1127"/>
      <sheetName val="T_me_Nr_1126"/>
      <sheetName val="Tāme_Nr_179"/>
      <sheetName val="Tāme_Nr_240"/>
      <sheetName val="Tāme_Nr_340"/>
      <sheetName val="Tāme_N_440"/>
      <sheetName val="Tāme_Nr_540"/>
      <sheetName val="Tāme_Nr_640"/>
      <sheetName val="Tāme_Nr_740"/>
      <sheetName val="Tāme_Nr_840"/>
      <sheetName val="Tāme_Nr_940"/>
      <sheetName val="Tāme_Nr_1040"/>
      <sheetName val="Tāme_Nr_1180"/>
      <sheetName val="Tāme_Nr_1241"/>
      <sheetName val="Tāme_Nr_1340"/>
      <sheetName val="Tāme_Nr_1440"/>
      <sheetName val="Tāme_Nr_1181"/>
      <sheetName val="T?me_Nr_1129"/>
      <sheetName val="T_me_Nr_1128"/>
      <sheetName val="Tāme_Nr_180"/>
      <sheetName val="Tāme_Nr_241"/>
      <sheetName val="Tāme_Nr_341"/>
      <sheetName val="Tāme_N_441"/>
      <sheetName val="Tāme_Nr_541"/>
      <sheetName val="Tāme_Nr_641"/>
      <sheetName val="Tāme_Nr_741"/>
      <sheetName val="Tāme_Nr_841"/>
      <sheetName val="Tāme_Nr_941"/>
      <sheetName val="Tāme_Nr_1041"/>
      <sheetName val="Tāme_Nr_1182"/>
      <sheetName val="Tāme_Nr_1242"/>
      <sheetName val="Tāme_Nr_1341"/>
      <sheetName val="Tāme_Nr_1441"/>
      <sheetName val="Tāme_Nr_1183"/>
      <sheetName val="T?me_Nr_1130"/>
      <sheetName val="T_me_Nr_1129"/>
      <sheetName val="Tāme_Nr_181"/>
      <sheetName val="Tāme_Nr_242"/>
      <sheetName val="Tāme_Nr_342"/>
      <sheetName val="Tāme_N_442"/>
      <sheetName val="Tāme_Nr_542"/>
      <sheetName val="Tāme_Nr_642"/>
      <sheetName val="Tāme_Nr_742"/>
      <sheetName val="Tāme_Nr_842"/>
      <sheetName val="Tāme_Nr_942"/>
      <sheetName val="Tāme_Nr_1042"/>
      <sheetName val="Tāme_Nr_1184"/>
      <sheetName val="Tāme_Nr_1243"/>
      <sheetName val="Tāme_Nr_1342"/>
      <sheetName val="Tāme_Nr_1442"/>
      <sheetName val="Tāme_Nr_1185"/>
      <sheetName val="T?me_Nr_1131"/>
      <sheetName val="T_me_Nr_1130"/>
      <sheetName val="Tāme_Nr_182"/>
      <sheetName val="Tāme_Nr_243"/>
      <sheetName val="Tāme_Nr_343"/>
      <sheetName val="Tāme_N_443"/>
      <sheetName val="Tāme_Nr_543"/>
      <sheetName val="Tāme_Nr_643"/>
      <sheetName val="Tāme_Nr_743"/>
      <sheetName val="Tāme_Nr_843"/>
      <sheetName val="Tāme_Nr_943"/>
      <sheetName val="Tāme_Nr_1043"/>
      <sheetName val="Tāme_Nr_1186"/>
      <sheetName val="Tāme_Nr_1244"/>
      <sheetName val="Tāme_Nr_1343"/>
      <sheetName val="Tāme_Nr_1443"/>
      <sheetName val="Tāme_Nr_1187"/>
      <sheetName val="T?me_Nr_1132"/>
      <sheetName val="T_me_Nr_1131"/>
      <sheetName val="Tāme_Nr_183"/>
      <sheetName val="Tāme_Nr_244"/>
      <sheetName val="Tāme_Nr_344"/>
      <sheetName val="Tāme_N_444"/>
      <sheetName val="Tāme_Nr_544"/>
      <sheetName val="Tāme_Nr_644"/>
      <sheetName val="Tāme_Nr_744"/>
      <sheetName val="Tāme_Nr_844"/>
      <sheetName val="Tāme_Nr_944"/>
      <sheetName val="Tāme_Nr_1044"/>
      <sheetName val="Tāme_Nr_1188"/>
      <sheetName val="Tāme_Nr_1245"/>
      <sheetName val="Tāme_Nr_1344"/>
      <sheetName val="Tāme_Nr_1444"/>
      <sheetName val="Tāme_Nr_1189"/>
      <sheetName val="T?me_Nr_1133"/>
      <sheetName val="T_me_Nr_1132"/>
      <sheetName val="Tāme_Nr_184"/>
      <sheetName val="Tāme_Nr_245"/>
      <sheetName val="Tāme_Nr_345"/>
      <sheetName val="Tāme_N_445"/>
      <sheetName val="Tāme_Nr_545"/>
      <sheetName val="Tāme_Nr_645"/>
      <sheetName val="Tāme_Nr_745"/>
      <sheetName val="Tāme_Nr_845"/>
      <sheetName val="Tāme_Nr_945"/>
      <sheetName val="Tāme_Nr_1045"/>
      <sheetName val="Tāme_Nr_1190"/>
      <sheetName val="Tāme_Nr_1246"/>
      <sheetName val="Tāme_Nr_1345"/>
      <sheetName val="Tāme_Nr_1445"/>
      <sheetName val="Tāme_Nr_1191"/>
      <sheetName val="T?me_Nr_1134"/>
      <sheetName val="T_me_Nr_1133"/>
      <sheetName val="Tāme_Nr_185"/>
      <sheetName val="Tāme_Nr_246"/>
      <sheetName val="Tāme_Nr_346"/>
      <sheetName val="Tāme_N_446"/>
      <sheetName val="Tāme_Nr_546"/>
      <sheetName val="Tāme_Nr_646"/>
      <sheetName val="Tāme_Nr_746"/>
      <sheetName val="Tāme_Nr_846"/>
      <sheetName val="Tāme_Nr_946"/>
      <sheetName val="Tāme_Nr_1046"/>
      <sheetName val="Tāme_Nr_1192"/>
      <sheetName val="Tāme_Nr_1247"/>
      <sheetName val="Tāme_Nr_1346"/>
      <sheetName val="Tāme_Nr_1446"/>
      <sheetName val="Tāme_Nr_1193"/>
      <sheetName val="T?me_Nr_1135"/>
      <sheetName val="T_me_Nr_1134"/>
      <sheetName val="Tāme_Nr_187"/>
      <sheetName val="Tāme_Nr_248"/>
      <sheetName val="Tāme_Nr_348"/>
      <sheetName val="Tāme_N_448"/>
      <sheetName val="Tāme_Nr_548"/>
      <sheetName val="Tāme_Nr_648"/>
      <sheetName val="Tāme_Nr_748"/>
      <sheetName val="Tāme_Nr_848"/>
      <sheetName val="Tāme_Nr_948"/>
      <sheetName val="Tāme_Nr_1048"/>
      <sheetName val="Tāme_Nr_1196"/>
      <sheetName val="Tāme_Nr_1249"/>
      <sheetName val="Tāme_Nr_1348"/>
      <sheetName val="Tāme_Nr_1448"/>
      <sheetName val="Tāme_Nr_1197"/>
      <sheetName val="T?me_Nr_1137"/>
      <sheetName val="T_me_Nr_1136"/>
      <sheetName val="Tāme_Nr_186"/>
      <sheetName val="Tāme_Nr_247"/>
      <sheetName val="Tāme_Nr_347"/>
      <sheetName val="Tāme_N_447"/>
      <sheetName val="Tāme_Nr_547"/>
      <sheetName val="Tāme_Nr_647"/>
      <sheetName val="Tāme_Nr_747"/>
      <sheetName val="Tāme_Nr_847"/>
      <sheetName val="Tāme_Nr_947"/>
      <sheetName val="Tāme_Nr_1047"/>
      <sheetName val="Tāme_Nr_1194"/>
      <sheetName val="Tāme_Nr_1248"/>
      <sheetName val="Tāme_Nr_1347"/>
      <sheetName val="Tāme_Nr_1447"/>
      <sheetName val="Tāme_Nr_1195"/>
      <sheetName val="T?me_Nr_1136"/>
      <sheetName val="T_me_Nr_1135"/>
      <sheetName val="Tāme_Nr_188"/>
      <sheetName val="Tāme_Nr_249"/>
      <sheetName val="Tāme_Nr_349"/>
      <sheetName val="Tāme_N_449"/>
      <sheetName val="Tāme_Nr_549"/>
      <sheetName val="Tāme_Nr_649"/>
      <sheetName val="Tāme_Nr_749"/>
      <sheetName val="Tāme_Nr_849"/>
      <sheetName val="Tāme_Nr_949"/>
      <sheetName val="Tāme_Nr_1049"/>
      <sheetName val="Tāme_Nr_1198"/>
      <sheetName val="Tāme_Nr_1250"/>
      <sheetName val="Tāme_Nr_1349"/>
      <sheetName val="Tāme_Nr_1449"/>
      <sheetName val="Tāme_Nr_1199"/>
      <sheetName val="T?me_Nr_1138"/>
      <sheetName val="T_me_Nr_1137"/>
      <sheetName val="Tāme_Nr_189"/>
      <sheetName val="Tāme_Nr_250"/>
      <sheetName val="Tāme_Nr_350"/>
      <sheetName val="Tāme_N_450"/>
      <sheetName val="Tāme_Nr_550"/>
      <sheetName val="Tāme_Nr_650"/>
      <sheetName val="Tāme_Nr_750"/>
      <sheetName val="Tāme_Nr_850"/>
      <sheetName val="Tāme_Nr_950"/>
      <sheetName val="Tāme_Nr_1050"/>
      <sheetName val="Tāme_Nr_11100"/>
      <sheetName val="Tāme_Nr_1251"/>
      <sheetName val="Tāme_Nr_1350"/>
      <sheetName val="Tāme_Nr_1450"/>
      <sheetName val="Tāme_Nr_11101"/>
      <sheetName val="T?me_Nr_1139"/>
      <sheetName val="T_me_Nr_1138"/>
      <sheetName val="Tāme_Nr_191"/>
      <sheetName val="Tāme_Nr_252"/>
      <sheetName val="Tāme_Nr_352"/>
      <sheetName val="Tāme_N_452"/>
      <sheetName val="Tāme_Nr_552"/>
      <sheetName val="Tāme_Nr_652"/>
      <sheetName val="Tāme_Nr_752"/>
      <sheetName val="Tāme_Nr_852"/>
      <sheetName val="Tāme_Nr_952"/>
      <sheetName val="Tāme_Nr_1052"/>
      <sheetName val="Tāme_Nr_11104"/>
      <sheetName val="Tāme_Nr_1253"/>
      <sheetName val="Tāme_Nr_1352"/>
      <sheetName val="Tāme_Nr_1452"/>
      <sheetName val="Tāme_Nr_11105"/>
      <sheetName val="T?me_Nr_1141"/>
      <sheetName val="T_me_Nr_1140"/>
      <sheetName val="Tāme_Nr_190"/>
      <sheetName val="Tāme_Nr_251"/>
      <sheetName val="Tāme_Nr_351"/>
      <sheetName val="Tāme_N_451"/>
      <sheetName val="Tāme_Nr_551"/>
      <sheetName val="Tāme_Nr_651"/>
      <sheetName val="Tāme_Nr_751"/>
      <sheetName val="Tāme_Nr_851"/>
      <sheetName val="Tāme_Nr_951"/>
      <sheetName val="Tāme_Nr_1051"/>
      <sheetName val="Tāme_Nr_11102"/>
      <sheetName val="Tāme_Nr_1252"/>
      <sheetName val="Tāme_Nr_1351"/>
      <sheetName val="Tāme_Nr_1451"/>
      <sheetName val="Tāme_Nr_11103"/>
      <sheetName val="T?me_Nr_1140"/>
      <sheetName val="T_me_Nr_1139"/>
      <sheetName val="Tāme_Nr_192"/>
      <sheetName val="Tāme_Nr_253"/>
      <sheetName val="Tāme_Nr_353"/>
      <sheetName val="Tāme_N_453"/>
      <sheetName val="Tāme_Nr_553"/>
      <sheetName val="Tāme_Nr_653"/>
      <sheetName val="Tāme_Nr_753"/>
      <sheetName val="Tāme_Nr_853"/>
      <sheetName val="Tāme_Nr_953"/>
      <sheetName val="Tāme_Nr_1053"/>
      <sheetName val="Tāme_Nr_11106"/>
      <sheetName val="Tāme_Nr_1254"/>
      <sheetName val="Tāme_Nr_1353"/>
      <sheetName val="Tāme_Nr_1453"/>
      <sheetName val="Tāme_Nr_11107"/>
      <sheetName val="T?me_Nr_1142"/>
      <sheetName val="T_me_Nr_1141"/>
      <sheetName val="Tāme_Nr_193"/>
      <sheetName val="Tāme_Nr_254"/>
      <sheetName val="Tāme_Nr_354"/>
      <sheetName val="Tāme_N_454"/>
      <sheetName val="Tāme_Nr_554"/>
      <sheetName val="Tāme_Nr_654"/>
      <sheetName val="Tāme_Nr_754"/>
      <sheetName val="Tāme_Nr_854"/>
      <sheetName val="Tāme_Nr_954"/>
      <sheetName val="Tāme_Nr_1054"/>
      <sheetName val="Tāme_Nr_11108"/>
      <sheetName val="Tāme_Nr_1255"/>
      <sheetName val="Tāme_Nr_1354"/>
      <sheetName val="Tāme_Nr_1454"/>
      <sheetName val="Tāme_Nr_11109"/>
      <sheetName val="T?me_Nr_1143"/>
      <sheetName val="T_me_Nr_1142"/>
      <sheetName val="Tāme_Nr_194"/>
      <sheetName val="Tāme_Nr_255"/>
      <sheetName val="Tāme_Nr_355"/>
      <sheetName val="Tāme_N_455"/>
      <sheetName val="Tāme_Nr_555"/>
      <sheetName val="Tāme_Nr_655"/>
      <sheetName val="Tāme_Nr_755"/>
      <sheetName val="Tāme_Nr_855"/>
      <sheetName val="Tāme_Nr_955"/>
      <sheetName val="Tāme_Nr_1055"/>
      <sheetName val="Tāme_Nr_11110"/>
      <sheetName val="Tāme_Nr_1256"/>
      <sheetName val="Tāme_Nr_1355"/>
      <sheetName val="Tāme_Nr_1455"/>
      <sheetName val="Tāme_Nr_11111"/>
      <sheetName val="T?me_Nr_1144"/>
      <sheetName val="T_me_Nr_1143"/>
      <sheetName val="Tāme_Nr_195"/>
      <sheetName val="Tāme_Nr_256"/>
      <sheetName val="Tāme_Nr_356"/>
      <sheetName val="Tāme_N_456"/>
      <sheetName val="Tāme_Nr_556"/>
      <sheetName val="Tāme_Nr_656"/>
      <sheetName val="Tāme_Nr_756"/>
      <sheetName val="Tāme_Nr_856"/>
      <sheetName val="Tāme_Nr_956"/>
      <sheetName val="Tāme_Nr_1056"/>
      <sheetName val="Tāme_Nr_11112"/>
      <sheetName val="Tāme_Nr_1257"/>
      <sheetName val="Tāme_Nr_1356"/>
      <sheetName val="Tāme_Nr_1456"/>
      <sheetName val="Tāme_Nr_11113"/>
      <sheetName val="T?me_Nr_1145"/>
      <sheetName val="T_me_Nr_1144"/>
      <sheetName val="Tāme_Nr_196"/>
      <sheetName val="Tāme_Nr_257"/>
      <sheetName val="Tāme_Nr_357"/>
      <sheetName val="Tāme_N_457"/>
      <sheetName val="Tāme_Nr_557"/>
      <sheetName val="Tāme_Nr_657"/>
      <sheetName val="Tāme_Nr_757"/>
      <sheetName val="Tāme_Nr_857"/>
      <sheetName val="Tāme_Nr_957"/>
      <sheetName val="Tāme_Nr_1057"/>
      <sheetName val="Tāme_Nr_11114"/>
      <sheetName val="Tāme_Nr_1258"/>
      <sheetName val="Tāme_Nr_1357"/>
      <sheetName val="Tāme_Nr_1457"/>
      <sheetName val="Tāme_Nr_11115"/>
      <sheetName val="T?me_Nr_1146"/>
      <sheetName val="T_me_Nr_1145"/>
      <sheetName val="Tāme_Nr_197"/>
      <sheetName val="Tāme_Nr_258"/>
      <sheetName val="Tāme_Nr_358"/>
      <sheetName val="Tāme_N_458"/>
      <sheetName val="Tāme_Nr_558"/>
      <sheetName val="Tāme_Nr_658"/>
      <sheetName val="Tāme_Nr_758"/>
      <sheetName val="Tāme_Nr_858"/>
      <sheetName val="Tāme_Nr_958"/>
      <sheetName val="Tāme_Nr_1058"/>
      <sheetName val="Tāme_Nr_11116"/>
      <sheetName val="Tāme_Nr_1259"/>
      <sheetName val="Tāme_Nr_1358"/>
      <sheetName val="Tāme_Nr_1458"/>
      <sheetName val="Tāme_Nr_11117"/>
      <sheetName val="T?me_Nr_1147"/>
      <sheetName val="T_me_Nr_1146"/>
      <sheetName val="Tāme_Nr_1100"/>
      <sheetName val="Tāme_Nr_261"/>
      <sheetName val="Tāme_Nr_361"/>
      <sheetName val="Tāme_N_461"/>
      <sheetName val="Tāme_Nr_561"/>
      <sheetName val="Tāme_Nr_661"/>
      <sheetName val="Tāme_Nr_761"/>
      <sheetName val="Tāme_Nr_861"/>
      <sheetName val="Tāme_Nr_961"/>
      <sheetName val="Tāme_Nr_1061"/>
      <sheetName val="Tāme_Nr_11122"/>
      <sheetName val="Tāme_Nr_1262"/>
      <sheetName val="Tāme_Nr_1361"/>
      <sheetName val="Tāme_Nr_1461"/>
      <sheetName val="Tāme_Nr_11123"/>
      <sheetName val="T?me_Nr_1150"/>
      <sheetName val="T_me_Nr_1149"/>
      <sheetName val="Tāme_Nr_199"/>
      <sheetName val="Tāme_Nr_260"/>
      <sheetName val="Tāme_Nr_360"/>
      <sheetName val="Tāme_N_460"/>
      <sheetName val="Tāme_Nr_560"/>
      <sheetName val="Tāme_Nr_660"/>
      <sheetName val="Tāme_Nr_760"/>
      <sheetName val="Tāme_Nr_860"/>
      <sheetName val="Tāme_Nr_960"/>
      <sheetName val="Tāme_Nr_1060"/>
      <sheetName val="Tāme_Nr_11120"/>
      <sheetName val="Tāme_Nr_1261"/>
      <sheetName val="Tāme_Nr_1360"/>
      <sheetName val="Tāme_Nr_1460"/>
      <sheetName val="Tāme_Nr_11121"/>
      <sheetName val="T?me_Nr_1149"/>
      <sheetName val="T_me_Nr_1148"/>
      <sheetName val="Tāme_Nr_198"/>
      <sheetName val="Tāme_Nr_259"/>
      <sheetName val="Tāme_Nr_359"/>
      <sheetName val="Tāme_N_459"/>
      <sheetName val="Tāme_Nr_559"/>
      <sheetName val="Tāme_Nr_659"/>
      <sheetName val="Tāme_Nr_759"/>
      <sheetName val="Tāme_Nr_859"/>
      <sheetName val="Tāme_Nr_959"/>
      <sheetName val="Tāme_Nr_1059"/>
      <sheetName val="Tāme_Nr_11118"/>
      <sheetName val="Tāme_Nr_1260"/>
      <sheetName val="Tāme_Nr_1359"/>
      <sheetName val="Tāme_Nr_1459"/>
      <sheetName val="Tāme_Nr_11119"/>
      <sheetName val="T?me_Nr_1148"/>
      <sheetName val="T_me_Nr_1147"/>
      <sheetName val="Tāme_Nr_1101"/>
      <sheetName val="Tāme_Nr_262"/>
      <sheetName val="Tāme_Nr_362"/>
      <sheetName val="Tāme_N_462"/>
      <sheetName val="Tāme_Nr_562"/>
      <sheetName val="Tāme_Nr_662"/>
      <sheetName val="Tāme_Nr_762"/>
      <sheetName val="Tāme_Nr_862"/>
      <sheetName val="Tāme_Nr_962"/>
      <sheetName val="Tāme_Nr_1062"/>
      <sheetName val="Tāme_Nr_11124"/>
      <sheetName val="Tāme_Nr_1263"/>
      <sheetName val="Tāme_Nr_1362"/>
      <sheetName val="Tāme_Nr_1462"/>
      <sheetName val="Tāme_Nr_11125"/>
      <sheetName val="T?me_Nr_1151"/>
      <sheetName val="T_me_Nr_1150"/>
      <sheetName val="Tāme_Nr_1102"/>
      <sheetName val="Tāme_Nr_263"/>
      <sheetName val="Tāme_Nr_363"/>
      <sheetName val="Tāme_N_463"/>
      <sheetName val="Tāme_Nr_563"/>
      <sheetName val="Tāme_Nr_663"/>
      <sheetName val="Tāme_Nr_763"/>
      <sheetName val="Tāme_Nr_863"/>
      <sheetName val="Tāme_Nr_963"/>
      <sheetName val="Tāme_Nr_1063"/>
      <sheetName val="Tāme_Nr_11126"/>
      <sheetName val="Tāme_Nr_1264"/>
      <sheetName val="Tāme_Nr_1363"/>
      <sheetName val="Tāme_Nr_1463"/>
      <sheetName val="Tāme_Nr_11127"/>
      <sheetName val="T?me_Nr_1152"/>
      <sheetName val="T_me_Nr_1151"/>
      <sheetName val="Tāme_Nr_1103"/>
      <sheetName val="Tāme_Nr_264"/>
      <sheetName val="Tāme_Nr_364"/>
      <sheetName val="Tāme_N_464"/>
      <sheetName val="Tāme_Nr_564"/>
      <sheetName val="Tāme_Nr_664"/>
      <sheetName val="Tāme_Nr_764"/>
      <sheetName val="Tāme_Nr_864"/>
      <sheetName val="Tāme_Nr_964"/>
      <sheetName val="Tāme_Nr_1064"/>
      <sheetName val="Tāme_Nr_11128"/>
      <sheetName val="Tāme_Nr_1265"/>
      <sheetName val="Tāme_Nr_1364"/>
      <sheetName val="Tāme_Nr_1464"/>
      <sheetName val="Tāme_Nr_11129"/>
      <sheetName val="T?me_Nr_1153"/>
      <sheetName val="T_me_Nr_1152"/>
      <sheetName val="Tāme_Nr_1104"/>
      <sheetName val="Tāme_Nr_265"/>
      <sheetName val="Tāme_Nr_365"/>
      <sheetName val="Tāme_N_465"/>
      <sheetName val="Tāme_Nr_565"/>
      <sheetName val="Tāme_Nr_665"/>
      <sheetName val="Tāme_Nr_765"/>
      <sheetName val="Tāme_Nr_865"/>
      <sheetName val="Tāme_Nr_965"/>
      <sheetName val="Tāme_Nr_1065"/>
      <sheetName val="Tāme_Nr_11130"/>
      <sheetName val="Tāme_Nr_1266"/>
      <sheetName val="Tāme_Nr_1365"/>
      <sheetName val="Tāme_Nr_1465"/>
      <sheetName val="Tāme_Nr_11131"/>
      <sheetName val="T?me_Nr_1154"/>
      <sheetName val="T_me_Nr_1153"/>
      <sheetName val="Tāme_Nr_1105"/>
      <sheetName val="Tāme_Nr_266"/>
      <sheetName val="Tāme_Nr_366"/>
      <sheetName val="Tāme_N_466"/>
      <sheetName val="Tāme_Nr_566"/>
      <sheetName val="Tāme_Nr_666"/>
      <sheetName val="Tāme_Nr_766"/>
      <sheetName val="Tāme_Nr_866"/>
      <sheetName val="Tāme_Nr_966"/>
      <sheetName val="Tāme_Nr_1066"/>
      <sheetName val="Tāme_Nr_11132"/>
      <sheetName val="Tāme_Nr_1267"/>
      <sheetName val="Tāme_Nr_1366"/>
      <sheetName val="Tāme_Nr_1466"/>
      <sheetName val="Tāme_Nr_11133"/>
      <sheetName val="T?me_Nr_1155"/>
      <sheetName val="T_me_Nr_1154"/>
      <sheetName val="Tāme_Nr_1106"/>
      <sheetName val="Tāme_Nr_267"/>
      <sheetName val="Tāme_Nr_367"/>
      <sheetName val="Tāme_N_467"/>
      <sheetName val="Tāme_Nr_567"/>
      <sheetName val="Tāme_Nr_667"/>
      <sheetName val="Tāme_Nr_767"/>
      <sheetName val="Tāme_Nr_867"/>
      <sheetName val="Tāme_Nr_967"/>
      <sheetName val="Tāme_Nr_1067"/>
      <sheetName val="Tāme_Nr_11134"/>
      <sheetName val="Tāme_Nr_1268"/>
      <sheetName val="Tāme_Nr_1367"/>
      <sheetName val="Tāme_Nr_1467"/>
      <sheetName val="Tāme_Nr_11135"/>
      <sheetName val="T?me_Nr_1156"/>
      <sheetName val="T_me_Nr_1155"/>
      <sheetName val="Tāme_Nr_1107"/>
      <sheetName val="Tāme_Nr_268"/>
      <sheetName val="Tāme_Nr_368"/>
      <sheetName val="Tāme_N_468"/>
      <sheetName val="Tāme_Nr_568"/>
      <sheetName val="Tāme_Nr_668"/>
      <sheetName val="Tāme_Nr_768"/>
      <sheetName val="Tāme_Nr_868"/>
      <sheetName val="Tāme_Nr_968"/>
      <sheetName val="Tāme_Nr_1068"/>
      <sheetName val="Tāme_Nr_11136"/>
      <sheetName val="Tāme_Nr_1269"/>
      <sheetName val="Tāme_Nr_1368"/>
      <sheetName val="Tāme_Nr_1468"/>
      <sheetName val="Tāme_Nr_11137"/>
      <sheetName val="T?me_Nr_1157"/>
      <sheetName val="T_me_Nr_1156"/>
      <sheetName val="Tāme_Nr_1108"/>
      <sheetName val="Tāme_Nr_269"/>
      <sheetName val="Tāme_Nr_369"/>
      <sheetName val="Tāme_N_469"/>
      <sheetName val="Tāme_Nr_569"/>
      <sheetName val="Tāme_Nr_669"/>
      <sheetName val="Tāme_Nr_769"/>
      <sheetName val="Tāme_Nr_869"/>
      <sheetName val="Tāme_Nr_969"/>
      <sheetName val="Tāme_Nr_1069"/>
      <sheetName val="Tāme_Nr_11138"/>
      <sheetName val="Tāme_Nr_1270"/>
      <sheetName val="Tāme_Nr_1369"/>
      <sheetName val="Tāme_Nr_1469"/>
      <sheetName val="Tāme_Nr_11139"/>
      <sheetName val="T?me_Nr_1158"/>
      <sheetName val="T_me_Nr_1157"/>
      <sheetName val="Tāme_Nr_1109"/>
      <sheetName val="Tāme_Nr_270"/>
      <sheetName val="Tāme_Nr_370"/>
      <sheetName val="Tāme_N_470"/>
      <sheetName val="Tāme_Nr_570"/>
      <sheetName val="Tāme_Nr_670"/>
      <sheetName val="Tāme_Nr_770"/>
      <sheetName val="Tāme_Nr_870"/>
      <sheetName val="Tāme_Nr_970"/>
      <sheetName val="Tāme_Nr_1070"/>
      <sheetName val="Tāme_Nr_11140"/>
      <sheetName val="Tāme_Nr_1271"/>
      <sheetName val="Tāme_Nr_1370"/>
      <sheetName val="Tāme_Nr_1470"/>
      <sheetName val="Tāme_Nr_11141"/>
      <sheetName val="T?me_Nr_1159"/>
      <sheetName val="T_me_Nr_1158"/>
      <sheetName val="Tāme_Nr_1200"/>
      <sheetName val="Tāme_Nr_271"/>
      <sheetName val="Tāme_Nr_371"/>
      <sheetName val="Tāme_N_471"/>
      <sheetName val="Tāme_Nr_571"/>
      <sheetName val="Tāme_Nr_671"/>
      <sheetName val="Tāme_Nr_771"/>
      <sheetName val="Tāme_Nr_871"/>
      <sheetName val="Tāme_Nr_971"/>
      <sheetName val="Tāme_Nr_1071"/>
      <sheetName val="Tāme_Nr_11142"/>
      <sheetName val="Tāme_Nr_1272"/>
      <sheetName val="Tāme_Nr_1371"/>
      <sheetName val="Tāme_Nr_1471"/>
      <sheetName val="Tāme_Nr_11143"/>
      <sheetName val="T?me_Nr_1160"/>
      <sheetName val="T_me_Nr_1159"/>
      <sheetName val="Tāme_Nr_1201"/>
      <sheetName val="Tāme_Nr_272"/>
      <sheetName val="Tāme_Nr_372"/>
      <sheetName val="Tāme_N_472"/>
      <sheetName val="Tāme_Nr_572"/>
      <sheetName val="Tāme_Nr_672"/>
      <sheetName val="Tāme_Nr_772"/>
      <sheetName val="Tāme_Nr_872"/>
      <sheetName val="Tāme_Nr_972"/>
      <sheetName val="Tāme_Nr_1072"/>
      <sheetName val="Tāme_Nr_11144"/>
      <sheetName val="Tāme_Nr_1273"/>
      <sheetName val="Tāme_Nr_1372"/>
      <sheetName val="Tāme_Nr_1472"/>
      <sheetName val="Tāme_Nr_11145"/>
      <sheetName val="T?me_Nr_1161"/>
      <sheetName val="T_me_Nr_1160"/>
      <sheetName val="Tāme_Nr_1204"/>
      <sheetName val="Tāme_Nr_275"/>
      <sheetName val="Tāme_Nr_375"/>
      <sheetName val="Tāme_N_475"/>
      <sheetName val="Tāme_Nr_575"/>
      <sheetName val="Tāme_Nr_675"/>
      <sheetName val="Tāme_Nr_775"/>
      <sheetName val="Tāme_Nr_875"/>
      <sheetName val="Tāme_Nr_975"/>
      <sheetName val="Tāme_Nr_1075"/>
      <sheetName val="Tāme_Nr_11150"/>
      <sheetName val="Tāme_Nr_1276"/>
      <sheetName val="Tāme_Nr_1375"/>
      <sheetName val="Tāme_Nr_1475"/>
      <sheetName val="Tāme_Nr_11151"/>
      <sheetName val="T?me_Nr_1164"/>
      <sheetName val="T_me_Nr_1163"/>
      <sheetName val="Tāme_Nr_1203"/>
      <sheetName val="Tāme_Nr_274"/>
      <sheetName val="Tāme_Nr_374"/>
      <sheetName val="Tāme_N_474"/>
      <sheetName val="Tāme_Nr_574"/>
      <sheetName val="Tāme_Nr_674"/>
      <sheetName val="Tāme_Nr_774"/>
      <sheetName val="Tāme_Nr_874"/>
      <sheetName val="Tāme_Nr_974"/>
      <sheetName val="Tāme_Nr_1074"/>
      <sheetName val="Tāme_Nr_11148"/>
      <sheetName val="Tāme_Nr_1275"/>
      <sheetName val="Tāme_Nr_1374"/>
      <sheetName val="Tāme_Nr_1474"/>
      <sheetName val="Tāme_Nr_11149"/>
      <sheetName val="T?me_Nr_1163"/>
      <sheetName val="T_me_Nr_1162"/>
      <sheetName val="Tāme_Nr_1202"/>
      <sheetName val="Tāme_Nr_273"/>
      <sheetName val="Tāme_Nr_373"/>
      <sheetName val="Tāme_N_473"/>
      <sheetName val="Tāme_Nr_573"/>
      <sheetName val="Tāme_Nr_673"/>
      <sheetName val="Tāme_Nr_773"/>
      <sheetName val="Tāme_Nr_873"/>
      <sheetName val="Tāme_Nr_973"/>
      <sheetName val="Tāme_Nr_1073"/>
      <sheetName val="Tāme_Nr_11146"/>
      <sheetName val="Tāme_Nr_1274"/>
      <sheetName val="Tāme_Nr_1373"/>
      <sheetName val="Tāme_Nr_1473"/>
      <sheetName val="Tāme_Nr_11147"/>
      <sheetName val="T?me_Nr_1162"/>
      <sheetName val="T_me_Nr_1161"/>
      <sheetName val="Tāme_Nr_1205"/>
      <sheetName val="Tāme_Nr_276"/>
      <sheetName val="Tāme_Nr_376"/>
      <sheetName val="Tāme_N_476"/>
      <sheetName val="Tāme_Nr_576"/>
      <sheetName val="Tāme_Nr_676"/>
      <sheetName val="Tāme_Nr_776"/>
      <sheetName val="Tāme_Nr_876"/>
      <sheetName val="Tāme_Nr_976"/>
      <sheetName val="Tāme_Nr_1076"/>
      <sheetName val="Tāme_Nr_11152"/>
      <sheetName val="Tāme_Nr_1277"/>
      <sheetName val="Tāme_Nr_1376"/>
      <sheetName val="Tāme_Nr_1476"/>
      <sheetName val="Tāme_Nr_11153"/>
      <sheetName val="T?me_Nr_1165"/>
      <sheetName val="T_me_Nr_1164"/>
    </sheetNames>
    <sheetDataSet>
      <sheetData sheetId="0"/>
      <sheetData sheetId="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KK pilns saraksts"/>
      <sheetName val="Tabula"/>
      <sheetName val="Saraksti"/>
      <sheetName val="Ievade"/>
      <sheetName val="Apro_bāze"/>
      <sheetName val="FM_budžets_projekti"/>
      <sheetName val="FM_saistības"/>
      <sheetName val="256.1"/>
      <sheetName val="256.4"/>
      <sheetName val="464.3"/>
      <sheetName val="1644.1"/>
      <sheetName val="Atlikumi"/>
      <sheetName val="Statistik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i"/>
      <sheetName val="Veidi"/>
      <sheetName val="Ievade"/>
      <sheetName val="Izmaiņu_bāze"/>
      <sheetName val="Starpposms"/>
      <sheetName val="2021-2023"/>
      <sheetName val="Bāze_2021-2023"/>
    </sheetNames>
    <sheetDataSet>
      <sheetData sheetId="0" refreshError="1"/>
      <sheetData sheetId="1" refreshError="1"/>
      <sheetData sheetId="2" refreshError="1"/>
      <sheetData sheetId="3" refreshError="1"/>
      <sheetData sheetId="4"/>
      <sheetData sheetId="5"/>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2"/>
      <sheetName val="Summary_ABC3"/>
      <sheetName val="Summary_ABC4"/>
      <sheetName val="Summary_ABC5"/>
      <sheetName val="Summary_ABC6"/>
      <sheetName val="Summary_ABC7"/>
      <sheetName val="Summary_ABC11"/>
      <sheetName val="Summary_ABC9"/>
      <sheetName val="Summary_ABC8"/>
      <sheetName val="Summary_ABC10"/>
      <sheetName val="Summary_ABC12"/>
      <sheetName val="Summary_ABC13"/>
      <sheetName val="Summary_ABC14"/>
      <sheetName val="Summary_ABC16"/>
      <sheetName val="Summary_ABC15"/>
      <sheetName val="Summary_ABC18"/>
      <sheetName val="Summary_ABC17"/>
      <sheetName val="Summary_ABC19"/>
      <sheetName val="Summary_ABC21"/>
      <sheetName val="Summary_ABC20"/>
      <sheetName val="Summary_ABC22"/>
      <sheetName val="BK"/>
      <sheetName val="Summary_ABC23"/>
      <sheetName val="Summary_ABC24"/>
      <sheetName val="Summary_ABC25"/>
      <sheetName val="Summary_ABC28"/>
      <sheetName val="Summary_ABC27"/>
      <sheetName val="Summary_ABC26"/>
      <sheetName val="Summary_ABC29"/>
      <sheetName val="Summary_ABC30"/>
      <sheetName val="Summary_ABC32"/>
      <sheetName val="Summary_ABC31"/>
      <sheetName val="Summary_ABC33"/>
      <sheetName val="Summary_ABC34"/>
      <sheetName val="Summary_ABC35"/>
      <sheetName val="Summary_ABC36"/>
      <sheetName val="Summary_ABC37"/>
      <sheetName val="Summary_ABC38"/>
      <sheetName val="Summary_ABC40"/>
      <sheetName val="Summary_ABC39"/>
      <sheetName val="Summary_ABC41"/>
      <sheetName val="Summary_ABC42"/>
      <sheetName val="Summary_ABC43"/>
      <sheetName val="Summary_ABC44"/>
      <sheetName val="Summary_ABC45"/>
      <sheetName val="Summary_ABC46"/>
      <sheetName val="Summary_ABC47"/>
      <sheetName val="Summary_ABC48"/>
      <sheetName val="Summary_ABC49"/>
      <sheetName val="Summary_ABC52"/>
      <sheetName val="Summary_ABC51"/>
      <sheetName val="Summary_ABC50"/>
      <sheetName val="Summary_ABC5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9"/>
      <sheetName val="Summary_ABC8"/>
      <sheetName val="Summary_ABC7"/>
      <sheetName val="Summary_ABC10"/>
      <sheetName val="Summary_ABC11"/>
      <sheetName val="Summary_ABC12"/>
      <sheetName val="Summary_ABC13"/>
      <sheetName val="Summary_ABC14"/>
      <sheetName val="Summary_ABC15"/>
      <sheetName val="Summary_ABC16"/>
      <sheetName val="Summary_ABC17"/>
      <sheetName val="Summary_ABC19"/>
      <sheetName val="Summary_ABC18"/>
      <sheetName val="Summary_ABC21"/>
      <sheetName val="Summary_ABC20"/>
      <sheetName val="Summary_ABC22"/>
      <sheetName val="Summary_ABC24"/>
      <sheetName val="Summary_ABC23"/>
      <sheetName val="Summary_ABC25"/>
      <sheetName val="BK"/>
      <sheetName val="Summary_ABC26"/>
      <sheetName val="Summary_ABC27"/>
      <sheetName val="Summary_ABC28"/>
      <sheetName val="Summary_ABC32"/>
      <sheetName val="Summary_ABC29"/>
      <sheetName val="Summary_ABC30"/>
      <sheetName val="Summary_ABC31"/>
      <sheetName val="Summary_ABC33"/>
      <sheetName val="Summary_ABC34"/>
      <sheetName val="Summary_ABC35"/>
      <sheetName val="Summary_ABC36"/>
      <sheetName val="Summary_ABC37"/>
      <sheetName val="Summary_ABC38"/>
      <sheetName val="Summary_ABC39"/>
      <sheetName val="Summary_ABC41"/>
      <sheetName val="Summary_ABC40"/>
      <sheetName val="Summary_ABC42"/>
      <sheetName val="Summary_ABC43"/>
      <sheetName val="Summary_ABC45"/>
      <sheetName val="Summary_ABC44"/>
      <sheetName val="Summary_ABC46"/>
      <sheetName val="Summary_ABC47"/>
      <sheetName val="Summary_ABC48"/>
      <sheetName val="Summary_ABC49"/>
      <sheetName val="Summary_ABC50"/>
      <sheetName val="Summary_ABC51"/>
      <sheetName val="Summary_ABC54"/>
      <sheetName val="Summary_ABC53"/>
      <sheetName val="Summary_ABC52"/>
      <sheetName val="Summary_ABC55"/>
      <sheetName val="Summary_ABC56"/>
      <sheetName val="Summary_ABC57"/>
      <sheetName val="Summary_ABC58"/>
      <sheetName val="Summary_ABC59"/>
      <sheetName val="Summary_ABC60"/>
      <sheetName val="Summary_ABC61"/>
      <sheetName val="Summary_ABC62"/>
      <sheetName val="Summary_ABC63"/>
      <sheetName val="Summary_ABC64"/>
      <sheetName val="Summary_ABC65"/>
      <sheetName val="Summary_ABC68"/>
      <sheetName val="Summary_ABC67"/>
      <sheetName val="Summary_ABC66"/>
      <sheetName val="Summary_ABC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 dT="2024-05-13T13:30:15.62" personId="{00000000-0000-0000-0000-000000000000}" id="{6B047A76-CB42-4888-9308-3412E7A9DC12}">
    <text>Ja vajag kaut ko mainīt, papildināt kolonnas, rindas, lūdzu dodiet ziņu!</text>
  </threadedComment>
  <threadedComment ref="AW1" dT="2024-05-13T13:30:15.62" personId="{00000000-0000-0000-0000-000000000000}" id="{CC999BCE-828A-4D45-851A-728EB14733ED}">
    <text>Ja vajag kaut ko mainīt, papildināt kolonnas, rindas, lūdzu dodiet ziņu!</text>
  </threadedComment>
  <threadedComment ref="J6" dT="2024-05-28T09:25:24.81" personId="{00000000-0000-0000-0000-000000000000}" id="{390A2BBB-E70A-453A-834C-C8CF3985D7D9}">
    <text>LM saskaņotais finansējuma apmērs</text>
  </threadedComment>
  <threadedComment ref="M6" dT="2024-05-28T09:27:28.85" personId="{00000000-0000-0000-0000-000000000000}" id="{7F9678C2-C171-4110-ADAC-5D6CDE7E880C}">
    <text>LM saskaņotais finansējuma apmērs</text>
  </threadedComment>
</ThreadedComments>
</file>

<file path=xl/threadedComments/threadedComment2.xml><?xml version="1.0" encoding="utf-8"?>
<ThreadedComments xmlns="http://schemas.microsoft.com/office/spreadsheetml/2018/threadedcomments" xmlns:x="http://schemas.openxmlformats.org/spreadsheetml/2006/main">
  <threadedComment ref="D1" dT="2024-05-13T13:30:15.62" personId="{00000000-0000-0000-0000-000000000000}" id="{98A9F13C-9948-402D-A7A5-5BCDFF17B603}">
    <text>Ja vajag kaut ko mainīt, papildināt kolonnas, rindas, lūdzu dodiet ziņu!</text>
  </threadedComment>
  <threadedComment ref="AW1" dT="2024-05-13T13:30:15.62" personId="{00000000-0000-0000-0000-000000000000}" id="{058FE866-44AB-4ACE-A754-C567BE3E2244}">
    <text>Ja vajag kaut ko mainīt, papildināt kolonnas, rindas, lūdzu dodiet ziņu!</text>
  </threadedComment>
  <threadedComment ref="J6" dT="2024-05-28T09:25:24.81" personId="{00000000-0000-0000-0000-000000000000}" id="{895672B0-BD94-4F2C-80B8-E7E2BA78ABAD}">
    <text>LM saskaņotais finansējuma apmērs</text>
  </threadedComment>
  <threadedComment ref="M6" dT="2024-05-28T09:27:28.85" personId="{00000000-0000-0000-0000-000000000000}" id="{78EEF6E3-7BC4-4EB9-8E47-9E1E209029AD}">
    <text>LM saskaņotais finansējuma apmērs</text>
  </threadedComment>
  <threadedComment ref="J42" dT="2024-05-28T09:25:24.81" personId="{00000000-0000-0000-0000-000000000000}" id="{F5BB09BF-91E0-4D95-85DE-254497D5512B}">
    <text>LM saskaņotais finansējuma apmērs</text>
  </threadedComment>
  <threadedComment ref="M42" dT="2024-05-28T09:27:28.85" personId="{00000000-0000-0000-0000-000000000000}" id="{887D3606-44CD-488B-A038-9F888684A80B}">
    <text>LM saskaņotais finansējuma apmērs</text>
  </threadedComment>
</ThreadedComment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962B4-0A13-4707-BC7B-6C92D2FAC224}">
  <dimension ref="B2:AD25"/>
  <sheetViews>
    <sheetView topLeftCell="A43" workbookViewId="0"/>
  </sheetViews>
  <sheetFormatPr defaultRowHeight="14.4" x14ac:dyDescent="0.3"/>
  <cols>
    <col min="1" max="1" width="3.33203125" customWidth="1"/>
    <col min="4" max="4" width="3.6640625" customWidth="1"/>
    <col min="13" max="13" width="3.44140625" customWidth="1"/>
    <col min="22" max="22" width="3.44140625" customWidth="1"/>
  </cols>
  <sheetData>
    <row r="2" spans="2:30" x14ac:dyDescent="0.3">
      <c r="B2" s="164" t="s">
        <v>0</v>
      </c>
      <c r="C2" s="164" t="s">
        <v>1</v>
      </c>
      <c r="E2" s="163" t="s">
        <v>2</v>
      </c>
      <c r="F2" s="163"/>
      <c r="G2" s="163"/>
      <c r="H2" s="163"/>
      <c r="I2" s="163"/>
      <c r="J2" s="163"/>
      <c r="K2" s="163"/>
      <c r="L2" s="163"/>
      <c r="N2" s="163" t="s">
        <v>3</v>
      </c>
      <c r="O2" s="163"/>
      <c r="P2" s="163"/>
      <c r="Q2" s="163"/>
      <c r="R2" s="163"/>
      <c r="S2" s="163"/>
      <c r="T2" s="163"/>
      <c r="U2" s="163"/>
      <c r="W2" s="163" t="s">
        <v>4</v>
      </c>
      <c r="X2" s="163"/>
      <c r="Y2" s="163"/>
      <c r="Z2" s="163"/>
      <c r="AA2" s="163"/>
      <c r="AB2" s="163"/>
      <c r="AC2" s="163"/>
      <c r="AD2" s="163"/>
    </row>
    <row r="3" spans="2:30" x14ac:dyDescent="0.3">
      <c r="B3" s="164"/>
      <c r="C3" s="164"/>
      <c r="E3" s="10" t="s">
        <v>5</v>
      </c>
      <c r="F3" s="10" t="s">
        <v>6</v>
      </c>
      <c r="G3" s="10" t="s">
        <v>7</v>
      </c>
      <c r="H3" s="10" t="s">
        <v>8</v>
      </c>
      <c r="I3" s="10" t="s">
        <v>9</v>
      </c>
      <c r="J3" s="10" t="s">
        <v>10</v>
      </c>
      <c r="K3" s="10" t="s">
        <v>11</v>
      </c>
      <c r="L3" s="10" t="s">
        <v>12</v>
      </c>
      <c r="N3" s="10" t="s">
        <v>5</v>
      </c>
      <c r="O3" s="10" t="s">
        <v>6</v>
      </c>
      <c r="P3" s="10" t="s">
        <v>7</v>
      </c>
      <c r="Q3" s="10" t="s">
        <v>8</v>
      </c>
      <c r="R3" s="10" t="s">
        <v>9</v>
      </c>
      <c r="S3" s="10" t="s">
        <v>10</v>
      </c>
      <c r="T3" s="10" t="s">
        <v>11</v>
      </c>
      <c r="U3" s="10" t="s">
        <v>12</v>
      </c>
      <c r="W3" s="10" t="s">
        <v>5</v>
      </c>
      <c r="X3" s="10" t="s">
        <v>6</v>
      </c>
      <c r="Y3" s="10" t="s">
        <v>7</v>
      </c>
      <c r="Z3" s="10" t="s">
        <v>8</v>
      </c>
      <c r="AA3" s="10" t="s">
        <v>9</v>
      </c>
      <c r="AB3" s="10" t="s">
        <v>10</v>
      </c>
      <c r="AC3" s="10" t="s">
        <v>11</v>
      </c>
      <c r="AD3" s="10" t="s">
        <v>12</v>
      </c>
    </row>
    <row r="4" spans="2:30" x14ac:dyDescent="0.3">
      <c r="B4" s="26">
        <v>1</v>
      </c>
      <c r="C4" s="26">
        <v>2024</v>
      </c>
      <c r="E4" s="119">
        <v>6006804</v>
      </c>
      <c r="F4" s="119">
        <v>39288</v>
      </c>
      <c r="G4" s="119">
        <v>3243</v>
      </c>
      <c r="H4" s="119">
        <v>307000</v>
      </c>
      <c r="I4" s="119">
        <v>83188</v>
      </c>
      <c r="J4" s="119">
        <v>414373</v>
      </c>
      <c r="K4" s="119">
        <v>170695</v>
      </c>
      <c r="L4" s="99">
        <f t="shared" ref="L4:L24" si="0">SUM(E4:K4)</f>
        <v>7024591</v>
      </c>
      <c r="N4" s="119">
        <v>0</v>
      </c>
      <c r="O4" s="119">
        <v>0</v>
      </c>
      <c r="P4" s="119">
        <v>0</v>
      </c>
      <c r="Q4" s="119">
        <v>0</v>
      </c>
      <c r="R4" s="119">
        <f>'Talejas 1_anotācijai'!AX5</f>
        <v>0</v>
      </c>
      <c r="S4" s="119">
        <f>'Talejas 1_anotācijai'!BB5</f>
        <v>0</v>
      </c>
      <c r="T4" s="119">
        <v>0</v>
      </c>
      <c r="U4" s="99">
        <f t="shared" ref="U4:U24" si="1">SUM(N4:T4)</f>
        <v>0</v>
      </c>
      <c r="W4" s="119">
        <f>E4+N4</f>
        <v>6006804</v>
      </c>
      <c r="X4" s="119">
        <f t="shared" ref="X4:AC19" si="2">F4+O4</f>
        <v>39288</v>
      </c>
      <c r="Y4" s="119">
        <f t="shared" si="2"/>
        <v>3243</v>
      </c>
      <c r="Z4" s="119">
        <f t="shared" si="2"/>
        <v>307000</v>
      </c>
      <c r="AA4" s="119">
        <f t="shared" si="2"/>
        <v>83188</v>
      </c>
      <c r="AB4" s="119">
        <f t="shared" si="2"/>
        <v>414373</v>
      </c>
      <c r="AC4" s="119">
        <f t="shared" si="2"/>
        <v>170695</v>
      </c>
      <c r="AD4" s="99">
        <f t="shared" ref="AD4:AD24" si="3">SUM(W4:AC4)</f>
        <v>7024591</v>
      </c>
    </row>
    <row r="5" spans="2:30" x14ac:dyDescent="0.3">
      <c r="B5" s="26">
        <f>B4+1</f>
        <v>2</v>
      </c>
      <c r="C5" s="26">
        <v>2025</v>
      </c>
      <c r="E5" s="119">
        <v>4493208</v>
      </c>
      <c r="F5" s="119">
        <v>117864</v>
      </c>
      <c r="G5" s="119">
        <v>3648</v>
      </c>
      <c r="H5" s="119">
        <v>753612</v>
      </c>
      <c r="I5" s="119">
        <v>360096</v>
      </c>
      <c r="J5" s="119">
        <v>1254120</v>
      </c>
      <c r="K5" s="119">
        <v>453672</v>
      </c>
      <c r="L5" s="99">
        <f t="shared" si="0"/>
        <v>7436220</v>
      </c>
      <c r="N5" s="119">
        <v>0</v>
      </c>
      <c r="O5" s="119">
        <v>0</v>
      </c>
      <c r="P5" s="119">
        <v>0</v>
      </c>
      <c r="Q5" s="119">
        <v>0</v>
      </c>
      <c r="R5" s="119">
        <f>'Talejas 1_anotācijai'!AX6</f>
        <v>35000</v>
      </c>
      <c r="S5" s="119">
        <f>'Talejas 1_anotācijai'!BB6</f>
        <v>0</v>
      </c>
      <c r="T5" s="119">
        <v>0</v>
      </c>
      <c r="U5" s="99">
        <f t="shared" si="1"/>
        <v>35000</v>
      </c>
      <c r="W5" s="119">
        <f t="shared" ref="W5:W24" si="4">E5+N5</f>
        <v>4493208</v>
      </c>
      <c r="X5" s="119">
        <f t="shared" si="2"/>
        <v>117864</v>
      </c>
      <c r="Y5" s="119">
        <f t="shared" si="2"/>
        <v>3648</v>
      </c>
      <c r="Z5" s="119">
        <f t="shared" si="2"/>
        <v>753612</v>
      </c>
      <c r="AA5" s="119">
        <f t="shared" si="2"/>
        <v>395096</v>
      </c>
      <c r="AB5" s="119">
        <f t="shared" si="2"/>
        <v>1254120</v>
      </c>
      <c r="AC5" s="119">
        <f t="shared" si="2"/>
        <v>453672</v>
      </c>
      <c r="AD5" s="99">
        <f t="shared" si="3"/>
        <v>7471220</v>
      </c>
    </row>
    <row r="6" spans="2:30" x14ac:dyDescent="0.3">
      <c r="B6" s="26">
        <f t="shared" ref="B6:B24" si="5">B5+1</f>
        <v>3</v>
      </c>
      <c r="C6" s="26">
        <v>2026</v>
      </c>
      <c r="E6" s="119">
        <v>4228824</v>
      </c>
      <c r="F6" s="119">
        <v>117864</v>
      </c>
      <c r="G6" s="119">
        <v>3348</v>
      </c>
      <c r="H6" s="119">
        <v>717083</v>
      </c>
      <c r="I6" s="119">
        <v>568140</v>
      </c>
      <c r="J6" s="119">
        <v>1655736</v>
      </c>
      <c r="K6" s="119">
        <v>442884</v>
      </c>
      <c r="L6" s="99">
        <f t="shared" si="0"/>
        <v>7733879</v>
      </c>
      <c r="N6" s="119">
        <v>0</v>
      </c>
      <c r="O6" s="119">
        <v>0</v>
      </c>
      <c r="P6" s="119">
        <v>0</v>
      </c>
      <c r="Q6" s="119">
        <v>0</v>
      </c>
      <c r="R6" s="119">
        <f>'Talejas 1_anotācijai'!AX7</f>
        <v>0</v>
      </c>
      <c r="S6" s="119">
        <f>'Talejas 1_anotācijai'!BB7</f>
        <v>240000</v>
      </c>
      <c r="T6" s="119">
        <v>0</v>
      </c>
      <c r="U6" s="99">
        <f t="shared" si="1"/>
        <v>240000</v>
      </c>
      <c r="W6" s="119">
        <f t="shared" si="4"/>
        <v>4228824</v>
      </c>
      <c r="X6" s="119">
        <f t="shared" si="2"/>
        <v>117864</v>
      </c>
      <c r="Y6" s="119">
        <f t="shared" si="2"/>
        <v>3348</v>
      </c>
      <c r="Z6" s="119">
        <f t="shared" si="2"/>
        <v>717083</v>
      </c>
      <c r="AA6" s="119">
        <f t="shared" si="2"/>
        <v>568140</v>
      </c>
      <c r="AB6" s="119">
        <f t="shared" si="2"/>
        <v>1895736</v>
      </c>
      <c r="AC6" s="119">
        <f t="shared" si="2"/>
        <v>442884</v>
      </c>
      <c r="AD6" s="99">
        <f t="shared" si="3"/>
        <v>7973879</v>
      </c>
    </row>
    <row r="7" spans="2:30" x14ac:dyDescent="0.3">
      <c r="B7" s="26">
        <f t="shared" si="5"/>
        <v>4</v>
      </c>
      <c r="C7" s="26">
        <v>2027</v>
      </c>
      <c r="E7" s="119">
        <v>3457548</v>
      </c>
      <c r="F7" s="119">
        <v>117864</v>
      </c>
      <c r="G7" s="119">
        <v>2772</v>
      </c>
      <c r="H7" s="119">
        <v>75984</v>
      </c>
      <c r="I7" s="116">
        <v>517932</v>
      </c>
      <c r="J7" s="119">
        <v>2826348</v>
      </c>
      <c r="K7" s="116">
        <v>381084</v>
      </c>
      <c r="L7" s="99">
        <f t="shared" si="0"/>
        <v>7379532</v>
      </c>
      <c r="N7" s="119">
        <v>0</v>
      </c>
      <c r="O7" s="119">
        <v>0</v>
      </c>
      <c r="P7" s="119">
        <v>0</v>
      </c>
      <c r="Q7" s="119">
        <v>0</v>
      </c>
      <c r="R7" s="119">
        <f>'Talejas 1_anotācijai'!AX8</f>
        <v>0</v>
      </c>
      <c r="S7" s="119">
        <f>'Talejas 1_anotācijai'!BB8</f>
        <v>0</v>
      </c>
      <c r="T7" s="119">
        <v>0</v>
      </c>
      <c r="U7" s="99">
        <f t="shared" si="1"/>
        <v>0</v>
      </c>
      <c r="W7" s="119">
        <f t="shared" si="4"/>
        <v>3457548</v>
      </c>
      <c r="X7" s="119">
        <f t="shared" si="2"/>
        <v>117864</v>
      </c>
      <c r="Y7" s="119">
        <f t="shared" si="2"/>
        <v>2772</v>
      </c>
      <c r="Z7" s="119">
        <f t="shared" si="2"/>
        <v>75984</v>
      </c>
      <c r="AA7" s="119">
        <f t="shared" si="2"/>
        <v>517932</v>
      </c>
      <c r="AB7" s="119">
        <f t="shared" si="2"/>
        <v>2826348</v>
      </c>
      <c r="AC7" s="119">
        <f t="shared" si="2"/>
        <v>381084</v>
      </c>
      <c r="AD7" s="99">
        <f t="shared" si="3"/>
        <v>7379532</v>
      </c>
    </row>
    <row r="8" spans="2:30" x14ac:dyDescent="0.3">
      <c r="B8" s="26">
        <f t="shared" si="5"/>
        <v>5</v>
      </c>
      <c r="C8" s="26">
        <v>2028</v>
      </c>
      <c r="E8" s="119">
        <v>3457548</v>
      </c>
      <c r="F8" s="119">
        <v>117864</v>
      </c>
      <c r="G8" s="119">
        <v>2772</v>
      </c>
      <c r="H8" s="119">
        <v>75984</v>
      </c>
      <c r="I8" s="116">
        <v>517932</v>
      </c>
      <c r="J8" s="119">
        <v>2826348</v>
      </c>
      <c r="K8" s="116">
        <v>364884</v>
      </c>
      <c r="L8" s="99">
        <f t="shared" si="0"/>
        <v>7363332</v>
      </c>
      <c r="N8" s="119">
        <v>0</v>
      </c>
      <c r="O8" s="119">
        <v>0</v>
      </c>
      <c r="P8" s="119">
        <v>0</v>
      </c>
      <c r="Q8" s="119">
        <v>0</v>
      </c>
      <c r="R8" s="119">
        <f>'Talejas 1_anotācijai'!AX9</f>
        <v>0</v>
      </c>
      <c r="S8" s="119">
        <f>'Talejas 1_anotācijai'!BB9</f>
        <v>0</v>
      </c>
      <c r="T8" s="119">
        <v>0</v>
      </c>
      <c r="U8" s="99">
        <f t="shared" si="1"/>
        <v>0</v>
      </c>
      <c r="W8" s="119">
        <f t="shared" si="4"/>
        <v>3457548</v>
      </c>
      <c r="X8" s="119">
        <f t="shared" si="2"/>
        <v>117864</v>
      </c>
      <c r="Y8" s="119">
        <f t="shared" si="2"/>
        <v>2772</v>
      </c>
      <c r="Z8" s="119">
        <f t="shared" si="2"/>
        <v>75984</v>
      </c>
      <c r="AA8" s="119">
        <f t="shared" si="2"/>
        <v>517932</v>
      </c>
      <c r="AB8" s="119">
        <f t="shared" si="2"/>
        <v>2826348</v>
      </c>
      <c r="AC8" s="119">
        <f t="shared" si="2"/>
        <v>364884</v>
      </c>
      <c r="AD8" s="99">
        <f t="shared" si="3"/>
        <v>7363332</v>
      </c>
    </row>
    <row r="9" spans="2:30" x14ac:dyDescent="0.3">
      <c r="B9" s="26">
        <f t="shared" si="5"/>
        <v>6</v>
      </c>
      <c r="C9" s="26">
        <v>2029</v>
      </c>
      <c r="E9" s="119">
        <v>3457548</v>
      </c>
      <c r="F9" s="119">
        <v>78576</v>
      </c>
      <c r="G9" s="119">
        <v>2772</v>
      </c>
      <c r="H9" s="119">
        <v>75984</v>
      </c>
      <c r="I9" s="116">
        <v>517932</v>
      </c>
      <c r="J9" s="119">
        <v>2826348</v>
      </c>
      <c r="K9" s="116">
        <v>364884</v>
      </c>
      <c r="L9" s="99">
        <f t="shared" si="0"/>
        <v>7324044</v>
      </c>
      <c r="N9" s="119">
        <v>0</v>
      </c>
      <c r="O9" s="119">
        <v>0</v>
      </c>
      <c r="P9" s="119">
        <v>0</v>
      </c>
      <c r="Q9" s="119">
        <v>0</v>
      </c>
      <c r="R9" s="119">
        <f>'Talejas 1_anotācijai'!AX10</f>
        <v>0</v>
      </c>
      <c r="S9" s="119">
        <f>'Talejas 1_anotācijai'!BB10</f>
        <v>0</v>
      </c>
      <c r="T9" s="119">
        <v>0</v>
      </c>
      <c r="U9" s="99">
        <f t="shared" si="1"/>
        <v>0</v>
      </c>
      <c r="W9" s="119">
        <f t="shared" si="4"/>
        <v>3457548</v>
      </c>
      <c r="X9" s="119">
        <f t="shared" si="2"/>
        <v>78576</v>
      </c>
      <c r="Y9" s="119">
        <f t="shared" si="2"/>
        <v>2772</v>
      </c>
      <c r="Z9" s="119">
        <f t="shared" si="2"/>
        <v>75984</v>
      </c>
      <c r="AA9" s="119">
        <f t="shared" si="2"/>
        <v>517932</v>
      </c>
      <c r="AB9" s="119">
        <f t="shared" si="2"/>
        <v>2826348</v>
      </c>
      <c r="AC9" s="119">
        <f t="shared" si="2"/>
        <v>364884</v>
      </c>
      <c r="AD9" s="99">
        <f t="shared" si="3"/>
        <v>7324044</v>
      </c>
    </row>
    <row r="10" spans="2:30" x14ac:dyDescent="0.3">
      <c r="B10" s="26">
        <f t="shared" si="5"/>
        <v>7</v>
      </c>
      <c r="C10" s="26">
        <v>2030</v>
      </c>
      <c r="E10" s="119">
        <v>3457548</v>
      </c>
      <c r="F10" s="119">
        <v>0</v>
      </c>
      <c r="G10" s="119">
        <v>2772</v>
      </c>
      <c r="H10" s="119">
        <v>75984</v>
      </c>
      <c r="I10" s="116">
        <v>484536</v>
      </c>
      <c r="J10" s="119">
        <v>2826348</v>
      </c>
      <c r="K10" s="116">
        <v>364884</v>
      </c>
      <c r="L10" s="99">
        <f t="shared" si="0"/>
        <v>7212072</v>
      </c>
      <c r="N10" s="119">
        <v>0</v>
      </c>
      <c r="O10" s="119">
        <v>0</v>
      </c>
      <c r="P10" s="119">
        <v>0</v>
      </c>
      <c r="Q10" s="119">
        <v>0</v>
      </c>
      <c r="R10" s="119">
        <f>'Talejas 1_anotācijai'!AX11</f>
        <v>0</v>
      </c>
      <c r="S10" s="119">
        <f>'Talejas 1_anotācijai'!BB11</f>
        <v>0</v>
      </c>
      <c r="T10" s="119">
        <v>0</v>
      </c>
      <c r="U10" s="99">
        <f t="shared" si="1"/>
        <v>0</v>
      </c>
      <c r="W10" s="119">
        <f t="shared" si="4"/>
        <v>3457548</v>
      </c>
      <c r="X10" s="119">
        <f t="shared" si="2"/>
        <v>0</v>
      </c>
      <c r="Y10" s="119">
        <f t="shared" si="2"/>
        <v>2772</v>
      </c>
      <c r="Z10" s="119">
        <f t="shared" si="2"/>
        <v>75984</v>
      </c>
      <c r="AA10" s="119">
        <f t="shared" si="2"/>
        <v>484536</v>
      </c>
      <c r="AB10" s="119">
        <f t="shared" si="2"/>
        <v>2826348</v>
      </c>
      <c r="AC10" s="119">
        <f t="shared" si="2"/>
        <v>364884</v>
      </c>
      <c r="AD10" s="99">
        <f t="shared" si="3"/>
        <v>7212072</v>
      </c>
    </row>
    <row r="11" spans="2:30" x14ac:dyDescent="0.3">
      <c r="B11" s="26">
        <f t="shared" si="5"/>
        <v>8</v>
      </c>
      <c r="C11" s="26">
        <v>2031</v>
      </c>
      <c r="E11" s="119">
        <v>3457548</v>
      </c>
      <c r="F11" s="119">
        <v>0</v>
      </c>
      <c r="G11" s="119">
        <v>2772</v>
      </c>
      <c r="H11" s="119">
        <v>75984</v>
      </c>
      <c r="I11" s="116">
        <v>417744</v>
      </c>
      <c r="J11" s="119">
        <v>2826348</v>
      </c>
      <c r="K11" s="116">
        <v>364884</v>
      </c>
      <c r="L11" s="99">
        <f t="shared" si="0"/>
        <v>7145280</v>
      </c>
      <c r="N11" s="119">
        <v>0</v>
      </c>
      <c r="O11" s="119">
        <v>0</v>
      </c>
      <c r="P11" s="119">
        <v>0</v>
      </c>
      <c r="Q11" s="119">
        <v>0</v>
      </c>
      <c r="R11" s="119">
        <f>'Talejas 1_anotācijai'!AX12</f>
        <v>0</v>
      </c>
      <c r="S11" s="119">
        <f>'Talejas 1_anotācijai'!BB12</f>
        <v>0</v>
      </c>
      <c r="T11" s="119">
        <v>0</v>
      </c>
      <c r="U11" s="99">
        <f t="shared" si="1"/>
        <v>0</v>
      </c>
      <c r="W11" s="119">
        <f t="shared" si="4"/>
        <v>3457548</v>
      </c>
      <c r="X11" s="119">
        <f t="shared" si="2"/>
        <v>0</v>
      </c>
      <c r="Y11" s="119">
        <f t="shared" si="2"/>
        <v>2772</v>
      </c>
      <c r="Z11" s="119">
        <f t="shared" si="2"/>
        <v>75984</v>
      </c>
      <c r="AA11" s="119">
        <f t="shared" si="2"/>
        <v>417744</v>
      </c>
      <c r="AB11" s="119">
        <f t="shared" si="2"/>
        <v>2826348</v>
      </c>
      <c r="AC11" s="119">
        <f t="shared" si="2"/>
        <v>364884</v>
      </c>
      <c r="AD11" s="99">
        <f t="shared" si="3"/>
        <v>7145280</v>
      </c>
    </row>
    <row r="12" spans="2:30" x14ac:dyDescent="0.3">
      <c r="B12" s="26">
        <f t="shared" si="5"/>
        <v>9</v>
      </c>
      <c r="C12" s="26">
        <v>2032</v>
      </c>
      <c r="E12" s="119">
        <v>3457548</v>
      </c>
      <c r="F12" s="119">
        <v>0</v>
      </c>
      <c r="G12" s="119">
        <v>2772</v>
      </c>
      <c r="H12" s="119">
        <v>75984</v>
      </c>
      <c r="I12" s="116">
        <v>417744</v>
      </c>
      <c r="J12" s="119">
        <v>2221164</v>
      </c>
      <c r="K12" s="116">
        <v>364884</v>
      </c>
      <c r="L12" s="99">
        <f t="shared" si="0"/>
        <v>6540096</v>
      </c>
      <c r="N12" s="119">
        <v>0</v>
      </c>
      <c r="O12" s="119">
        <v>0</v>
      </c>
      <c r="P12" s="119">
        <v>0</v>
      </c>
      <c r="Q12" s="119">
        <v>0</v>
      </c>
      <c r="R12" s="119">
        <f>'Talejas 1_anotācijai'!AX13</f>
        <v>0</v>
      </c>
      <c r="S12" s="119">
        <f>'Talejas 1_anotācijai'!BB13</f>
        <v>0</v>
      </c>
      <c r="T12" s="119">
        <v>0</v>
      </c>
      <c r="U12" s="99">
        <f t="shared" si="1"/>
        <v>0</v>
      </c>
      <c r="W12" s="119">
        <f t="shared" si="4"/>
        <v>3457548</v>
      </c>
      <c r="X12" s="119">
        <f t="shared" si="2"/>
        <v>0</v>
      </c>
      <c r="Y12" s="119">
        <f t="shared" si="2"/>
        <v>2772</v>
      </c>
      <c r="Z12" s="119">
        <f t="shared" si="2"/>
        <v>75984</v>
      </c>
      <c r="AA12" s="119">
        <f t="shared" si="2"/>
        <v>417744</v>
      </c>
      <c r="AB12" s="119">
        <f t="shared" si="2"/>
        <v>2221164</v>
      </c>
      <c r="AC12" s="119">
        <f t="shared" si="2"/>
        <v>364884</v>
      </c>
      <c r="AD12" s="99">
        <f t="shared" si="3"/>
        <v>6540096</v>
      </c>
    </row>
    <row r="13" spans="2:30" x14ac:dyDescent="0.3">
      <c r="B13" s="26">
        <f t="shared" si="5"/>
        <v>10</v>
      </c>
      <c r="C13" s="26">
        <v>2033</v>
      </c>
      <c r="E13" s="119">
        <v>3457548</v>
      </c>
      <c r="F13" s="119">
        <v>0</v>
      </c>
      <c r="G13" s="119">
        <v>2772</v>
      </c>
      <c r="H13" s="119">
        <v>75984</v>
      </c>
      <c r="I13" s="116">
        <v>417744</v>
      </c>
      <c r="J13" s="119">
        <v>2221164</v>
      </c>
      <c r="K13" s="116">
        <v>364884</v>
      </c>
      <c r="L13" s="99">
        <f t="shared" si="0"/>
        <v>6540096</v>
      </c>
      <c r="N13" s="119">
        <v>0</v>
      </c>
      <c r="O13" s="119">
        <v>0</v>
      </c>
      <c r="P13" s="119">
        <v>0</v>
      </c>
      <c r="Q13" s="119">
        <v>0</v>
      </c>
      <c r="R13" s="119">
        <f>'Talejas 1_anotācijai'!AX14</f>
        <v>0</v>
      </c>
      <c r="S13" s="119">
        <f>'Talejas 1_anotācijai'!BB14</f>
        <v>0</v>
      </c>
      <c r="T13" s="119">
        <v>0</v>
      </c>
      <c r="U13" s="99">
        <f t="shared" si="1"/>
        <v>0</v>
      </c>
      <c r="W13" s="119">
        <f t="shared" si="4"/>
        <v>3457548</v>
      </c>
      <c r="X13" s="119">
        <f t="shared" si="2"/>
        <v>0</v>
      </c>
      <c r="Y13" s="119">
        <f t="shared" si="2"/>
        <v>2772</v>
      </c>
      <c r="Z13" s="119">
        <f t="shared" si="2"/>
        <v>75984</v>
      </c>
      <c r="AA13" s="119">
        <f t="shared" si="2"/>
        <v>417744</v>
      </c>
      <c r="AB13" s="119">
        <f t="shared" si="2"/>
        <v>2221164</v>
      </c>
      <c r="AC13" s="119">
        <f t="shared" si="2"/>
        <v>364884</v>
      </c>
      <c r="AD13" s="99">
        <f t="shared" si="3"/>
        <v>6540096</v>
      </c>
    </row>
    <row r="14" spans="2:30" x14ac:dyDescent="0.3">
      <c r="B14" s="26">
        <f t="shared" si="5"/>
        <v>11</v>
      </c>
      <c r="C14" s="26">
        <v>2034</v>
      </c>
      <c r="E14" s="119">
        <v>3457548</v>
      </c>
      <c r="F14" s="119">
        <v>0</v>
      </c>
      <c r="G14" s="119">
        <v>2772</v>
      </c>
      <c r="H14" s="119">
        <v>75984</v>
      </c>
      <c r="I14" s="116">
        <v>417744</v>
      </c>
      <c r="J14" s="119">
        <v>2221164</v>
      </c>
      <c r="K14" s="116">
        <v>364884</v>
      </c>
      <c r="L14" s="99">
        <f t="shared" si="0"/>
        <v>6540096</v>
      </c>
      <c r="N14" s="119">
        <v>0</v>
      </c>
      <c r="O14" s="119">
        <v>0</v>
      </c>
      <c r="P14" s="119">
        <v>0</v>
      </c>
      <c r="Q14" s="119">
        <v>0</v>
      </c>
      <c r="R14" s="119">
        <f>'Talejas 1_anotācijai'!AX15</f>
        <v>0</v>
      </c>
      <c r="S14" s="119">
        <f>'Talejas 1_anotācijai'!BB15</f>
        <v>0</v>
      </c>
      <c r="T14" s="119">
        <v>0</v>
      </c>
      <c r="U14" s="99">
        <f t="shared" si="1"/>
        <v>0</v>
      </c>
      <c r="W14" s="119">
        <f t="shared" si="4"/>
        <v>3457548</v>
      </c>
      <c r="X14" s="119">
        <f t="shared" si="2"/>
        <v>0</v>
      </c>
      <c r="Y14" s="119">
        <f t="shared" si="2"/>
        <v>2772</v>
      </c>
      <c r="Z14" s="119">
        <f t="shared" si="2"/>
        <v>75984</v>
      </c>
      <c r="AA14" s="119">
        <f t="shared" si="2"/>
        <v>417744</v>
      </c>
      <c r="AB14" s="119">
        <f t="shared" si="2"/>
        <v>2221164</v>
      </c>
      <c r="AC14" s="119">
        <f t="shared" si="2"/>
        <v>364884</v>
      </c>
      <c r="AD14" s="99">
        <f t="shared" si="3"/>
        <v>6540096</v>
      </c>
    </row>
    <row r="15" spans="2:30" x14ac:dyDescent="0.3">
      <c r="B15" s="26">
        <f t="shared" si="5"/>
        <v>12</v>
      </c>
      <c r="C15" s="26">
        <v>2035</v>
      </c>
      <c r="E15" s="119">
        <v>3457548</v>
      </c>
      <c r="F15" s="119">
        <v>0</v>
      </c>
      <c r="G15" s="119">
        <v>2772</v>
      </c>
      <c r="H15" s="119">
        <v>75984</v>
      </c>
      <c r="I15" s="116">
        <v>362688</v>
      </c>
      <c r="J15" s="119">
        <v>2221164</v>
      </c>
      <c r="K15" s="116">
        <v>364884</v>
      </c>
      <c r="L15" s="99">
        <f t="shared" si="0"/>
        <v>6485040</v>
      </c>
      <c r="N15" s="119">
        <v>0</v>
      </c>
      <c r="O15" s="119">
        <v>0</v>
      </c>
      <c r="P15" s="119">
        <v>0</v>
      </c>
      <c r="Q15" s="119">
        <v>0</v>
      </c>
      <c r="R15" s="119">
        <f>'Talejas 1_anotācijai'!AX16</f>
        <v>0</v>
      </c>
      <c r="S15" s="119">
        <f>'Talejas 1_anotācijai'!BB16</f>
        <v>0</v>
      </c>
      <c r="T15" s="119">
        <v>0</v>
      </c>
      <c r="U15" s="99">
        <f t="shared" si="1"/>
        <v>0</v>
      </c>
      <c r="W15" s="119">
        <f t="shared" si="4"/>
        <v>3457548</v>
      </c>
      <c r="X15" s="119">
        <f t="shared" si="2"/>
        <v>0</v>
      </c>
      <c r="Y15" s="119">
        <f t="shared" si="2"/>
        <v>2772</v>
      </c>
      <c r="Z15" s="119">
        <f t="shared" si="2"/>
        <v>75984</v>
      </c>
      <c r="AA15" s="119">
        <f t="shared" si="2"/>
        <v>362688</v>
      </c>
      <c r="AB15" s="119">
        <f t="shared" si="2"/>
        <v>2221164</v>
      </c>
      <c r="AC15" s="119">
        <f t="shared" si="2"/>
        <v>364884</v>
      </c>
      <c r="AD15" s="99">
        <f t="shared" si="3"/>
        <v>6485040</v>
      </c>
    </row>
    <row r="16" spans="2:30" x14ac:dyDescent="0.3">
      <c r="B16" s="26">
        <f t="shared" si="5"/>
        <v>13</v>
      </c>
      <c r="C16" s="26">
        <v>2036</v>
      </c>
      <c r="E16" s="119">
        <v>3457548</v>
      </c>
      <c r="F16" s="119">
        <v>0</v>
      </c>
      <c r="G16" s="119">
        <v>2772</v>
      </c>
      <c r="H16" s="119">
        <v>75984</v>
      </c>
      <c r="I16" s="116">
        <v>252576</v>
      </c>
      <c r="J16" s="119">
        <v>2221164</v>
      </c>
      <c r="K16" s="116">
        <v>364884</v>
      </c>
      <c r="L16" s="99">
        <f t="shared" si="0"/>
        <v>6374928</v>
      </c>
      <c r="N16" s="119">
        <v>0</v>
      </c>
      <c r="O16" s="119">
        <v>0</v>
      </c>
      <c r="P16" s="119">
        <v>0</v>
      </c>
      <c r="Q16" s="119">
        <v>0</v>
      </c>
      <c r="R16" s="119">
        <f>'Talejas 1_anotācijai'!AX17</f>
        <v>0</v>
      </c>
      <c r="S16" s="119">
        <f>'Talejas 1_anotācijai'!BB17</f>
        <v>0</v>
      </c>
      <c r="T16" s="119">
        <v>0</v>
      </c>
      <c r="U16" s="99">
        <f t="shared" si="1"/>
        <v>0</v>
      </c>
      <c r="W16" s="119">
        <f t="shared" si="4"/>
        <v>3457548</v>
      </c>
      <c r="X16" s="119">
        <f t="shared" si="2"/>
        <v>0</v>
      </c>
      <c r="Y16" s="119">
        <f t="shared" si="2"/>
        <v>2772</v>
      </c>
      <c r="Z16" s="119">
        <f t="shared" si="2"/>
        <v>75984</v>
      </c>
      <c r="AA16" s="119">
        <f t="shared" si="2"/>
        <v>252576</v>
      </c>
      <c r="AB16" s="119">
        <f t="shared" si="2"/>
        <v>2221164</v>
      </c>
      <c r="AC16" s="119">
        <f t="shared" si="2"/>
        <v>364884</v>
      </c>
      <c r="AD16" s="99">
        <f t="shared" si="3"/>
        <v>6374928</v>
      </c>
    </row>
    <row r="17" spans="2:30" x14ac:dyDescent="0.3">
      <c r="B17" s="26">
        <f t="shared" si="5"/>
        <v>14</v>
      </c>
      <c r="C17" s="26">
        <v>2037</v>
      </c>
      <c r="E17" s="119">
        <v>3457548</v>
      </c>
      <c r="F17" s="119">
        <v>0</v>
      </c>
      <c r="G17" s="119">
        <v>2772</v>
      </c>
      <c r="H17" s="119">
        <v>75984</v>
      </c>
      <c r="I17" s="116">
        <v>252576</v>
      </c>
      <c r="J17" s="119">
        <v>2221164</v>
      </c>
      <c r="K17" s="116">
        <v>364884</v>
      </c>
      <c r="L17" s="99">
        <f t="shared" si="0"/>
        <v>6374928</v>
      </c>
      <c r="N17" s="119">
        <v>0</v>
      </c>
      <c r="O17" s="119">
        <v>0</v>
      </c>
      <c r="P17" s="119">
        <v>0</v>
      </c>
      <c r="Q17" s="119">
        <v>0</v>
      </c>
      <c r="R17" s="119">
        <f>'Talejas 1_anotācijai'!AX18</f>
        <v>0</v>
      </c>
      <c r="S17" s="119">
        <f>'Talejas 1_anotācijai'!BB18</f>
        <v>0</v>
      </c>
      <c r="T17" s="119">
        <v>0</v>
      </c>
      <c r="U17" s="99">
        <f t="shared" si="1"/>
        <v>0</v>
      </c>
      <c r="W17" s="119">
        <f t="shared" si="4"/>
        <v>3457548</v>
      </c>
      <c r="X17" s="119">
        <f t="shared" si="2"/>
        <v>0</v>
      </c>
      <c r="Y17" s="119">
        <f t="shared" si="2"/>
        <v>2772</v>
      </c>
      <c r="Z17" s="119">
        <f t="shared" si="2"/>
        <v>75984</v>
      </c>
      <c r="AA17" s="119">
        <f t="shared" si="2"/>
        <v>252576</v>
      </c>
      <c r="AB17" s="119">
        <f t="shared" si="2"/>
        <v>2221164</v>
      </c>
      <c r="AC17" s="119">
        <f t="shared" si="2"/>
        <v>364884</v>
      </c>
      <c r="AD17" s="99">
        <f t="shared" si="3"/>
        <v>6374928</v>
      </c>
    </row>
    <row r="18" spans="2:30" x14ac:dyDescent="0.3">
      <c r="B18" s="26">
        <f t="shared" si="5"/>
        <v>15</v>
      </c>
      <c r="C18" s="26">
        <v>2038</v>
      </c>
      <c r="E18" s="119">
        <v>3457548</v>
      </c>
      <c r="F18" s="119">
        <v>0</v>
      </c>
      <c r="G18" s="119">
        <v>2772</v>
      </c>
      <c r="H18" s="119">
        <v>75984</v>
      </c>
      <c r="I18" s="116">
        <v>252576</v>
      </c>
      <c r="J18" s="119">
        <v>2221164</v>
      </c>
      <c r="K18" s="116">
        <v>364884</v>
      </c>
      <c r="L18" s="99">
        <f t="shared" si="0"/>
        <v>6374928</v>
      </c>
      <c r="N18" s="119">
        <v>0</v>
      </c>
      <c r="O18" s="119">
        <v>0</v>
      </c>
      <c r="P18" s="119">
        <v>0</v>
      </c>
      <c r="Q18" s="119">
        <v>0</v>
      </c>
      <c r="R18" s="119">
        <f>'Talejas 1_anotācijai'!AX19</f>
        <v>0</v>
      </c>
      <c r="S18" s="119">
        <f>'Talejas 1_anotācijai'!BB19</f>
        <v>0</v>
      </c>
      <c r="T18" s="119">
        <v>0</v>
      </c>
      <c r="U18" s="99">
        <f t="shared" si="1"/>
        <v>0</v>
      </c>
      <c r="W18" s="119">
        <f t="shared" si="4"/>
        <v>3457548</v>
      </c>
      <c r="X18" s="119">
        <f t="shared" si="2"/>
        <v>0</v>
      </c>
      <c r="Y18" s="119">
        <f t="shared" si="2"/>
        <v>2772</v>
      </c>
      <c r="Z18" s="119">
        <f t="shared" si="2"/>
        <v>75984</v>
      </c>
      <c r="AA18" s="119">
        <f t="shared" si="2"/>
        <v>252576</v>
      </c>
      <c r="AB18" s="119">
        <f t="shared" si="2"/>
        <v>2221164</v>
      </c>
      <c r="AC18" s="119">
        <f t="shared" si="2"/>
        <v>364884</v>
      </c>
      <c r="AD18" s="99">
        <f t="shared" si="3"/>
        <v>6374928</v>
      </c>
    </row>
    <row r="19" spans="2:30" x14ac:dyDescent="0.3">
      <c r="B19" s="26">
        <f t="shared" si="5"/>
        <v>16</v>
      </c>
      <c r="C19" s="26">
        <v>2039</v>
      </c>
      <c r="E19" s="119">
        <v>3457548</v>
      </c>
      <c r="F19" s="119">
        <v>0</v>
      </c>
      <c r="G19" s="119">
        <v>2772</v>
      </c>
      <c r="H19" s="119">
        <v>75984</v>
      </c>
      <c r="I19" s="116">
        <v>252576</v>
      </c>
      <c r="J19" s="119">
        <v>2221164</v>
      </c>
      <c r="K19" s="116">
        <v>364884</v>
      </c>
      <c r="L19" s="99">
        <f t="shared" si="0"/>
        <v>6374928</v>
      </c>
      <c r="N19" s="119">
        <v>0</v>
      </c>
      <c r="O19" s="119">
        <v>0</v>
      </c>
      <c r="P19" s="119">
        <v>0</v>
      </c>
      <c r="Q19" s="119">
        <v>0</v>
      </c>
      <c r="R19" s="119">
        <f>'Talejas 1_anotācijai'!AX20</f>
        <v>0</v>
      </c>
      <c r="S19" s="119">
        <f>'Talejas 1_anotācijai'!BB20</f>
        <v>0</v>
      </c>
      <c r="T19" s="119">
        <v>0</v>
      </c>
      <c r="U19" s="99">
        <f t="shared" si="1"/>
        <v>0</v>
      </c>
      <c r="W19" s="119">
        <f t="shared" si="4"/>
        <v>3457548</v>
      </c>
      <c r="X19" s="119">
        <f t="shared" si="2"/>
        <v>0</v>
      </c>
      <c r="Y19" s="119">
        <f t="shared" si="2"/>
        <v>2772</v>
      </c>
      <c r="Z19" s="119">
        <f t="shared" si="2"/>
        <v>75984</v>
      </c>
      <c r="AA19" s="119">
        <f t="shared" si="2"/>
        <v>252576</v>
      </c>
      <c r="AB19" s="119">
        <f t="shared" si="2"/>
        <v>2221164</v>
      </c>
      <c r="AC19" s="119">
        <f t="shared" si="2"/>
        <v>364884</v>
      </c>
      <c r="AD19" s="99">
        <f t="shared" si="3"/>
        <v>6374928</v>
      </c>
    </row>
    <row r="20" spans="2:30" x14ac:dyDescent="0.3">
      <c r="B20" s="26">
        <f t="shared" si="5"/>
        <v>17</v>
      </c>
      <c r="C20" s="26">
        <v>2040</v>
      </c>
      <c r="E20" s="119">
        <v>3457548</v>
      </c>
      <c r="F20" s="119">
        <v>0</v>
      </c>
      <c r="G20" s="119">
        <v>2772</v>
      </c>
      <c r="H20" s="119">
        <v>75984</v>
      </c>
      <c r="I20" s="116">
        <v>252576</v>
      </c>
      <c r="J20" s="119">
        <v>2221164</v>
      </c>
      <c r="K20" s="116">
        <v>364884</v>
      </c>
      <c r="L20" s="99">
        <f t="shared" si="0"/>
        <v>6374928</v>
      </c>
      <c r="N20" s="119">
        <v>0</v>
      </c>
      <c r="O20" s="119">
        <v>0</v>
      </c>
      <c r="P20" s="119">
        <v>0</v>
      </c>
      <c r="Q20" s="119">
        <v>0</v>
      </c>
      <c r="R20" s="119">
        <f>'Talejas 1_anotācijai'!AX21</f>
        <v>0</v>
      </c>
      <c r="S20" s="119">
        <f>'Talejas 1_anotācijai'!BB21</f>
        <v>0</v>
      </c>
      <c r="T20" s="119">
        <v>0</v>
      </c>
      <c r="U20" s="99">
        <f t="shared" si="1"/>
        <v>0</v>
      </c>
      <c r="W20" s="119">
        <f t="shared" si="4"/>
        <v>3457548</v>
      </c>
      <c r="X20" s="119">
        <f t="shared" ref="X20:X24" si="6">F20+O20</f>
        <v>0</v>
      </c>
      <c r="Y20" s="119">
        <f t="shared" ref="Y20:Y24" si="7">G20+P20</f>
        <v>2772</v>
      </c>
      <c r="Z20" s="119">
        <f t="shared" ref="Z20:Z24" si="8">H20+Q20</f>
        <v>75984</v>
      </c>
      <c r="AA20" s="119">
        <f t="shared" ref="AA20:AA24" si="9">I20+R20</f>
        <v>252576</v>
      </c>
      <c r="AB20" s="119">
        <f t="shared" ref="AB20:AB24" si="10">J20+S20</f>
        <v>2221164</v>
      </c>
      <c r="AC20" s="119">
        <f t="shared" ref="AC20:AC24" si="11">K20+T20</f>
        <v>364884</v>
      </c>
      <c r="AD20" s="99">
        <f t="shared" si="3"/>
        <v>6374928</v>
      </c>
    </row>
    <row r="21" spans="2:30" x14ac:dyDescent="0.3">
      <c r="B21" s="26">
        <f t="shared" si="5"/>
        <v>18</v>
      </c>
      <c r="C21" s="26">
        <v>2041</v>
      </c>
      <c r="E21" s="119">
        <v>3457548</v>
      </c>
      <c r="F21" s="119">
        <v>0</v>
      </c>
      <c r="G21" s="119">
        <v>2772</v>
      </c>
      <c r="H21" s="119">
        <v>75984</v>
      </c>
      <c r="I21" s="116">
        <v>252576</v>
      </c>
      <c r="J21" s="119">
        <v>2221164</v>
      </c>
      <c r="K21" s="116">
        <v>364884</v>
      </c>
      <c r="L21" s="99">
        <f t="shared" si="0"/>
        <v>6374928</v>
      </c>
      <c r="N21" s="119">
        <v>0</v>
      </c>
      <c r="O21" s="119">
        <v>0</v>
      </c>
      <c r="P21" s="119">
        <v>0</v>
      </c>
      <c r="Q21" s="119">
        <v>0</v>
      </c>
      <c r="R21" s="119">
        <f>'Talejas 1_anotācijai'!AX22</f>
        <v>0</v>
      </c>
      <c r="S21" s="119">
        <f>'Talejas 1_anotācijai'!BB22</f>
        <v>0</v>
      </c>
      <c r="T21" s="119">
        <v>0</v>
      </c>
      <c r="U21" s="99">
        <f t="shared" si="1"/>
        <v>0</v>
      </c>
      <c r="W21" s="119">
        <f t="shared" si="4"/>
        <v>3457548</v>
      </c>
      <c r="X21" s="119">
        <f t="shared" si="6"/>
        <v>0</v>
      </c>
      <c r="Y21" s="119">
        <f t="shared" si="7"/>
        <v>2772</v>
      </c>
      <c r="Z21" s="119">
        <f t="shared" si="8"/>
        <v>75984</v>
      </c>
      <c r="AA21" s="119">
        <f t="shared" si="9"/>
        <v>252576</v>
      </c>
      <c r="AB21" s="119">
        <f t="shared" si="10"/>
        <v>2221164</v>
      </c>
      <c r="AC21" s="119">
        <f t="shared" si="11"/>
        <v>364884</v>
      </c>
      <c r="AD21" s="99">
        <f t="shared" si="3"/>
        <v>6374928</v>
      </c>
    </row>
    <row r="22" spans="2:30" x14ac:dyDescent="0.3">
      <c r="B22" s="26">
        <f t="shared" si="5"/>
        <v>19</v>
      </c>
      <c r="C22" s="26">
        <v>2042</v>
      </c>
      <c r="E22" s="119">
        <v>3457548</v>
      </c>
      <c r="F22" s="119">
        <v>0</v>
      </c>
      <c r="G22" s="119">
        <v>2772</v>
      </c>
      <c r="H22" s="119">
        <v>75984</v>
      </c>
      <c r="I22" s="116">
        <v>252576</v>
      </c>
      <c r="J22" s="119">
        <v>2221164</v>
      </c>
      <c r="K22" s="116">
        <v>364884</v>
      </c>
      <c r="L22" s="99">
        <f t="shared" si="0"/>
        <v>6374928</v>
      </c>
      <c r="N22" s="119">
        <v>0</v>
      </c>
      <c r="O22" s="119">
        <v>0</v>
      </c>
      <c r="P22" s="119">
        <v>0</v>
      </c>
      <c r="Q22" s="119">
        <v>0</v>
      </c>
      <c r="R22" s="119">
        <f>'Talejas 1_anotācijai'!AX23</f>
        <v>0</v>
      </c>
      <c r="S22" s="119">
        <f>'Talejas 1_anotācijai'!BB23</f>
        <v>0</v>
      </c>
      <c r="T22" s="119">
        <v>0</v>
      </c>
      <c r="U22" s="99">
        <f t="shared" si="1"/>
        <v>0</v>
      </c>
      <c r="W22" s="119">
        <f t="shared" si="4"/>
        <v>3457548</v>
      </c>
      <c r="X22" s="119">
        <f t="shared" si="6"/>
        <v>0</v>
      </c>
      <c r="Y22" s="119">
        <f t="shared" si="7"/>
        <v>2772</v>
      </c>
      <c r="Z22" s="119">
        <f t="shared" si="8"/>
        <v>75984</v>
      </c>
      <c r="AA22" s="119">
        <f t="shared" si="9"/>
        <v>252576</v>
      </c>
      <c r="AB22" s="119">
        <f t="shared" si="10"/>
        <v>2221164</v>
      </c>
      <c r="AC22" s="119">
        <f t="shared" si="11"/>
        <v>364884</v>
      </c>
      <c r="AD22" s="99">
        <f t="shared" si="3"/>
        <v>6374928</v>
      </c>
    </row>
    <row r="23" spans="2:30" x14ac:dyDescent="0.3">
      <c r="B23" s="26">
        <f t="shared" si="5"/>
        <v>20</v>
      </c>
      <c r="C23" s="26">
        <v>2043</v>
      </c>
      <c r="E23" s="119">
        <v>3457548</v>
      </c>
      <c r="F23" s="119">
        <v>0</v>
      </c>
      <c r="G23" s="119">
        <v>2772</v>
      </c>
      <c r="H23" s="119">
        <v>75984</v>
      </c>
      <c r="I23" s="116">
        <v>252576</v>
      </c>
      <c r="J23" s="119">
        <v>2221164</v>
      </c>
      <c r="K23" s="116">
        <v>364884</v>
      </c>
      <c r="L23" s="99">
        <f t="shared" si="0"/>
        <v>6374928</v>
      </c>
      <c r="N23" s="119">
        <v>0</v>
      </c>
      <c r="O23" s="119">
        <v>0</v>
      </c>
      <c r="P23" s="119">
        <v>0</v>
      </c>
      <c r="Q23" s="119">
        <v>0</v>
      </c>
      <c r="R23" s="119">
        <f>'Talejas 1_anotācijai'!AX24</f>
        <v>0</v>
      </c>
      <c r="S23" s="119">
        <f>'Talejas 1_anotācijai'!BB24</f>
        <v>0</v>
      </c>
      <c r="T23" s="119">
        <v>0</v>
      </c>
      <c r="U23" s="99">
        <f t="shared" si="1"/>
        <v>0</v>
      </c>
      <c r="W23" s="119">
        <f t="shared" si="4"/>
        <v>3457548</v>
      </c>
      <c r="X23" s="119">
        <f t="shared" si="6"/>
        <v>0</v>
      </c>
      <c r="Y23" s="119">
        <f t="shared" si="7"/>
        <v>2772</v>
      </c>
      <c r="Z23" s="119">
        <f t="shared" si="8"/>
        <v>75984</v>
      </c>
      <c r="AA23" s="119">
        <f t="shared" si="9"/>
        <v>252576</v>
      </c>
      <c r="AB23" s="119">
        <f t="shared" si="10"/>
        <v>2221164</v>
      </c>
      <c r="AC23" s="119">
        <f t="shared" si="11"/>
        <v>364884</v>
      </c>
      <c r="AD23" s="99">
        <f t="shared" si="3"/>
        <v>6374928</v>
      </c>
    </row>
    <row r="24" spans="2:30" x14ac:dyDescent="0.3">
      <c r="B24" s="26">
        <f t="shared" si="5"/>
        <v>21</v>
      </c>
      <c r="C24" s="26">
        <v>2044</v>
      </c>
      <c r="E24" s="119">
        <v>1152516</v>
      </c>
      <c r="F24" s="119">
        <v>0</v>
      </c>
      <c r="G24" s="119">
        <v>924</v>
      </c>
      <c r="H24" s="119">
        <v>25328</v>
      </c>
      <c r="I24" s="116">
        <v>84192</v>
      </c>
      <c r="J24" s="119">
        <v>740388</v>
      </c>
      <c r="K24" s="116">
        <v>121628</v>
      </c>
      <c r="L24" s="99">
        <f t="shared" si="0"/>
        <v>2124976</v>
      </c>
      <c r="N24" s="119">
        <v>0</v>
      </c>
      <c r="O24" s="119">
        <v>0</v>
      </c>
      <c r="P24" s="119">
        <v>0</v>
      </c>
      <c r="Q24" s="119">
        <v>0</v>
      </c>
      <c r="R24" s="119">
        <f>'Talejas 1_anotācijai'!AX25</f>
        <v>0</v>
      </c>
      <c r="S24" s="119">
        <f>'Talejas 1_anotācijai'!BB25</f>
        <v>0</v>
      </c>
      <c r="T24" s="119">
        <v>0</v>
      </c>
      <c r="U24" s="99">
        <f t="shared" si="1"/>
        <v>0</v>
      </c>
      <c r="W24" s="119">
        <f t="shared" si="4"/>
        <v>1152516</v>
      </c>
      <c r="X24" s="119">
        <f t="shared" si="6"/>
        <v>0</v>
      </c>
      <c r="Y24" s="119">
        <f t="shared" si="7"/>
        <v>924</v>
      </c>
      <c r="Z24" s="119">
        <f t="shared" si="8"/>
        <v>25328</v>
      </c>
      <c r="AA24" s="119">
        <f t="shared" si="9"/>
        <v>84192</v>
      </c>
      <c r="AB24" s="119">
        <f t="shared" si="10"/>
        <v>740388</v>
      </c>
      <c r="AC24" s="119">
        <f t="shared" si="11"/>
        <v>121628</v>
      </c>
      <c r="AD24" s="99">
        <f t="shared" si="3"/>
        <v>2124976</v>
      </c>
    </row>
    <row r="25" spans="2:30" x14ac:dyDescent="0.3">
      <c r="B25" s="162" t="s">
        <v>13</v>
      </c>
      <c r="C25" s="162"/>
      <c r="E25" s="104">
        <f>SUM(E4:E24)</f>
        <v>74659668</v>
      </c>
      <c r="F25" s="104">
        <f t="shared" ref="F25:L25" si="12">SUM(F4:F24)</f>
        <v>589320</v>
      </c>
      <c r="G25" s="104">
        <f t="shared" si="12"/>
        <v>58287</v>
      </c>
      <c r="H25" s="104">
        <f t="shared" si="12"/>
        <v>3094751</v>
      </c>
      <c r="I25" s="104">
        <f t="shared" si="12"/>
        <v>7188220</v>
      </c>
      <c r="J25" s="104">
        <f t="shared" si="12"/>
        <v>44850325</v>
      </c>
      <c r="K25" s="104">
        <f t="shared" si="12"/>
        <v>7408107</v>
      </c>
      <c r="L25" s="104">
        <f t="shared" si="12"/>
        <v>137848678</v>
      </c>
      <c r="N25" s="104">
        <f>SUM(N4:N24)</f>
        <v>0</v>
      </c>
      <c r="O25" s="104">
        <f t="shared" ref="O25" si="13">SUM(O4:O24)</f>
        <v>0</v>
      </c>
      <c r="P25" s="104">
        <f t="shared" ref="P25" si="14">SUM(P4:P24)</f>
        <v>0</v>
      </c>
      <c r="Q25" s="104">
        <f t="shared" ref="Q25" si="15">SUM(Q4:Q24)</f>
        <v>0</v>
      </c>
      <c r="R25" s="104">
        <f t="shared" ref="R25" si="16">SUM(R4:R24)</f>
        <v>35000</v>
      </c>
      <c r="S25" s="104">
        <f t="shared" ref="S25" si="17">SUM(S4:S24)</f>
        <v>240000</v>
      </c>
      <c r="T25" s="104">
        <f t="shared" ref="T25" si="18">SUM(T4:T24)</f>
        <v>0</v>
      </c>
      <c r="U25" s="104">
        <f t="shared" ref="U25" si="19">SUM(U4:U24)</f>
        <v>275000</v>
      </c>
      <c r="W25" s="104">
        <f>SUM(W4:W24)</f>
        <v>74659668</v>
      </c>
      <c r="X25" s="104">
        <f t="shared" ref="X25" si="20">SUM(X4:X24)</f>
        <v>589320</v>
      </c>
      <c r="Y25" s="104">
        <f t="shared" ref="Y25" si="21">SUM(Y4:Y24)</f>
        <v>58287</v>
      </c>
      <c r="Z25" s="104">
        <f t="shared" ref="Z25" si="22">SUM(Z4:Z24)</f>
        <v>3094751</v>
      </c>
      <c r="AA25" s="104">
        <f t="shared" ref="AA25" si="23">SUM(AA4:AA24)</f>
        <v>7223220</v>
      </c>
      <c r="AB25" s="104">
        <f t="shared" ref="AB25" si="24">SUM(AB4:AB24)</f>
        <v>45090325</v>
      </c>
      <c r="AC25" s="104">
        <f t="shared" ref="AC25" si="25">SUM(AC4:AC24)</f>
        <v>7408107</v>
      </c>
      <c r="AD25" s="104">
        <f t="shared" ref="AD25" si="26">SUM(AD4:AD24)</f>
        <v>138123678</v>
      </c>
    </row>
  </sheetData>
  <mergeCells count="6">
    <mergeCell ref="B25:C25"/>
    <mergeCell ref="N2:U2"/>
    <mergeCell ref="W2:AD2"/>
    <mergeCell ref="B2:B3"/>
    <mergeCell ref="C2:C3"/>
    <mergeCell ref="E2:L2"/>
  </mergeCells>
  <pageMargins left="0.7" right="0.7" top="0.75" bottom="0.75" header="0.3" footer="0.3"/>
  <ignoredErrors>
    <ignoredError sqref="L4:L24"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F203E-6E23-4F02-8830-35EBFFF0018F}">
  <sheetPr>
    <tabColor theme="9"/>
  </sheetPr>
  <dimension ref="A1:AH29"/>
  <sheetViews>
    <sheetView topLeftCell="H1" zoomScaleNormal="100" workbookViewId="0">
      <selection activeCell="C28" sqref="C28:H28"/>
    </sheetView>
  </sheetViews>
  <sheetFormatPr defaultRowHeight="14.4" x14ac:dyDescent="0.3"/>
  <cols>
    <col min="2" max="2" width="13" customWidth="1"/>
    <col min="3" max="12" width="9.5546875" customWidth="1"/>
    <col min="13" max="13" width="12.33203125" customWidth="1"/>
    <col min="14" max="19" width="9.5546875" customWidth="1"/>
    <col min="20" max="20" width="11" customWidth="1"/>
    <col min="21" max="22" width="10.88671875" customWidth="1"/>
    <col min="23" max="23" width="11.5546875" customWidth="1"/>
    <col min="25" max="30" width="9.5546875" customWidth="1"/>
    <col min="31" max="31" width="10.6640625" customWidth="1"/>
    <col min="32" max="32" width="10.44140625" customWidth="1"/>
    <col min="33" max="33" width="11" customWidth="1"/>
    <col min="34" max="34" width="11.88671875" customWidth="1"/>
  </cols>
  <sheetData>
    <row r="1" spans="1:34" x14ac:dyDescent="0.3">
      <c r="A1" s="8" t="s">
        <v>14</v>
      </c>
      <c r="D1" s="171"/>
      <c r="E1" s="171"/>
      <c r="F1" s="171"/>
      <c r="G1" s="171"/>
      <c r="H1" s="171"/>
      <c r="I1" s="171"/>
      <c r="J1" s="171"/>
      <c r="K1" s="171"/>
    </row>
    <row r="2" spans="1:34" x14ac:dyDescent="0.3">
      <c r="A2" s="164" t="s">
        <v>0</v>
      </c>
      <c r="B2" s="164" t="s">
        <v>1</v>
      </c>
      <c r="C2" s="168" t="s">
        <v>15</v>
      </c>
      <c r="D2" s="169"/>
      <c r="E2" s="169"/>
      <c r="F2" s="169"/>
      <c r="G2" s="169"/>
      <c r="H2" s="169"/>
      <c r="I2" s="169"/>
      <c r="J2" s="169"/>
      <c r="K2" s="169"/>
      <c r="L2" s="170"/>
      <c r="M2" s="172" t="s">
        <v>16</v>
      </c>
      <c r="N2" s="168" t="s">
        <v>17</v>
      </c>
      <c r="O2" s="169"/>
      <c r="P2" s="169"/>
      <c r="Q2" s="169"/>
      <c r="R2" s="169"/>
      <c r="S2" s="169"/>
      <c r="T2" s="169"/>
      <c r="U2" s="169"/>
      <c r="V2" s="169"/>
      <c r="W2" s="170"/>
      <c r="Y2" s="168" t="s">
        <v>18</v>
      </c>
      <c r="Z2" s="169"/>
      <c r="AA2" s="169"/>
      <c r="AB2" s="169"/>
      <c r="AC2" s="169"/>
      <c r="AD2" s="169"/>
      <c r="AE2" s="169"/>
      <c r="AF2" s="169"/>
      <c r="AG2" s="169"/>
      <c r="AH2" s="170"/>
    </row>
    <row r="3" spans="1:34" ht="38.4" x14ac:dyDescent="0.3">
      <c r="A3" s="164"/>
      <c r="B3" s="164"/>
      <c r="C3" s="11" t="s">
        <v>19</v>
      </c>
      <c r="D3" s="95" t="s">
        <v>20</v>
      </c>
      <c r="E3" s="96" t="s">
        <v>21</v>
      </c>
      <c r="F3" s="97" t="s">
        <v>22</v>
      </c>
      <c r="G3" s="98" t="s">
        <v>23</v>
      </c>
      <c r="H3" s="27" t="s">
        <v>24</v>
      </c>
      <c r="I3" s="31" t="s">
        <v>25</v>
      </c>
      <c r="J3" s="32" t="s">
        <v>26</v>
      </c>
      <c r="K3" s="44" t="s">
        <v>27</v>
      </c>
      <c r="L3" s="10" t="s">
        <v>12</v>
      </c>
      <c r="M3" s="172"/>
      <c r="N3" s="11" t="s">
        <v>19</v>
      </c>
      <c r="O3" s="95" t="s">
        <v>20</v>
      </c>
      <c r="P3" s="28" t="s">
        <v>21</v>
      </c>
      <c r="Q3" s="29" t="s">
        <v>22</v>
      </c>
      <c r="R3" s="30" t="s">
        <v>23</v>
      </c>
      <c r="S3" s="27" t="s">
        <v>24</v>
      </c>
      <c r="T3" s="31" t="s">
        <v>25</v>
      </c>
      <c r="U3" s="32" t="s">
        <v>26</v>
      </c>
      <c r="V3" s="44" t="s">
        <v>27</v>
      </c>
      <c r="W3" s="10" t="s">
        <v>12</v>
      </c>
      <c r="Y3" s="11" t="s">
        <v>19</v>
      </c>
      <c r="Z3" s="95" t="s">
        <v>20</v>
      </c>
      <c r="AA3" s="28" t="s">
        <v>21</v>
      </c>
      <c r="AB3" s="29" t="s">
        <v>22</v>
      </c>
      <c r="AC3" s="30" t="s">
        <v>23</v>
      </c>
      <c r="AD3" s="27" t="s">
        <v>24</v>
      </c>
      <c r="AE3" s="31" t="s">
        <v>25</v>
      </c>
      <c r="AF3" s="32" t="s">
        <v>26</v>
      </c>
      <c r="AG3" s="44" t="s">
        <v>27</v>
      </c>
      <c r="AH3" s="10" t="s">
        <v>12</v>
      </c>
    </row>
    <row r="4" spans="1:34" s="115" customFormat="1" x14ac:dyDescent="0.3">
      <c r="A4" s="113" t="s">
        <v>28</v>
      </c>
      <c r="B4" s="113" t="s">
        <v>29</v>
      </c>
      <c r="C4" s="114"/>
      <c r="D4" s="113"/>
      <c r="E4" s="114"/>
      <c r="F4" s="114"/>
      <c r="G4" s="114"/>
      <c r="H4" s="114"/>
      <c r="I4" s="114"/>
      <c r="J4" s="114"/>
      <c r="K4" s="114"/>
      <c r="L4" s="114"/>
      <c r="M4" s="114"/>
      <c r="N4" s="114"/>
      <c r="O4" s="113"/>
      <c r="P4" s="114"/>
      <c r="Q4" s="114"/>
      <c r="R4" s="114"/>
      <c r="S4" s="114"/>
      <c r="T4" s="114"/>
      <c r="U4" s="114"/>
      <c r="V4" s="114"/>
      <c r="W4" s="114"/>
      <c r="Y4" s="114"/>
      <c r="Z4" s="113"/>
      <c r="AA4" s="114"/>
      <c r="AB4" s="114"/>
      <c r="AC4" s="114"/>
      <c r="AD4" s="114"/>
      <c r="AE4" s="114"/>
      <c r="AF4" s="114"/>
      <c r="AG4" s="114"/>
      <c r="AH4" s="114"/>
    </row>
    <row r="5" spans="1:34" x14ac:dyDescent="0.3">
      <c r="A5" s="26">
        <v>1</v>
      </c>
      <c r="B5" s="26">
        <v>2024</v>
      </c>
      <c r="C5" s="99">
        <v>6780683</v>
      </c>
      <c r="D5" s="99">
        <v>39288</v>
      </c>
      <c r="E5" s="99">
        <v>6193</v>
      </c>
      <c r="F5" s="99">
        <v>35897</v>
      </c>
      <c r="G5" s="99">
        <v>2999</v>
      </c>
      <c r="H5" s="99">
        <v>408657</v>
      </c>
      <c r="I5" s="39">
        <v>272722</v>
      </c>
      <c r="J5" s="39">
        <v>487652</v>
      </c>
      <c r="K5" s="99">
        <v>13878235</v>
      </c>
      <c r="L5" s="99">
        <v>21912326</v>
      </c>
      <c r="M5" s="39">
        <v>-255579</v>
      </c>
      <c r="N5" s="99">
        <v>6006804</v>
      </c>
      <c r="O5" s="99">
        <v>39288</v>
      </c>
      <c r="P5" s="99">
        <v>0</v>
      </c>
      <c r="Q5" s="99">
        <v>0</v>
      </c>
      <c r="R5" s="99">
        <v>3243</v>
      </c>
      <c r="S5" s="99">
        <v>471242</v>
      </c>
      <c r="T5" s="39">
        <v>355910</v>
      </c>
      <c r="U5" s="39">
        <v>902025</v>
      </c>
      <c r="V5" s="99">
        <v>13878235</v>
      </c>
      <c r="W5" s="99">
        <v>21656747</v>
      </c>
      <c r="X5" s="83"/>
      <c r="Y5" s="50">
        <v>-773879</v>
      </c>
      <c r="Z5" s="50">
        <v>0</v>
      </c>
      <c r="AA5" s="50">
        <v>-6193</v>
      </c>
      <c r="AB5" s="50">
        <v>-35897</v>
      </c>
      <c r="AC5" s="50">
        <v>244</v>
      </c>
      <c r="AD5" s="50">
        <v>62585</v>
      </c>
      <c r="AE5" s="50">
        <v>83188</v>
      </c>
      <c r="AF5" s="50">
        <v>414373</v>
      </c>
      <c r="AG5" s="50">
        <v>0</v>
      </c>
      <c r="AH5" s="50">
        <v>-255579</v>
      </c>
    </row>
    <row r="6" spans="1:34" x14ac:dyDescent="0.3">
      <c r="A6" s="26">
        <v>2</v>
      </c>
      <c r="B6" s="26">
        <v>2025</v>
      </c>
      <c r="C6" s="99">
        <v>6367743</v>
      </c>
      <c r="D6" s="99">
        <v>117864</v>
      </c>
      <c r="E6" s="99">
        <v>6193</v>
      </c>
      <c r="F6" s="99">
        <v>35897</v>
      </c>
      <c r="G6" s="99">
        <v>2999</v>
      </c>
      <c r="H6" s="99">
        <v>1365144</v>
      </c>
      <c r="I6" s="39">
        <v>272722</v>
      </c>
      <c r="J6" s="39">
        <v>487652</v>
      </c>
      <c r="K6" s="99">
        <v>14033528</v>
      </c>
      <c r="L6" s="99">
        <v>22689742</v>
      </c>
      <c r="M6" s="39">
        <v>-39904</v>
      </c>
      <c r="N6" s="99">
        <v>4493208</v>
      </c>
      <c r="O6" s="99">
        <v>117864</v>
      </c>
      <c r="P6" s="99">
        <v>0</v>
      </c>
      <c r="Q6" s="99">
        <v>0</v>
      </c>
      <c r="R6" s="99">
        <v>3648</v>
      </c>
      <c r="S6" s="99">
        <v>1410574</v>
      </c>
      <c r="T6" s="39">
        <v>576911</v>
      </c>
      <c r="U6" s="39">
        <v>1741772</v>
      </c>
      <c r="V6" s="99">
        <v>14305861</v>
      </c>
      <c r="W6" s="99">
        <v>22649838</v>
      </c>
      <c r="X6" s="83"/>
      <c r="Y6" s="50">
        <v>-1874535</v>
      </c>
      <c r="Z6" s="50">
        <v>0</v>
      </c>
      <c r="AA6" s="50">
        <v>-6193</v>
      </c>
      <c r="AB6" s="50">
        <v>-35897</v>
      </c>
      <c r="AC6" s="50">
        <v>649</v>
      </c>
      <c r="AD6" s="50">
        <v>45430</v>
      </c>
      <c r="AE6" s="50">
        <v>304189</v>
      </c>
      <c r="AF6" s="50">
        <v>1254120</v>
      </c>
      <c r="AG6" s="50">
        <v>272333</v>
      </c>
      <c r="AH6" s="50">
        <v>-39904</v>
      </c>
    </row>
    <row r="7" spans="1:34" x14ac:dyDescent="0.3">
      <c r="A7" s="26">
        <v>3</v>
      </c>
      <c r="B7" s="26">
        <v>2026</v>
      </c>
      <c r="C7" s="99">
        <v>6367743</v>
      </c>
      <c r="D7" s="99">
        <v>117864</v>
      </c>
      <c r="E7" s="99">
        <v>6193</v>
      </c>
      <c r="F7" s="99">
        <v>35897</v>
      </c>
      <c r="G7" s="99">
        <v>2999</v>
      </c>
      <c r="H7" s="99">
        <v>1152591</v>
      </c>
      <c r="I7" s="39">
        <v>272722</v>
      </c>
      <c r="J7" s="39">
        <v>487652</v>
      </c>
      <c r="K7" s="99">
        <v>13080010</v>
      </c>
      <c r="L7" s="99">
        <v>21523671</v>
      </c>
      <c r="M7" s="39">
        <v>-181513</v>
      </c>
      <c r="N7" s="99">
        <v>4228824</v>
      </c>
      <c r="O7" s="99">
        <v>117864</v>
      </c>
      <c r="P7" s="99">
        <v>0</v>
      </c>
      <c r="Q7" s="99">
        <v>0</v>
      </c>
      <c r="R7" s="99">
        <v>3348</v>
      </c>
      <c r="S7" s="99">
        <v>1264551</v>
      </c>
      <c r="T7" s="39">
        <v>568140</v>
      </c>
      <c r="U7" s="39">
        <v>1895736</v>
      </c>
      <c r="V7" s="99">
        <v>13263695</v>
      </c>
      <c r="W7" s="99">
        <v>21342158</v>
      </c>
      <c r="X7" s="83"/>
      <c r="Y7" s="50">
        <v>-2138919</v>
      </c>
      <c r="Z7" s="50">
        <v>0</v>
      </c>
      <c r="AA7" s="50">
        <v>-6193</v>
      </c>
      <c r="AB7" s="50">
        <v>-35897</v>
      </c>
      <c r="AC7" s="50">
        <v>349</v>
      </c>
      <c r="AD7" s="50">
        <v>111960</v>
      </c>
      <c r="AE7" s="50">
        <v>295418</v>
      </c>
      <c r="AF7" s="50">
        <v>1408084</v>
      </c>
      <c r="AG7" s="50">
        <v>183685</v>
      </c>
      <c r="AH7" s="50">
        <v>-181513</v>
      </c>
    </row>
    <row r="8" spans="1:34" x14ac:dyDescent="0.3">
      <c r="A8" s="26">
        <v>4</v>
      </c>
      <c r="B8" s="26">
        <v>2027</v>
      </c>
      <c r="C8" s="99">
        <v>6780683</v>
      </c>
      <c r="D8" s="99">
        <v>117864</v>
      </c>
      <c r="E8" s="99">
        <v>6193</v>
      </c>
      <c r="F8" s="99">
        <v>35897</v>
      </c>
      <c r="G8" s="99">
        <v>2999</v>
      </c>
      <c r="H8" s="99">
        <v>89825</v>
      </c>
      <c r="I8" s="39">
        <v>272722</v>
      </c>
      <c r="J8" s="39">
        <v>487652</v>
      </c>
      <c r="K8" s="99">
        <v>13080010</v>
      </c>
      <c r="L8" s="99">
        <v>20873845</v>
      </c>
      <c r="M8" s="39">
        <v>-673502</v>
      </c>
      <c r="N8" s="99">
        <v>3457548</v>
      </c>
      <c r="O8" s="99">
        <v>117864</v>
      </c>
      <c r="P8" s="99">
        <v>0</v>
      </c>
      <c r="Q8" s="99">
        <v>0</v>
      </c>
      <c r="R8" s="99">
        <v>2772</v>
      </c>
      <c r="S8" s="99">
        <v>75984</v>
      </c>
      <c r="T8" s="39">
        <v>517932</v>
      </c>
      <c r="U8" s="39">
        <v>2826348</v>
      </c>
      <c r="V8" s="99">
        <v>13201895</v>
      </c>
      <c r="W8" s="99">
        <v>20200343</v>
      </c>
      <c r="X8" s="83"/>
      <c r="Y8" s="50">
        <v>-3323135</v>
      </c>
      <c r="Z8" s="50">
        <v>0</v>
      </c>
      <c r="AA8" s="50">
        <v>-6193</v>
      </c>
      <c r="AB8" s="50">
        <v>-35897</v>
      </c>
      <c r="AC8" s="50">
        <v>-227</v>
      </c>
      <c r="AD8" s="50">
        <v>-13841</v>
      </c>
      <c r="AE8" s="50">
        <v>245210</v>
      </c>
      <c r="AF8" s="50">
        <v>2338696</v>
      </c>
      <c r="AG8" s="50">
        <v>121885</v>
      </c>
      <c r="AH8" s="50">
        <v>-673502</v>
      </c>
    </row>
    <row r="9" spans="1:34" x14ac:dyDescent="0.3">
      <c r="A9" s="26">
        <v>5</v>
      </c>
      <c r="B9" s="26">
        <v>2028</v>
      </c>
      <c r="C9" s="99">
        <v>6780683</v>
      </c>
      <c r="D9" s="99">
        <v>117864</v>
      </c>
      <c r="E9" s="99">
        <v>6193</v>
      </c>
      <c r="F9" s="99">
        <v>35897</v>
      </c>
      <c r="G9" s="99">
        <v>2999</v>
      </c>
      <c r="H9" s="99">
        <v>89825</v>
      </c>
      <c r="I9" s="39">
        <v>272722</v>
      </c>
      <c r="J9" s="39">
        <v>487652</v>
      </c>
      <c r="K9" s="99">
        <v>0</v>
      </c>
      <c r="L9" s="99">
        <v>7793835</v>
      </c>
      <c r="M9" s="39">
        <v>-430503</v>
      </c>
      <c r="N9" s="99">
        <v>3457548</v>
      </c>
      <c r="O9" s="99">
        <v>117864</v>
      </c>
      <c r="P9" s="99">
        <v>0</v>
      </c>
      <c r="Q9" s="99">
        <v>0</v>
      </c>
      <c r="R9" s="99">
        <v>2772</v>
      </c>
      <c r="S9" s="99">
        <v>75984</v>
      </c>
      <c r="T9" s="39">
        <v>517932</v>
      </c>
      <c r="U9" s="39">
        <v>2826348</v>
      </c>
      <c r="V9" s="99">
        <v>364884</v>
      </c>
      <c r="W9" s="99">
        <v>7363332</v>
      </c>
      <c r="X9" s="83"/>
      <c r="Y9" s="50">
        <v>-3323135</v>
      </c>
      <c r="Z9" s="50">
        <v>0</v>
      </c>
      <c r="AA9" s="50">
        <v>-6193</v>
      </c>
      <c r="AB9" s="50">
        <v>-35897</v>
      </c>
      <c r="AC9" s="50">
        <v>-227</v>
      </c>
      <c r="AD9" s="50">
        <v>-13841</v>
      </c>
      <c r="AE9" s="50">
        <v>245210</v>
      </c>
      <c r="AF9" s="50">
        <v>2338696</v>
      </c>
      <c r="AG9" s="50">
        <v>364884</v>
      </c>
      <c r="AH9" s="50">
        <v>-430503</v>
      </c>
    </row>
    <row r="10" spans="1:34" x14ac:dyDescent="0.3">
      <c r="A10" s="26">
        <v>6</v>
      </c>
      <c r="B10" s="26">
        <v>2029</v>
      </c>
      <c r="C10" s="99">
        <v>6780683</v>
      </c>
      <c r="D10" s="99">
        <v>78576</v>
      </c>
      <c r="E10" s="99">
        <v>6193</v>
      </c>
      <c r="F10" s="99">
        <v>35897</v>
      </c>
      <c r="G10" s="99">
        <v>2999</v>
      </c>
      <c r="H10" s="99">
        <v>89825</v>
      </c>
      <c r="I10" s="39">
        <v>272722</v>
      </c>
      <c r="J10" s="39">
        <v>487652</v>
      </c>
      <c r="K10" s="99">
        <v>0</v>
      </c>
      <c r="L10" s="99">
        <v>7754547</v>
      </c>
      <c r="M10" s="39">
        <v>-430503</v>
      </c>
      <c r="N10" s="99">
        <v>3457548</v>
      </c>
      <c r="O10" s="99">
        <v>78576</v>
      </c>
      <c r="P10" s="99">
        <v>0</v>
      </c>
      <c r="Q10" s="99">
        <v>0</v>
      </c>
      <c r="R10" s="99">
        <v>2772</v>
      </c>
      <c r="S10" s="99">
        <v>75984</v>
      </c>
      <c r="T10" s="39">
        <v>517932</v>
      </c>
      <c r="U10" s="39">
        <v>2826348</v>
      </c>
      <c r="V10" s="99">
        <v>364884</v>
      </c>
      <c r="W10" s="99">
        <v>7324044</v>
      </c>
      <c r="X10" s="83"/>
      <c r="Y10" s="50">
        <v>-3323135</v>
      </c>
      <c r="Z10" s="50">
        <v>0</v>
      </c>
      <c r="AA10" s="50">
        <v>-6193</v>
      </c>
      <c r="AB10" s="50">
        <v>-35897</v>
      </c>
      <c r="AC10" s="50">
        <v>-227</v>
      </c>
      <c r="AD10" s="50">
        <v>-13841</v>
      </c>
      <c r="AE10" s="50">
        <v>245210</v>
      </c>
      <c r="AF10" s="50">
        <v>2338696</v>
      </c>
      <c r="AG10" s="50">
        <v>364884</v>
      </c>
      <c r="AH10" s="50">
        <v>-430503</v>
      </c>
    </row>
    <row r="11" spans="1:34" x14ac:dyDescent="0.3">
      <c r="A11" s="26">
        <v>7</v>
      </c>
      <c r="B11" s="26">
        <v>2030</v>
      </c>
      <c r="C11" s="99">
        <v>6780683</v>
      </c>
      <c r="D11" s="99">
        <v>0</v>
      </c>
      <c r="E11" s="99">
        <v>6193</v>
      </c>
      <c r="F11" s="99">
        <v>35897</v>
      </c>
      <c r="G11" s="99">
        <v>2999</v>
      </c>
      <c r="H11" s="99">
        <v>89825</v>
      </c>
      <c r="I11" s="39">
        <v>272722</v>
      </c>
      <c r="J11" s="39">
        <v>487652</v>
      </c>
      <c r="K11" s="99">
        <v>0</v>
      </c>
      <c r="L11" s="99">
        <v>7675971</v>
      </c>
      <c r="M11" s="39">
        <v>-463899</v>
      </c>
      <c r="N11" s="99">
        <v>3457548</v>
      </c>
      <c r="O11" s="99">
        <v>0</v>
      </c>
      <c r="P11" s="99">
        <v>0</v>
      </c>
      <c r="Q11" s="99">
        <v>0</v>
      </c>
      <c r="R11" s="99">
        <v>2772</v>
      </c>
      <c r="S11" s="99">
        <v>75984</v>
      </c>
      <c r="T11" s="39">
        <v>484536</v>
      </c>
      <c r="U11" s="39">
        <v>2826348</v>
      </c>
      <c r="V11" s="99">
        <v>364884</v>
      </c>
      <c r="W11" s="99">
        <v>7212072</v>
      </c>
      <c r="X11" s="83"/>
      <c r="Y11" s="50">
        <v>-3323135</v>
      </c>
      <c r="Z11" s="50">
        <v>0</v>
      </c>
      <c r="AA11" s="50">
        <v>-6193</v>
      </c>
      <c r="AB11" s="50">
        <v>-35897</v>
      </c>
      <c r="AC11" s="50">
        <v>-227</v>
      </c>
      <c r="AD11" s="50">
        <v>-13841</v>
      </c>
      <c r="AE11" s="50">
        <v>211814</v>
      </c>
      <c r="AF11" s="50">
        <v>2338696</v>
      </c>
      <c r="AG11" s="50">
        <v>364884</v>
      </c>
      <c r="AH11" s="50">
        <v>-463899</v>
      </c>
    </row>
    <row r="12" spans="1:34" x14ac:dyDescent="0.3">
      <c r="A12" s="26">
        <v>8</v>
      </c>
      <c r="B12" s="26">
        <v>2031</v>
      </c>
      <c r="C12" s="99">
        <v>6780683</v>
      </c>
      <c r="D12" s="99">
        <v>0</v>
      </c>
      <c r="E12" s="99">
        <v>6193</v>
      </c>
      <c r="F12" s="99">
        <v>35897</v>
      </c>
      <c r="G12" s="99">
        <v>2999</v>
      </c>
      <c r="H12" s="99">
        <v>89825</v>
      </c>
      <c r="I12" s="39">
        <v>272722</v>
      </c>
      <c r="J12" s="39">
        <v>487652</v>
      </c>
      <c r="K12" s="99">
        <v>0</v>
      </c>
      <c r="L12" s="99">
        <v>7675971</v>
      </c>
      <c r="M12" s="39">
        <v>-530691</v>
      </c>
      <c r="N12" s="99">
        <v>3457548</v>
      </c>
      <c r="O12" s="99">
        <v>0</v>
      </c>
      <c r="P12" s="99">
        <v>0</v>
      </c>
      <c r="Q12" s="99">
        <v>0</v>
      </c>
      <c r="R12" s="99">
        <v>2772</v>
      </c>
      <c r="S12" s="99">
        <v>75984</v>
      </c>
      <c r="T12" s="39">
        <v>417744</v>
      </c>
      <c r="U12" s="39">
        <v>2826348</v>
      </c>
      <c r="V12" s="99">
        <v>364884</v>
      </c>
      <c r="W12" s="99">
        <v>7145280</v>
      </c>
      <c r="X12" s="83"/>
      <c r="Y12" s="50">
        <v>-3323135</v>
      </c>
      <c r="Z12" s="50">
        <v>0</v>
      </c>
      <c r="AA12" s="50">
        <v>-6193</v>
      </c>
      <c r="AB12" s="50">
        <v>-35897</v>
      </c>
      <c r="AC12" s="50">
        <v>-227</v>
      </c>
      <c r="AD12" s="50">
        <v>-13841</v>
      </c>
      <c r="AE12" s="50">
        <v>145022</v>
      </c>
      <c r="AF12" s="50">
        <v>2338696</v>
      </c>
      <c r="AG12" s="50">
        <v>364884</v>
      </c>
      <c r="AH12" s="50">
        <v>-530691</v>
      </c>
    </row>
    <row r="13" spans="1:34" x14ac:dyDescent="0.3">
      <c r="A13" s="26">
        <v>9</v>
      </c>
      <c r="B13" s="26">
        <v>2032</v>
      </c>
      <c r="C13" s="99">
        <v>6780683</v>
      </c>
      <c r="D13" s="99">
        <v>0</v>
      </c>
      <c r="E13" s="99">
        <v>6193</v>
      </c>
      <c r="F13" s="99">
        <v>35897</v>
      </c>
      <c r="G13" s="99">
        <v>2999</v>
      </c>
      <c r="H13" s="99">
        <v>89825</v>
      </c>
      <c r="I13" s="39">
        <v>272722</v>
      </c>
      <c r="J13" s="39">
        <v>487652</v>
      </c>
      <c r="K13" s="99">
        <v>0</v>
      </c>
      <c r="L13" s="99">
        <v>7675971</v>
      </c>
      <c r="M13" s="39">
        <v>-1135875</v>
      </c>
      <c r="N13" s="99">
        <v>3457548</v>
      </c>
      <c r="O13" s="99">
        <v>0</v>
      </c>
      <c r="P13" s="99">
        <v>0</v>
      </c>
      <c r="Q13" s="99">
        <v>0</v>
      </c>
      <c r="R13" s="99">
        <v>2772</v>
      </c>
      <c r="S13" s="99">
        <v>75984</v>
      </c>
      <c r="T13" s="39">
        <v>417744</v>
      </c>
      <c r="U13" s="39">
        <v>2221164</v>
      </c>
      <c r="V13" s="99">
        <v>364884</v>
      </c>
      <c r="W13" s="99">
        <v>6540096</v>
      </c>
      <c r="X13" s="83"/>
      <c r="Y13" s="50">
        <v>-3323135</v>
      </c>
      <c r="Z13" s="50">
        <v>0</v>
      </c>
      <c r="AA13" s="50">
        <v>-6193</v>
      </c>
      <c r="AB13" s="50">
        <v>-35897</v>
      </c>
      <c r="AC13" s="50">
        <v>-227</v>
      </c>
      <c r="AD13" s="50">
        <v>-13841</v>
      </c>
      <c r="AE13" s="50">
        <v>145022</v>
      </c>
      <c r="AF13" s="50">
        <v>1733512</v>
      </c>
      <c r="AG13" s="50">
        <v>364884</v>
      </c>
      <c r="AH13" s="50">
        <v>-1135875</v>
      </c>
    </row>
    <row r="14" spans="1:34" x14ac:dyDescent="0.3">
      <c r="A14" s="26">
        <v>10</v>
      </c>
      <c r="B14" s="26">
        <v>2033</v>
      </c>
      <c r="C14" s="99">
        <v>6780683</v>
      </c>
      <c r="D14" s="99">
        <v>0</v>
      </c>
      <c r="E14" s="99">
        <v>6193</v>
      </c>
      <c r="F14" s="99">
        <v>35897</v>
      </c>
      <c r="G14" s="99">
        <v>2999</v>
      </c>
      <c r="H14" s="99">
        <v>89825</v>
      </c>
      <c r="I14" s="39">
        <v>272722</v>
      </c>
      <c r="J14" s="39">
        <v>487652</v>
      </c>
      <c r="K14" s="99">
        <v>0</v>
      </c>
      <c r="L14" s="99">
        <v>7675971</v>
      </c>
      <c r="M14" s="39">
        <v>-1135875</v>
      </c>
      <c r="N14" s="99">
        <v>3457548</v>
      </c>
      <c r="O14" s="99">
        <v>0</v>
      </c>
      <c r="P14" s="99">
        <v>0</v>
      </c>
      <c r="Q14" s="99">
        <v>0</v>
      </c>
      <c r="R14" s="99">
        <v>2772</v>
      </c>
      <c r="S14" s="99">
        <v>75984</v>
      </c>
      <c r="T14" s="39">
        <v>417744</v>
      </c>
      <c r="U14" s="39">
        <v>2221164</v>
      </c>
      <c r="V14" s="99">
        <v>364884</v>
      </c>
      <c r="W14" s="99">
        <v>6540096</v>
      </c>
      <c r="X14" s="83"/>
      <c r="Y14" s="50">
        <v>-3323135</v>
      </c>
      <c r="Z14" s="50">
        <v>0</v>
      </c>
      <c r="AA14" s="50">
        <v>-6193</v>
      </c>
      <c r="AB14" s="50">
        <v>-35897</v>
      </c>
      <c r="AC14" s="50">
        <v>-227</v>
      </c>
      <c r="AD14" s="50">
        <v>-13841</v>
      </c>
      <c r="AE14" s="50">
        <v>145022</v>
      </c>
      <c r="AF14" s="50">
        <v>1733512</v>
      </c>
      <c r="AG14" s="50">
        <v>364884</v>
      </c>
      <c r="AH14" s="50">
        <v>-1135875</v>
      </c>
    </row>
    <row r="15" spans="1:34" x14ac:dyDescent="0.3">
      <c r="A15" s="26">
        <v>11</v>
      </c>
      <c r="B15" s="26">
        <v>2034</v>
      </c>
      <c r="C15" s="99">
        <v>6780683</v>
      </c>
      <c r="D15" s="99">
        <v>0</v>
      </c>
      <c r="E15" s="99">
        <v>6193</v>
      </c>
      <c r="F15" s="99">
        <v>35897</v>
      </c>
      <c r="G15" s="99">
        <v>2999</v>
      </c>
      <c r="H15" s="99">
        <v>89825</v>
      </c>
      <c r="I15" s="39">
        <v>272722</v>
      </c>
      <c r="J15" s="39">
        <v>487652</v>
      </c>
      <c r="K15" s="99">
        <v>0</v>
      </c>
      <c r="L15" s="99">
        <v>7675971</v>
      </c>
      <c r="M15" s="39">
        <v>-1135875</v>
      </c>
      <c r="N15" s="99">
        <v>3457548</v>
      </c>
      <c r="O15" s="99">
        <v>0</v>
      </c>
      <c r="P15" s="99">
        <v>0</v>
      </c>
      <c r="Q15" s="99">
        <v>0</v>
      </c>
      <c r="R15" s="99">
        <v>2772</v>
      </c>
      <c r="S15" s="99">
        <v>75984</v>
      </c>
      <c r="T15" s="39">
        <v>417744</v>
      </c>
      <c r="U15" s="39">
        <v>2221164</v>
      </c>
      <c r="V15" s="99">
        <v>364884</v>
      </c>
      <c r="W15" s="99">
        <v>6540096</v>
      </c>
      <c r="X15" s="83"/>
      <c r="Y15" s="50">
        <v>-3323135</v>
      </c>
      <c r="Z15" s="50">
        <v>0</v>
      </c>
      <c r="AA15" s="50">
        <v>-6193</v>
      </c>
      <c r="AB15" s="50">
        <v>-35897</v>
      </c>
      <c r="AC15" s="50">
        <v>-227</v>
      </c>
      <c r="AD15" s="50">
        <v>-13841</v>
      </c>
      <c r="AE15" s="50">
        <v>145022</v>
      </c>
      <c r="AF15" s="50">
        <v>1733512</v>
      </c>
      <c r="AG15" s="50">
        <v>364884</v>
      </c>
      <c r="AH15" s="50">
        <v>-1135875</v>
      </c>
    </row>
    <row r="16" spans="1:34" x14ac:dyDescent="0.3">
      <c r="A16" s="26">
        <v>12</v>
      </c>
      <c r="B16" s="26">
        <v>2035</v>
      </c>
      <c r="C16" s="99">
        <v>6780683</v>
      </c>
      <c r="D16" s="99">
        <v>0</v>
      </c>
      <c r="E16" s="99">
        <v>6193</v>
      </c>
      <c r="F16" s="99">
        <v>35897</v>
      </c>
      <c r="G16" s="99">
        <v>2999</v>
      </c>
      <c r="H16" s="99">
        <v>89825</v>
      </c>
      <c r="I16" s="39">
        <v>272722</v>
      </c>
      <c r="J16" s="39">
        <v>487652</v>
      </c>
      <c r="K16" s="99">
        <v>0</v>
      </c>
      <c r="L16" s="99">
        <v>7675971</v>
      </c>
      <c r="M16" s="39">
        <v>-1190931</v>
      </c>
      <c r="N16" s="99">
        <v>3457548</v>
      </c>
      <c r="O16" s="99">
        <v>0</v>
      </c>
      <c r="P16" s="99">
        <v>0</v>
      </c>
      <c r="Q16" s="99">
        <v>0</v>
      </c>
      <c r="R16" s="99">
        <v>2772</v>
      </c>
      <c r="S16" s="99">
        <v>75984</v>
      </c>
      <c r="T16" s="39">
        <v>362688</v>
      </c>
      <c r="U16" s="39">
        <v>2221164</v>
      </c>
      <c r="V16" s="99">
        <v>364884</v>
      </c>
      <c r="W16" s="99">
        <v>6485040</v>
      </c>
      <c r="X16" s="83"/>
      <c r="Y16" s="50">
        <v>-3323135</v>
      </c>
      <c r="Z16" s="50">
        <v>0</v>
      </c>
      <c r="AA16" s="50">
        <v>-6193</v>
      </c>
      <c r="AB16" s="50">
        <v>-35897</v>
      </c>
      <c r="AC16" s="50">
        <v>-227</v>
      </c>
      <c r="AD16" s="50">
        <v>-13841</v>
      </c>
      <c r="AE16" s="50">
        <v>89966</v>
      </c>
      <c r="AF16" s="50">
        <v>1733512</v>
      </c>
      <c r="AG16" s="50">
        <v>364884</v>
      </c>
      <c r="AH16" s="50">
        <v>-1190931</v>
      </c>
    </row>
    <row r="17" spans="1:34" x14ac:dyDescent="0.3">
      <c r="A17" s="26">
        <v>13</v>
      </c>
      <c r="B17" s="26">
        <v>2036</v>
      </c>
      <c r="C17" s="99">
        <v>6780683</v>
      </c>
      <c r="D17" s="99">
        <v>0</v>
      </c>
      <c r="E17" s="99">
        <v>6193</v>
      </c>
      <c r="F17" s="99">
        <v>35897</v>
      </c>
      <c r="G17" s="99">
        <v>2999</v>
      </c>
      <c r="H17" s="99">
        <v>89825</v>
      </c>
      <c r="I17" s="39">
        <v>272722</v>
      </c>
      <c r="J17" s="39">
        <v>487652</v>
      </c>
      <c r="K17" s="99">
        <v>0</v>
      </c>
      <c r="L17" s="99">
        <v>7675971</v>
      </c>
      <c r="M17" s="39">
        <v>-1301043</v>
      </c>
      <c r="N17" s="99">
        <v>3457548</v>
      </c>
      <c r="O17" s="99">
        <v>0</v>
      </c>
      <c r="P17" s="99">
        <v>0</v>
      </c>
      <c r="Q17" s="99">
        <v>0</v>
      </c>
      <c r="R17" s="99">
        <v>2772</v>
      </c>
      <c r="S17" s="99">
        <v>75984</v>
      </c>
      <c r="T17" s="39">
        <v>252576</v>
      </c>
      <c r="U17" s="39">
        <v>2221164</v>
      </c>
      <c r="V17" s="99">
        <v>364884</v>
      </c>
      <c r="W17" s="99">
        <v>6374928</v>
      </c>
      <c r="X17" s="83"/>
      <c r="Y17" s="50">
        <v>-3323135</v>
      </c>
      <c r="Z17" s="50">
        <v>0</v>
      </c>
      <c r="AA17" s="50">
        <v>-6193</v>
      </c>
      <c r="AB17" s="50">
        <v>-35897</v>
      </c>
      <c r="AC17" s="50">
        <v>-227</v>
      </c>
      <c r="AD17" s="50">
        <v>-13841</v>
      </c>
      <c r="AE17" s="50">
        <v>-20146</v>
      </c>
      <c r="AF17" s="50">
        <v>1733512</v>
      </c>
      <c r="AG17" s="50">
        <v>364884</v>
      </c>
      <c r="AH17" s="50">
        <v>-1301043</v>
      </c>
    </row>
    <row r="18" spans="1:34" x14ac:dyDescent="0.3">
      <c r="A18" s="26">
        <v>14</v>
      </c>
      <c r="B18" s="26">
        <v>2037</v>
      </c>
      <c r="C18" s="99">
        <v>6780683</v>
      </c>
      <c r="D18" s="99">
        <v>0</v>
      </c>
      <c r="E18" s="99">
        <v>6193</v>
      </c>
      <c r="F18" s="99">
        <v>35897</v>
      </c>
      <c r="G18" s="99">
        <v>2999</v>
      </c>
      <c r="H18" s="99">
        <v>89825</v>
      </c>
      <c r="I18" s="39">
        <v>272722</v>
      </c>
      <c r="J18" s="39">
        <v>487652</v>
      </c>
      <c r="K18" s="99">
        <v>0</v>
      </c>
      <c r="L18" s="99">
        <v>7675971</v>
      </c>
      <c r="M18" s="39">
        <v>-1301043</v>
      </c>
      <c r="N18" s="99">
        <v>3457548</v>
      </c>
      <c r="O18" s="99">
        <v>0</v>
      </c>
      <c r="P18" s="99">
        <v>0</v>
      </c>
      <c r="Q18" s="99">
        <v>0</v>
      </c>
      <c r="R18" s="99">
        <v>2772</v>
      </c>
      <c r="S18" s="99">
        <v>75984</v>
      </c>
      <c r="T18" s="39">
        <v>252576</v>
      </c>
      <c r="U18" s="39">
        <v>2221164</v>
      </c>
      <c r="V18" s="99">
        <v>364884</v>
      </c>
      <c r="W18" s="99">
        <v>6374928</v>
      </c>
      <c r="X18" s="83"/>
      <c r="Y18" s="50">
        <v>-3323135</v>
      </c>
      <c r="Z18" s="50">
        <v>0</v>
      </c>
      <c r="AA18" s="50">
        <v>-6193</v>
      </c>
      <c r="AB18" s="50">
        <v>-35897</v>
      </c>
      <c r="AC18" s="50">
        <v>-227</v>
      </c>
      <c r="AD18" s="50">
        <v>-13841</v>
      </c>
      <c r="AE18" s="50">
        <v>-20146</v>
      </c>
      <c r="AF18" s="50">
        <v>1733512</v>
      </c>
      <c r="AG18" s="50">
        <v>364884</v>
      </c>
      <c r="AH18" s="50">
        <v>-1301043</v>
      </c>
    </row>
    <row r="19" spans="1:34" x14ac:dyDescent="0.3">
      <c r="A19" s="26">
        <v>15</v>
      </c>
      <c r="B19" s="26">
        <v>2038</v>
      </c>
      <c r="C19" s="99">
        <v>6780683</v>
      </c>
      <c r="D19" s="99">
        <v>0</v>
      </c>
      <c r="E19" s="99">
        <v>6193</v>
      </c>
      <c r="F19" s="99">
        <v>35897</v>
      </c>
      <c r="G19" s="99">
        <v>2999</v>
      </c>
      <c r="H19" s="99">
        <v>89825</v>
      </c>
      <c r="I19" s="39">
        <v>272722</v>
      </c>
      <c r="J19" s="39">
        <v>487652</v>
      </c>
      <c r="K19" s="99">
        <v>0</v>
      </c>
      <c r="L19" s="99">
        <v>7675971</v>
      </c>
      <c r="M19" s="39">
        <v>-1301043</v>
      </c>
      <c r="N19" s="99">
        <v>3457548</v>
      </c>
      <c r="O19" s="99">
        <v>0</v>
      </c>
      <c r="P19" s="99">
        <v>0</v>
      </c>
      <c r="Q19" s="99">
        <v>0</v>
      </c>
      <c r="R19" s="99">
        <v>2772</v>
      </c>
      <c r="S19" s="99">
        <v>75984</v>
      </c>
      <c r="T19" s="39">
        <v>252576</v>
      </c>
      <c r="U19" s="39">
        <v>2221164</v>
      </c>
      <c r="V19" s="99">
        <v>364884</v>
      </c>
      <c r="W19" s="99">
        <v>6374928</v>
      </c>
      <c r="X19" s="83"/>
      <c r="Y19" s="50">
        <v>-3323135</v>
      </c>
      <c r="Z19" s="50">
        <v>0</v>
      </c>
      <c r="AA19" s="50">
        <v>-6193</v>
      </c>
      <c r="AB19" s="50">
        <v>-35897</v>
      </c>
      <c r="AC19" s="50">
        <v>-227</v>
      </c>
      <c r="AD19" s="50">
        <v>-13841</v>
      </c>
      <c r="AE19" s="50">
        <v>-20146</v>
      </c>
      <c r="AF19" s="50">
        <v>1733512</v>
      </c>
      <c r="AG19" s="50">
        <v>364884</v>
      </c>
      <c r="AH19" s="50">
        <v>-1301043</v>
      </c>
    </row>
    <row r="20" spans="1:34" x14ac:dyDescent="0.3">
      <c r="A20" s="26">
        <v>16</v>
      </c>
      <c r="B20" s="26">
        <v>2039</v>
      </c>
      <c r="C20" s="99">
        <v>6780683</v>
      </c>
      <c r="D20" s="99">
        <v>0</v>
      </c>
      <c r="E20" s="99">
        <v>6193</v>
      </c>
      <c r="F20" s="99">
        <v>35897</v>
      </c>
      <c r="G20" s="99">
        <v>2999</v>
      </c>
      <c r="H20" s="99">
        <v>89825</v>
      </c>
      <c r="I20" s="39">
        <v>272722</v>
      </c>
      <c r="J20" s="39">
        <v>487652</v>
      </c>
      <c r="K20" s="99">
        <v>0</v>
      </c>
      <c r="L20" s="99">
        <v>7675971</v>
      </c>
      <c r="M20" s="39">
        <v>-1301043</v>
      </c>
      <c r="N20" s="99">
        <v>3457548</v>
      </c>
      <c r="O20" s="99">
        <v>0</v>
      </c>
      <c r="P20" s="99">
        <v>0</v>
      </c>
      <c r="Q20" s="99">
        <v>0</v>
      </c>
      <c r="R20" s="99">
        <v>2772</v>
      </c>
      <c r="S20" s="99">
        <v>75984</v>
      </c>
      <c r="T20" s="39">
        <v>252576</v>
      </c>
      <c r="U20" s="39">
        <v>2221164</v>
      </c>
      <c r="V20" s="99">
        <v>364884</v>
      </c>
      <c r="W20" s="99">
        <v>6374928</v>
      </c>
      <c r="X20" s="83"/>
      <c r="Y20" s="50">
        <v>-3323135</v>
      </c>
      <c r="Z20" s="50">
        <v>0</v>
      </c>
      <c r="AA20" s="50">
        <v>-6193</v>
      </c>
      <c r="AB20" s="50">
        <v>-35897</v>
      </c>
      <c r="AC20" s="50">
        <v>-227</v>
      </c>
      <c r="AD20" s="50">
        <v>-13841</v>
      </c>
      <c r="AE20" s="50">
        <v>-20146</v>
      </c>
      <c r="AF20" s="50">
        <v>1733512</v>
      </c>
      <c r="AG20" s="50">
        <v>364884</v>
      </c>
      <c r="AH20" s="50">
        <v>-1301043</v>
      </c>
    </row>
    <row r="21" spans="1:34" x14ac:dyDescent="0.3">
      <c r="A21" s="26">
        <v>17</v>
      </c>
      <c r="B21" s="26">
        <v>2040</v>
      </c>
      <c r="C21" s="99">
        <v>6780683</v>
      </c>
      <c r="D21" s="99">
        <v>0</v>
      </c>
      <c r="E21" s="99">
        <v>6193</v>
      </c>
      <c r="F21" s="99">
        <v>35897</v>
      </c>
      <c r="G21" s="99">
        <v>2999</v>
      </c>
      <c r="H21" s="99">
        <v>89825</v>
      </c>
      <c r="I21" s="39">
        <v>272722</v>
      </c>
      <c r="J21" s="39">
        <v>487652</v>
      </c>
      <c r="K21" s="99">
        <v>0</v>
      </c>
      <c r="L21" s="99">
        <v>7675971</v>
      </c>
      <c r="M21" s="39">
        <v>-1301043</v>
      </c>
      <c r="N21" s="99">
        <v>3457548</v>
      </c>
      <c r="O21" s="99">
        <v>0</v>
      </c>
      <c r="P21" s="99">
        <v>0</v>
      </c>
      <c r="Q21" s="99">
        <v>0</v>
      </c>
      <c r="R21" s="99">
        <v>2772</v>
      </c>
      <c r="S21" s="99">
        <v>75984</v>
      </c>
      <c r="T21" s="39">
        <v>252576</v>
      </c>
      <c r="U21" s="39">
        <v>2221164</v>
      </c>
      <c r="V21" s="99">
        <v>364884</v>
      </c>
      <c r="W21" s="99">
        <v>6374928</v>
      </c>
      <c r="X21" s="83"/>
      <c r="Y21" s="50">
        <v>-3323135</v>
      </c>
      <c r="Z21" s="50">
        <v>0</v>
      </c>
      <c r="AA21" s="50">
        <v>-6193</v>
      </c>
      <c r="AB21" s="50">
        <v>-35897</v>
      </c>
      <c r="AC21" s="50">
        <v>-227</v>
      </c>
      <c r="AD21" s="50">
        <v>-13841</v>
      </c>
      <c r="AE21" s="50">
        <v>-20146</v>
      </c>
      <c r="AF21" s="50">
        <v>1733512</v>
      </c>
      <c r="AG21" s="50">
        <v>364884</v>
      </c>
      <c r="AH21" s="50">
        <v>-1301043</v>
      </c>
    </row>
    <row r="22" spans="1:34" x14ac:dyDescent="0.3">
      <c r="A22" s="26">
        <v>18</v>
      </c>
      <c r="B22" s="26">
        <v>2041</v>
      </c>
      <c r="C22" s="99">
        <v>6780683</v>
      </c>
      <c r="D22" s="99">
        <v>0</v>
      </c>
      <c r="E22" s="99">
        <v>6193</v>
      </c>
      <c r="F22" s="99">
        <v>35897</v>
      </c>
      <c r="G22" s="99">
        <v>2999</v>
      </c>
      <c r="H22" s="99">
        <v>89825</v>
      </c>
      <c r="I22" s="39">
        <v>272722</v>
      </c>
      <c r="J22" s="39">
        <v>487652</v>
      </c>
      <c r="K22" s="99">
        <v>0</v>
      </c>
      <c r="L22" s="99">
        <v>7675971</v>
      </c>
      <c r="M22" s="39">
        <v>-1301043</v>
      </c>
      <c r="N22" s="99">
        <v>3457548</v>
      </c>
      <c r="O22" s="99">
        <v>0</v>
      </c>
      <c r="P22" s="99">
        <v>0</v>
      </c>
      <c r="Q22" s="99">
        <v>0</v>
      </c>
      <c r="R22" s="99">
        <v>2772</v>
      </c>
      <c r="S22" s="99">
        <v>75984</v>
      </c>
      <c r="T22" s="39">
        <v>252576</v>
      </c>
      <c r="U22" s="39">
        <v>2221164</v>
      </c>
      <c r="V22" s="99">
        <v>364884</v>
      </c>
      <c r="W22" s="99">
        <v>6374928</v>
      </c>
      <c r="X22" s="83"/>
      <c r="Y22" s="50">
        <v>-3323135</v>
      </c>
      <c r="Z22" s="50">
        <v>0</v>
      </c>
      <c r="AA22" s="50">
        <v>-6193</v>
      </c>
      <c r="AB22" s="50">
        <v>-35897</v>
      </c>
      <c r="AC22" s="50">
        <v>-227</v>
      </c>
      <c r="AD22" s="50">
        <v>-13841</v>
      </c>
      <c r="AE22" s="50">
        <v>-20146</v>
      </c>
      <c r="AF22" s="50">
        <v>1733512</v>
      </c>
      <c r="AG22" s="50">
        <v>364884</v>
      </c>
      <c r="AH22" s="50">
        <v>-1301043</v>
      </c>
    </row>
    <row r="23" spans="1:34" x14ac:dyDescent="0.3">
      <c r="A23" s="26">
        <v>19</v>
      </c>
      <c r="B23" s="26">
        <v>2042</v>
      </c>
      <c r="C23" s="99">
        <v>6780683</v>
      </c>
      <c r="D23" s="99">
        <v>0</v>
      </c>
      <c r="E23" s="99">
        <v>6193</v>
      </c>
      <c r="F23" s="99">
        <v>35897</v>
      </c>
      <c r="G23" s="99">
        <v>2999</v>
      </c>
      <c r="H23" s="99">
        <v>89825</v>
      </c>
      <c r="I23" s="39">
        <v>272722</v>
      </c>
      <c r="J23" s="39">
        <v>487652</v>
      </c>
      <c r="K23" s="99">
        <v>0</v>
      </c>
      <c r="L23" s="99">
        <v>7675971</v>
      </c>
      <c r="M23" s="39">
        <v>-1301043</v>
      </c>
      <c r="N23" s="99">
        <v>3457548</v>
      </c>
      <c r="O23" s="99">
        <v>0</v>
      </c>
      <c r="P23" s="99">
        <v>0</v>
      </c>
      <c r="Q23" s="99">
        <v>0</v>
      </c>
      <c r="R23" s="99">
        <v>2772</v>
      </c>
      <c r="S23" s="99">
        <v>75984</v>
      </c>
      <c r="T23" s="39">
        <v>252576</v>
      </c>
      <c r="U23" s="39">
        <v>2221164</v>
      </c>
      <c r="V23" s="99">
        <v>364884</v>
      </c>
      <c r="W23" s="99">
        <v>6374928</v>
      </c>
      <c r="X23" s="83"/>
      <c r="Y23" s="50">
        <v>-3323135</v>
      </c>
      <c r="Z23" s="50">
        <v>0</v>
      </c>
      <c r="AA23" s="50">
        <v>-6193</v>
      </c>
      <c r="AB23" s="50">
        <v>-35897</v>
      </c>
      <c r="AC23" s="50">
        <v>-227</v>
      </c>
      <c r="AD23" s="50">
        <v>-13841</v>
      </c>
      <c r="AE23" s="50">
        <v>-20146</v>
      </c>
      <c r="AF23" s="50">
        <v>1733512</v>
      </c>
      <c r="AG23" s="50">
        <v>364884</v>
      </c>
      <c r="AH23" s="50">
        <v>-1301043</v>
      </c>
    </row>
    <row r="24" spans="1:34" x14ac:dyDescent="0.3">
      <c r="A24" s="26">
        <v>20</v>
      </c>
      <c r="B24" s="26">
        <v>2043</v>
      </c>
      <c r="C24" s="99">
        <v>6780683</v>
      </c>
      <c r="D24" s="99">
        <v>0</v>
      </c>
      <c r="E24" s="99">
        <v>6193</v>
      </c>
      <c r="F24" s="99">
        <v>35897</v>
      </c>
      <c r="G24" s="99">
        <v>2999</v>
      </c>
      <c r="H24" s="99">
        <v>89825</v>
      </c>
      <c r="I24" s="39">
        <v>272722</v>
      </c>
      <c r="J24" s="39">
        <v>487652</v>
      </c>
      <c r="K24" s="99">
        <v>0</v>
      </c>
      <c r="L24" s="99">
        <v>7675971</v>
      </c>
      <c r="M24" s="39">
        <v>-1301043</v>
      </c>
      <c r="N24" s="99">
        <v>3457548</v>
      </c>
      <c r="O24" s="99">
        <v>0</v>
      </c>
      <c r="P24" s="99">
        <v>0</v>
      </c>
      <c r="Q24" s="99">
        <v>0</v>
      </c>
      <c r="R24" s="99">
        <v>2772</v>
      </c>
      <c r="S24" s="99">
        <v>75984</v>
      </c>
      <c r="T24" s="39">
        <v>252576</v>
      </c>
      <c r="U24" s="39">
        <v>2221164</v>
      </c>
      <c r="V24" s="99">
        <v>364884</v>
      </c>
      <c r="W24" s="99">
        <v>6374928</v>
      </c>
      <c r="X24" s="83"/>
      <c r="Y24" s="50">
        <v>-3323135</v>
      </c>
      <c r="Z24" s="50">
        <v>0</v>
      </c>
      <c r="AA24" s="50">
        <v>-6193</v>
      </c>
      <c r="AB24" s="50">
        <v>-35897</v>
      </c>
      <c r="AC24" s="50">
        <v>-227</v>
      </c>
      <c r="AD24" s="50">
        <v>-13841</v>
      </c>
      <c r="AE24" s="50">
        <v>-20146</v>
      </c>
      <c r="AF24" s="50">
        <v>1733512</v>
      </c>
      <c r="AG24" s="50">
        <v>364884</v>
      </c>
      <c r="AH24" s="50">
        <v>-1301043</v>
      </c>
    </row>
    <row r="25" spans="1:34" x14ac:dyDescent="0.3">
      <c r="A25" s="26">
        <v>21</v>
      </c>
      <c r="B25" s="26" t="s">
        <v>30</v>
      </c>
      <c r="C25" s="99">
        <v>1676336</v>
      </c>
      <c r="D25" s="99">
        <v>0</v>
      </c>
      <c r="E25" s="99">
        <v>1549</v>
      </c>
      <c r="F25" s="99">
        <v>8975</v>
      </c>
      <c r="G25" s="99">
        <v>750</v>
      </c>
      <c r="H25" s="99">
        <v>23870</v>
      </c>
      <c r="I25" s="39">
        <v>90907</v>
      </c>
      <c r="J25" s="39">
        <v>487652</v>
      </c>
      <c r="K25" s="99">
        <v>0</v>
      </c>
      <c r="L25" s="99">
        <v>2290039</v>
      </c>
      <c r="M25" s="39">
        <v>-165063</v>
      </c>
      <c r="N25" s="99">
        <v>1152516</v>
      </c>
      <c r="O25" s="99">
        <v>0</v>
      </c>
      <c r="P25" s="99">
        <v>0</v>
      </c>
      <c r="Q25" s="99">
        <v>0</v>
      </c>
      <c r="R25" s="99">
        <v>924</v>
      </c>
      <c r="S25" s="99">
        <v>25328</v>
      </c>
      <c r="T25" s="39">
        <v>84192</v>
      </c>
      <c r="U25" s="39">
        <v>740388</v>
      </c>
      <c r="V25" s="99">
        <v>121628</v>
      </c>
      <c r="W25" s="99">
        <v>2124976</v>
      </c>
      <c r="X25" s="83"/>
      <c r="Y25" s="50">
        <v>-523820</v>
      </c>
      <c r="Z25" s="50">
        <v>0</v>
      </c>
      <c r="AA25" s="50">
        <v>-1549</v>
      </c>
      <c r="AB25" s="50">
        <v>-8975</v>
      </c>
      <c r="AC25" s="50">
        <v>174</v>
      </c>
      <c r="AD25" s="50">
        <v>1458</v>
      </c>
      <c r="AE25" s="50">
        <v>-6715</v>
      </c>
      <c r="AF25" s="50">
        <v>252736</v>
      </c>
      <c r="AG25" s="50">
        <v>121628</v>
      </c>
      <c r="AH25" s="50">
        <v>-165063</v>
      </c>
    </row>
    <row r="26" spans="1:34" x14ac:dyDescent="0.3">
      <c r="A26" s="162" t="s">
        <v>13</v>
      </c>
      <c r="B26" s="162"/>
      <c r="C26" s="103">
        <v>136464116</v>
      </c>
      <c r="D26" s="103">
        <v>589320</v>
      </c>
      <c r="E26" s="103">
        <v>125409</v>
      </c>
      <c r="F26" s="103">
        <v>726915</v>
      </c>
      <c r="G26" s="103">
        <v>60730</v>
      </c>
      <c r="H26" s="104">
        <v>4477287</v>
      </c>
      <c r="I26" s="103">
        <v>5545347</v>
      </c>
      <c r="J26" s="103">
        <v>10240692</v>
      </c>
      <c r="K26" s="103">
        <v>54071783</v>
      </c>
      <c r="L26" s="103">
        <v>212301599</v>
      </c>
      <c r="M26" s="118">
        <v>-18178057</v>
      </c>
      <c r="N26" s="103">
        <v>74659668</v>
      </c>
      <c r="O26" s="103">
        <v>589320</v>
      </c>
      <c r="P26" s="103">
        <v>0</v>
      </c>
      <c r="Q26" s="103">
        <v>0</v>
      </c>
      <c r="R26" s="103">
        <v>58287</v>
      </c>
      <c r="S26" s="104">
        <v>4463423</v>
      </c>
      <c r="T26" s="103">
        <v>7677757</v>
      </c>
      <c r="U26" s="103">
        <v>46065629</v>
      </c>
      <c r="V26" s="103">
        <v>60609458</v>
      </c>
      <c r="W26" s="104">
        <v>194123542</v>
      </c>
      <c r="X26" s="83"/>
      <c r="Y26" s="106">
        <v>-61804448</v>
      </c>
      <c r="Z26" s="106">
        <v>0</v>
      </c>
      <c r="AA26" s="106">
        <v>-125409</v>
      </c>
      <c r="AB26" s="106">
        <v>-726915</v>
      </c>
      <c r="AC26" s="106">
        <v>-2443</v>
      </c>
      <c r="AD26" s="106">
        <v>-13864</v>
      </c>
      <c r="AE26" s="106">
        <v>2132410</v>
      </c>
      <c r="AF26" s="106">
        <v>35824937</v>
      </c>
      <c r="AG26" s="106">
        <v>6537675</v>
      </c>
      <c r="AH26" s="106">
        <v>-18178057</v>
      </c>
    </row>
    <row r="28" spans="1:34" x14ac:dyDescent="0.3">
      <c r="C28" s="165" t="s">
        <v>31</v>
      </c>
      <c r="D28" s="166"/>
      <c r="E28" s="166"/>
      <c r="F28" s="166"/>
      <c r="G28" s="166"/>
      <c r="H28" s="167"/>
      <c r="I28" s="66"/>
      <c r="J28" s="66"/>
      <c r="K28" s="66"/>
      <c r="Z28" s="83"/>
    </row>
    <row r="29" spans="1:34" x14ac:dyDescent="0.3">
      <c r="M29" s="1"/>
    </row>
  </sheetData>
  <mergeCells count="9">
    <mergeCell ref="C28:H28"/>
    <mergeCell ref="Y2:AH2"/>
    <mergeCell ref="A26:B26"/>
    <mergeCell ref="D1:K1"/>
    <mergeCell ref="A2:A3"/>
    <mergeCell ref="B2:B3"/>
    <mergeCell ref="C2:L2"/>
    <mergeCell ref="M2:M3"/>
    <mergeCell ref="N2:W2"/>
  </mergeCells>
  <conditionalFormatting sqref="M5:M26 Y5:AH26">
    <cfRule type="cellIs" dxfId="15" priority="1" operator="lessThan">
      <formula>0</formula>
    </cfRule>
    <cfRule type="cellIs" dxfId="14" priority="2" operator="greaterThan">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720FF-7261-4449-92E1-09C5EE698928}">
  <sheetPr>
    <tabColor theme="9"/>
  </sheetPr>
  <dimension ref="A1:CJ31"/>
  <sheetViews>
    <sheetView topLeftCell="V1" zoomScaleNormal="100" workbookViewId="0">
      <selection activeCell="AY5" sqref="AY5"/>
    </sheetView>
  </sheetViews>
  <sheetFormatPr defaultRowHeight="14.4" x14ac:dyDescent="0.3"/>
  <cols>
    <col min="2" max="2" width="13" customWidth="1"/>
    <col min="3" max="25" width="9.5546875" customWidth="1"/>
    <col min="26" max="26" width="10.5546875" customWidth="1"/>
    <col min="27" max="28" width="9.5546875" customWidth="1"/>
    <col min="29" max="29" width="11.5546875" customWidth="1"/>
    <col min="30" max="30" width="9.5546875" customWidth="1"/>
    <col min="31" max="31" width="12.33203125" customWidth="1"/>
    <col min="32" max="42" width="9.5546875" customWidth="1"/>
    <col min="43" max="43" width="10.5546875" customWidth="1"/>
    <col min="44" max="44" width="10.109375" customWidth="1"/>
    <col min="45" max="46" width="9.5546875" customWidth="1"/>
    <col min="47" max="47" width="11.88671875" customWidth="1"/>
    <col min="48" max="50" width="9.5546875" customWidth="1"/>
    <col min="51" max="51" width="10.88671875" customWidth="1"/>
    <col min="52" max="54" width="9.5546875" customWidth="1"/>
    <col min="55" max="55" width="10.88671875" customWidth="1"/>
    <col min="56" max="57" width="9.5546875" customWidth="1"/>
    <col min="58" max="58" width="12.33203125" customWidth="1"/>
    <col min="59" max="59" width="11.5546875" customWidth="1"/>
    <col min="61" max="75" width="9.5546875" customWidth="1"/>
    <col min="76" max="76" width="10.6640625" customWidth="1"/>
    <col min="77" max="79" width="9.5546875" customWidth="1"/>
    <col min="80" max="80" width="10.44140625" customWidth="1"/>
    <col min="81" max="83" width="9.5546875" customWidth="1"/>
    <col min="84" max="84" width="11" customWidth="1"/>
    <col min="85" max="86" width="9.5546875" customWidth="1"/>
    <col min="87" max="87" width="13" customWidth="1"/>
    <col min="88" max="88" width="11.88671875" customWidth="1"/>
  </cols>
  <sheetData>
    <row r="1" spans="1:88" x14ac:dyDescent="0.3">
      <c r="A1" s="8" t="s">
        <v>14</v>
      </c>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row>
    <row r="2" spans="1:88" x14ac:dyDescent="0.3">
      <c r="A2" s="164" t="s">
        <v>0</v>
      </c>
      <c r="B2" s="164" t="s">
        <v>1</v>
      </c>
      <c r="C2" s="168" t="s">
        <v>15</v>
      </c>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c r="AD2" s="170"/>
      <c r="AE2" s="172" t="s">
        <v>16</v>
      </c>
      <c r="AF2" s="168" t="s">
        <v>17</v>
      </c>
      <c r="AG2" s="169"/>
      <c r="AH2" s="169"/>
      <c r="AI2" s="169"/>
      <c r="AJ2" s="169"/>
      <c r="AK2" s="169"/>
      <c r="AL2" s="169"/>
      <c r="AM2" s="169"/>
      <c r="AN2" s="169"/>
      <c r="AO2" s="169"/>
      <c r="AP2" s="169"/>
      <c r="AQ2" s="169"/>
      <c r="AR2" s="169"/>
      <c r="AS2" s="169"/>
      <c r="AT2" s="169"/>
      <c r="AU2" s="169"/>
      <c r="AV2" s="169"/>
      <c r="AW2" s="169"/>
      <c r="AX2" s="169"/>
      <c r="AY2" s="169"/>
      <c r="AZ2" s="169"/>
      <c r="BA2" s="169"/>
      <c r="BB2" s="169"/>
      <c r="BC2" s="169"/>
      <c r="BD2" s="169"/>
      <c r="BE2" s="169"/>
      <c r="BF2" s="169"/>
      <c r="BG2" s="170"/>
      <c r="BI2" s="168" t="s">
        <v>18</v>
      </c>
      <c r="BJ2" s="169"/>
      <c r="BK2" s="169"/>
      <c r="BL2" s="169"/>
      <c r="BM2" s="169"/>
      <c r="BN2" s="169"/>
      <c r="BO2" s="169"/>
      <c r="BP2" s="169"/>
      <c r="BQ2" s="169"/>
      <c r="BR2" s="169"/>
      <c r="BS2" s="169"/>
      <c r="BT2" s="169"/>
      <c r="BU2" s="169"/>
      <c r="BV2" s="169"/>
      <c r="BW2" s="169"/>
      <c r="BX2" s="169"/>
      <c r="BY2" s="169"/>
      <c r="BZ2" s="169"/>
      <c r="CA2" s="169"/>
      <c r="CB2" s="169"/>
      <c r="CC2" s="169"/>
      <c r="CD2" s="169"/>
      <c r="CE2" s="169"/>
      <c r="CF2" s="169"/>
      <c r="CG2" s="169"/>
      <c r="CH2" s="169"/>
      <c r="CI2" s="169"/>
      <c r="CJ2" s="170"/>
    </row>
    <row r="3" spans="1:88" ht="57.6" x14ac:dyDescent="0.3">
      <c r="A3" s="164"/>
      <c r="B3" s="164"/>
      <c r="C3" s="11" t="s">
        <v>19</v>
      </c>
      <c r="D3" s="95" t="s">
        <v>20</v>
      </c>
      <c r="E3" s="96" t="s">
        <v>21</v>
      </c>
      <c r="F3" s="97" t="s">
        <v>22</v>
      </c>
      <c r="G3" s="98" t="s">
        <v>23</v>
      </c>
      <c r="H3" s="100" t="s">
        <v>32</v>
      </c>
      <c r="I3" s="100" t="s">
        <v>33</v>
      </c>
      <c r="J3" s="27" t="s">
        <v>24</v>
      </c>
      <c r="K3" s="17" t="s">
        <v>34</v>
      </c>
      <c r="L3" s="117" t="s">
        <v>35</v>
      </c>
      <c r="M3" s="117" t="s">
        <v>36</v>
      </c>
      <c r="N3" s="17" t="s">
        <v>37</v>
      </c>
      <c r="O3" s="117" t="s">
        <v>38</v>
      </c>
      <c r="P3" s="117" t="s">
        <v>39</v>
      </c>
      <c r="Q3" s="117" t="s">
        <v>40</v>
      </c>
      <c r="R3" s="31" t="s">
        <v>25</v>
      </c>
      <c r="S3" s="54" t="s">
        <v>41</v>
      </c>
      <c r="T3" s="21" t="s">
        <v>42</v>
      </c>
      <c r="U3" s="21" t="s">
        <v>43</v>
      </c>
      <c r="V3" s="32" t="s">
        <v>26</v>
      </c>
      <c r="W3" s="56" t="s">
        <v>44</v>
      </c>
      <c r="X3" s="22" t="s">
        <v>45</v>
      </c>
      <c r="Y3" s="22" t="s">
        <v>46</v>
      </c>
      <c r="Z3" s="44" t="s">
        <v>27</v>
      </c>
      <c r="AA3" s="18" t="s">
        <v>47</v>
      </c>
      <c r="AB3" s="43" t="s">
        <v>48</v>
      </c>
      <c r="AC3" s="43" t="s">
        <v>49</v>
      </c>
      <c r="AD3" s="10" t="s">
        <v>12</v>
      </c>
      <c r="AE3" s="172"/>
      <c r="AF3" s="11" t="s">
        <v>19</v>
      </c>
      <c r="AG3" s="95" t="s">
        <v>20</v>
      </c>
      <c r="AH3" s="28" t="s">
        <v>21</v>
      </c>
      <c r="AI3" s="29" t="s">
        <v>22</v>
      </c>
      <c r="AJ3" s="30" t="s">
        <v>23</v>
      </c>
      <c r="AK3" s="100" t="s">
        <v>32</v>
      </c>
      <c r="AL3" s="100" t="s">
        <v>33</v>
      </c>
      <c r="AM3" s="27" t="s">
        <v>24</v>
      </c>
      <c r="AN3" s="17" t="s">
        <v>34</v>
      </c>
      <c r="AO3" s="17" t="s">
        <v>35</v>
      </c>
      <c r="AP3" s="17" t="s">
        <v>36</v>
      </c>
      <c r="AQ3" s="17" t="s">
        <v>37</v>
      </c>
      <c r="AR3" s="117" t="s">
        <v>38</v>
      </c>
      <c r="AS3" s="117" t="s">
        <v>39</v>
      </c>
      <c r="AT3" s="117" t="s">
        <v>40</v>
      </c>
      <c r="AU3" s="31" t="s">
        <v>25</v>
      </c>
      <c r="AV3" s="54" t="s">
        <v>41</v>
      </c>
      <c r="AW3" s="21" t="s">
        <v>42</v>
      </c>
      <c r="AX3" s="21" t="s">
        <v>43</v>
      </c>
      <c r="AY3" s="32" t="s">
        <v>26</v>
      </c>
      <c r="AZ3" s="56" t="s">
        <v>44</v>
      </c>
      <c r="BA3" s="22" t="s">
        <v>45</v>
      </c>
      <c r="BB3" s="22" t="s">
        <v>46</v>
      </c>
      <c r="BC3" s="44" t="s">
        <v>27</v>
      </c>
      <c r="BD3" s="18" t="s">
        <v>47</v>
      </c>
      <c r="BE3" s="43" t="s">
        <v>48</v>
      </c>
      <c r="BF3" s="43" t="s">
        <v>49</v>
      </c>
      <c r="BG3" s="10" t="s">
        <v>12</v>
      </c>
      <c r="BI3" s="11" t="s">
        <v>19</v>
      </c>
      <c r="BJ3" s="95" t="s">
        <v>20</v>
      </c>
      <c r="BK3" s="28" t="s">
        <v>21</v>
      </c>
      <c r="BL3" s="29" t="s">
        <v>22</v>
      </c>
      <c r="BM3" s="30" t="s">
        <v>23</v>
      </c>
      <c r="BN3" s="100" t="s">
        <v>32</v>
      </c>
      <c r="BO3" s="100" t="s">
        <v>33</v>
      </c>
      <c r="BP3" s="27" t="s">
        <v>24</v>
      </c>
      <c r="BQ3" s="17" t="s">
        <v>34</v>
      </c>
      <c r="BR3" s="17" t="s">
        <v>35</v>
      </c>
      <c r="BS3" s="17" t="s">
        <v>36</v>
      </c>
      <c r="BT3" s="17" t="s">
        <v>38</v>
      </c>
      <c r="BU3" s="117" t="s">
        <v>38</v>
      </c>
      <c r="BV3" s="117" t="s">
        <v>39</v>
      </c>
      <c r="BW3" s="117" t="s">
        <v>40</v>
      </c>
      <c r="BX3" s="31" t="s">
        <v>25</v>
      </c>
      <c r="BY3" s="54" t="s">
        <v>41</v>
      </c>
      <c r="BZ3" s="21" t="s">
        <v>42</v>
      </c>
      <c r="CA3" s="21" t="s">
        <v>43</v>
      </c>
      <c r="CB3" s="32" t="s">
        <v>26</v>
      </c>
      <c r="CC3" s="56" t="s">
        <v>44</v>
      </c>
      <c r="CD3" s="22" t="s">
        <v>45</v>
      </c>
      <c r="CE3" s="22" t="s">
        <v>46</v>
      </c>
      <c r="CF3" s="44" t="s">
        <v>27</v>
      </c>
      <c r="CG3" s="18" t="s">
        <v>47</v>
      </c>
      <c r="CH3" s="43" t="s">
        <v>48</v>
      </c>
      <c r="CI3" s="43" t="s">
        <v>49</v>
      </c>
      <c r="CJ3" s="10" t="s">
        <v>12</v>
      </c>
    </row>
    <row r="4" spans="1:88" s="115" customFormat="1" ht="28.8" x14ac:dyDescent="0.3">
      <c r="A4" s="113" t="s">
        <v>28</v>
      </c>
      <c r="B4" s="113" t="s">
        <v>29</v>
      </c>
      <c r="C4" s="114"/>
      <c r="D4" s="113"/>
      <c r="E4" s="114"/>
      <c r="F4" s="114"/>
      <c r="G4" s="114" t="s">
        <v>50</v>
      </c>
      <c r="H4" s="114"/>
      <c r="I4" s="114"/>
      <c r="J4" s="114" t="s">
        <v>51</v>
      </c>
      <c r="K4" s="113" t="s">
        <v>52</v>
      </c>
      <c r="L4" s="113"/>
      <c r="M4" s="113"/>
      <c r="N4" s="113" t="s">
        <v>53</v>
      </c>
      <c r="O4" s="113"/>
      <c r="P4" s="113"/>
      <c r="Q4" s="113"/>
      <c r="R4" s="114" t="s">
        <v>54</v>
      </c>
      <c r="S4" s="113"/>
      <c r="T4" s="113"/>
      <c r="U4" s="113"/>
      <c r="V4" s="114" t="s">
        <v>55</v>
      </c>
      <c r="W4" s="113"/>
      <c r="X4" s="113"/>
      <c r="Y4" s="113"/>
      <c r="Z4" s="114" t="s">
        <v>56</v>
      </c>
      <c r="AA4" s="113"/>
      <c r="AB4" s="113"/>
      <c r="AC4" s="113"/>
      <c r="AD4" s="114" t="s">
        <v>57</v>
      </c>
      <c r="AE4" s="114" t="s">
        <v>58</v>
      </c>
      <c r="AF4" s="114"/>
      <c r="AG4" s="113"/>
      <c r="AH4" s="114"/>
      <c r="AI4" s="114"/>
      <c r="AJ4" s="114" t="s">
        <v>59</v>
      </c>
      <c r="AK4" s="114"/>
      <c r="AL4" s="114"/>
      <c r="AM4" s="114" t="s">
        <v>60</v>
      </c>
      <c r="AN4" s="113" t="s">
        <v>61</v>
      </c>
      <c r="AO4" s="113"/>
      <c r="AP4" s="113"/>
      <c r="AQ4" s="113" t="s">
        <v>62</v>
      </c>
      <c r="AR4" s="113"/>
      <c r="AS4" s="113"/>
      <c r="AT4" s="113"/>
      <c r="AU4" s="114" t="s">
        <v>63</v>
      </c>
      <c r="AV4" s="113"/>
      <c r="AW4" s="113"/>
      <c r="AX4" s="113"/>
      <c r="AY4" s="114" t="s">
        <v>64</v>
      </c>
      <c r="AZ4" s="113"/>
      <c r="BA4" s="113"/>
      <c r="BB4" s="113"/>
      <c r="BC4" s="114" t="s">
        <v>65</v>
      </c>
      <c r="BD4" s="113"/>
      <c r="BE4" s="113"/>
      <c r="BF4" s="113"/>
      <c r="BG4" s="114" t="s">
        <v>66</v>
      </c>
      <c r="BI4" s="114"/>
      <c r="BJ4" s="113"/>
      <c r="BK4" s="114"/>
      <c r="BL4" s="114"/>
      <c r="BM4" s="114"/>
      <c r="BN4" s="114"/>
      <c r="BO4" s="114"/>
      <c r="BP4" s="114"/>
      <c r="BQ4" s="113"/>
      <c r="BR4" s="113"/>
      <c r="BS4" s="113"/>
      <c r="BT4" s="113"/>
      <c r="BU4" s="113"/>
      <c r="BV4" s="113"/>
      <c r="BW4" s="113"/>
      <c r="BX4" s="114"/>
      <c r="BY4" s="113"/>
      <c r="BZ4" s="113"/>
      <c r="CA4" s="113"/>
      <c r="CB4" s="114"/>
      <c r="CC4" s="113"/>
      <c r="CD4" s="113"/>
      <c r="CE4" s="113"/>
      <c r="CF4" s="114"/>
      <c r="CG4" s="113"/>
      <c r="CH4" s="113"/>
      <c r="CI4" s="113"/>
      <c r="CJ4" s="114"/>
    </row>
    <row r="5" spans="1:88" x14ac:dyDescent="0.3">
      <c r="A5" s="26">
        <v>1</v>
      </c>
      <c r="B5" s="26">
        <v>2024</v>
      </c>
      <c r="C5" s="99">
        <v>6780683</v>
      </c>
      <c r="D5" s="99">
        <v>39288</v>
      </c>
      <c r="E5" s="99">
        <v>6193</v>
      </c>
      <c r="F5" s="99">
        <v>35897</v>
      </c>
      <c r="G5" s="99">
        <f>H5+I5</f>
        <v>2999</v>
      </c>
      <c r="H5" s="108">
        <v>2701</v>
      </c>
      <c r="I5" s="108">
        <v>298</v>
      </c>
      <c r="J5" s="99">
        <f>K5+N5</f>
        <v>408657</v>
      </c>
      <c r="K5" s="94">
        <f>L5+M5</f>
        <v>89825</v>
      </c>
      <c r="L5" s="110">
        <v>70510</v>
      </c>
      <c r="M5" s="110">
        <v>19315</v>
      </c>
      <c r="N5" s="116">
        <f>O5+P5+Q5</f>
        <v>318832</v>
      </c>
      <c r="O5" s="110">
        <v>154590</v>
      </c>
      <c r="P5" s="110">
        <v>97824</v>
      </c>
      <c r="Q5" s="110">
        <v>66418</v>
      </c>
      <c r="R5" s="39">
        <f>S5+T5+U5</f>
        <v>272722</v>
      </c>
      <c r="S5" s="94">
        <v>272722</v>
      </c>
      <c r="T5" s="94">
        <v>0</v>
      </c>
      <c r="U5" s="101">
        <v>0</v>
      </c>
      <c r="V5" s="39">
        <f>W5+X5+Y5</f>
        <v>487652</v>
      </c>
      <c r="W5" s="94">
        <v>487652</v>
      </c>
      <c r="X5" s="101">
        <v>0</v>
      </c>
      <c r="Y5" s="101">
        <v>0</v>
      </c>
      <c r="Z5" s="99">
        <f>AA5+AB5+AC5</f>
        <v>13878235</v>
      </c>
      <c r="AA5" s="94">
        <v>0</v>
      </c>
      <c r="AB5" s="94">
        <v>396375</v>
      </c>
      <c r="AC5" s="94">
        <v>13481860</v>
      </c>
      <c r="AD5" s="99">
        <f>C5+D5+E5+F5+G5+J5+R5+V5+Z5</f>
        <v>21912326</v>
      </c>
      <c r="AE5" s="39">
        <f>BG5-AD5</f>
        <v>-255579</v>
      </c>
      <c r="AF5" s="99">
        <v>6006804</v>
      </c>
      <c r="AG5" s="99">
        <v>39288</v>
      </c>
      <c r="AH5" s="99">
        <v>0</v>
      </c>
      <c r="AI5" s="99">
        <v>0</v>
      </c>
      <c r="AJ5" s="99">
        <f>AK5+AL5</f>
        <v>3243</v>
      </c>
      <c r="AK5" s="108">
        <v>3243</v>
      </c>
      <c r="AL5" s="108">
        <v>0</v>
      </c>
      <c r="AM5" s="99">
        <f>AN5+AQ5</f>
        <v>471242</v>
      </c>
      <c r="AN5" s="94">
        <f>AO5+AP5</f>
        <v>88816</v>
      </c>
      <c r="AO5" s="110">
        <v>88816</v>
      </c>
      <c r="AP5" s="110">
        <v>0</v>
      </c>
      <c r="AQ5" s="94">
        <f>AR5+AS5+AT5</f>
        <v>382426</v>
      </c>
      <c r="AR5" s="110">
        <v>218184</v>
      </c>
      <c r="AS5" s="110">
        <v>97824</v>
      </c>
      <c r="AT5" s="110">
        <v>66418</v>
      </c>
      <c r="AU5" s="39">
        <f>AV5+AW5+AX5</f>
        <v>355910</v>
      </c>
      <c r="AV5" s="94">
        <v>272722</v>
      </c>
      <c r="AW5" s="94">
        <v>83188</v>
      </c>
      <c r="AX5" s="101">
        <v>0</v>
      </c>
      <c r="AY5" s="39">
        <f>AZ5+BA5+BB5</f>
        <v>902025</v>
      </c>
      <c r="AZ5" s="94">
        <v>487652</v>
      </c>
      <c r="BA5" s="101">
        <v>414373</v>
      </c>
      <c r="BB5" s="101">
        <v>0</v>
      </c>
      <c r="BC5" s="99">
        <f>BD5+BE5+BF5</f>
        <v>13878235</v>
      </c>
      <c r="BD5" s="94">
        <v>170695</v>
      </c>
      <c r="BE5" s="94">
        <v>396375</v>
      </c>
      <c r="BF5" s="94">
        <v>13311165</v>
      </c>
      <c r="BG5" s="99">
        <f>AF5+AG5+AH5+AI5+AJ5+AM5+AU5+AY5+BC5</f>
        <v>21656747</v>
      </c>
      <c r="BH5" s="83"/>
      <c r="BI5" s="50">
        <f>AF5-C5</f>
        <v>-773879</v>
      </c>
      <c r="BJ5" s="50">
        <f t="shared" ref="BJ5:CJ14" si="0">AG5-D5</f>
        <v>0</v>
      </c>
      <c r="BK5" s="50">
        <f t="shared" si="0"/>
        <v>-6193</v>
      </c>
      <c r="BL5" s="50">
        <f t="shared" si="0"/>
        <v>-35897</v>
      </c>
      <c r="BM5" s="50">
        <f t="shared" si="0"/>
        <v>244</v>
      </c>
      <c r="BN5" s="111">
        <f t="shared" si="0"/>
        <v>542</v>
      </c>
      <c r="BO5" s="111">
        <f t="shared" si="0"/>
        <v>-298</v>
      </c>
      <c r="BP5" s="50">
        <f t="shared" si="0"/>
        <v>62585</v>
      </c>
      <c r="BQ5" s="102">
        <f t="shared" si="0"/>
        <v>-1009</v>
      </c>
      <c r="BR5" s="111">
        <f t="shared" si="0"/>
        <v>18306</v>
      </c>
      <c r="BS5" s="111">
        <f t="shared" si="0"/>
        <v>-19315</v>
      </c>
      <c r="BT5" s="102">
        <f t="shared" si="0"/>
        <v>63594</v>
      </c>
      <c r="BU5" s="111">
        <f t="shared" si="0"/>
        <v>63594</v>
      </c>
      <c r="BV5" s="111">
        <f t="shared" si="0"/>
        <v>0</v>
      </c>
      <c r="BW5" s="111">
        <f t="shared" si="0"/>
        <v>0</v>
      </c>
      <c r="BX5" s="50">
        <f t="shared" si="0"/>
        <v>83188</v>
      </c>
      <c r="BY5" s="102">
        <f t="shared" si="0"/>
        <v>0</v>
      </c>
      <c r="BZ5" s="102">
        <f t="shared" si="0"/>
        <v>83188</v>
      </c>
      <c r="CA5" s="102">
        <f t="shared" si="0"/>
        <v>0</v>
      </c>
      <c r="CB5" s="50">
        <f t="shared" si="0"/>
        <v>414373</v>
      </c>
      <c r="CC5" s="102">
        <f t="shared" si="0"/>
        <v>0</v>
      </c>
      <c r="CD5" s="102">
        <f t="shared" si="0"/>
        <v>414373</v>
      </c>
      <c r="CE5" s="102">
        <f t="shared" si="0"/>
        <v>0</v>
      </c>
      <c r="CF5" s="50">
        <f t="shared" si="0"/>
        <v>0</v>
      </c>
      <c r="CG5" s="102">
        <f t="shared" si="0"/>
        <v>170695</v>
      </c>
      <c r="CH5" s="102">
        <f t="shared" si="0"/>
        <v>0</v>
      </c>
      <c r="CI5" s="102">
        <f t="shared" si="0"/>
        <v>-170695</v>
      </c>
      <c r="CJ5" s="50">
        <f t="shared" si="0"/>
        <v>-255579</v>
      </c>
    </row>
    <row r="6" spans="1:88" x14ac:dyDescent="0.3">
      <c r="A6" s="26">
        <v>2</v>
      </c>
      <c r="B6" s="26">
        <v>2025</v>
      </c>
      <c r="C6" s="99">
        <v>6367743</v>
      </c>
      <c r="D6" s="99">
        <v>117864</v>
      </c>
      <c r="E6" s="99">
        <v>6193</v>
      </c>
      <c r="F6" s="99">
        <v>35897</v>
      </c>
      <c r="G6" s="99">
        <f t="shared" ref="G6:G25" si="1">H6+I6</f>
        <v>2999</v>
      </c>
      <c r="H6" s="108">
        <v>2701</v>
      </c>
      <c r="I6" s="108">
        <v>298</v>
      </c>
      <c r="J6" s="99">
        <f t="shared" ref="J6:J25" si="2">K6+N6</f>
        <v>1365144</v>
      </c>
      <c r="K6" s="94">
        <f t="shared" ref="K6:K24" si="3">L6+M6</f>
        <v>89825</v>
      </c>
      <c r="L6" s="110">
        <v>70510</v>
      </c>
      <c r="M6" s="110">
        <v>19315</v>
      </c>
      <c r="N6" s="116">
        <f>O6+P6+Q6</f>
        <v>1275319</v>
      </c>
      <c r="O6" s="110">
        <v>618357</v>
      </c>
      <c r="P6" s="110">
        <v>391293</v>
      </c>
      <c r="Q6" s="110">
        <f>148873+116796</f>
        <v>265669</v>
      </c>
      <c r="R6" s="39">
        <f t="shared" ref="R6:R25" si="4">S6+T6+U6</f>
        <v>272722</v>
      </c>
      <c r="S6" s="94">
        <v>272722</v>
      </c>
      <c r="T6" s="94">
        <v>0</v>
      </c>
      <c r="U6" s="101">
        <v>0</v>
      </c>
      <c r="V6" s="39">
        <f t="shared" ref="V6:V25" si="5">W6+X6+Y6</f>
        <v>487652</v>
      </c>
      <c r="W6" s="94">
        <v>487652</v>
      </c>
      <c r="X6" s="101">
        <v>0</v>
      </c>
      <c r="Y6" s="101">
        <v>0</v>
      </c>
      <c r="Z6" s="99">
        <f t="shared" ref="Z6:Z25" si="6">AA6+AB6+AC6</f>
        <v>14033528</v>
      </c>
      <c r="AA6" s="94">
        <v>0</v>
      </c>
      <c r="AB6" s="94">
        <v>574021</v>
      </c>
      <c r="AC6" s="94">
        <v>13459507</v>
      </c>
      <c r="AD6" s="99">
        <f t="shared" ref="AD6:AD25" si="7">C6+D6+E6+F6+G6+J6+R6+V6+Z6</f>
        <v>22689742</v>
      </c>
      <c r="AE6" s="39">
        <f t="shared" ref="AE6:AE25" si="8">BG6-AD6</f>
        <v>-39904</v>
      </c>
      <c r="AF6" s="99">
        <v>4493208</v>
      </c>
      <c r="AG6" s="99">
        <v>117864</v>
      </c>
      <c r="AH6" s="99">
        <v>0</v>
      </c>
      <c r="AI6" s="99">
        <v>0</v>
      </c>
      <c r="AJ6" s="99">
        <f t="shared" ref="AJ6:AJ25" si="9">AK6+AL6</f>
        <v>3648</v>
      </c>
      <c r="AK6" s="108">
        <v>3648</v>
      </c>
      <c r="AL6" s="108">
        <v>0</v>
      </c>
      <c r="AM6" s="99">
        <f t="shared" ref="AM6:AM25" si="10">AN6+AQ6</f>
        <v>1410574</v>
      </c>
      <c r="AN6" s="94">
        <f t="shared" ref="AN6:AN25" si="11">AO6+AP6</f>
        <v>95004</v>
      </c>
      <c r="AO6" s="110">
        <v>95004</v>
      </c>
      <c r="AP6" s="110">
        <v>0</v>
      </c>
      <c r="AQ6" s="94">
        <f t="shared" ref="AQ6:AQ25" si="12">AR6+AS6+AT6</f>
        <v>1315570</v>
      </c>
      <c r="AR6" s="110">
        <v>658608</v>
      </c>
      <c r="AS6" s="110">
        <v>391293</v>
      </c>
      <c r="AT6" s="110">
        <f>148873+116796</f>
        <v>265669</v>
      </c>
      <c r="AU6" s="39">
        <f t="shared" ref="AU6:AU25" si="13">AV6+AW6+AX6</f>
        <v>576911</v>
      </c>
      <c r="AV6" s="94">
        <v>181815</v>
      </c>
      <c r="AW6" s="94">
        <v>360096</v>
      </c>
      <c r="AX6" s="101">
        <v>35000</v>
      </c>
      <c r="AY6" s="39">
        <f t="shared" ref="AY6:AY25" si="14">AZ6+BA6+BB6</f>
        <v>1741772</v>
      </c>
      <c r="AZ6" s="94">
        <v>487652</v>
      </c>
      <c r="BA6" s="101">
        <v>1254120</v>
      </c>
      <c r="BB6" s="101">
        <v>0</v>
      </c>
      <c r="BC6" s="99">
        <f t="shared" ref="BC6:BC25" si="15">BD6+BE6+BF6</f>
        <v>14305861</v>
      </c>
      <c r="BD6" s="94">
        <v>453672</v>
      </c>
      <c r="BE6" s="94">
        <v>574021</v>
      </c>
      <c r="BF6" s="94">
        <v>13278168</v>
      </c>
      <c r="BG6" s="99">
        <f t="shared" ref="BG6:BG25" si="16">AF6+AG6+AH6+AI6+AJ6+AM6+AU6+AY6+BC6</f>
        <v>22649838</v>
      </c>
      <c r="BH6" s="83"/>
      <c r="BI6" s="50">
        <f t="shared" ref="BI6:BI25" si="17">AF6-C6</f>
        <v>-1874535</v>
      </c>
      <c r="BJ6" s="50">
        <f t="shared" si="0"/>
        <v>0</v>
      </c>
      <c r="BK6" s="50">
        <f t="shared" si="0"/>
        <v>-6193</v>
      </c>
      <c r="BL6" s="50">
        <f t="shared" si="0"/>
        <v>-35897</v>
      </c>
      <c r="BM6" s="50">
        <f t="shared" si="0"/>
        <v>649</v>
      </c>
      <c r="BN6" s="111">
        <f t="shared" si="0"/>
        <v>947</v>
      </c>
      <c r="BO6" s="111">
        <f t="shared" si="0"/>
        <v>-298</v>
      </c>
      <c r="BP6" s="50">
        <f t="shared" si="0"/>
        <v>45430</v>
      </c>
      <c r="BQ6" s="102">
        <f t="shared" si="0"/>
        <v>5179</v>
      </c>
      <c r="BR6" s="111">
        <f t="shared" si="0"/>
        <v>24494</v>
      </c>
      <c r="BS6" s="111">
        <f t="shared" si="0"/>
        <v>-19315</v>
      </c>
      <c r="BT6" s="102">
        <f t="shared" si="0"/>
        <v>40251</v>
      </c>
      <c r="BU6" s="111">
        <f t="shared" si="0"/>
        <v>40251</v>
      </c>
      <c r="BV6" s="111">
        <f t="shared" si="0"/>
        <v>0</v>
      </c>
      <c r="BW6" s="111">
        <f t="shared" si="0"/>
        <v>0</v>
      </c>
      <c r="BX6" s="50">
        <f t="shared" si="0"/>
        <v>304189</v>
      </c>
      <c r="BY6" s="102">
        <f t="shared" si="0"/>
        <v>-90907</v>
      </c>
      <c r="BZ6" s="102">
        <f t="shared" si="0"/>
        <v>360096</v>
      </c>
      <c r="CA6" s="102">
        <f t="shared" si="0"/>
        <v>35000</v>
      </c>
      <c r="CB6" s="50">
        <f t="shared" si="0"/>
        <v>1254120</v>
      </c>
      <c r="CC6" s="102">
        <f t="shared" si="0"/>
        <v>0</v>
      </c>
      <c r="CD6" s="102">
        <f t="shared" si="0"/>
        <v>1254120</v>
      </c>
      <c r="CE6" s="102">
        <f t="shared" si="0"/>
        <v>0</v>
      </c>
      <c r="CF6" s="50">
        <f t="shared" si="0"/>
        <v>272333</v>
      </c>
      <c r="CG6" s="102">
        <f t="shared" si="0"/>
        <v>453672</v>
      </c>
      <c r="CH6" s="102">
        <f t="shared" si="0"/>
        <v>0</v>
      </c>
      <c r="CI6" s="102">
        <f t="shared" si="0"/>
        <v>-181339</v>
      </c>
      <c r="CJ6" s="50">
        <f t="shared" si="0"/>
        <v>-39904</v>
      </c>
    </row>
    <row r="7" spans="1:88" x14ac:dyDescent="0.3">
      <c r="A7" s="26">
        <v>3</v>
      </c>
      <c r="B7" s="26">
        <v>2026</v>
      </c>
      <c r="C7" s="99">
        <v>6367743</v>
      </c>
      <c r="D7" s="99">
        <v>117864</v>
      </c>
      <c r="E7" s="99">
        <v>6193</v>
      </c>
      <c r="F7" s="99">
        <v>35897</v>
      </c>
      <c r="G7" s="99">
        <f t="shared" si="1"/>
        <v>2999</v>
      </c>
      <c r="H7" s="108">
        <v>2701</v>
      </c>
      <c r="I7" s="108">
        <v>298</v>
      </c>
      <c r="J7" s="99">
        <f t="shared" si="2"/>
        <v>1152591</v>
      </c>
      <c r="K7" s="94">
        <f t="shared" si="3"/>
        <v>89825</v>
      </c>
      <c r="L7" s="110">
        <v>70510</v>
      </c>
      <c r="M7" s="110">
        <v>19315</v>
      </c>
      <c r="N7" s="116">
        <f>O7+P7+Q7</f>
        <v>1062766</v>
      </c>
      <c r="O7" s="110">
        <v>515298</v>
      </c>
      <c r="P7" s="110">
        <v>326077</v>
      </c>
      <c r="Q7" s="110">
        <f>124061+97330</f>
        <v>221391</v>
      </c>
      <c r="R7" s="39">
        <f t="shared" si="4"/>
        <v>272722</v>
      </c>
      <c r="S7" s="94">
        <v>272722</v>
      </c>
      <c r="T7" s="94">
        <v>0</v>
      </c>
      <c r="U7" s="101">
        <v>0</v>
      </c>
      <c r="V7" s="39">
        <f t="shared" si="5"/>
        <v>487652</v>
      </c>
      <c r="W7" s="94">
        <v>487652</v>
      </c>
      <c r="X7" s="101">
        <v>0</v>
      </c>
      <c r="Y7" s="101">
        <v>0</v>
      </c>
      <c r="Z7" s="99">
        <f t="shared" si="6"/>
        <v>13080010</v>
      </c>
      <c r="AA7" s="94">
        <v>0</v>
      </c>
      <c r="AB7" s="94">
        <v>0</v>
      </c>
      <c r="AC7" s="94">
        <v>13080010</v>
      </c>
      <c r="AD7" s="99">
        <f t="shared" si="7"/>
        <v>21523671</v>
      </c>
      <c r="AE7" s="39">
        <f t="shared" si="8"/>
        <v>-181513</v>
      </c>
      <c r="AF7" s="99">
        <v>4228824</v>
      </c>
      <c r="AG7" s="99">
        <v>117864</v>
      </c>
      <c r="AH7" s="99">
        <v>0</v>
      </c>
      <c r="AI7" s="99">
        <v>0</v>
      </c>
      <c r="AJ7" s="99">
        <f t="shared" si="9"/>
        <v>3348</v>
      </c>
      <c r="AK7" s="108">
        <v>3348</v>
      </c>
      <c r="AL7" s="108">
        <v>0</v>
      </c>
      <c r="AM7" s="99">
        <f t="shared" si="10"/>
        <v>1264551</v>
      </c>
      <c r="AN7" s="94">
        <f t="shared" si="11"/>
        <v>91080</v>
      </c>
      <c r="AO7" s="110">
        <v>91080</v>
      </c>
      <c r="AP7" s="110">
        <v>0</v>
      </c>
      <c r="AQ7" s="94">
        <f t="shared" si="12"/>
        <v>1173471</v>
      </c>
      <c r="AR7" s="110">
        <v>626003</v>
      </c>
      <c r="AS7" s="110">
        <v>326077</v>
      </c>
      <c r="AT7" s="110">
        <f>124061+97330</f>
        <v>221391</v>
      </c>
      <c r="AU7" s="39">
        <f t="shared" si="13"/>
        <v>568140</v>
      </c>
      <c r="AV7" s="94">
        <v>0</v>
      </c>
      <c r="AW7" s="94">
        <v>568140</v>
      </c>
      <c r="AX7" s="101">
        <v>0</v>
      </c>
      <c r="AY7" s="39">
        <f t="shared" si="14"/>
        <v>1895736</v>
      </c>
      <c r="AZ7" s="94">
        <v>0</v>
      </c>
      <c r="BA7" s="101">
        <v>1655736</v>
      </c>
      <c r="BB7" s="101">
        <v>240000</v>
      </c>
      <c r="BC7" s="99">
        <f t="shared" si="15"/>
        <v>13263695</v>
      </c>
      <c r="BD7" s="94">
        <v>442884</v>
      </c>
      <c r="BE7" s="94">
        <v>0</v>
      </c>
      <c r="BF7" s="94">
        <v>12820811</v>
      </c>
      <c r="BG7" s="99">
        <f t="shared" si="16"/>
        <v>21342158</v>
      </c>
      <c r="BH7" s="83"/>
      <c r="BI7" s="50">
        <f t="shared" si="17"/>
        <v>-2138919</v>
      </c>
      <c r="BJ7" s="50">
        <f t="shared" si="0"/>
        <v>0</v>
      </c>
      <c r="BK7" s="50">
        <f t="shared" si="0"/>
        <v>-6193</v>
      </c>
      <c r="BL7" s="50">
        <f t="shared" si="0"/>
        <v>-35897</v>
      </c>
      <c r="BM7" s="50">
        <f t="shared" si="0"/>
        <v>349</v>
      </c>
      <c r="BN7" s="111">
        <f t="shared" si="0"/>
        <v>647</v>
      </c>
      <c r="BO7" s="111">
        <f t="shared" si="0"/>
        <v>-298</v>
      </c>
      <c r="BP7" s="50">
        <f t="shared" si="0"/>
        <v>111960</v>
      </c>
      <c r="BQ7" s="102">
        <f t="shared" si="0"/>
        <v>1255</v>
      </c>
      <c r="BR7" s="111">
        <f t="shared" si="0"/>
        <v>20570</v>
      </c>
      <c r="BS7" s="111">
        <f t="shared" si="0"/>
        <v>-19315</v>
      </c>
      <c r="BT7" s="102">
        <f t="shared" si="0"/>
        <v>110705</v>
      </c>
      <c r="BU7" s="111">
        <f t="shared" si="0"/>
        <v>110705</v>
      </c>
      <c r="BV7" s="111">
        <f t="shared" si="0"/>
        <v>0</v>
      </c>
      <c r="BW7" s="111">
        <f t="shared" si="0"/>
        <v>0</v>
      </c>
      <c r="BX7" s="50">
        <f t="shared" si="0"/>
        <v>295418</v>
      </c>
      <c r="BY7" s="102">
        <f t="shared" si="0"/>
        <v>-272722</v>
      </c>
      <c r="BZ7" s="102">
        <f t="shared" si="0"/>
        <v>568140</v>
      </c>
      <c r="CA7" s="102">
        <f t="shared" si="0"/>
        <v>0</v>
      </c>
      <c r="CB7" s="50">
        <f t="shared" si="0"/>
        <v>1408084</v>
      </c>
      <c r="CC7" s="102">
        <f t="shared" si="0"/>
        <v>-487652</v>
      </c>
      <c r="CD7" s="102">
        <f t="shared" si="0"/>
        <v>1655736</v>
      </c>
      <c r="CE7" s="102">
        <f t="shared" si="0"/>
        <v>240000</v>
      </c>
      <c r="CF7" s="50">
        <f t="shared" si="0"/>
        <v>183685</v>
      </c>
      <c r="CG7" s="102">
        <f t="shared" si="0"/>
        <v>442884</v>
      </c>
      <c r="CH7" s="102">
        <f t="shared" si="0"/>
        <v>0</v>
      </c>
      <c r="CI7" s="102">
        <f t="shared" si="0"/>
        <v>-259199</v>
      </c>
      <c r="CJ7" s="50">
        <f t="shared" si="0"/>
        <v>-181513</v>
      </c>
    </row>
    <row r="8" spans="1:88" x14ac:dyDescent="0.3">
      <c r="A8" s="26">
        <v>4</v>
      </c>
      <c r="B8" s="26">
        <v>2027</v>
      </c>
      <c r="C8" s="99">
        <v>6780683</v>
      </c>
      <c r="D8" s="99">
        <v>117864</v>
      </c>
      <c r="E8" s="99">
        <v>6193</v>
      </c>
      <c r="F8" s="99">
        <v>35897</v>
      </c>
      <c r="G8" s="99">
        <f t="shared" si="1"/>
        <v>2999</v>
      </c>
      <c r="H8" s="108">
        <v>2701</v>
      </c>
      <c r="I8" s="108">
        <v>298</v>
      </c>
      <c r="J8" s="99">
        <f t="shared" si="2"/>
        <v>89825</v>
      </c>
      <c r="K8" s="94">
        <f t="shared" si="3"/>
        <v>89825</v>
      </c>
      <c r="L8" s="110">
        <v>70510</v>
      </c>
      <c r="M8" s="110">
        <v>19315</v>
      </c>
      <c r="N8" s="116">
        <f t="shared" ref="N8:N25" si="18">O8+P8+Q8</f>
        <v>0</v>
      </c>
      <c r="O8" s="108">
        <v>0</v>
      </c>
      <c r="P8" s="108">
        <v>0</v>
      </c>
      <c r="Q8" s="108">
        <v>0</v>
      </c>
      <c r="R8" s="39">
        <f t="shared" si="4"/>
        <v>272722</v>
      </c>
      <c r="S8" s="94">
        <v>272722</v>
      </c>
      <c r="T8" s="94">
        <v>0</v>
      </c>
      <c r="U8" s="101">
        <v>0</v>
      </c>
      <c r="V8" s="39">
        <f t="shared" si="5"/>
        <v>487652</v>
      </c>
      <c r="W8" s="94">
        <v>487652</v>
      </c>
      <c r="X8" s="101">
        <v>0</v>
      </c>
      <c r="Y8" s="101">
        <v>0</v>
      </c>
      <c r="Z8" s="99">
        <f t="shared" si="6"/>
        <v>13080010</v>
      </c>
      <c r="AA8" s="94">
        <v>0</v>
      </c>
      <c r="AB8" s="94">
        <v>0</v>
      </c>
      <c r="AC8" s="94">
        <v>13080010</v>
      </c>
      <c r="AD8" s="99">
        <f t="shared" si="7"/>
        <v>20873845</v>
      </c>
      <c r="AE8" s="39">
        <f t="shared" si="8"/>
        <v>-673502</v>
      </c>
      <c r="AF8" s="99">
        <v>3457548</v>
      </c>
      <c r="AG8" s="99">
        <v>117864</v>
      </c>
      <c r="AH8" s="99">
        <v>0</v>
      </c>
      <c r="AI8" s="99">
        <v>0</v>
      </c>
      <c r="AJ8" s="99">
        <f t="shared" si="9"/>
        <v>2772</v>
      </c>
      <c r="AK8" s="108">
        <v>2772</v>
      </c>
      <c r="AL8" s="108">
        <v>0</v>
      </c>
      <c r="AM8" s="99">
        <f t="shared" si="10"/>
        <v>75984</v>
      </c>
      <c r="AN8" s="94">
        <f t="shared" si="11"/>
        <v>75984</v>
      </c>
      <c r="AO8" s="110">
        <v>75984</v>
      </c>
      <c r="AP8" s="110">
        <v>0</v>
      </c>
      <c r="AQ8" s="94">
        <f t="shared" si="12"/>
        <v>0</v>
      </c>
      <c r="AR8" s="108">
        <v>0</v>
      </c>
      <c r="AS8" s="108">
        <v>0</v>
      </c>
      <c r="AT8" s="108">
        <v>0</v>
      </c>
      <c r="AU8" s="39">
        <f t="shared" si="13"/>
        <v>517932</v>
      </c>
      <c r="AV8" s="94">
        <v>0</v>
      </c>
      <c r="AW8" s="94">
        <v>517932</v>
      </c>
      <c r="AX8" s="101">
        <v>0</v>
      </c>
      <c r="AY8" s="39">
        <f t="shared" si="14"/>
        <v>2826348</v>
      </c>
      <c r="AZ8" s="94">
        <v>0</v>
      </c>
      <c r="BA8" s="101">
        <v>2826348</v>
      </c>
      <c r="BB8" s="101">
        <v>0</v>
      </c>
      <c r="BC8" s="99">
        <f t="shared" si="15"/>
        <v>13201895</v>
      </c>
      <c r="BD8" s="94">
        <v>381084</v>
      </c>
      <c r="BE8" s="94">
        <v>0</v>
      </c>
      <c r="BF8" s="94">
        <v>12820811</v>
      </c>
      <c r="BG8" s="99">
        <f t="shared" si="16"/>
        <v>20200343</v>
      </c>
      <c r="BH8" s="83"/>
      <c r="BI8" s="50">
        <f t="shared" si="17"/>
        <v>-3323135</v>
      </c>
      <c r="BJ8" s="50">
        <f t="shared" si="0"/>
        <v>0</v>
      </c>
      <c r="BK8" s="50">
        <f t="shared" si="0"/>
        <v>-6193</v>
      </c>
      <c r="BL8" s="50">
        <f t="shared" si="0"/>
        <v>-35897</v>
      </c>
      <c r="BM8" s="50">
        <f t="shared" si="0"/>
        <v>-227</v>
      </c>
      <c r="BN8" s="111">
        <f t="shared" si="0"/>
        <v>71</v>
      </c>
      <c r="BO8" s="111">
        <f t="shared" si="0"/>
        <v>-298</v>
      </c>
      <c r="BP8" s="50">
        <f t="shared" si="0"/>
        <v>-13841</v>
      </c>
      <c r="BQ8" s="102">
        <f t="shared" si="0"/>
        <v>-13841</v>
      </c>
      <c r="BR8" s="111">
        <f t="shared" si="0"/>
        <v>5474</v>
      </c>
      <c r="BS8" s="111">
        <f t="shared" si="0"/>
        <v>-19315</v>
      </c>
      <c r="BT8" s="102">
        <f t="shared" si="0"/>
        <v>0</v>
      </c>
      <c r="BU8" s="111">
        <f t="shared" si="0"/>
        <v>0</v>
      </c>
      <c r="BV8" s="111">
        <f t="shared" si="0"/>
        <v>0</v>
      </c>
      <c r="BW8" s="111">
        <f t="shared" si="0"/>
        <v>0</v>
      </c>
      <c r="BX8" s="50">
        <f t="shared" si="0"/>
        <v>245210</v>
      </c>
      <c r="BY8" s="102">
        <f t="shared" si="0"/>
        <v>-272722</v>
      </c>
      <c r="BZ8" s="102">
        <f t="shared" si="0"/>
        <v>517932</v>
      </c>
      <c r="CA8" s="102">
        <f t="shared" si="0"/>
        <v>0</v>
      </c>
      <c r="CB8" s="50">
        <f t="shared" si="0"/>
        <v>2338696</v>
      </c>
      <c r="CC8" s="102">
        <f t="shared" si="0"/>
        <v>-487652</v>
      </c>
      <c r="CD8" s="102">
        <f t="shared" si="0"/>
        <v>2826348</v>
      </c>
      <c r="CE8" s="102">
        <f t="shared" si="0"/>
        <v>0</v>
      </c>
      <c r="CF8" s="50">
        <f t="shared" si="0"/>
        <v>121885</v>
      </c>
      <c r="CG8" s="102">
        <f t="shared" si="0"/>
        <v>381084</v>
      </c>
      <c r="CH8" s="102">
        <f t="shared" si="0"/>
        <v>0</v>
      </c>
      <c r="CI8" s="102">
        <f t="shared" si="0"/>
        <v>-259199</v>
      </c>
      <c r="CJ8" s="50">
        <f t="shared" si="0"/>
        <v>-673502</v>
      </c>
    </row>
    <row r="9" spans="1:88" x14ac:dyDescent="0.3">
      <c r="A9" s="26">
        <v>5</v>
      </c>
      <c r="B9" s="26">
        <v>2028</v>
      </c>
      <c r="C9" s="99">
        <v>6780683</v>
      </c>
      <c r="D9" s="99">
        <v>117864</v>
      </c>
      <c r="E9" s="99">
        <v>6193</v>
      </c>
      <c r="F9" s="99">
        <v>35897</v>
      </c>
      <c r="G9" s="99">
        <f t="shared" si="1"/>
        <v>2999</v>
      </c>
      <c r="H9" s="108">
        <v>2701</v>
      </c>
      <c r="I9" s="108">
        <v>298</v>
      </c>
      <c r="J9" s="99">
        <f t="shared" si="2"/>
        <v>89825</v>
      </c>
      <c r="K9" s="94">
        <f t="shared" si="3"/>
        <v>89825</v>
      </c>
      <c r="L9" s="110">
        <v>70510</v>
      </c>
      <c r="M9" s="110">
        <v>19315</v>
      </c>
      <c r="N9" s="116">
        <f t="shared" si="18"/>
        <v>0</v>
      </c>
      <c r="O9" s="108">
        <v>0</v>
      </c>
      <c r="P9" s="108">
        <v>0</v>
      </c>
      <c r="Q9" s="108">
        <v>0</v>
      </c>
      <c r="R9" s="39">
        <f t="shared" si="4"/>
        <v>272722</v>
      </c>
      <c r="S9" s="94">
        <v>272722</v>
      </c>
      <c r="T9" s="94">
        <v>0</v>
      </c>
      <c r="U9" s="101">
        <v>0</v>
      </c>
      <c r="V9" s="39">
        <f t="shared" si="5"/>
        <v>487652</v>
      </c>
      <c r="W9" s="94">
        <v>487652</v>
      </c>
      <c r="X9" s="101">
        <v>0</v>
      </c>
      <c r="Y9" s="101">
        <v>0</v>
      </c>
      <c r="Z9" s="99">
        <f t="shared" si="6"/>
        <v>0</v>
      </c>
      <c r="AA9" s="94">
        <v>0</v>
      </c>
      <c r="AB9" s="94">
        <v>0</v>
      </c>
      <c r="AC9" s="94">
        <v>0</v>
      </c>
      <c r="AD9" s="99">
        <f t="shared" si="7"/>
        <v>7793835</v>
      </c>
      <c r="AE9" s="39">
        <f t="shared" si="8"/>
        <v>-430503</v>
      </c>
      <c r="AF9" s="99">
        <v>3457548</v>
      </c>
      <c r="AG9" s="99">
        <v>117864</v>
      </c>
      <c r="AH9" s="99">
        <v>0</v>
      </c>
      <c r="AI9" s="99">
        <v>0</v>
      </c>
      <c r="AJ9" s="99">
        <f t="shared" si="9"/>
        <v>2772</v>
      </c>
      <c r="AK9" s="108">
        <v>2772</v>
      </c>
      <c r="AL9" s="108">
        <v>0</v>
      </c>
      <c r="AM9" s="99">
        <f t="shared" si="10"/>
        <v>75984</v>
      </c>
      <c r="AN9" s="94">
        <f t="shared" si="11"/>
        <v>75984</v>
      </c>
      <c r="AO9" s="110">
        <v>75984</v>
      </c>
      <c r="AP9" s="110">
        <v>0</v>
      </c>
      <c r="AQ9" s="94">
        <f t="shared" si="12"/>
        <v>0</v>
      </c>
      <c r="AR9" s="108">
        <v>0</v>
      </c>
      <c r="AS9" s="108">
        <v>0</v>
      </c>
      <c r="AT9" s="108">
        <v>0</v>
      </c>
      <c r="AU9" s="39">
        <f t="shared" si="13"/>
        <v>517932</v>
      </c>
      <c r="AV9" s="94">
        <v>0</v>
      </c>
      <c r="AW9" s="94">
        <v>517932</v>
      </c>
      <c r="AX9" s="101">
        <v>0</v>
      </c>
      <c r="AY9" s="39">
        <f t="shared" si="14"/>
        <v>2826348</v>
      </c>
      <c r="AZ9" s="94">
        <v>0</v>
      </c>
      <c r="BA9" s="101">
        <v>2826348</v>
      </c>
      <c r="BB9" s="101">
        <v>0</v>
      </c>
      <c r="BC9" s="99">
        <f t="shared" si="15"/>
        <v>364884</v>
      </c>
      <c r="BD9" s="94">
        <v>364884</v>
      </c>
      <c r="BE9" s="94">
        <v>0</v>
      </c>
      <c r="BF9" s="94">
        <v>0</v>
      </c>
      <c r="BG9" s="99">
        <f t="shared" si="16"/>
        <v>7363332</v>
      </c>
      <c r="BH9" s="83"/>
      <c r="BI9" s="50">
        <f t="shared" si="17"/>
        <v>-3323135</v>
      </c>
      <c r="BJ9" s="50">
        <f t="shared" si="0"/>
        <v>0</v>
      </c>
      <c r="BK9" s="50">
        <f t="shared" si="0"/>
        <v>-6193</v>
      </c>
      <c r="BL9" s="50">
        <f t="shared" si="0"/>
        <v>-35897</v>
      </c>
      <c r="BM9" s="50">
        <f t="shared" si="0"/>
        <v>-227</v>
      </c>
      <c r="BN9" s="111">
        <f t="shared" si="0"/>
        <v>71</v>
      </c>
      <c r="BO9" s="111">
        <f t="shared" si="0"/>
        <v>-298</v>
      </c>
      <c r="BP9" s="50">
        <f t="shared" si="0"/>
        <v>-13841</v>
      </c>
      <c r="BQ9" s="102">
        <f t="shared" si="0"/>
        <v>-13841</v>
      </c>
      <c r="BR9" s="111">
        <f t="shared" si="0"/>
        <v>5474</v>
      </c>
      <c r="BS9" s="111">
        <f t="shared" si="0"/>
        <v>-19315</v>
      </c>
      <c r="BT9" s="102">
        <f t="shared" si="0"/>
        <v>0</v>
      </c>
      <c r="BU9" s="111">
        <f t="shared" si="0"/>
        <v>0</v>
      </c>
      <c r="BV9" s="111">
        <f t="shared" si="0"/>
        <v>0</v>
      </c>
      <c r="BW9" s="111">
        <f t="shared" si="0"/>
        <v>0</v>
      </c>
      <c r="BX9" s="50">
        <f t="shared" si="0"/>
        <v>245210</v>
      </c>
      <c r="BY9" s="102">
        <f t="shared" si="0"/>
        <v>-272722</v>
      </c>
      <c r="BZ9" s="102">
        <f t="shared" si="0"/>
        <v>517932</v>
      </c>
      <c r="CA9" s="102">
        <f t="shared" si="0"/>
        <v>0</v>
      </c>
      <c r="CB9" s="50">
        <f t="shared" si="0"/>
        <v>2338696</v>
      </c>
      <c r="CC9" s="102">
        <f t="shared" si="0"/>
        <v>-487652</v>
      </c>
      <c r="CD9" s="102">
        <f t="shared" si="0"/>
        <v>2826348</v>
      </c>
      <c r="CE9" s="102">
        <f t="shared" si="0"/>
        <v>0</v>
      </c>
      <c r="CF9" s="50">
        <f t="shared" si="0"/>
        <v>364884</v>
      </c>
      <c r="CG9" s="102">
        <f t="shared" si="0"/>
        <v>364884</v>
      </c>
      <c r="CH9" s="102">
        <f t="shared" si="0"/>
        <v>0</v>
      </c>
      <c r="CI9" s="102">
        <f t="shared" si="0"/>
        <v>0</v>
      </c>
      <c r="CJ9" s="50">
        <f t="shared" si="0"/>
        <v>-430503</v>
      </c>
    </row>
    <row r="10" spans="1:88" x14ac:dyDescent="0.3">
      <c r="A10" s="26">
        <v>6</v>
      </c>
      <c r="B10" s="26">
        <v>2029</v>
      </c>
      <c r="C10" s="99">
        <v>6780683</v>
      </c>
      <c r="D10" s="99">
        <v>78576</v>
      </c>
      <c r="E10" s="99">
        <v>6193</v>
      </c>
      <c r="F10" s="99">
        <v>35897</v>
      </c>
      <c r="G10" s="99">
        <f t="shared" si="1"/>
        <v>2999</v>
      </c>
      <c r="H10" s="108">
        <v>2701</v>
      </c>
      <c r="I10" s="108">
        <v>298</v>
      </c>
      <c r="J10" s="99">
        <f t="shared" si="2"/>
        <v>89825</v>
      </c>
      <c r="K10" s="94">
        <f t="shared" si="3"/>
        <v>89825</v>
      </c>
      <c r="L10" s="110">
        <v>70510</v>
      </c>
      <c r="M10" s="110">
        <v>19315</v>
      </c>
      <c r="N10" s="116">
        <f t="shared" si="18"/>
        <v>0</v>
      </c>
      <c r="O10" s="108">
        <v>0</v>
      </c>
      <c r="P10" s="108">
        <v>0</v>
      </c>
      <c r="Q10" s="108">
        <v>0</v>
      </c>
      <c r="R10" s="39">
        <f t="shared" si="4"/>
        <v>272722</v>
      </c>
      <c r="S10" s="94">
        <v>272722</v>
      </c>
      <c r="T10" s="94">
        <v>0</v>
      </c>
      <c r="U10" s="101">
        <v>0</v>
      </c>
      <c r="V10" s="39">
        <f t="shared" si="5"/>
        <v>487652</v>
      </c>
      <c r="W10" s="94">
        <v>487652</v>
      </c>
      <c r="X10" s="101">
        <v>0</v>
      </c>
      <c r="Y10" s="101">
        <v>0</v>
      </c>
      <c r="Z10" s="99">
        <f t="shared" si="6"/>
        <v>0</v>
      </c>
      <c r="AA10" s="94">
        <v>0</v>
      </c>
      <c r="AB10" s="94">
        <v>0</v>
      </c>
      <c r="AC10" s="94">
        <v>0</v>
      </c>
      <c r="AD10" s="99">
        <f t="shared" si="7"/>
        <v>7754547</v>
      </c>
      <c r="AE10" s="39">
        <f t="shared" si="8"/>
        <v>-430503</v>
      </c>
      <c r="AF10" s="99">
        <v>3457548</v>
      </c>
      <c r="AG10" s="99">
        <v>78576</v>
      </c>
      <c r="AH10" s="99">
        <v>0</v>
      </c>
      <c r="AI10" s="99">
        <v>0</v>
      </c>
      <c r="AJ10" s="99">
        <f t="shared" si="9"/>
        <v>2772</v>
      </c>
      <c r="AK10" s="108">
        <v>2772</v>
      </c>
      <c r="AL10" s="108">
        <v>0</v>
      </c>
      <c r="AM10" s="99">
        <f t="shared" si="10"/>
        <v>75984</v>
      </c>
      <c r="AN10" s="94">
        <f t="shared" si="11"/>
        <v>75984</v>
      </c>
      <c r="AO10" s="110">
        <v>75984</v>
      </c>
      <c r="AP10" s="110">
        <v>0</v>
      </c>
      <c r="AQ10" s="94">
        <f t="shared" si="12"/>
        <v>0</v>
      </c>
      <c r="AR10" s="108">
        <v>0</v>
      </c>
      <c r="AS10" s="108">
        <v>0</v>
      </c>
      <c r="AT10" s="108">
        <v>0</v>
      </c>
      <c r="AU10" s="39">
        <f t="shared" si="13"/>
        <v>517932</v>
      </c>
      <c r="AV10" s="94">
        <v>0</v>
      </c>
      <c r="AW10" s="94">
        <v>517932</v>
      </c>
      <c r="AX10" s="101">
        <v>0</v>
      </c>
      <c r="AY10" s="39">
        <f t="shared" si="14"/>
        <v>2826348</v>
      </c>
      <c r="AZ10" s="94">
        <v>0</v>
      </c>
      <c r="BA10" s="101">
        <v>2826348</v>
      </c>
      <c r="BB10" s="101">
        <v>0</v>
      </c>
      <c r="BC10" s="99">
        <f t="shared" si="15"/>
        <v>364884</v>
      </c>
      <c r="BD10" s="94">
        <v>364884</v>
      </c>
      <c r="BE10" s="94">
        <v>0</v>
      </c>
      <c r="BF10" s="94">
        <v>0</v>
      </c>
      <c r="BG10" s="99">
        <f t="shared" si="16"/>
        <v>7324044</v>
      </c>
      <c r="BH10" s="83"/>
      <c r="BI10" s="50">
        <f t="shared" si="17"/>
        <v>-3323135</v>
      </c>
      <c r="BJ10" s="50">
        <f t="shared" si="0"/>
        <v>0</v>
      </c>
      <c r="BK10" s="50">
        <f t="shared" si="0"/>
        <v>-6193</v>
      </c>
      <c r="BL10" s="50">
        <f t="shared" si="0"/>
        <v>-35897</v>
      </c>
      <c r="BM10" s="50">
        <f t="shared" si="0"/>
        <v>-227</v>
      </c>
      <c r="BN10" s="111">
        <f t="shared" si="0"/>
        <v>71</v>
      </c>
      <c r="BO10" s="111">
        <f t="shared" si="0"/>
        <v>-298</v>
      </c>
      <c r="BP10" s="50">
        <f t="shared" si="0"/>
        <v>-13841</v>
      </c>
      <c r="BQ10" s="102">
        <f t="shared" si="0"/>
        <v>-13841</v>
      </c>
      <c r="BR10" s="111">
        <f t="shared" si="0"/>
        <v>5474</v>
      </c>
      <c r="BS10" s="111">
        <f t="shared" si="0"/>
        <v>-19315</v>
      </c>
      <c r="BT10" s="102">
        <f t="shared" si="0"/>
        <v>0</v>
      </c>
      <c r="BU10" s="111">
        <f t="shared" si="0"/>
        <v>0</v>
      </c>
      <c r="BV10" s="111">
        <f t="shared" si="0"/>
        <v>0</v>
      </c>
      <c r="BW10" s="111">
        <f t="shared" si="0"/>
        <v>0</v>
      </c>
      <c r="BX10" s="50">
        <f t="shared" si="0"/>
        <v>245210</v>
      </c>
      <c r="BY10" s="102">
        <f t="shared" si="0"/>
        <v>-272722</v>
      </c>
      <c r="BZ10" s="102">
        <f t="shared" si="0"/>
        <v>517932</v>
      </c>
      <c r="CA10" s="102">
        <f t="shared" si="0"/>
        <v>0</v>
      </c>
      <c r="CB10" s="50">
        <f t="shared" si="0"/>
        <v>2338696</v>
      </c>
      <c r="CC10" s="102">
        <f t="shared" si="0"/>
        <v>-487652</v>
      </c>
      <c r="CD10" s="102">
        <f t="shared" si="0"/>
        <v>2826348</v>
      </c>
      <c r="CE10" s="102">
        <f t="shared" si="0"/>
        <v>0</v>
      </c>
      <c r="CF10" s="50">
        <f t="shared" si="0"/>
        <v>364884</v>
      </c>
      <c r="CG10" s="102">
        <f t="shared" si="0"/>
        <v>364884</v>
      </c>
      <c r="CH10" s="102">
        <f t="shared" si="0"/>
        <v>0</v>
      </c>
      <c r="CI10" s="102">
        <f t="shared" si="0"/>
        <v>0</v>
      </c>
      <c r="CJ10" s="50">
        <f t="shared" si="0"/>
        <v>-430503</v>
      </c>
    </row>
    <row r="11" spans="1:88" x14ac:dyDescent="0.3">
      <c r="A11" s="26">
        <v>7</v>
      </c>
      <c r="B11" s="26">
        <v>2030</v>
      </c>
      <c r="C11" s="99">
        <v>6780683</v>
      </c>
      <c r="D11" s="99">
        <v>0</v>
      </c>
      <c r="E11" s="99">
        <v>6193</v>
      </c>
      <c r="F11" s="99">
        <v>35897</v>
      </c>
      <c r="G11" s="99">
        <f t="shared" si="1"/>
        <v>2999</v>
      </c>
      <c r="H11" s="108">
        <v>2701</v>
      </c>
      <c r="I11" s="108">
        <v>298</v>
      </c>
      <c r="J11" s="99">
        <f t="shared" si="2"/>
        <v>89825</v>
      </c>
      <c r="K11" s="94">
        <f t="shared" si="3"/>
        <v>89825</v>
      </c>
      <c r="L11" s="110">
        <v>70510</v>
      </c>
      <c r="M11" s="110">
        <v>19315</v>
      </c>
      <c r="N11" s="116">
        <f t="shared" si="18"/>
        <v>0</v>
      </c>
      <c r="O11" s="108">
        <v>0</v>
      </c>
      <c r="P11" s="108">
        <v>0</v>
      </c>
      <c r="Q11" s="108">
        <v>0</v>
      </c>
      <c r="R11" s="39">
        <f t="shared" si="4"/>
        <v>272722</v>
      </c>
      <c r="S11" s="94">
        <v>272722</v>
      </c>
      <c r="T11" s="94">
        <v>0</v>
      </c>
      <c r="U11" s="101">
        <v>0</v>
      </c>
      <c r="V11" s="39">
        <f t="shared" si="5"/>
        <v>487652</v>
      </c>
      <c r="W11" s="94">
        <v>487652</v>
      </c>
      <c r="X11" s="101">
        <v>0</v>
      </c>
      <c r="Y11" s="101">
        <v>0</v>
      </c>
      <c r="Z11" s="99">
        <f t="shared" si="6"/>
        <v>0</v>
      </c>
      <c r="AA11" s="94">
        <v>0</v>
      </c>
      <c r="AB11" s="94">
        <v>0</v>
      </c>
      <c r="AC11" s="94">
        <v>0</v>
      </c>
      <c r="AD11" s="99">
        <f t="shared" si="7"/>
        <v>7675971</v>
      </c>
      <c r="AE11" s="39">
        <f t="shared" si="8"/>
        <v>-463899</v>
      </c>
      <c r="AF11" s="99">
        <v>3457548</v>
      </c>
      <c r="AG11" s="99">
        <v>0</v>
      </c>
      <c r="AH11" s="99">
        <v>0</v>
      </c>
      <c r="AI11" s="99">
        <v>0</v>
      </c>
      <c r="AJ11" s="99">
        <f t="shared" si="9"/>
        <v>2772</v>
      </c>
      <c r="AK11" s="108">
        <v>2772</v>
      </c>
      <c r="AL11" s="108">
        <v>0</v>
      </c>
      <c r="AM11" s="99">
        <f t="shared" si="10"/>
        <v>75984</v>
      </c>
      <c r="AN11" s="94">
        <f t="shared" si="11"/>
        <v>75984</v>
      </c>
      <c r="AO11" s="110">
        <v>75984</v>
      </c>
      <c r="AP11" s="110">
        <v>0</v>
      </c>
      <c r="AQ11" s="94">
        <f t="shared" si="12"/>
        <v>0</v>
      </c>
      <c r="AR11" s="108">
        <v>0</v>
      </c>
      <c r="AS11" s="108">
        <v>0</v>
      </c>
      <c r="AT11" s="108">
        <v>0</v>
      </c>
      <c r="AU11" s="39">
        <f t="shared" si="13"/>
        <v>484536</v>
      </c>
      <c r="AV11" s="94">
        <v>0</v>
      </c>
      <c r="AW11" s="94">
        <v>484536</v>
      </c>
      <c r="AX11" s="101">
        <v>0</v>
      </c>
      <c r="AY11" s="39">
        <f t="shared" si="14"/>
        <v>2826348</v>
      </c>
      <c r="AZ11" s="94">
        <v>0</v>
      </c>
      <c r="BA11" s="101">
        <v>2826348</v>
      </c>
      <c r="BB11" s="101">
        <v>0</v>
      </c>
      <c r="BC11" s="99">
        <f t="shared" si="15"/>
        <v>364884</v>
      </c>
      <c r="BD11" s="94">
        <v>364884</v>
      </c>
      <c r="BE11" s="94">
        <v>0</v>
      </c>
      <c r="BF11" s="94">
        <v>0</v>
      </c>
      <c r="BG11" s="99">
        <f t="shared" si="16"/>
        <v>7212072</v>
      </c>
      <c r="BH11" s="83"/>
      <c r="BI11" s="50">
        <f t="shared" si="17"/>
        <v>-3323135</v>
      </c>
      <c r="BJ11" s="50">
        <f t="shared" si="0"/>
        <v>0</v>
      </c>
      <c r="BK11" s="50">
        <f t="shared" si="0"/>
        <v>-6193</v>
      </c>
      <c r="BL11" s="50">
        <f t="shared" si="0"/>
        <v>-35897</v>
      </c>
      <c r="BM11" s="50">
        <f t="shared" si="0"/>
        <v>-227</v>
      </c>
      <c r="BN11" s="111">
        <f t="shared" si="0"/>
        <v>71</v>
      </c>
      <c r="BO11" s="111">
        <f t="shared" si="0"/>
        <v>-298</v>
      </c>
      <c r="BP11" s="50">
        <f t="shared" si="0"/>
        <v>-13841</v>
      </c>
      <c r="BQ11" s="102">
        <f t="shared" si="0"/>
        <v>-13841</v>
      </c>
      <c r="BR11" s="111">
        <f t="shared" si="0"/>
        <v>5474</v>
      </c>
      <c r="BS11" s="111">
        <f t="shared" si="0"/>
        <v>-19315</v>
      </c>
      <c r="BT11" s="102">
        <f t="shared" si="0"/>
        <v>0</v>
      </c>
      <c r="BU11" s="111">
        <f t="shared" si="0"/>
        <v>0</v>
      </c>
      <c r="BV11" s="111">
        <f t="shared" si="0"/>
        <v>0</v>
      </c>
      <c r="BW11" s="111">
        <f t="shared" si="0"/>
        <v>0</v>
      </c>
      <c r="BX11" s="50">
        <f t="shared" si="0"/>
        <v>211814</v>
      </c>
      <c r="BY11" s="102">
        <f t="shared" si="0"/>
        <v>-272722</v>
      </c>
      <c r="BZ11" s="102">
        <f t="shared" si="0"/>
        <v>484536</v>
      </c>
      <c r="CA11" s="102">
        <f t="shared" si="0"/>
        <v>0</v>
      </c>
      <c r="CB11" s="50">
        <f t="shared" si="0"/>
        <v>2338696</v>
      </c>
      <c r="CC11" s="102">
        <f t="shared" si="0"/>
        <v>-487652</v>
      </c>
      <c r="CD11" s="102">
        <f t="shared" si="0"/>
        <v>2826348</v>
      </c>
      <c r="CE11" s="102">
        <f t="shared" si="0"/>
        <v>0</v>
      </c>
      <c r="CF11" s="50">
        <f t="shared" si="0"/>
        <v>364884</v>
      </c>
      <c r="CG11" s="102">
        <f t="shared" si="0"/>
        <v>364884</v>
      </c>
      <c r="CH11" s="102">
        <f t="shared" si="0"/>
        <v>0</v>
      </c>
      <c r="CI11" s="102">
        <f t="shared" si="0"/>
        <v>0</v>
      </c>
      <c r="CJ11" s="50">
        <f t="shared" si="0"/>
        <v>-463899</v>
      </c>
    </row>
    <row r="12" spans="1:88" x14ac:dyDescent="0.3">
      <c r="A12" s="26">
        <v>8</v>
      </c>
      <c r="B12" s="26">
        <v>2031</v>
      </c>
      <c r="C12" s="99">
        <v>6780683</v>
      </c>
      <c r="D12" s="99">
        <v>0</v>
      </c>
      <c r="E12" s="99">
        <v>6193</v>
      </c>
      <c r="F12" s="99">
        <v>35897</v>
      </c>
      <c r="G12" s="99">
        <f t="shared" si="1"/>
        <v>2999</v>
      </c>
      <c r="H12" s="108">
        <v>2701</v>
      </c>
      <c r="I12" s="108">
        <v>298</v>
      </c>
      <c r="J12" s="99">
        <f t="shared" si="2"/>
        <v>89825</v>
      </c>
      <c r="K12" s="94">
        <f t="shared" si="3"/>
        <v>89825</v>
      </c>
      <c r="L12" s="110">
        <v>70510</v>
      </c>
      <c r="M12" s="110">
        <v>19315</v>
      </c>
      <c r="N12" s="116">
        <f t="shared" si="18"/>
        <v>0</v>
      </c>
      <c r="O12" s="108">
        <v>0</v>
      </c>
      <c r="P12" s="108">
        <v>0</v>
      </c>
      <c r="Q12" s="108">
        <v>0</v>
      </c>
      <c r="R12" s="39">
        <f t="shared" si="4"/>
        <v>272722</v>
      </c>
      <c r="S12" s="94">
        <v>272722</v>
      </c>
      <c r="T12" s="94">
        <v>0</v>
      </c>
      <c r="U12" s="101">
        <v>0</v>
      </c>
      <c r="V12" s="39">
        <f t="shared" si="5"/>
        <v>487652</v>
      </c>
      <c r="W12" s="94">
        <v>487652</v>
      </c>
      <c r="X12" s="101">
        <v>0</v>
      </c>
      <c r="Y12" s="101">
        <v>0</v>
      </c>
      <c r="Z12" s="99">
        <f t="shared" si="6"/>
        <v>0</v>
      </c>
      <c r="AA12" s="94">
        <v>0</v>
      </c>
      <c r="AB12" s="94">
        <v>0</v>
      </c>
      <c r="AC12" s="94">
        <v>0</v>
      </c>
      <c r="AD12" s="99">
        <f t="shared" si="7"/>
        <v>7675971</v>
      </c>
      <c r="AE12" s="39">
        <f t="shared" si="8"/>
        <v>-530691</v>
      </c>
      <c r="AF12" s="99">
        <v>3457548</v>
      </c>
      <c r="AG12" s="99">
        <v>0</v>
      </c>
      <c r="AH12" s="99">
        <v>0</v>
      </c>
      <c r="AI12" s="99">
        <v>0</v>
      </c>
      <c r="AJ12" s="99">
        <f t="shared" si="9"/>
        <v>2772</v>
      </c>
      <c r="AK12" s="108">
        <v>2772</v>
      </c>
      <c r="AL12" s="108">
        <v>0</v>
      </c>
      <c r="AM12" s="99">
        <f t="shared" si="10"/>
        <v>75984</v>
      </c>
      <c r="AN12" s="94">
        <f t="shared" si="11"/>
        <v>75984</v>
      </c>
      <c r="AO12" s="110">
        <v>75984</v>
      </c>
      <c r="AP12" s="110">
        <v>0</v>
      </c>
      <c r="AQ12" s="94">
        <f t="shared" si="12"/>
        <v>0</v>
      </c>
      <c r="AR12" s="108">
        <v>0</v>
      </c>
      <c r="AS12" s="108">
        <v>0</v>
      </c>
      <c r="AT12" s="108">
        <v>0</v>
      </c>
      <c r="AU12" s="39">
        <f t="shared" si="13"/>
        <v>417744</v>
      </c>
      <c r="AV12" s="94">
        <v>0</v>
      </c>
      <c r="AW12" s="94">
        <v>417744</v>
      </c>
      <c r="AX12" s="101">
        <v>0</v>
      </c>
      <c r="AY12" s="39">
        <f t="shared" si="14"/>
        <v>2826348</v>
      </c>
      <c r="AZ12" s="94">
        <v>0</v>
      </c>
      <c r="BA12" s="101">
        <v>2826348</v>
      </c>
      <c r="BB12" s="101">
        <v>0</v>
      </c>
      <c r="BC12" s="99">
        <f t="shared" si="15"/>
        <v>364884</v>
      </c>
      <c r="BD12" s="94">
        <v>364884</v>
      </c>
      <c r="BE12" s="94">
        <v>0</v>
      </c>
      <c r="BF12" s="94">
        <v>0</v>
      </c>
      <c r="BG12" s="99">
        <f t="shared" si="16"/>
        <v>7145280</v>
      </c>
      <c r="BH12" s="83"/>
      <c r="BI12" s="50">
        <f t="shared" si="17"/>
        <v>-3323135</v>
      </c>
      <c r="BJ12" s="50">
        <f t="shared" si="0"/>
        <v>0</v>
      </c>
      <c r="BK12" s="50">
        <f t="shared" si="0"/>
        <v>-6193</v>
      </c>
      <c r="BL12" s="50">
        <f t="shared" si="0"/>
        <v>-35897</v>
      </c>
      <c r="BM12" s="50">
        <f t="shared" si="0"/>
        <v>-227</v>
      </c>
      <c r="BN12" s="111">
        <f t="shared" si="0"/>
        <v>71</v>
      </c>
      <c r="BO12" s="111">
        <f t="shared" si="0"/>
        <v>-298</v>
      </c>
      <c r="BP12" s="50">
        <f t="shared" si="0"/>
        <v>-13841</v>
      </c>
      <c r="BQ12" s="102">
        <f t="shared" si="0"/>
        <v>-13841</v>
      </c>
      <c r="BR12" s="111">
        <f t="shared" si="0"/>
        <v>5474</v>
      </c>
      <c r="BS12" s="111">
        <f t="shared" si="0"/>
        <v>-19315</v>
      </c>
      <c r="BT12" s="102">
        <f t="shared" si="0"/>
        <v>0</v>
      </c>
      <c r="BU12" s="111">
        <f t="shared" si="0"/>
        <v>0</v>
      </c>
      <c r="BV12" s="111">
        <f t="shared" si="0"/>
        <v>0</v>
      </c>
      <c r="BW12" s="111">
        <f t="shared" si="0"/>
        <v>0</v>
      </c>
      <c r="BX12" s="50">
        <f t="shared" si="0"/>
        <v>145022</v>
      </c>
      <c r="BY12" s="102">
        <f t="shared" si="0"/>
        <v>-272722</v>
      </c>
      <c r="BZ12" s="102">
        <f t="shared" si="0"/>
        <v>417744</v>
      </c>
      <c r="CA12" s="102">
        <f t="shared" si="0"/>
        <v>0</v>
      </c>
      <c r="CB12" s="50">
        <f t="shared" si="0"/>
        <v>2338696</v>
      </c>
      <c r="CC12" s="102">
        <f t="shared" si="0"/>
        <v>-487652</v>
      </c>
      <c r="CD12" s="102">
        <f t="shared" si="0"/>
        <v>2826348</v>
      </c>
      <c r="CE12" s="102">
        <f t="shared" si="0"/>
        <v>0</v>
      </c>
      <c r="CF12" s="50">
        <f t="shared" si="0"/>
        <v>364884</v>
      </c>
      <c r="CG12" s="102">
        <f t="shared" si="0"/>
        <v>364884</v>
      </c>
      <c r="CH12" s="102">
        <f t="shared" si="0"/>
        <v>0</v>
      </c>
      <c r="CI12" s="102">
        <f t="shared" si="0"/>
        <v>0</v>
      </c>
      <c r="CJ12" s="50">
        <f t="shared" si="0"/>
        <v>-530691</v>
      </c>
    </row>
    <row r="13" spans="1:88" x14ac:dyDescent="0.3">
      <c r="A13" s="26">
        <v>9</v>
      </c>
      <c r="B13" s="26">
        <v>2032</v>
      </c>
      <c r="C13" s="99">
        <v>6780683</v>
      </c>
      <c r="D13" s="99">
        <v>0</v>
      </c>
      <c r="E13" s="99">
        <v>6193</v>
      </c>
      <c r="F13" s="99">
        <v>35897</v>
      </c>
      <c r="G13" s="99">
        <f t="shared" si="1"/>
        <v>2999</v>
      </c>
      <c r="H13" s="108">
        <v>2701</v>
      </c>
      <c r="I13" s="108">
        <v>298</v>
      </c>
      <c r="J13" s="99">
        <f t="shared" si="2"/>
        <v>89825</v>
      </c>
      <c r="K13" s="94">
        <f t="shared" si="3"/>
        <v>89825</v>
      </c>
      <c r="L13" s="110">
        <v>70510</v>
      </c>
      <c r="M13" s="110">
        <v>19315</v>
      </c>
      <c r="N13" s="116">
        <f t="shared" si="18"/>
        <v>0</v>
      </c>
      <c r="O13" s="108">
        <v>0</v>
      </c>
      <c r="P13" s="108">
        <v>0</v>
      </c>
      <c r="Q13" s="108">
        <v>0</v>
      </c>
      <c r="R13" s="39">
        <f t="shared" si="4"/>
        <v>272722</v>
      </c>
      <c r="S13" s="94">
        <v>272722</v>
      </c>
      <c r="T13" s="94">
        <v>0</v>
      </c>
      <c r="U13" s="101">
        <v>0</v>
      </c>
      <c r="V13" s="39">
        <f t="shared" si="5"/>
        <v>487652</v>
      </c>
      <c r="W13" s="94">
        <v>487652</v>
      </c>
      <c r="X13" s="101">
        <v>0</v>
      </c>
      <c r="Y13" s="101">
        <v>0</v>
      </c>
      <c r="Z13" s="99">
        <f t="shared" si="6"/>
        <v>0</v>
      </c>
      <c r="AA13" s="94">
        <v>0</v>
      </c>
      <c r="AB13" s="94">
        <v>0</v>
      </c>
      <c r="AC13" s="94">
        <v>0</v>
      </c>
      <c r="AD13" s="99">
        <f t="shared" si="7"/>
        <v>7675971</v>
      </c>
      <c r="AE13" s="39">
        <f t="shared" si="8"/>
        <v>-1135875</v>
      </c>
      <c r="AF13" s="99">
        <v>3457548</v>
      </c>
      <c r="AG13" s="99">
        <v>0</v>
      </c>
      <c r="AH13" s="99">
        <v>0</v>
      </c>
      <c r="AI13" s="99">
        <v>0</v>
      </c>
      <c r="AJ13" s="99">
        <f t="shared" si="9"/>
        <v>2772</v>
      </c>
      <c r="AK13" s="108">
        <v>2772</v>
      </c>
      <c r="AL13" s="108">
        <v>0</v>
      </c>
      <c r="AM13" s="99">
        <f t="shared" si="10"/>
        <v>75984</v>
      </c>
      <c r="AN13" s="94">
        <f t="shared" si="11"/>
        <v>75984</v>
      </c>
      <c r="AO13" s="110">
        <v>75984</v>
      </c>
      <c r="AP13" s="110">
        <v>0</v>
      </c>
      <c r="AQ13" s="94">
        <f t="shared" si="12"/>
        <v>0</v>
      </c>
      <c r="AR13" s="108">
        <v>0</v>
      </c>
      <c r="AS13" s="108">
        <v>0</v>
      </c>
      <c r="AT13" s="108">
        <v>0</v>
      </c>
      <c r="AU13" s="39">
        <f t="shared" si="13"/>
        <v>417744</v>
      </c>
      <c r="AV13" s="94">
        <v>0</v>
      </c>
      <c r="AW13" s="94">
        <v>417744</v>
      </c>
      <c r="AX13" s="101">
        <v>0</v>
      </c>
      <c r="AY13" s="39">
        <f t="shared" si="14"/>
        <v>2221164</v>
      </c>
      <c r="AZ13" s="94">
        <v>0</v>
      </c>
      <c r="BA13" s="101">
        <v>2221164</v>
      </c>
      <c r="BB13" s="101">
        <v>0</v>
      </c>
      <c r="BC13" s="99">
        <f t="shared" si="15"/>
        <v>364884</v>
      </c>
      <c r="BD13" s="94">
        <v>364884</v>
      </c>
      <c r="BE13" s="94">
        <v>0</v>
      </c>
      <c r="BF13" s="94">
        <v>0</v>
      </c>
      <c r="BG13" s="99">
        <f t="shared" si="16"/>
        <v>6540096</v>
      </c>
      <c r="BH13" s="83"/>
      <c r="BI13" s="50">
        <f t="shared" si="17"/>
        <v>-3323135</v>
      </c>
      <c r="BJ13" s="50">
        <f t="shared" si="0"/>
        <v>0</v>
      </c>
      <c r="BK13" s="50">
        <f t="shared" si="0"/>
        <v>-6193</v>
      </c>
      <c r="BL13" s="50">
        <f t="shared" si="0"/>
        <v>-35897</v>
      </c>
      <c r="BM13" s="50">
        <f t="shared" si="0"/>
        <v>-227</v>
      </c>
      <c r="BN13" s="111">
        <f t="shared" si="0"/>
        <v>71</v>
      </c>
      <c r="BO13" s="111">
        <f t="shared" si="0"/>
        <v>-298</v>
      </c>
      <c r="BP13" s="50">
        <f t="shared" si="0"/>
        <v>-13841</v>
      </c>
      <c r="BQ13" s="102">
        <f t="shared" si="0"/>
        <v>-13841</v>
      </c>
      <c r="BR13" s="111">
        <f t="shared" si="0"/>
        <v>5474</v>
      </c>
      <c r="BS13" s="111">
        <f t="shared" si="0"/>
        <v>-19315</v>
      </c>
      <c r="BT13" s="102">
        <f t="shared" si="0"/>
        <v>0</v>
      </c>
      <c r="BU13" s="111">
        <f t="shared" si="0"/>
        <v>0</v>
      </c>
      <c r="BV13" s="111">
        <f t="shared" si="0"/>
        <v>0</v>
      </c>
      <c r="BW13" s="111">
        <f t="shared" si="0"/>
        <v>0</v>
      </c>
      <c r="BX13" s="50">
        <f t="shared" si="0"/>
        <v>145022</v>
      </c>
      <c r="BY13" s="102">
        <f t="shared" si="0"/>
        <v>-272722</v>
      </c>
      <c r="BZ13" s="102">
        <f t="shared" si="0"/>
        <v>417744</v>
      </c>
      <c r="CA13" s="102">
        <f t="shared" si="0"/>
        <v>0</v>
      </c>
      <c r="CB13" s="50">
        <f t="shared" si="0"/>
        <v>1733512</v>
      </c>
      <c r="CC13" s="102">
        <f t="shared" si="0"/>
        <v>-487652</v>
      </c>
      <c r="CD13" s="102">
        <f t="shared" si="0"/>
        <v>2221164</v>
      </c>
      <c r="CE13" s="102">
        <f t="shared" si="0"/>
        <v>0</v>
      </c>
      <c r="CF13" s="50">
        <f t="shared" si="0"/>
        <v>364884</v>
      </c>
      <c r="CG13" s="102">
        <f t="shared" si="0"/>
        <v>364884</v>
      </c>
      <c r="CH13" s="102">
        <f t="shared" si="0"/>
        <v>0</v>
      </c>
      <c r="CI13" s="102">
        <f t="shared" si="0"/>
        <v>0</v>
      </c>
      <c r="CJ13" s="50">
        <f t="shared" si="0"/>
        <v>-1135875</v>
      </c>
    </row>
    <row r="14" spans="1:88" x14ac:dyDescent="0.3">
      <c r="A14" s="26">
        <v>10</v>
      </c>
      <c r="B14" s="26">
        <v>2033</v>
      </c>
      <c r="C14" s="99">
        <v>6780683</v>
      </c>
      <c r="D14" s="99">
        <v>0</v>
      </c>
      <c r="E14" s="99">
        <v>6193</v>
      </c>
      <c r="F14" s="99">
        <v>35897</v>
      </c>
      <c r="G14" s="99">
        <f t="shared" si="1"/>
        <v>2999</v>
      </c>
      <c r="H14" s="108">
        <v>2701</v>
      </c>
      <c r="I14" s="108">
        <v>298</v>
      </c>
      <c r="J14" s="99">
        <f t="shared" si="2"/>
        <v>89825</v>
      </c>
      <c r="K14" s="94">
        <f t="shared" si="3"/>
        <v>89825</v>
      </c>
      <c r="L14" s="110">
        <v>70510</v>
      </c>
      <c r="M14" s="110">
        <v>19315</v>
      </c>
      <c r="N14" s="116">
        <f t="shared" si="18"/>
        <v>0</v>
      </c>
      <c r="O14" s="108">
        <v>0</v>
      </c>
      <c r="P14" s="108">
        <v>0</v>
      </c>
      <c r="Q14" s="108">
        <v>0</v>
      </c>
      <c r="R14" s="39">
        <f t="shared" si="4"/>
        <v>272722</v>
      </c>
      <c r="S14" s="94">
        <v>272722</v>
      </c>
      <c r="T14" s="94">
        <v>0</v>
      </c>
      <c r="U14" s="101">
        <v>0</v>
      </c>
      <c r="V14" s="39">
        <f t="shared" si="5"/>
        <v>487652</v>
      </c>
      <c r="W14" s="94">
        <v>487652</v>
      </c>
      <c r="X14" s="101">
        <v>0</v>
      </c>
      <c r="Y14" s="101">
        <v>0</v>
      </c>
      <c r="Z14" s="99">
        <f t="shared" si="6"/>
        <v>0</v>
      </c>
      <c r="AA14" s="94">
        <v>0</v>
      </c>
      <c r="AB14" s="94">
        <v>0</v>
      </c>
      <c r="AC14" s="94">
        <v>0</v>
      </c>
      <c r="AD14" s="99">
        <f t="shared" si="7"/>
        <v>7675971</v>
      </c>
      <c r="AE14" s="39">
        <f t="shared" si="8"/>
        <v>-1135875</v>
      </c>
      <c r="AF14" s="99">
        <v>3457548</v>
      </c>
      <c r="AG14" s="99">
        <v>0</v>
      </c>
      <c r="AH14" s="99">
        <v>0</v>
      </c>
      <c r="AI14" s="99">
        <v>0</v>
      </c>
      <c r="AJ14" s="99">
        <f t="shared" si="9"/>
        <v>2772</v>
      </c>
      <c r="AK14" s="108">
        <v>2772</v>
      </c>
      <c r="AL14" s="108">
        <v>0</v>
      </c>
      <c r="AM14" s="99">
        <f t="shared" si="10"/>
        <v>75984</v>
      </c>
      <c r="AN14" s="94">
        <f t="shared" si="11"/>
        <v>75984</v>
      </c>
      <c r="AO14" s="110">
        <v>75984</v>
      </c>
      <c r="AP14" s="110">
        <v>0</v>
      </c>
      <c r="AQ14" s="94">
        <f t="shared" si="12"/>
        <v>0</v>
      </c>
      <c r="AR14" s="108">
        <v>0</v>
      </c>
      <c r="AS14" s="108">
        <v>0</v>
      </c>
      <c r="AT14" s="108">
        <v>0</v>
      </c>
      <c r="AU14" s="39">
        <f t="shared" si="13"/>
        <v>417744</v>
      </c>
      <c r="AV14" s="94">
        <v>0</v>
      </c>
      <c r="AW14" s="94">
        <v>417744</v>
      </c>
      <c r="AX14" s="101">
        <v>0</v>
      </c>
      <c r="AY14" s="39">
        <f t="shared" si="14"/>
        <v>2221164</v>
      </c>
      <c r="AZ14" s="94">
        <v>0</v>
      </c>
      <c r="BA14" s="101">
        <v>2221164</v>
      </c>
      <c r="BB14" s="101">
        <v>0</v>
      </c>
      <c r="BC14" s="99">
        <f t="shared" si="15"/>
        <v>364884</v>
      </c>
      <c r="BD14" s="94">
        <v>364884</v>
      </c>
      <c r="BE14" s="94">
        <v>0</v>
      </c>
      <c r="BF14" s="94">
        <v>0</v>
      </c>
      <c r="BG14" s="99">
        <f t="shared" si="16"/>
        <v>6540096</v>
      </c>
      <c r="BH14" s="83"/>
      <c r="BI14" s="50">
        <f t="shared" si="17"/>
        <v>-3323135</v>
      </c>
      <c r="BJ14" s="50">
        <f t="shared" si="0"/>
        <v>0</v>
      </c>
      <c r="BK14" s="50">
        <f t="shared" si="0"/>
        <v>-6193</v>
      </c>
      <c r="BL14" s="50">
        <f t="shared" si="0"/>
        <v>-35897</v>
      </c>
      <c r="BM14" s="50">
        <f t="shared" si="0"/>
        <v>-227</v>
      </c>
      <c r="BN14" s="111">
        <f t="shared" si="0"/>
        <v>71</v>
      </c>
      <c r="BO14" s="111">
        <f t="shared" si="0"/>
        <v>-298</v>
      </c>
      <c r="BP14" s="50">
        <f t="shared" si="0"/>
        <v>-13841</v>
      </c>
      <c r="BQ14" s="102">
        <f t="shared" si="0"/>
        <v>-13841</v>
      </c>
      <c r="BR14" s="111">
        <f t="shared" si="0"/>
        <v>5474</v>
      </c>
      <c r="BS14" s="111">
        <f t="shared" si="0"/>
        <v>-19315</v>
      </c>
      <c r="BT14" s="102">
        <f t="shared" si="0"/>
        <v>0</v>
      </c>
      <c r="BU14" s="111">
        <f t="shared" si="0"/>
        <v>0</v>
      </c>
      <c r="BV14" s="111">
        <f t="shared" ref="BV14:BV25" si="19">AS14-P14</f>
        <v>0</v>
      </c>
      <c r="BW14" s="111">
        <f t="shared" ref="BW14:BW25" si="20">AT14-Q14</f>
        <v>0</v>
      </c>
      <c r="BX14" s="50">
        <f t="shared" ref="BX14:BX25" si="21">AU14-R14</f>
        <v>145022</v>
      </c>
      <c r="BY14" s="102">
        <f t="shared" ref="BY14:BY25" si="22">AV14-S14</f>
        <v>-272722</v>
      </c>
      <c r="BZ14" s="102">
        <f t="shared" ref="BZ14:BZ25" si="23">AW14-T14</f>
        <v>417744</v>
      </c>
      <c r="CA14" s="102">
        <f t="shared" ref="CA14:CA25" si="24">AX14-U14</f>
        <v>0</v>
      </c>
      <c r="CB14" s="50">
        <f t="shared" ref="CB14:CB25" si="25">AY14-V14</f>
        <v>1733512</v>
      </c>
      <c r="CC14" s="102">
        <f t="shared" ref="CC14:CC25" si="26">AZ14-W14</f>
        <v>-487652</v>
      </c>
      <c r="CD14" s="102">
        <f t="shared" ref="CD14:CD25" si="27">BA14-X14</f>
        <v>2221164</v>
      </c>
      <c r="CE14" s="102">
        <f t="shared" ref="CE14:CE25" si="28">BB14-Y14</f>
        <v>0</v>
      </c>
      <c r="CF14" s="50">
        <f t="shared" ref="CF14:CF25" si="29">BC14-Z14</f>
        <v>364884</v>
      </c>
      <c r="CG14" s="102">
        <f t="shared" ref="CG14:CG25" si="30">BD14-AA14</f>
        <v>364884</v>
      </c>
      <c r="CH14" s="102">
        <f t="shared" ref="CH14:CH25" si="31">BE14-AB14</f>
        <v>0</v>
      </c>
      <c r="CI14" s="102">
        <f t="shared" ref="CI14:CI25" si="32">BF14-AC14</f>
        <v>0</v>
      </c>
      <c r="CJ14" s="50">
        <f t="shared" ref="CJ14:CJ25" si="33">BG14-AD14</f>
        <v>-1135875</v>
      </c>
    </row>
    <row r="15" spans="1:88" x14ac:dyDescent="0.3">
      <c r="A15" s="26">
        <v>11</v>
      </c>
      <c r="B15" s="26">
        <v>2034</v>
      </c>
      <c r="C15" s="99">
        <v>6780683</v>
      </c>
      <c r="D15" s="99">
        <v>0</v>
      </c>
      <c r="E15" s="99">
        <v>6193</v>
      </c>
      <c r="F15" s="99">
        <v>35897</v>
      </c>
      <c r="G15" s="99">
        <f t="shared" si="1"/>
        <v>2999</v>
      </c>
      <c r="H15" s="108">
        <v>2701</v>
      </c>
      <c r="I15" s="108">
        <v>298</v>
      </c>
      <c r="J15" s="99">
        <f t="shared" si="2"/>
        <v>89825</v>
      </c>
      <c r="K15" s="94">
        <f t="shared" si="3"/>
        <v>89825</v>
      </c>
      <c r="L15" s="110">
        <v>70510</v>
      </c>
      <c r="M15" s="110">
        <v>19315</v>
      </c>
      <c r="N15" s="116">
        <f t="shared" si="18"/>
        <v>0</v>
      </c>
      <c r="O15" s="108">
        <v>0</v>
      </c>
      <c r="P15" s="108">
        <v>0</v>
      </c>
      <c r="Q15" s="108">
        <v>0</v>
      </c>
      <c r="R15" s="39">
        <f t="shared" si="4"/>
        <v>272722</v>
      </c>
      <c r="S15" s="94">
        <v>272722</v>
      </c>
      <c r="T15" s="94">
        <v>0</v>
      </c>
      <c r="U15" s="101">
        <v>0</v>
      </c>
      <c r="V15" s="39">
        <f t="shared" si="5"/>
        <v>487652</v>
      </c>
      <c r="W15" s="94">
        <v>487652</v>
      </c>
      <c r="X15" s="101">
        <v>0</v>
      </c>
      <c r="Y15" s="101">
        <v>0</v>
      </c>
      <c r="Z15" s="99">
        <f t="shared" si="6"/>
        <v>0</v>
      </c>
      <c r="AA15" s="94">
        <v>0</v>
      </c>
      <c r="AB15" s="94">
        <v>0</v>
      </c>
      <c r="AC15" s="94">
        <v>0</v>
      </c>
      <c r="AD15" s="99">
        <f t="shared" si="7"/>
        <v>7675971</v>
      </c>
      <c r="AE15" s="39">
        <f t="shared" si="8"/>
        <v>-1135875</v>
      </c>
      <c r="AF15" s="99">
        <v>3457548</v>
      </c>
      <c r="AG15" s="99">
        <v>0</v>
      </c>
      <c r="AH15" s="99">
        <v>0</v>
      </c>
      <c r="AI15" s="99">
        <v>0</v>
      </c>
      <c r="AJ15" s="99">
        <f t="shared" si="9"/>
        <v>2772</v>
      </c>
      <c r="AK15" s="108">
        <v>2772</v>
      </c>
      <c r="AL15" s="108">
        <v>0</v>
      </c>
      <c r="AM15" s="99">
        <f t="shared" si="10"/>
        <v>75984</v>
      </c>
      <c r="AN15" s="94">
        <f t="shared" si="11"/>
        <v>75984</v>
      </c>
      <c r="AO15" s="110">
        <v>75984</v>
      </c>
      <c r="AP15" s="110">
        <v>0</v>
      </c>
      <c r="AQ15" s="94">
        <f t="shared" si="12"/>
        <v>0</v>
      </c>
      <c r="AR15" s="108">
        <v>0</v>
      </c>
      <c r="AS15" s="108">
        <v>0</v>
      </c>
      <c r="AT15" s="108">
        <v>0</v>
      </c>
      <c r="AU15" s="39">
        <f t="shared" si="13"/>
        <v>417744</v>
      </c>
      <c r="AV15" s="94">
        <v>0</v>
      </c>
      <c r="AW15" s="94">
        <v>417744</v>
      </c>
      <c r="AX15" s="101">
        <v>0</v>
      </c>
      <c r="AY15" s="39">
        <f t="shared" si="14"/>
        <v>2221164</v>
      </c>
      <c r="AZ15" s="94">
        <v>0</v>
      </c>
      <c r="BA15" s="101">
        <v>2221164</v>
      </c>
      <c r="BB15" s="101">
        <v>0</v>
      </c>
      <c r="BC15" s="99">
        <f t="shared" si="15"/>
        <v>364884</v>
      </c>
      <c r="BD15" s="94">
        <v>364884</v>
      </c>
      <c r="BE15" s="94">
        <v>0</v>
      </c>
      <c r="BF15" s="94">
        <v>0</v>
      </c>
      <c r="BG15" s="99">
        <f t="shared" si="16"/>
        <v>6540096</v>
      </c>
      <c r="BH15" s="83"/>
      <c r="BI15" s="50">
        <f t="shared" si="17"/>
        <v>-3323135</v>
      </c>
      <c r="BJ15" s="50">
        <f t="shared" ref="BJ15:BJ25" si="34">AG15-D15</f>
        <v>0</v>
      </c>
      <c r="BK15" s="50">
        <f t="shared" ref="BK15:BK25" si="35">AH15-E15</f>
        <v>-6193</v>
      </c>
      <c r="BL15" s="50">
        <f t="shared" ref="BL15:BL25" si="36">AI15-F15</f>
        <v>-35897</v>
      </c>
      <c r="BM15" s="50">
        <f t="shared" ref="BM15:BM25" si="37">AJ15-G15</f>
        <v>-227</v>
      </c>
      <c r="BN15" s="111">
        <f t="shared" ref="BN15:BN25" si="38">AK15-H15</f>
        <v>71</v>
      </c>
      <c r="BO15" s="111">
        <f t="shared" ref="BO15:BO25" si="39">AL15-I15</f>
        <v>-298</v>
      </c>
      <c r="BP15" s="50">
        <f t="shared" ref="BP15:BP25" si="40">AM15-J15</f>
        <v>-13841</v>
      </c>
      <c r="BQ15" s="102">
        <f t="shared" ref="BQ15:BQ25" si="41">AN15-K15</f>
        <v>-13841</v>
      </c>
      <c r="BR15" s="111">
        <f t="shared" ref="BR15:BR25" si="42">AO15-L15</f>
        <v>5474</v>
      </c>
      <c r="BS15" s="111">
        <f t="shared" ref="BS15:BS25" si="43">AP15-M15</f>
        <v>-19315</v>
      </c>
      <c r="BT15" s="102">
        <f t="shared" ref="BT15:BT25" si="44">AQ15-N15</f>
        <v>0</v>
      </c>
      <c r="BU15" s="111">
        <f t="shared" ref="BU15:BU25" si="45">AR15-O15</f>
        <v>0</v>
      </c>
      <c r="BV15" s="111">
        <f t="shared" si="19"/>
        <v>0</v>
      </c>
      <c r="BW15" s="111">
        <f t="shared" si="20"/>
        <v>0</v>
      </c>
      <c r="BX15" s="50">
        <f t="shared" si="21"/>
        <v>145022</v>
      </c>
      <c r="BY15" s="102">
        <f t="shared" si="22"/>
        <v>-272722</v>
      </c>
      <c r="BZ15" s="102">
        <f t="shared" si="23"/>
        <v>417744</v>
      </c>
      <c r="CA15" s="102">
        <f t="shared" si="24"/>
        <v>0</v>
      </c>
      <c r="CB15" s="50">
        <f t="shared" si="25"/>
        <v>1733512</v>
      </c>
      <c r="CC15" s="102">
        <f t="shared" si="26"/>
        <v>-487652</v>
      </c>
      <c r="CD15" s="102">
        <f t="shared" si="27"/>
        <v>2221164</v>
      </c>
      <c r="CE15" s="102">
        <f t="shared" si="28"/>
        <v>0</v>
      </c>
      <c r="CF15" s="50">
        <f t="shared" si="29"/>
        <v>364884</v>
      </c>
      <c r="CG15" s="102">
        <f t="shared" si="30"/>
        <v>364884</v>
      </c>
      <c r="CH15" s="102">
        <f t="shared" si="31"/>
        <v>0</v>
      </c>
      <c r="CI15" s="102">
        <f t="shared" si="32"/>
        <v>0</v>
      </c>
      <c r="CJ15" s="50">
        <f t="shared" si="33"/>
        <v>-1135875</v>
      </c>
    </row>
    <row r="16" spans="1:88" x14ac:dyDescent="0.3">
      <c r="A16" s="26">
        <v>12</v>
      </c>
      <c r="B16" s="26">
        <v>2035</v>
      </c>
      <c r="C16" s="99">
        <v>6780683</v>
      </c>
      <c r="D16" s="99">
        <v>0</v>
      </c>
      <c r="E16" s="99">
        <v>6193</v>
      </c>
      <c r="F16" s="99">
        <v>35897</v>
      </c>
      <c r="G16" s="99">
        <f t="shared" si="1"/>
        <v>2999</v>
      </c>
      <c r="H16" s="108">
        <v>2701</v>
      </c>
      <c r="I16" s="108">
        <v>298</v>
      </c>
      <c r="J16" s="99">
        <f t="shared" si="2"/>
        <v>89825</v>
      </c>
      <c r="K16" s="94">
        <f t="shared" si="3"/>
        <v>89825</v>
      </c>
      <c r="L16" s="110">
        <v>70510</v>
      </c>
      <c r="M16" s="110">
        <v>19315</v>
      </c>
      <c r="N16" s="116">
        <f t="shared" si="18"/>
        <v>0</v>
      </c>
      <c r="O16" s="108">
        <v>0</v>
      </c>
      <c r="P16" s="108">
        <v>0</v>
      </c>
      <c r="Q16" s="108">
        <v>0</v>
      </c>
      <c r="R16" s="39">
        <f t="shared" si="4"/>
        <v>272722</v>
      </c>
      <c r="S16" s="94">
        <v>272722</v>
      </c>
      <c r="T16" s="94">
        <v>0</v>
      </c>
      <c r="U16" s="101">
        <v>0</v>
      </c>
      <c r="V16" s="39">
        <f t="shared" si="5"/>
        <v>487652</v>
      </c>
      <c r="W16" s="94">
        <v>487652</v>
      </c>
      <c r="X16" s="101">
        <v>0</v>
      </c>
      <c r="Y16" s="101">
        <v>0</v>
      </c>
      <c r="Z16" s="99">
        <f t="shared" si="6"/>
        <v>0</v>
      </c>
      <c r="AA16" s="94">
        <v>0</v>
      </c>
      <c r="AB16" s="94">
        <v>0</v>
      </c>
      <c r="AC16" s="94">
        <v>0</v>
      </c>
      <c r="AD16" s="99">
        <f t="shared" si="7"/>
        <v>7675971</v>
      </c>
      <c r="AE16" s="39">
        <f t="shared" si="8"/>
        <v>-1190931</v>
      </c>
      <c r="AF16" s="99">
        <v>3457548</v>
      </c>
      <c r="AG16" s="99">
        <v>0</v>
      </c>
      <c r="AH16" s="99">
        <v>0</v>
      </c>
      <c r="AI16" s="99">
        <v>0</v>
      </c>
      <c r="AJ16" s="99">
        <f t="shared" si="9"/>
        <v>2772</v>
      </c>
      <c r="AK16" s="108">
        <v>2772</v>
      </c>
      <c r="AL16" s="108">
        <v>0</v>
      </c>
      <c r="AM16" s="99">
        <f t="shared" si="10"/>
        <v>75984</v>
      </c>
      <c r="AN16" s="94">
        <f t="shared" si="11"/>
        <v>75984</v>
      </c>
      <c r="AO16" s="110">
        <v>75984</v>
      </c>
      <c r="AP16" s="110">
        <v>0</v>
      </c>
      <c r="AQ16" s="94">
        <f t="shared" si="12"/>
        <v>0</v>
      </c>
      <c r="AR16" s="108">
        <v>0</v>
      </c>
      <c r="AS16" s="108">
        <v>0</v>
      </c>
      <c r="AT16" s="108">
        <v>0</v>
      </c>
      <c r="AU16" s="39">
        <f t="shared" si="13"/>
        <v>362688</v>
      </c>
      <c r="AV16" s="94">
        <v>0</v>
      </c>
      <c r="AW16" s="94">
        <v>362688</v>
      </c>
      <c r="AX16" s="101">
        <v>0</v>
      </c>
      <c r="AY16" s="39">
        <f t="shared" si="14"/>
        <v>2221164</v>
      </c>
      <c r="AZ16" s="94">
        <v>0</v>
      </c>
      <c r="BA16" s="101">
        <v>2221164</v>
      </c>
      <c r="BB16" s="101">
        <v>0</v>
      </c>
      <c r="BC16" s="99">
        <f t="shared" si="15"/>
        <v>364884</v>
      </c>
      <c r="BD16" s="94">
        <v>364884</v>
      </c>
      <c r="BE16" s="94">
        <v>0</v>
      </c>
      <c r="BF16" s="94">
        <v>0</v>
      </c>
      <c r="BG16" s="99">
        <f t="shared" si="16"/>
        <v>6485040</v>
      </c>
      <c r="BH16" s="83"/>
      <c r="BI16" s="50">
        <f t="shared" si="17"/>
        <v>-3323135</v>
      </c>
      <c r="BJ16" s="50">
        <f t="shared" si="34"/>
        <v>0</v>
      </c>
      <c r="BK16" s="50">
        <f t="shared" si="35"/>
        <v>-6193</v>
      </c>
      <c r="BL16" s="50">
        <f t="shared" si="36"/>
        <v>-35897</v>
      </c>
      <c r="BM16" s="50">
        <f t="shared" si="37"/>
        <v>-227</v>
      </c>
      <c r="BN16" s="111">
        <f t="shared" si="38"/>
        <v>71</v>
      </c>
      <c r="BO16" s="111">
        <f t="shared" si="39"/>
        <v>-298</v>
      </c>
      <c r="BP16" s="50">
        <f t="shared" si="40"/>
        <v>-13841</v>
      </c>
      <c r="BQ16" s="102">
        <f t="shared" si="41"/>
        <v>-13841</v>
      </c>
      <c r="BR16" s="111">
        <f t="shared" si="42"/>
        <v>5474</v>
      </c>
      <c r="BS16" s="111">
        <f t="shared" si="43"/>
        <v>-19315</v>
      </c>
      <c r="BT16" s="102">
        <f t="shared" si="44"/>
        <v>0</v>
      </c>
      <c r="BU16" s="111">
        <f t="shared" si="45"/>
        <v>0</v>
      </c>
      <c r="BV16" s="111">
        <f t="shared" si="19"/>
        <v>0</v>
      </c>
      <c r="BW16" s="111">
        <f t="shared" si="20"/>
        <v>0</v>
      </c>
      <c r="BX16" s="50">
        <f t="shared" si="21"/>
        <v>89966</v>
      </c>
      <c r="BY16" s="102">
        <f t="shared" si="22"/>
        <v>-272722</v>
      </c>
      <c r="BZ16" s="102">
        <f t="shared" si="23"/>
        <v>362688</v>
      </c>
      <c r="CA16" s="102">
        <f t="shared" si="24"/>
        <v>0</v>
      </c>
      <c r="CB16" s="50">
        <f t="shared" si="25"/>
        <v>1733512</v>
      </c>
      <c r="CC16" s="102">
        <f t="shared" si="26"/>
        <v>-487652</v>
      </c>
      <c r="CD16" s="102">
        <f t="shared" si="27"/>
        <v>2221164</v>
      </c>
      <c r="CE16" s="102">
        <f t="shared" si="28"/>
        <v>0</v>
      </c>
      <c r="CF16" s="50">
        <f t="shared" si="29"/>
        <v>364884</v>
      </c>
      <c r="CG16" s="102">
        <f t="shared" si="30"/>
        <v>364884</v>
      </c>
      <c r="CH16" s="102">
        <f t="shared" si="31"/>
        <v>0</v>
      </c>
      <c r="CI16" s="102">
        <f t="shared" si="32"/>
        <v>0</v>
      </c>
      <c r="CJ16" s="50">
        <f t="shared" si="33"/>
        <v>-1190931</v>
      </c>
    </row>
    <row r="17" spans="1:88" x14ac:dyDescent="0.3">
      <c r="A17" s="26">
        <v>13</v>
      </c>
      <c r="B17" s="26">
        <v>2036</v>
      </c>
      <c r="C17" s="99">
        <v>6780683</v>
      </c>
      <c r="D17" s="99">
        <v>0</v>
      </c>
      <c r="E17" s="99">
        <v>6193</v>
      </c>
      <c r="F17" s="99">
        <v>35897</v>
      </c>
      <c r="G17" s="99">
        <f t="shared" si="1"/>
        <v>2999</v>
      </c>
      <c r="H17" s="108">
        <v>2701</v>
      </c>
      <c r="I17" s="108">
        <v>298</v>
      </c>
      <c r="J17" s="99">
        <f t="shared" si="2"/>
        <v>89825</v>
      </c>
      <c r="K17" s="94">
        <f t="shared" si="3"/>
        <v>89825</v>
      </c>
      <c r="L17" s="110">
        <v>70510</v>
      </c>
      <c r="M17" s="110">
        <v>19315</v>
      </c>
      <c r="N17" s="116">
        <f t="shared" si="18"/>
        <v>0</v>
      </c>
      <c r="O17" s="108">
        <v>0</v>
      </c>
      <c r="P17" s="108">
        <v>0</v>
      </c>
      <c r="Q17" s="108">
        <v>0</v>
      </c>
      <c r="R17" s="39">
        <f t="shared" si="4"/>
        <v>272722</v>
      </c>
      <c r="S17" s="94">
        <v>272722</v>
      </c>
      <c r="T17" s="94">
        <v>0</v>
      </c>
      <c r="U17" s="101">
        <v>0</v>
      </c>
      <c r="V17" s="39">
        <f t="shared" si="5"/>
        <v>487652</v>
      </c>
      <c r="W17" s="94">
        <v>487652</v>
      </c>
      <c r="X17" s="101">
        <v>0</v>
      </c>
      <c r="Y17" s="101">
        <v>0</v>
      </c>
      <c r="Z17" s="99">
        <f t="shared" si="6"/>
        <v>0</v>
      </c>
      <c r="AA17" s="94">
        <v>0</v>
      </c>
      <c r="AB17" s="94">
        <v>0</v>
      </c>
      <c r="AC17" s="94">
        <v>0</v>
      </c>
      <c r="AD17" s="99">
        <f t="shared" si="7"/>
        <v>7675971</v>
      </c>
      <c r="AE17" s="39">
        <f t="shared" si="8"/>
        <v>-1301043</v>
      </c>
      <c r="AF17" s="99">
        <v>3457548</v>
      </c>
      <c r="AG17" s="99">
        <v>0</v>
      </c>
      <c r="AH17" s="99">
        <v>0</v>
      </c>
      <c r="AI17" s="99">
        <v>0</v>
      </c>
      <c r="AJ17" s="99">
        <f t="shared" si="9"/>
        <v>2772</v>
      </c>
      <c r="AK17" s="108">
        <v>2772</v>
      </c>
      <c r="AL17" s="108">
        <v>0</v>
      </c>
      <c r="AM17" s="99">
        <f t="shared" si="10"/>
        <v>75984</v>
      </c>
      <c r="AN17" s="94">
        <f t="shared" si="11"/>
        <v>75984</v>
      </c>
      <c r="AO17" s="110">
        <v>75984</v>
      </c>
      <c r="AP17" s="110">
        <v>0</v>
      </c>
      <c r="AQ17" s="94">
        <f t="shared" si="12"/>
        <v>0</v>
      </c>
      <c r="AR17" s="108">
        <v>0</v>
      </c>
      <c r="AS17" s="108">
        <v>0</v>
      </c>
      <c r="AT17" s="108">
        <v>0</v>
      </c>
      <c r="AU17" s="39">
        <f t="shared" si="13"/>
        <v>252576</v>
      </c>
      <c r="AV17" s="94">
        <v>0</v>
      </c>
      <c r="AW17" s="94">
        <v>252576</v>
      </c>
      <c r="AX17" s="101">
        <v>0</v>
      </c>
      <c r="AY17" s="39">
        <f t="shared" si="14"/>
        <v>2221164</v>
      </c>
      <c r="AZ17" s="94">
        <v>0</v>
      </c>
      <c r="BA17" s="101">
        <v>2221164</v>
      </c>
      <c r="BB17" s="101">
        <v>0</v>
      </c>
      <c r="BC17" s="99">
        <f t="shared" si="15"/>
        <v>364884</v>
      </c>
      <c r="BD17" s="94">
        <v>364884</v>
      </c>
      <c r="BE17" s="94">
        <v>0</v>
      </c>
      <c r="BF17" s="94">
        <v>0</v>
      </c>
      <c r="BG17" s="99">
        <f t="shared" si="16"/>
        <v>6374928</v>
      </c>
      <c r="BH17" s="83"/>
      <c r="BI17" s="50">
        <f t="shared" si="17"/>
        <v>-3323135</v>
      </c>
      <c r="BJ17" s="50">
        <f t="shared" si="34"/>
        <v>0</v>
      </c>
      <c r="BK17" s="50">
        <f t="shared" si="35"/>
        <v>-6193</v>
      </c>
      <c r="BL17" s="50">
        <f t="shared" si="36"/>
        <v>-35897</v>
      </c>
      <c r="BM17" s="50">
        <f t="shared" si="37"/>
        <v>-227</v>
      </c>
      <c r="BN17" s="111">
        <f t="shared" si="38"/>
        <v>71</v>
      </c>
      <c r="BO17" s="111">
        <f t="shared" si="39"/>
        <v>-298</v>
      </c>
      <c r="BP17" s="50">
        <f t="shared" si="40"/>
        <v>-13841</v>
      </c>
      <c r="BQ17" s="102">
        <f t="shared" si="41"/>
        <v>-13841</v>
      </c>
      <c r="BR17" s="111">
        <f t="shared" si="42"/>
        <v>5474</v>
      </c>
      <c r="BS17" s="111">
        <f t="shared" si="43"/>
        <v>-19315</v>
      </c>
      <c r="BT17" s="102">
        <f t="shared" si="44"/>
        <v>0</v>
      </c>
      <c r="BU17" s="111">
        <f t="shared" si="45"/>
        <v>0</v>
      </c>
      <c r="BV17" s="111">
        <f t="shared" si="19"/>
        <v>0</v>
      </c>
      <c r="BW17" s="111">
        <f t="shared" si="20"/>
        <v>0</v>
      </c>
      <c r="BX17" s="50">
        <f t="shared" si="21"/>
        <v>-20146</v>
      </c>
      <c r="BY17" s="102">
        <f t="shared" si="22"/>
        <v>-272722</v>
      </c>
      <c r="BZ17" s="102">
        <f t="shared" si="23"/>
        <v>252576</v>
      </c>
      <c r="CA17" s="102">
        <f t="shared" si="24"/>
        <v>0</v>
      </c>
      <c r="CB17" s="50">
        <f t="shared" si="25"/>
        <v>1733512</v>
      </c>
      <c r="CC17" s="102">
        <f t="shared" si="26"/>
        <v>-487652</v>
      </c>
      <c r="CD17" s="102">
        <f t="shared" si="27"/>
        <v>2221164</v>
      </c>
      <c r="CE17" s="102">
        <f t="shared" si="28"/>
        <v>0</v>
      </c>
      <c r="CF17" s="50">
        <f t="shared" si="29"/>
        <v>364884</v>
      </c>
      <c r="CG17" s="102">
        <f t="shared" si="30"/>
        <v>364884</v>
      </c>
      <c r="CH17" s="102">
        <f t="shared" si="31"/>
        <v>0</v>
      </c>
      <c r="CI17" s="102">
        <f t="shared" si="32"/>
        <v>0</v>
      </c>
      <c r="CJ17" s="50">
        <f t="shared" si="33"/>
        <v>-1301043</v>
      </c>
    </row>
    <row r="18" spans="1:88" x14ac:dyDescent="0.3">
      <c r="A18" s="26">
        <v>14</v>
      </c>
      <c r="B18" s="26">
        <v>2037</v>
      </c>
      <c r="C18" s="99">
        <v>6780683</v>
      </c>
      <c r="D18" s="99">
        <v>0</v>
      </c>
      <c r="E18" s="99">
        <v>6193</v>
      </c>
      <c r="F18" s="99">
        <v>35897</v>
      </c>
      <c r="G18" s="99">
        <f t="shared" si="1"/>
        <v>2999</v>
      </c>
      <c r="H18" s="108">
        <v>2701</v>
      </c>
      <c r="I18" s="108">
        <v>298</v>
      </c>
      <c r="J18" s="99">
        <f t="shared" si="2"/>
        <v>89825</v>
      </c>
      <c r="K18" s="94">
        <f t="shared" si="3"/>
        <v>89825</v>
      </c>
      <c r="L18" s="110">
        <v>70510</v>
      </c>
      <c r="M18" s="110">
        <v>19315</v>
      </c>
      <c r="N18" s="116">
        <f t="shared" si="18"/>
        <v>0</v>
      </c>
      <c r="O18" s="108">
        <v>0</v>
      </c>
      <c r="P18" s="108">
        <v>0</v>
      </c>
      <c r="Q18" s="108">
        <v>0</v>
      </c>
      <c r="R18" s="39">
        <f t="shared" si="4"/>
        <v>272722</v>
      </c>
      <c r="S18" s="94">
        <v>272722</v>
      </c>
      <c r="T18" s="94">
        <v>0</v>
      </c>
      <c r="U18" s="101">
        <v>0</v>
      </c>
      <c r="V18" s="39">
        <f t="shared" si="5"/>
        <v>487652</v>
      </c>
      <c r="W18" s="94">
        <v>487652</v>
      </c>
      <c r="X18" s="101">
        <v>0</v>
      </c>
      <c r="Y18" s="101">
        <v>0</v>
      </c>
      <c r="Z18" s="99">
        <f t="shared" si="6"/>
        <v>0</v>
      </c>
      <c r="AA18" s="94">
        <v>0</v>
      </c>
      <c r="AB18" s="94">
        <v>0</v>
      </c>
      <c r="AC18" s="94">
        <v>0</v>
      </c>
      <c r="AD18" s="99">
        <f t="shared" si="7"/>
        <v>7675971</v>
      </c>
      <c r="AE18" s="39">
        <f t="shared" si="8"/>
        <v>-1301043</v>
      </c>
      <c r="AF18" s="99">
        <v>3457548</v>
      </c>
      <c r="AG18" s="99">
        <v>0</v>
      </c>
      <c r="AH18" s="99">
        <v>0</v>
      </c>
      <c r="AI18" s="99">
        <v>0</v>
      </c>
      <c r="AJ18" s="99">
        <f t="shared" si="9"/>
        <v>2772</v>
      </c>
      <c r="AK18" s="108">
        <v>2772</v>
      </c>
      <c r="AL18" s="108">
        <v>0</v>
      </c>
      <c r="AM18" s="99">
        <f t="shared" si="10"/>
        <v>75984</v>
      </c>
      <c r="AN18" s="94">
        <f t="shared" si="11"/>
        <v>75984</v>
      </c>
      <c r="AO18" s="110">
        <v>75984</v>
      </c>
      <c r="AP18" s="110">
        <v>0</v>
      </c>
      <c r="AQ18" s="94">
        <f t="shared" si="12"/>
        <v>0</v>
      </c>
      <c r="AR18" s="108">
        <v>0</v>
      </c>
      <c r="AS18" s="108">
        <v>0</v>
      </c>
      <c r="AT18" s="108">
        <v>0</v>
      </c>
      <c r="AU18" s="39">
        <f t="shared" si="13"/>
        <v>252576</v>
      </c>
      <c r="AV18" s="94">
        <v>0</v>
      </c>
      <c r="AW18" s="94">
        <v>252576</v>
      </c>
      <c r="AX18" s="101">
        <v>0</v>
      </c>
      <c r="AY18" s="39">
        <f t="shared" si="14"/>
        <v>2221164</v>
      </c>
      <c r="AZ18" s="94">
        <v>0</v>
      </c>
      <c r="BA18" s="101">
        <v>2221164</v>
      </c>
      <c r="BB18" s="101">
        <v>0</v>
      </c>
      <c r="BC18" s="99">
        <f t="shared" si="15"/>
        <v>364884</v>
      </c>
      <c r="BD18" s="94">
        <v>364884</v>
      </c>
      <c r="BE18" s="94">
        <v>0</v>
      </c>
      <c r="BF18" s="94">
        <v>0</v>
      </c>
      <c r="BG18" s="99">
        <f t="shared" si="16"/>
        <v>6374928</v>
      </c>
      <c r="BH18" s="83"/>
      <c r="BI18" s="50">
        <f t="shared" si="17"/>
        <v>-3323135</v>
      </c>
      <c r="BJ18" s="50">
        <f t="shared" si="34"/>
        <v>0</v>
      </c>
      <c r="BK18" s="50">
        <f t="shared" si="35"/>
        <v>-6193</v>
      </c>
      <c r="BL18" s="50">
        <f t="shared" si="36"/>
        <v>-35897</v>
      </c>
      <c r="BM18" s="50">
        <f t="shared" si="37"/>
        <v>-227</v>
      </c>
      <c r="BN18" s="111">
        <f t="shared" si="38"/>
        <v>71</v>
      </c>
      <c r="BO18" s="111">
        <f t="shared" si="39"/>
        <v>-298</v>
      </c>
      <c r="BP18" s="50">
        <f t="shared" si="40"/>
        <v>-13841</v>
      </c>
      <c r="BQ18" s="102">
        <f t="shared" si="41"/>
        <v>-13841</v>
      </c>
      <c r="BR18" s="111">
        <f t="shared" si="42"/>
        <v>5474</v>
      </c>
      <c r="BS18" s="111">
        <f t="shared" si="43"/>
        <v>-19315</v>
      </c>
      <c r="BT18" s="102">
        <f t="shared" si="44"/>
        <v>0</v>
      </c>
      <c r="BU18" s="111">
        <f t="shared" si="45"/>
        <v>0</v>
      </c>
      <c r="BV18" s="111">
        <f t="shared" si="19"/>
        <v>0</v>
      </c>
      <c r="BW18" s="111">
        <f t="shared" si="20"/>
        <v>0</v>
      </c>
      <c r="BX18" s="50">
        <f t="shared" si="21"/>
        <v>-20146</v>
      </c>
      <c r="BY18" s="102">
        <f t="shared" si="22"/>
        <v>-272722</v>
      </c>
      <c r="BZ18" s="102">
        <f t="shared" si="23"/>
        <v>252576</v>
      </c>
      <c r="CA18" s="102">
        <f t="shared" si="24"/>
        <v>0</v>
      </c>
      <c r="CB18" s="50">
        <f t="shared" si="25"/>
        <v>1733512</v>
      </c>
      <c r="CC18" s="102">
        <f t="shared" si="26"/>
        <v>-487652</v>
      </c>
      <c r="CD18" s="102">
        <f t="shared" si="27"/>
        <v>2221164</v>
      </c>
      <c r="CE18" s="102">
        <f t="shared" si="28"/>
        <v>0</v>
      </c>
      <c r="CF18" s="50">
        <f t="shared" si="29"/>
        <v>364884</v>
      </c>
      <c r="CG18" s="102">
        <f t="shared" si="30"/>
        <v>364884</v>
      </c>
      <c r="CH18" s="102">
        <f t="shared" si="31"/>
        <v>0</v>
      </c>
      <c r="CI18" s="102">
        <f t="shared" si="32"/>
        <v>0</v>
      </c>
      <c r="CJ18" s="50">
        <f t="shared" si="33"/>
        <v>-1301043</v>
      </c>
    </row>
    <row r="19" spans="1:88" x14ac:dyDescent="0.3">
      <c r="A19" s="26">
        <v>15</v>
      </c>
      <c r="B19" s="26">
        <v>2038</v>
      </c>
      <c r="C19" s="99">
        <v>6780683</v>
      </c>
      <c r="D19" s="99">
        <v>0</v>
      </c>
      <c r="E19" s="99">
        <v>6193</v>
      </c>
      <c r="F19" s="99">
        <v>35897</v>
      </c>
      <c r="G19" s="99">
        <f t="shared" si="1"/>
        <v>2999</v>
      </c>
      <c r="H19" s="108">
        <v>2701</v>
      </c>
      <c r="I19" s="108">
        <v>298</v>
      </c>
      <c r="J19" s="99">
        <f t="shared" si="2"/>
        <v>89825</v>
      </c>
      <c r="K19" s="94">
        <f t="shared" si="3"/>
        <v>89825</v>
      </c>
      <c r="L19" s="110">
        <v>70510</v>
      </c>
      <c r="M19" s="110">
        <v>19315</v>
      </c>
      <c r="N19" s="116">
        <f t="shared" si="18"/>
        <v>0</v>
      </c>
      <c r="O19" s="108">
        <v>0</v>
      </c>
      <c r="P19" s="108">
        <v>0</v>
      </c>
      <c r="Q19" s="108">
        <v>0</v>
      </c>
      <c r="R19" s="39">
        <f t="shared" si="4"/>
        <v>272722</v>
      </c>
      <c r="S19" s="94">
        <v>272722</v>
      </c>
      <c r="T19" s="94">
        <v>0</v>
      </c>
      <c r="U19" s="101">
        <v>0</v>
      </c>
      <c r="V19" s="39">
        <f t="shared" si="5"/>
        <v>487652</v>
      </c>
      <c r="W19" s="94">
        <v>487652</v>
      </c>
      <c r="X19" s="101">
        <v>0</v>
      </c>
      <c r="Y19" s="101">
        <v>0</v>
      </c>
      <c r="Z19" s="99">
        <f t="shared" si="6"/>
        <v>0</v>
      </c>
      <c r="AA19" s="94">
        <v>0</v>
      </c>
      <c r="AB19" s="94">
        <v>0</v>
      </c>
      <c r="AC19" s="94">
        <v>0</v>
      </c>
      <c r="AD19" s="99">
        <f t="shared" si="7"/>
        <v>7675971</v>
      </c>
      <c r="AE19" s="39">
        <f t="shared" si="8"/>
        <v>-1301043</v>
      </c>
      <c r="AF19" s="99">
        <v>3457548</v>
      </c>
      <c r="AG19" s="99">
        <v>0</v>
      </c>
      <c r="AH19" s="99">
        <v>0</v>
      </c>
      <c r="AI19" s="99">
        <v>0</v>
      </c>
      <c r="AJ19" s="99">
        <f t="shared" si="9"/>
        <v>2772</v>
      </c>
      <c r="AK19" s="108">
        <v>2772</v>
      </c>
      <c r="AL19" s="108">
        <v>0</v>
      </c>
      <c r="AM19" s="99">
        <f t="shared" si="10"/>
        <v>75984</v>
      </c>
      <c r="AN19" s="94">
        <f t="shared" si="11"/>
        <v>75984</v>
      </c>
      <c r="AO19" s="110">
        <v>75984</v>
      </c>
      <c r="AP19" s="110">
        <v>0</v>
      </c>
      <c r="AQ19" s="94">
        <f t="shared" si="12"/>
        <v>0</v>
      </c>
      <c r="AR19" s="108">
        <v>0</v>
      </c>
      <c r="AS19" s="108">
        <v>0</v>
      </c>
      <c r="AT19" s="108">
        <v>0</v>
      </c>
      <c r="AU19" s="39">
        <f t="shared" si="13"/>
        <v>252576</v>
      </c>
      <c r="AV19" s="94">
        <v>0</v>
      </c>
      <c r="AW19" s="94">
        <v>252576</v>
      </c>
      <c r="AX19" s="101">
        <v>0</v>
      </c>
      <c r="AY19" s="39">
        <f t="shared" si="14"/>
        <v>2221164</v>
      </c>
      <c r="AZ19" s="94">
        <v>0</v>
      </c>
      <c r="BA19" s="101">
        <v>2221164</v>
      </c>
      <c r="BB19" s="101">
        <v>0</v>
      </c>
      <c r="BC19" s="99">
        <f t="shared" si="15"/>
        <v>364884</v>
      </c>
      <c r="BD19" s="94">
        <v>364884</v>
      </c>
      <c r="BE19" s="94">
        <v>0</v>
      </c>
      <c r="BF19" s="94">
        <v>0</v>
      </c>
      <c r="BG19" s="99">
        <f t="shared" si="16"/>
        <v>6374928</v>
      </c>
      <c r="BH19" s="83"/>
      <c r="BI19" s="50">
        <f t="shared" si="17"/>
        <v>-3323135</v>
      </c>
      <c r="BJ19" s="50">
        <f t="shared" si="34"/>
        <v>0</v>
      </c>
      <c r="BK19" s="50">
        <f t="shared" si="35"/>
        <v>-6193</v>
      </c>
      <c r="BL19" s="50">
        <f t="shared" si="36"/>
        <v>-35897</v>
      </c>
      <c r="BM19" s="50">
        <f t="shared" si="37"/>
        <v>-227</v>
      </c>
      <c r="BN19" s="111">
        <f t="shared" si="38"/>
        <v>71</v>
      </c>
      <c r="BO19" s="111">
        <f t="shared" si="39"/>
        <v>-298</v>
      </c>
      <c r="BP19" s="50">
        <f t="shared" si="40"/>
        <v>-13841</v>
      </c>
      <c r="BQ19" s="102">
        <f t="shared" si="41"/>
        <v>-13841</v>
      </c>
      <c r="BR19" s="111">
        <f t="shared" si="42"/>
        <v>5474</v>
      </c>
      <c r="BS19" s="111">
        <f t="shared" si="43"/>
        <v>-19315</v>
      </c>
      <c r="BT19" s="102">
        <f t="shared" si="44"/>
        <v>0</v>
      </c>
      <c r="BU19" s="111">
        <f t="shared" si="45"/>
        <v>0</v>
      </c>
      <c r="BV19" s="111">
        <f t="shared" si="19"/>
        <v>0</v>
      </c>
      <c r="BW19" s="111">
        <f t="shared" si="20"/>
        <v>0</v>
      </c>
      <c r="BX19" s="50">
        <f t="shared" si="21"/>
        <v>-20146</v>
      </c>
      <c r="BY19" s="102">
        <f t="shared" si="22"/>
        <v>-272722</v>
      </c>
      <c r="BZ19" s="102">
        <f t="shared" si="23"/>
        <v>252576</v>
      </c>
      <c r="CA19" s="102">
        <f t="shared" si="24"/>
        <v>0</v>
      </c>
      <c r="CB19" s="50">
        <f t="shared" si="25"/>
        <v>1733512</v>
      </c>
      <c r="CC19" s="102">
        <f t="shared" si="26"/>
        <v>-487652</v>
      </c>
      <c r="CD19" s="102">
        <f t="shared" si="27"/>
        <v>2221164</v>
      </c>
      <c r="CE19" s="102">
        <f t="shared" si="28"/>
        <v>0</v>
      </c>
      <c r="CF19" s="50">
        <f t="shared" si="29"/>
        <v>364884</v>
      </c>
      <c r="CG19" s="102">
        <f t="shared" si="30"/>
        <v>364884</v>
      </c>
      <c r="CH19" s="102">
        <f t="shared" si="31"/>
        <v>0</v>
      </c>
      <c r="CI19" s="102">
        <f t="shared" si="32"/>
        <v>0</v>
      </c>
      <c r="CJ19" s="50">
        <f t="shared" si="33"/>
        <v>-1301043</v>
      </c>
    </row>
    <row r="20" spans="1:88" x14ac:dyDescent="0.3">
      <c r="A20" s="26">
        <v>16</v>
      </c>
      <c r="B20" s="26">
        <v>2039</v>
      </c>
      <c r="C20" s="99">
        <v>6780683</v>
      </c>
      <c r="D20" s="99">
        <v>0</v>
      </c>
      <c r="E20" s="99">
        <v>6193</v>
      </c>
      <c r="F20" s="99">
        <v>35897</v>
      </c>
      <c r="G20" s="99">
        <f t="shared" si="1"/>
        <v>2999</v>
      </c>
      <c r="H20" s="108">
        <v>2701</v>
      </c>
      <c r="I20" s="108">
        <v>298</v>
      </c>
      <c r="J20" s="99">
        <f t="shared" si="2"/>
        <v>89825</v>
      </c>
      <c r="K20" s="94">
        <f t="shared" si="3"/>
        <v>89825</v>
      </c>
      <c r="L20" s="110">
        <v>70510</v>
      </c>
      <c r="M20" s="110">
        <v>19315</v>
      </c>
      <c r="N20" s="116">
        <f t="shared" si="18"/>
        <v>0</v>
      </c>
      <c r="O20" s="108">
        <v>0</v>
      </c>
      <c r="P20" s="108">
        <v>0</v>
      </c>
      <c r="Q20" s="108">
        <v>0</v>
      </c>
      <c r="R20" s="39">
        <f t="shared" si="4"/>
        <v>272722</v>
      </c>
      <c r="S20" s="94">
        <v>272722</v>
      </c>
      <c r="T20" s="94">
        <v>0</v>
      </c>
      <c r="U20" s="101">
        <v>0</v>
      </c>
      <c r="V20" s="39">
        <f t="shared" si="5"/>
        <v>487652</v>
      </c>
      <c r="W20" s="94">
        <v>487652</v>
      </c>
      <c r="X20" s="101">
        <v>0</v>
      </c>
      <c r="Y20" s="101">
        <v>0</v>
      </c>
      <c r="Z20" s="99">
        <f t="shared" si="6"/>
        <v>0</v>
      </c>
      <c r="AA20" s="94">
        <v>0</v>
      </c>
      <c r="AB20" s="94">
        <v>0</v>
      </c>
      <c r="AC20" s="94">
        <v>0</v>
      </c>
      <c r="AD20" s="99">
        <f t="shared" si="7"/>
        <v>7675971</v>
      </c>
      <c r="AE20" s="39">
        <f t="shared" si="8"/>
        <v>-1301043</v>
      </c>
      <c r="AF20" s="99">
        <v>3457548</v>
      </c>
      <c r="AG20" s="99">
        <v>0</v>
      </c>
      <c r="AH20" s="99">
        <v>0</v>
      </c>
      <c r="AI20" s="99">
        <v>0</v>
      </c>
      <c r="AJ20" s="99">
        <f t="shared" si="9"/>
        <v>2772</v>
      </c>
      <c r="AK20" s="108">
        <v>2772</v>
      </c>
      <c r="AL20" s="108">
        <v>0</v>
      </c>
      <c r="AM20" s="99">
        <f t="shared" si="10"/>
        <v>75984</v>
      </c>
      <c r="AN20" s="94">
        <f t="shared" si="11"/>
        <v>75984</v>
      </c>
      <c r="AO20" s="110">
        <v>75984</v>
      </c>
      <c r="AP20" s="110">
        <v>0</v>
      </c>
      <c r="AQ20" s="94">
        <f t="shared" si="12"/>
        <v>0</v>
      </c>
      <c r="AR20" s="108">
        <v>0</v>
      </c>
      <c r="AS20" s="108">
        <v>0</v>
      </c>
      <c r="AT20" s="108">
        <v>0</v>
      </c>
      <c r="AU20" s="39">
        <f t="shared" si="13"/>
        <v>252576</v>
      </c>
      <c r="AV20" s="94">
        <v>0</v>
      </c>
      <c r="AW20" s="94">
        <v>252576</v>
      </c>
      <c r="AX20" s="101">
        <v>0</v>
      </c>
      <c r="AY20" s="39">
        <f t="shared" si="14"/>
        <v>2221164</v>
      </c>
      <c r="AZ20" s="94">
        <v>0</v>
      </c>
      <c r="BA20" s="101">
        <v>2221164</v>
      </c>
      <c r="BB20" s="101">
        <v>0</v>
      </c>
      <c r="BC20" s="99">
        <f t="shared" si="15"/>
        <v>364884</v>
      </c>
      <c r="BD20" s="94">
        <v>364884</v>
      </c>
      <c r="BE20" s="94">
        <v>0</v>
      </c>
      <c r="BF20" s="94">
        <v>0</v>
      </c>
      <c r="BG20" s="99">
        <f t="shared" si="16"/>
        <v>6374928</v>
      </c>
      <c r="BH20" s="83"/>
      <c r="BI20" s="50">
        <f t="shared" si="17"/>
        <v>-3323135</v>
      </c>
      <c r="BJ20" s="50">
        <f t="shared" si="34"/>
        <v>0</v>
      </c>
      <c r="BK20" s="50">
        <f t="shared" si="35"/>
        <v>-6193</v>
      </c>
      <c r="BL20" s="50">
        <f t="shared" si="36"/>
        <v>-35897</v>
      </c>
      <c r="BM20" s="50">
        <f t="shared" si="37"/>
        <v>-227</v>
      </c>
      <c r="BN20" s="111">
        <f t="shared" si="38"/>
        <v>71</v>
      </c>
      <c r="BO20" s="111">
        <f t="shared" si="39"/>
        <v>-298</v>
      </c>
      <c r="BP20" s="50">
        <f t="shared" si="40"/>
        <v>-13841</v>
      </c>
      <c r="BQ20" s="102">
        <f t="shared" si="41"/>
        <v>-13841</v>
      </c>
      <c r="BR20" s="111">
        <f t="shared" si="42"/>
        <v>5474</v>
      </c>
      <c r="BS20" s="111">
        <f t="shared" si="43"/>
        <v>-19315</v>
      </c>
      <c r="BT20" s="102">
        <f t="shared" si="44"/>
        <v>0</v>
      </c>
      <c r="BU20" s="111">
        <f t="shared" si="45"/>
        <v>0</v>
      </c>
      <c r="BV20" s="111">
        <f t="shared" si="19"/>
        <v>0</v>
      </c>
      <c r="BW20" s="111">
        <f t="shared" si="20"/>
        <v>0</v>
      </c>
      <c r="BX20" s="50">
        <f t="shared" si="21"/>
        <v>-20146</v>
      </c>
      <c r="BY20" s="102">
        <f t="shared" si="22"/>
        <v>-272722</v>
      </c>
      <c r="BZ20" s="102">
        <f t="shared" si="23"/>
        <v>252576</v>
      </c>
      <c r="CA20" s="102">
        <f t="shared" si="24"/>
        <v>0</v>
      </c>
      <c r="CB20" s="50">
        <f t="shared" si="25"/>
        <v>1733512</v>
      </c>
      <c r="CC20" s="102">
        <f t="shared" si="26"/>
        <v>-487652</v>
      </c>
      <c r="CD20" s="102">
        <f t="shared" si="27"/>
        <v>2221164</v>
      </c>
      <c r="CE20" s="102">
        <f t="shared" si="28"/>
        <v>0</v>
      </c>
      <c r="CF20" s="50">
        <f t="shared" si="29"/>
        <v>364884</v>
      </c>
      <c r="CG20" s="102">
        <f t="shared" si="30"/>
        <v>364884</v>
      </c>
      <c r="CH20" s="102">
        <f t="shared" si="31"/>
        <v>0</v>
      </c>
      <c r="CI20" s="102">
        <f t="shared" si="32"/>
        <v>0</v>
      </c>
      <c r="CJ20" s="50">
        <f t="shared" si="33"/>
        <v>-1301043</v>
      </c>
    </row>
    <row r="21" spans="1:88" x14ac:dyDescent="0.3">
      <c r="A21" s="26">
        <v>17</v>
      </c>
      <c r="B21" s="26">
        <v>2040</v>
      </c>
      <c r="C21" s="99">
        <v>6780683</v>
      </c>
      <c r="D21" s="99">
        <v>0</v>
      </c>
      <c r="E21" s="99">
        <v>6193</v>
      </c>
      <c r="F21" s="99">
        <v>35897</v>
      </c>
      <c r="G21" s="99">
        <f t="shared" si="1"/>
        <v>2999</v>
      </c>
      <c r="H21" s="108">
        <v>2701</v>
      </c>
      <c r="I21" s="108">
        <v>298</v>
      </c>
      <c r="J21" s="99">
        <f t="shared" si="2"/>
        <v>89825</v>
      </c>
      <c r="K21" s="94">
        <f t="shared" si="3"/>
        <v>89825</v>
      </c>
      <c r="L21" s="110">
        <v>70510</v>
      </c>
      <c r="M21" s="110">
        <v>19315</v>
      </c>
      <c r="N21" s="116">
        <f t="shared" si="18"/>
        <v>0</v>
      </c>
      <c r="O21" s="108">
        <v>0</v>
      </c>
      <c r="P21" s="108">
        <v>0</v>
      </c>
      <c r="Q21" s="108">
        <v>0</v>
      </c>
      <c r="R21" s="39">
        <f t="shared" si="4"/>
        <v>272722</v>
      </c>
      <c r="S21" s="94">
        <v>272722</v>
      </c>
      <c r="T21" s="94">
        <v>0</v>
      </c>
      <c r="U21" s="101">
        <v>0</v>
      </c>
      <c r="V21" s="39">
        <f t="shared" si="5"/>
        <v>487652</v>
      </c>
      <c r="W21" s="94">
        <v>487652</v>
      </c>
      <c r="X21" s="101">
        <v>0</v>
      </c>
      <c r="Y21" s="101">
        <v>0</v>
      </c>
      <c r="Z21" s="99">
        <f t="shared" si="6"/>
        <v>0</v>
      </c>
      <c r="AA21" s="94">
        <v>0</v>
      </c>
      <c r="AB21" s="94">
        <v>0</v>
      </c>
      <c r="AC21" s="94">
        <v>0</v>
      </c>
      <c r="AD21" s="99">
        <f t="shared" si="7"/>
        <v>7675971</v>
      </c>
      <c r="AE21" s="39">
        <f t="shared" si="8"/>
        <v>-1301043</v>
      </c>
      <c r="AF21" s="99">
        <v>3457548</v>
      </c>
      <c r="AG21" s="99">
        <v>0</v>
      </c>
      <c r="AH21" s="99">
        <v>0</v>
      </c>
      <c r="AI21" s="99">
        <v>0</v>
      </c>
      <c r="AJ21" s="99">
        <f t="shared" si="9"/>
        <v>2772</v>
      </c>
      <c r="AK21" s="108">
        <v>2772</v>
      </c>
      <c r="AL21" s="108">
        <v>0</v>
      </c>
      <c r="AM21" s="99">
        <f t="shared" si="10"/>
        <v>75984</v>
      </c>
      <c r="AN21" s="94">
        <f t="shared" si="11"/>
        <v>75984</v>
      </c>
      <c r="AO21" s="110">
        <v>75984</v>
      </c>
      <c r="AP21" s="110">
        <v>0</v>
      </c>
      <c r="AQ21" s="94">
        <f t="shared" si="12"/>
        <v>0</v>
      </c>
      <c r="AR21" s="108">
        <v>0</v>
      </c>
      <c r="AS21" s="108">
        <v>0</v>
      </c>
      <c r="AT21" s="108">
        <v>0</v>
      </c>
      <c r="AU21" s="39">
        <f t="shared" si="13"/>
        <v>252576</v>
      </c>
      <c r="AV21" s="94">
        <v>0</v>
      </c>
      <c r="AW21" s="94">
        <v>252576</v>
      </c>
      <c r="AX21" s="101">
        <v>0</v>
      </c>
      <c r="AY21" s="39">
        <f t="shared" si="14"/>
        <v>2221164</v>
      </c>
      <c r="AZ21" s="94">
        <v>0</v>
      </c>
      <c r="BA21" s="101">
        <v>2221164</v>
      </c>
      <c r="BB21" s="101">
        <v>0</v>
      </c>
      <c r="BC21" s="99">
        <f t="shared" si="15"/>
        <v>364884</v>
      </c>
      <c r="BD21" s="94">
        <v>364884</v>
      </c>
      <c r="BE21" s="94">
        <v>0</v>
      </c>
      <c r="BF21" s="94">
        <v>0</v>
      </c>
      <c r="BG21" s="99">
        <f t="shared" si="16"/>
        <v>6374928</v>
      </c>
      <c r="BH21" s="83"/>
      <c r="BI21" s="50">
        <f t="shared" si="17"/>
        <v>-3323135</v>
      </c>
      <c r="BJ21" s="50">
        <f t="shared" si="34"/>
        <v>0</v>
      </c>
      <c r="BK21" s="50">
        <f t="shared" si="35"/>
        <v>-6193</v>
      </c>
      <c r="BL21" s="50">
        <f t="shared" si="36"/>
        <v>-35897</v>
      </c>
      <c r="BM21" s="50">
        <f t="shared" si="37"/>
        <v>-227</v>
      </c>
      <c r="BN21" s="111">
        <f t="shared" si="38"/>
        <v>71</v>
      </c>
      <c r="BO21" s="111">
        <f t="shared" si="39"/>
        <v>-298</v>
      </c>
      <c r="BP21" s="50">
        <f t="shared" si="40"/>
        <v>-13841</v>
      </c>
      <c r="BQ21" s="102">
        <f t="shared" si="41"/>
        <v>-13841</v>
      </c>
      <c r="BR21" s="111">
        <f t="shared" si="42"/>
        <v>5474</v>
      </c>
      <c r="BS21" s="111">
        <f t="shared" si="43"/>
        <v>-19315</v>
      </c>
      <c r="BT21" s="102">
        <f t="shared" si="44"/>
        <v>0</v>
      </c>
      <c r="BU21" s="111">
        <f t="shared" si="45"/>
        <v>0</v>
      </c>
      <c r="BV21" s="111">
        <f t="shared" si="19"/>
        <v>0</v>
      </c>
      <c r="BW21" s="111">
        <f t="shared" si="20"/>
        <v>0</v>
      </c>
      <c r="BX21" s="50">
        <f t="shared" si="21"/>
        <v>-20146</v>
      </c>
      <c r="BY21" s="102">
        <f t="shared" si="22"/>
        <v>-272722</v>
      </c>
      <c r="BZ21" s="102">
        <f t="shared" si="23"/>
        <v>252576</v>
      </c>
      <c r="CA21" s="102">
        <f t="shared" si="24"/>
        <v>0</v>
      </c>
      <c r="CB21" s="50">
        <f t="shared" si="25"/>
        <v>1733512</v>
      </c>
      <c r="CC21" s="102">
        <f t="shared" si="26"/>
        <v>-487652</v>
      </c>
      <c r="CD21" s="102">
        <f t="shared" si="27"/>
        <v>2221164</v>
      </c>
      <c r="CE21" s="102">
        <f t="shared" si="28"/>
        <v>0</v>
      </c>
      <c r="CF21" s="50">
        <f t="shared" si="29"/>
        <v>364884</v>
      </c>
      <c r="CG21" s="102">
        <f t="shared" si="30"/>
        <v>364884</v>
      </c>
      <c r="CH21" s="102">
        <f t="shared" si="31"/>
        <v>0</v>
      </c>
      <c r="CI21" s="102">
        <f t="shared" si="32"/>
        <v>0</v>
      </c>
      <c r="CJ21" s="50">
        <f t="shared" si="33"/>
        <v>-1301043</v>
      </c>
    </row>
    <row r="22" spans="1:88" x14ac:dyDescent="0.3">
      <c r="A22" s="26">
        <v>18</v>
      </c>
      <c r="B22" s="26">
        <v>2041</v>
      </c>
      <c r="C22" s="99">
        <v>6780683</v>
      </c>
      <c r="D22" s="99">
        <v>0</v>
      </c>
      <c r="E22" s="99">
        <v>6193</v>
      </c>
      <c r="F22" s="99">
        <v>35897</v>
      </c>
      <c r="G22" s="99">
        <f t="shared" si="1"/>
        <v>2999</v>
      </c>
      <c r="H22" s="108">
        <v>2701</v>
      </c>
      <c r="I22" s="108">
        <v>298</v>
      </c>
      <c r="J22" s="99">
        <f t="shared" si="2"/>
        <v>89825</v>
      </c>
      <c r="K22" s="94">
        <f t="shared" si="3"/>
        <v>89825</v>
      </c>
      <c r="L22" s="110">
        <v>70510</v>
      </c>
      <c r="M22" s="110">
        <v>19315</v>
      </c>
      <c r="N22" s="116">
        <f t="shared" si="18"/>
        <v>0</v>
      </c>
      <c r="O22" s="108">
        <v>0</v>
      </c>
      <c r="P22" s="108">
        <v>0</v>
      </c>
      <c r="Q22" s="108">
        <v>0</v>
      </c>
      <c r="R22" s="39">
        <f t="shared" si="4"/>
        <v>272722</v>
      </c>
      <c r="S22" s="94">
        <v>272722</v>
      </c>
      <c r="T22" s="94">
        <v>0</v>
      </c>
      <c r="U22" s="101">
        <v>0</v>
      </c>
      <c r="V22" s="39">
        <f t="shared" si="5"/>
        <v>487652</v>
      </c>
      <c r="W22" s="94">
        <v>487652</v>
      </c>
      <c r="X22" s="101">
        <v>0</v>
      </c>
      <c r="Y22" s="101">
        <v>0</v>
      </c>
      <c r="Z22" s="99">
        <f t="shared" si="6"/>
        <v>0</v>
      </c>
      <c r="AA22" s="94">
        <v>0</v>
      </c>
      <c r="AB22" s="94">
        <v>0</v>
      </c>
      <c r="AC22" s="94">
        <v>0</v>
      </c>
      <c r="AD22" s="99">
        <f t="shared" si="7"/>
        <v>7675971</v>
      </c>
      <c r="AE22" s="39">
        <f t="shared" si="8"/>
        <v>-1301043</v>
      </c>
      <c r="AF22" s="99">
        <v>3457548</v>
      </c>
      <c r="AG22" s="99">
        <v>0</v>
      </c>
      <c r="AH22" s="99">
        <v>0</v>
      </c>
      <c r="AI22" s="99">
        <v>0</v>
      </c>
      <c r="AJ22" s="99">
        <f t="shared" si="9"/>
        <v>2772</v>
      </c>
      <c r="AK22" s="108">
        <v>2772</v>
      </c>
      <c r="AL22" s="108">
        <v>0</v>
      </c>
      <c r="AM22" s="99">
        <f t="shared" si="10"/>
        <v>75984</v>
      </c>
      <c r="AN22" s="94">
        <f t="shared" si="11"/>
        <v>75984</v>
      </c>
      <c r="AO22" s="110">
        <v>75984</v>
      </c>
      <c r="AP22" s="110">
        <v>0</v>
      </c>
      <c r="AQ22" s="94">
        <f t="shared" si="12"/>
        <v>0</v>
      </c>
      <c r="AR22" s="108">
        <v>0</v>
      </c>
      <c r="AS22" s="108">
        <v>0</v>
      </c>
      <c r="AT22" s="108">
        <v>0</v>
      </c>
      <c r="AU22" s="39">
        <f t="shared" si="13"/>
        <v>252576</v>
      </c>
      <c r="AV22" s="94">
        <v>0</v>
      </c>
      <c r="AW22" s="94">
        <v>252576</v>
      </c>
      <c r="AX22" s="101">
        <v>0</v>
      </c>
      <c r="AY22" s="39">
        <f t="shared" si="14"/>
        <v>2221164</v>
      </c>
      <c r="AZ22" s="94">
        <v>0</v>
      </c>
      <c r="BA22" s="101">
        <v>2221164</v>
      </c>
      <c r="BB22" s="101">
        <v>0</v>
      </c>
      <c r="BC22" s="99">
        <f t="shared" si="15"/>
        <v>364884</v>
      </c>
      <c r="BD22" s="94">
        <v>364884</v>
      </c>
      <c r="BE22" s="94">
        <v>0</v>
      </c>
      <c r="BF22" s="94">
        <v>0</v>
      </c>
      <c r="BG22" s="99">
        <f t="shared" si="16"/>
        <v>6374928</v>
      </c>
      <c r="BH22" s="83"/>
      <c r="BI22" s="50">
        <f t="shared" si="17"/>
        <v>-3323135</v>
      </c>
      <c r="BJ22" s="50">
        <f t="shared" si="34"/>
        <v>0</v>
      </c>
      <c r="BK22" s="50">
        <f t="shared" si="35"/>
        <v>-6193</v>
      </c>
      <c r="BL22" s="50">
        <f t="shared" si="36"/>
        <v>-35897</v>
      </c>
      <c r="BM22" s="50">
        <f t="shared" si="37"/>
        <v>-227</v>
      </c>
      <c r="BN22" s="111">
        <f t="shared" si="38"/>
        <v>71</v>
      </c>
      <c r="BO22" s="111">
        <f t="shared" si="39"/>
        <v>-298</v>
      </c>
      <c r="BP22" s="50">
        <f t="shared" si="40"/>
        <v>-13841</v>
      </c>
      <c r="BQ22" s="102">
        <f t="shared" si="41"/>
        <v>-13841</v>
      </c>
      <c r="BR22" s="111">
        <f t="shared" si="42"/>
        <v>5474</v>
      </c>
      <c r="BS22" s="111">
        <f t="shared" si="43"/>
        <v>-19315</v>
      </c>
      <c r="BT22" s="102">
        <f t="shared" si="44"/>
        <v>0</v>
      </c>
      <c r="BU22" s="111">
        <f t="shared" si="45"/>
        <v>0</v>
      </c>
      <c r="BV22" s="111">
        <f t="shared" si="19"/>
        <v>0</v>
      </c>
      <c r="BW22" s="111">
        <f t="shared" si="20"/>
        <v>0</v>
      </c>
      <c r="BX22" s="50">
        <f t="shared" si="21"/>
        <v>-20146</v>
      </c>
      <c r="BY22" s="102">
        <f t="shared" si="22"/>
        <v>-272722</v>
      </c>
      <c r="BZ22" s="102">
        <f t="shared" si="23"/>
        <v>252576</v>
      </c>
      <c r="CA22" s="102">
        <f t="shared" si="24"/>
        <v>0</v>
      </c>
      <c r="CB22" s="50">
        <f t="shared" si="25"/>
        <v>1733512</v>
      </c>
      <c r="CC22" s="102">
        <f t="shared" si="26"/>
        <v>-487652</v>
      </c>
      <c r="CD22" s="102">
        <f t="shared" si="27"/>
        <v>2221164</v>
      </c>
      <c r="CE22" s="102">
        <f t="shared" si="28"/>
        <v>0</v>
      </c>
      <c r="CF22" s="50">
        <f t="shared" si="29"/>
        <v>364884</v>
      </c>
      <c r="CG22" s="102">
        <f t="shared" si="30"/>
        <v>364884</v>
      </c>
      <c r="CH22" s="102">
        <f t="shared" si="31"/>
        <v>0</v>
      </c>
      <c r="CI22" s="102">
        <f t="shared" si="32"/>
        <v>0</v>
      </c>
      <c r="CJ22" s="50">
        <f t="shared" si="33"/>
        <v>-1301043</v>
      </c>
    </row>
    <row r="23" spans="1:88" x14ac:dyDescent="0.3">
      <c r="A23" s="26">
        <v>19</v>
      </c>
      <c r="B23" s="26">
        <v>2042</v>
      </c>
      <c r="C23" s="99">
        <v>6780683</v>
      </c>
      <c r="D23" s="99">
        <v>0</v>
      </c>
      <c r="E23" s="99">
        <v>6193</v>
      </c>
      <c r="F23" s="99">
        <v>35897</v>
      </c>
      <c r="G23" s="99">
        <f t="shared" si="1"/>
        <v>2999</v>
      </c>
      <c r="H23" s="108">
        <v>2701</v>
      </c>
      <c r="I23" s="108">
        <v>298</v>
      </c>
      <c r="J23" s="99">
        <f t="shared" si="2"/>
        <v>89825</v>
      </c>
      <c r="K23" s="94">
        <f t="shared" si="3"/>
        <v>89825</v>
      </c>
      <c r="L23" s="110">
        <v>70510</v>
      </c>
      <c r="M23" s="110">
        <v>19315</v>
      </c>
      <c r="N23" s="116">
        <f t="shared" si="18"/>
        <v>0</v>
      </c>
      <c r="O23" s="108">
        <v>0</v>
      </c>
      <c r="P23" s="108">
        <v>0</v>
      </c>
      <c r="Q23" s="108">
        <v>0</v>
      </c>
      <c r="R23" s="39">
        <f t="shared" si="4"/>
        <v>272722</v>
      </c>
      <c r="S23" s="94">
        <v>272722</v>
      </c>
      <c r="T23" s="94">
        <v>0</v>
      </c>
      <c r="U23" s="101">
        <v>0</v>
      </c>
      <c r="V23" s="39">
        <f t="shared" si="5"/>
        <v>487652</v>
      </c>
      <c r="W23" s="94">
        <v>487652</v>
      </c>
      <c r="X23" s="101">
        <v>0</v>
      </c>
      <c r="Y23" s="101">
        <v>0</v>
      </c>
      <c r="Z23" s="99">
        <f t="shared" si="6"/>
        <v>0</v>
      </c>
      <c r="AA23" s="94">
        <v>0</v>
      </c>
      <c r="AB23" s="94">
        <v>0</v>
      </c>
      <c r="AC23" s="94">
        <v>0</v>
      </c>
      <c r="AD23" s="99">
        <f t="shared" si="7"/>
        <v>7675971</v>
      </c>
      <c r="AE23" s="39">
        <f t="shared" si="8"/>
        <v>-1301043</v>
      </c>
      <c r="AF23" s="99">
        <v>3457548</v>
      </c>
      <c r="AG23" s="99">
        <v>0</v>
      </c>
      <c r="AH23" s="99">
        <v>0</v>
      </c>
      <c r="AI23" s="99">
        <v>0</v>
      </c>
      <c r="AJ23" s="99">
        <f t="shared" si="9"/>
        <v>2772</v>
      </c>
      <c r="AK23" s="108">
        <v>2772</v>
      </c>
      <c r="AL23" s="108">
        <v>0</v>
      </c>
      <c r="AM23" s="99">
        <f t="shared" si="10"/>
        <v>75984</v>
      </c>
      <c r="AN23" s="94">
        <f t="shared" si="11"/>
        <v>75984</v>
      </c>
      <c r="AO23" s="110">
        <v>75984</v>
      </c>
      <c r="AP23" s="110">
        <v>0</v>
      </c>
      <c r="AQ23" s="94">
        <f t="shared" si="12"/>
        <v>0</v>
      </c>
      <c r="AR23" s="108">
        <v>0</v>
      </c>
      <c r="AS23" s="108">
        <v>0</v>
      </c>
      <c r="AT23" s="108">
        <v>0</v>
      </c>
      <c r="AU23" s="39">
        <f t="shared" si="13"/>
        <v>252576</v>
      </c>
      <c r="AV23" s="94">
        <v>0</v>
      </c>
      <c r="AW23" s="94">
        <v>252576</v>
      </c>
      <c r="AX23" s="101">
        <v>0</v>
      </c>
      <c r="AY23" s="39">
        <f t="shared" si="14"/>
        <v>2221164</v>
      </c>
      <c r="AZ23" s="94">
        <v>0</v>
      </c>
      <c r="BA23" s="101">
        <v>2221164</v>
      </c>
      <c r="BB23" s="101">
        <v>0</v>
      </c>
      <c r="BC23" s="99">
        <f t="shared" si="15"/>
        <v>364884</v>
      </c>
      <c r="BD23" s="94">
        <v>364884</v>
      </c>
      <c r="BE23" s="94">
        <v>0</v>
      </c>
      <c r="BF23" s="94">
        <v>0</v>
      </c>
      <c r="BG23" s="99">
        <f t="shared" si="16"/>
        <v>6374928</v>
      </c>
      <c r="BH23" s="83"/>
      <c r="BI23" s="50">
        <f t="shared" si="17"/>
        <v>-3323135</v>
      </c>
      <c r="BJ23" s="50">
        <f t="shared" si="34"/>
        <v>0</v>
      </c>
      <c r="BK23" s="50">
        <f t="shared" si="35"/>
        <v>-6193</v>
      </c>
      <c r="BL23" s="50">
        <f t="shared" si="36"/>
        <v>-35897</v>
      </c>
      <c r="BM23" s="50">
        <f t="shared" si="37"/>
        <v>-227</v>
      </c>
      <c r="BN23" s="111">
        <f t="shared" si="38"/>
        <v>71</v>
      </c>
      <c r="BO23" s="111">
        <f t="shared" si="39"/>
        <v>-298</v>
      </c>
      <c r="BP23" s="50">
        <f t="shared" si="40"/>
        <v>-13841</v>
      </c>
      <c r="BQ23" s="102">
        <f t="shared" si="41"/>
        <v>-13841</v>
      </c>
      <c r="BR23" s="111">
        <f t="shared" si="42"/>
        <v>5474</v>
      </c>
      <c r="BS23" s="111">
        <f t="shared" si="43"/>
        <v>-19315</v>
      </c>
      <c r="BT23" s="102">
        <f t="shared" si="44"/>
        <v>0</v>
      </c>
      <c r="BU23" s="111">
        <f t="shared" si="45"/>
        <v>0</v>
      </c>
      <c r="BV23" s="111">
        <f t="shared" si="19"/>
        <v>0</v>
      </c>
      <c r="BW23" s="111">
        <f t="shared" si="20"/>
        <v>0</v>
      </c>
      <c r="BX23" s="50">
        <f t="shared" si="21"/>
        <v>-20146</v>
      </c>
      <c r="BY23" s="102">
        <f t="shared" si="22"/>
        <v>-272722</v>
      </c>
      <c r="BZ23" s="102">
        <f t="shared" si="23"/>
        <v>252576</v>
      </c>
      <c r="CA23" s="102">
        <f t="shared" si="24"/>
        <v>0</v>
      </c>
      <c r="CB23" s="50">
        <f t="shared" si="25"/>
        <v>1733512</v>
      </c>
      <c r="CC23" s="102">
        <f t="shared" si="26"/>
        <v>-487652</v>
      </c>
      <c r="CD23" s="102">
        <f t="shared" si="27"/>
        <v>2221164</v>
      </c>
      <c r="CE23" s="102">
        <f t="shared" si="28"/>
        <v>0</v>
      </c>
      <c r="CF23" s="50">
        <f t="shared" si="29"/>
        <v>364884</v>
      </c>
      <c r="CG23" s="102">
        <f t="shared" si="30"/>
        <v>364884</v>
      </c>
      <c r="CH23" s="102">
        <f t="shared" si="31"/>
        <v>0</v>
      </c>
      <c r="CI23" s="102">
        <f t="shared" si="32"/>
        <v>0</v>
      </c>
      <c r="CJ23" s="50">
        <f t="shared" si="33"/>
        <v>-1301043</v>
      </c>
    </row>
    <row r="24" spans="1:88" x14ac:dyDescent="0.3">
      <c r="A24" s="26">
        <v>20</v>
      </c>
      <c r="B24" s="26">
        <v>2043</v>
      </c>
      <c r="C24" s="99">
        <v>6780683</v>
      </c>
      <c r="D24" s="99">
        <v>0</v>
      </c>
      <c r="E24" s="99">
        <v>6193</v>
      </c>
      <c r="F24" s="99">
        <v>35897</v>
      </c>
      <c r="G24" s="99">
        <f t="shared" si="1"/>
        <v>2999</v>
      </c>
      <c r="H24" s="108">
        <v>2701</v>
      </c>
      <c r="I24" s="108">
        <v>298</v>
      </c>
      <c r="J24" s="99">
        <f t="shared" si="2"/>
        <v>89825</v>
      </c>
      <c r="K24" s="94">
        <f t="shared" si="3"/>
        <v>89825</v>
      </c>
      <c r="L24" s="110">
        <v>70510</v>
      </c>
      <c r="M24" s="110">
        <v>19315</v>
      </c>
      <c r="N24" s="116">
        <f t="shared" si="18"/>
        <v>0</v>
      </c>
      <c r="O24" s="108">
        <v>0</v>
      </c>
      <c r="P24" s="108">
        <v>0</v>
      </c>
      <c r="Q24" s="108">
        <v>0</v>
      </c>
      <c r="R24" s="39">
        <f t="shared" si="4"/>
        <v>272722</v>
      </c>
      <c r="S24" s="94">
        <v>272722</v>
      </c>
      <c r="T24" s="94">
        <v>0</v>
      </c>
      <c r="U24" s="101">
        <v>0</v>
      </c>
      <c r="V24" s="39">
        <f t="shared" si="5"/>
        <v>487652</v>
      </c>
      <c r="W24" s="94">
        <v>487652</v>
      </c>
      <c r="X24" s="101">
        <v>0</v>
      </c>
      <c r="Y24" s="101">
        <v>0</v>
      </c>
      <c r="Z24" s="99">
        <f t="shared" si="6"/>
        <v>0</v>
      </c>
      <c r="AA24" s="94">
        <v>0</v>
      </c>
      <c r="AB24" s="94">
        <v>0</v>
      </c>
      <c r="AC24" s="94">
        <v>0</v>
      </c>
      <c r="AD24" s="99">
        <f t="shared" si="7"/>
        <v>7675971</v>
      </c>
      <c r="AE24" s="39">
        <f t="shared" si="8"/>
        <v>-1301043</v>
      </c>
      <c r="AF24" s="99">
        <v>3457548</v>
      </c>
      <c r="AG24" s="99">
        <v>0</v>
      </c>
      <c r="AH24" s="99">
        <v>0</v>
      </c>
      <c r="AI24" s="99">
        <v>0</v>
      </c>
      <c r="AJ24" s="99">
        <f t="shared" si="9"/>
        <v>2772</v>
      </c>
      <c r="AK24" s="108">
        <v>2772</v>
      </c>
      <c r="AL24" s="108">
        <v>0</v>
      </c>
      <c r="AM24" s="99">
        <f t="shared" si="10"/>
        <v>75984</v>
      </c>
      <c r="AN24" s="94">
        <f t="shared" si="11"/>
        <v>75984</v>
      </c>
      <c r="AO24" s="110">
        <v>75984</v>
      </c>
      <c r="AP24" s="110">
        <v>0</v>
      </c>
      <c r="AQ24" s="94">
        <f t="shared" si="12"/>
        <v>0</v>
      </c>
      <c r="AR24" s="108">
        <v>0</v>
      </c>
      <c r="AS24" s="108">
        <v>0</v>
      </c>
      <c r="AT24" s="108">
        <v>0</v>
      </c>
      <c r="AU24" s="39">
        <f t="shared" si="13"/>
        <v>252576</v>
      </c>
      <c r="AV24" s="94">
        <v>0</v>
      </c>
      <c r="AW24" s="94">
        <v>252576</v>
      </c>
      <c r="AX24" s="101">
        <v>0</v>
      </c>
      <c r="AY24" s="39">
        <f t="shared" si="14"/>
        <v>2221164</v>
      </c>
      <c r="AZ24" s="94">
        <v>0</v>
      </c>
      <c r="BA24" s="101">
        <v>2221164</v>
      </c>
      <c r="BB24" s="101">
        <v>0</v>
      </c>
      <c r="BC24" s="99">
        <f t="shared" si="15"/>
        <v>364884</v>
      </c>
      <c r="BD24" s="94">
        <v>364884</v>
      </c>
      <c r="BE24" s="94">
        <v>0</v>
      </c>
      <c r="BF24" s="94">
        <v>0</v>
      </c>
      <c r="BG24" s="99">
        <f t="shared" si="16"/>
        <v>6374928</v>
      </c>
      <c r="BH24" s="83"/>
      <c r="BI24" s="50">
        <f t="shared" si="17"/>
        <v>-3323135</v>
      </c>
      <c r="BJ24" s="50">
        <f t="shared" si="34"/>
        <v>0</v>
      </c>
      <c r="BK24" s="50">
        <f t="shared" si="35"/>
        <v>-6193</v>
      </c>
      <c r="BL24" s="50">
        <f t="shared" si="36"/>
        <v>-35897</v>
      </c>
      <c r="BM24" s="50">
        <f t="shared" si="37"/>
        <v>-227</v>
      </c>
      <c r="BN24" s="111">
        <f t="shared" si="38"/>
        <v>71</v>
      </c>
      <c r="BO24" s="111">
        <f t="shared" si="39"/>
        <v>-298</v>
      </c>
      <c r="BP24" s="50">
        <f t="shared" si="40"/>
        <v>-13841</v>
      </c>
      <c r="BQ24" s="102">
        <f t="shared" si="41"/>
        <v>-13841</v>
      </c>
      <c r="BR24" s="111">
        <f t="shared" si="42"/>
        <v>5474</v>
      </c>
      <c r="BS24" s="111">
        <f t="shared" si="43"/>
        <v>-19315</v>
      </c>
      <c r="BT24" s="102">
        <f t="shared" si="44"/>
        <v>0</v>
      </c>
      <c r="BU24" s="111">
        <f t="shared" si="45"/>
        <v>0</v>
      </c>
      <c r="BV24" s="111">
        <f t="shared" si="19"/>
        <v>0</v>
      </c>
      <c r="BW24" s="111">
        <f t="shared" si="20"/>
        <v>0</v>
      </c>
      <c r="BX24" s="50">
        <f t="shared" si="21"/>
        <v>-20146</v>
      </c>
      <c r="BY24" s="102">
        <f t="shared" si="22"/>
        <v>-272722</v>
      </c>
      <c r="BZ24" s="102">
        <f t="shared" si="23"/>
        <v>252576</v>
      </c>
      <c r="CA24" s="102">
        <f t="shared" si="24"/>
        <v>0</v>
      </c>
      <c r="CB24" s="50">
        <f t="shared" si="25"/>
        <v>1733512</v>
      </c>
      <c r="CC24" s="102">
        <f t="shared" si="26"/>
        <v>-487652</v>
      </c>
      <c r="CD24" s="102">
        <f t="shared" si="27"/>
        <v>2221164</v>
      </c>
      <c r="CE24" s="102">
        <f t="shared" si="28"/>
        <v>0</v>
      </c>
      <c r="CF24" s="50">
        <f t="shared" si="29"/>
        <v>364884</v>
      </c>
      <c r="CG24" s="102">
        <f t="shared" si="30"/>
        <v>364884</v>
      </c>
      <c r="CH24" s="102">
        <f t="shared" si="31"/>
        <v>0</v>
      </c>
      <c r="CI24" s="102">
        <f t="shared" si="32"/>
        <v>0</v>
      </c>
      <c r="CJ24" s="50">
        <f t="shared" si="33"/>
        <v>-1301043</v>
      </c>
    </row>
    <row r="25" spans="1:88" x14ac:dyDescent="0.3">
      <c r="A25" s="26">
        <v>21</v>
      </c>
      <c r="B25" s="26" t="s">
        <v>30</v>
      </c>
      <c r="C25" s="99">
        <v>1676336</v>
      </c>
      <c r="D25" s="99">
        <v>0</v>
      </c>
      <c r="E25" s="99">
        <v>1549</v>
      </c>
      <c r="F25" s="99">
        <v>8975</v>
      </c>
      <c r="G25" s="99">
        <f t="shared" si="1"/>
        <v>750</v>
      </c>
      <c r="H25" s="108">
        <v>668</v>
      </c>
      <c r="I25" s="108">
        <v>82</v>
      </c>
      <c r="J25" s="99">
        <f t="shared" si="2"/>
        <v>23870</v>
      </c>
      <c r="K25" s="94">
        <f>L25+M25</f>
        <v>23870</v>
      </c>
      <c r="L25" s="110">
        <v>17432</v>
      </c>
      <c r="M25" s="110">
        <v>6438</v>
      </c>
      <c r="N25" s="116">
        <f t="shared" si="18"/>
        <v>0</v>
      </c>
      <c r="O25" s="108">
        <v>0</v>
      </c>
      <c r="P25" s="108">
        <v>0</v>
      </c>
      <c r="Q25" s="108">
        <v>0</v>
      </c>
      <c r="R25" s="39">
        <f t="shared" si="4"/>
        <v>90907</v>
      </c>
      <c r="S25" s="94">
        <v>90907</v>
      </c>
      <c r="T25" s="94">
        <v>0</v>
      </c>
      <c r="U25" s="101">
        <v>0</v>
      </c>
      <c r="V25" s="39">
        <f t="shared" si="5"/>
        <v>487652</v>
      </c>
      <c r="W25" s="94">
        <v>487652</v>
      </c>
      <c r="X25" s="101">
        <v>0</v>
      </c>
      <c r="Y25" s="101">
        <v>0</v>
      </c>
      <c r="Z25" s="99">
        <f t="shared" si="6"/>
        <v>0</v>
      </c>
      <c r="AA25" s="94">
        <v>0</v>
      </c>
      <c r="AB25" s="94">
        <v>0</v>
      </c>
      <c r="AC25" s="94">
        <v>0</v>
      </c>
      <c r="AD25" s="99">
        <f t="shared" si="7"/>
        <v>2290039</v>
      </c>
      <c r="AE25" s="39">
        <f t="shared" si="8"/>
        <v>-165063</v>
      </c>
      <c r="AF25" s="99">
        <v>1152516</v>
      </c>
      <c r="AG25" s="99">
        <v>0</v>
      </c>
      <c r="AH25" s="99">
        <v>0</v>
      </c>
      <c r="AI25" s="99">
        <v>0</v>
      </c>
      <c r="AJ25" s="99">
        <f t="shared" si="9"/>
        <v>924</v>
      </c>
      <c r="AK25" s="108">
        <v>924</v>
      </c>
      <c r="AL25" s="108">
        <v>0</v>
      </c>
      <c r="AM25" s="99">
        <f t="shared" si="10"/>
        <v>25328</v>
      </c>
      <c r="AN25" s="94">
        <f t="shared" si="11"/>
        <v>25328</v>
      </c>
      <c r="AO25" s="110">
        <v>25328</v>
      </c>
      <c r="AP25" s="110">
        <v>0</v>
      </c>
      <c r="AQ25" s="94">
        <f t="shared" si="12"/>
        <v>0</v>
      </c>
      <c r="AR25" s="108">
        <v>0</v>
      </c>
      <c r="AS25" s="108">
        <v>0</v>
      </c>
      <c r="AT25" s="108">
        <v>0</v>
      </c>
      <c r="AU25" s="39">
        <f t="shared" si="13"/>
        <v>84192</v>
      </c>
      <c r="AV25" s="94">
        <v>0</v>
      </c>
      <c r="AW25" s="94">
        <v>84192</v>
      </c>
      <c r="AX25" s="101">
        <v>0</v>
      </c>
      <c r="AY25" s="39">
        <f t="shared" si="14"/>
        <v>740388</v>
      </c>
      <c r="AZ25" s="94">
        <v>0</v>
      </c>
      <c r="BA25" s="101">
        <v>740388</v>
      </c>
      <c r="BB25" s="101">
        <v>0</v>
      </c>
      <c r="BC25" s="99">
        <f t="shared" si="15"/>
        <v>121628</v>
      </c>
      <c r="BD25" s="94">
        <v>121628</v>
      </c>
      <c r="BE25" s="94">
        <v>0</v>
      </c>
      <c r="BF25" s="94">
        <v>0</v>
      </c>
      <c r="BG25" s="99">
        <f t="shared" si="16"/>
        <v>2124976</v>
      </c>
      <c r="BH25" s="83"/>
      <c r="BI25" s="50">
        <f t="shared" si="17"/>
        <v>-523820</v>
      </c>
      <c r="BJ25" s="50">
        <f t="shared" si="34"/>
        <v>0</v>
      </c>
      <c r="BK25" s="50">
        <f t="shared" si="35"/>
        <v>-1549</v>
      </c>
      <c r="BL25" s="50">
        <f t="shared" si="36"/>
        <v>-8975</v>
      </c>
      <c r="BM25" s="50">
        <f t="shared" si="37"/>
        <v>174</v>
      </c>
      <c r="BN25" s="111">
        <f t="shared" si="38"/>
        <v>256</v>
      </c>
      <c r="BO25" s="111">
        <f t="shared" si="39"/>
        <v>-82</v>
      </c>
      <c r="BP25" s="50">
        <f t="shared" si="40"/>
        <v>1458</v>
      </c>
      <c r="BQ25" s="102">
        <f t="shared" si="41"/>
        <v>1458</v>
      </c>
      <c r="BR25" s="111">
        <f t="shared" si="42"/>
        <v>7896</v>
      </c>
      <c r="BS25" s="111">
        <f t="shared" si="43"/>
        <v>-6438</v>
      </c>
      <c r="BT25" s="102">
        <f t="shared" si="44"/>
        <v>0</v>
      </c>
      <c r="BU25" s="111">
        <f t="shared" si="45"/>
        <v>0</v>
      </c>
      <c r="BV25" s="111">
        <f t="shared" si="19"/>
        <v>0</v>
      </c>
      <c r="BW25" s="111">
        <f t="shared" si="20"/>
        <v>0</v>
      </c>
      <c r="BX25" s="50">
        <f t="shared" si="21"/>
        <v>-6715</v>
      </c>
      <c r="BY25" s="102">
        <f t="shared" si="22"/>
        <v>-90907</v>
      </c>
      <c r="BZ25" s="102">
        <f t="shared" si="23"/>
        <v>84192</v>
      </c>
      <c r="CA25" s="102">
        <f t="shared" si="24"/>
        <v>0</v>
      </c>
      <c r="CB25" s="50">
        <f t="shared" si="25"/>
        <v>252736</v>
      </c>
      <c r="CC25" s="102">
        <f t="shared" si="26"/>
        <v>-487652</v>
      </c>
      <c r="CD25" s="102">
        <f t="shared" si="27"/>
        <v>740388</v>
      </c>
      <c r="CE25" s="102">
        <f t="shared" si="28"/>
        <v>0</v>
      </c>
      <c r="CF25" s="50">
        <f t="shared" si="29"/>
        <v>121628</v>
      </c>
      <c r="CG25" s="102">
        <f t="shared" si="30"/>
        <v>121628</v>
      </c>
      <c r="CH25" s="102">
        <f t="shared" si="31"/>
        <v>0</v>
      </c>
      <c r="CI25" s="102">
        <f t="shared" si="32"/>
        <v>0</v>
      </c>
      <c r="CJ25" s="50">
        <f t="shared" si="33"/>
        <v>-165063</v>
      </c>
    </row>
    <row r="26" spans="1:88" x14ac:dyDescent="0.3">
      <c r="A26" s="162" t="s">
        <v>13</v>
      </c>
      <c r="B26" s="162"/>
      <c r="C26" s="103">
        <f>SUM(C5:C25)</f>
        <v>136464116</v>
      </c>
      <c r="D26" s="103">
        <f t="shared" ref="D26:BG26" si="46">SUM(D5:D25)</f>
        <v>589320</v>
      </c>
      <c r="E26" s="103">
        <f t="shared" si="46"/>
        <v>125409</v>
      </c>
      <c r="F26" s="103">
        <f t="shared" si="46"/>
        <v>726915</v>
      </c>
      <c r="G26" s="103">
        <f t="shared" si="46"/>
        <v>60730</v>
      </c>
      <c r="H26" s="109">
        <f t="shared" si="46"/>
        <v>54688</v>
      </c>
      <c r="I26" s="109">
        <f t="shared" si="46"/>
        <v>6042</v>
      </c>
      <c r="J26" s="104">
        <f t="shared" si="46"/>
        <v>4477287</v>
      </c>
      <c r="K26" s="105">
        <f t="shared" si="46"/>
        <v>1820370</v>
      </c>
      <c r="L26" s="109">
        <f t="shared" si="46"/>
        <v>1427632</v>
      </c>
      <c r="M26" s="109">
        <f t="shared" si="46"/>
        <v>392738</v>
      </c>
      <c r="N26" s="105">
        <f>SUM(N5:N25)</f>
        <v>2656917</v>
      </c>
      <c r="O26" s="109">
        <f t="shared" si="46"/>
        <v>1288245</v>
      </c>
      <c r="P26" s="109">
        <f>SUM(P5:P25)</f>
        <v>815194</v>
      </c>
      <c r="Q26" s="109">
        <f>SUM(Q5:Q25)</f>
        <v>553478</v>
      </c>
      <c r="R26" s="103">
        <f t="shared" si="46"/>
        <v>5545347</v>
      </c>
      <c r="S26" s="105">
        <f t="shared" si="46"/>
        <v>5545347</v>
      </c>
      <c r="T26" s="105">
        <f t="shared" si="46"/>
        <v>0</v>
      </c>
      <c r="U26" s="105">
        <f t="shared" si="46"/>
        <v>0</v>
      </c>
      <c r="V26" s="103">
        <f t="shared" si="46"/>
        <v>10240692</v>
      </c>
      <c r="W26" s="105">
        <f t="shared" si="46"/>
        <v>10240692</v>
      </c>
      <c r="X26" s="105">
        <f t="shared" si="46"/>
        <v>0</v>
      </c>
      <c r="Y26" s="105">
        <f t="shared" si="46"/>
        <v>0</v>
      </c>
      <c r="Z26" s="103">
        <f t="shared" si="46"/>
        <v>54071783</v>
      </c>
      <c r="AA26" s="105">
        <f t="shared" si="46"/>
        <v>0</v>
      </c>
      <c r="AB26" s="105">
        <f t="shared" si="46"/>
        <v>970396</v>
      </c>
      <c r="AC26" s="105">
        <f t="shared" si="46"/>
        <v>53101387</v>
      </c>
      <c r="AD26" s="103">
        <f>SUM(AD5:AD25)</f>
        <v>212301599</v>
      </c>
      <c r="AE26" s="118">
        <f>SUM(AE5:AE25)</f>
        <v>-18178057</v>
      </c>
      <c r="AF26" s="103">
        <f t="shared" si="46"/>
        <v>74659668</v>
      </c>
      <c r="AG26" s="103">
        <f t="shared" si="46"/>
        <v>589320</v>
      </c>
      <c r="AH26" s="103">
        <f t="shared" si="46"/>
        <v>0</v>
      </c>
      <c r="AI26" s="103">
        <f t="shared" si="46"/>
        <v>0</v>
      </c>
      <c r="AJ26" s="103">
        <f t="shared" si="46"/>
        <v>58287</v>
      </c>
      <c r="AK26" s="109">
        <f t="shared" si="46"/>
        <v>58287</v>
      </c>
      <c r="AL26" s="109">
        <f t="shared" si="46"/>
        <v>0</v>
      </c>
      <c r="AM26" s="104">
        <f t="shared" si="46"/>
        <v>4463423</v>
      </c>
      <c r="AN26" s="105">
        <f t="shared" si="46"/>
        <v>1591956</v>
      </c>
      <c r="AO26" s="109">
        <f t="shared" si="46"/>
        <v>1591956</v>
      </c>
      <c r="AP26" s="109">
        <f t="shared" si="46"/>
        <v>0</v>
      </c>
      <c r="AQ26" s="105">
        <f t="shared" si="46"/>
        <v>2871467</v>
      </c>
      <c r="AR26" s="105">
        <f>SUM(AR5:AR25)</f>
        <v>1502795</v>
      </c>
      <c r="AS26" s="105">
        <f>SUM(AS5:AS25)</f>
        <v>815194</v>
      </c>
      <c r="AT26" s="105">
        <f>SUM(AT5:AT25)</f>
        <v>553478</v>
      </c>
      <c r="AU26" s="103">
        <f t="shared" si="46"/>
        <v>7677757</v>
      </c>
      <c r="AV26" s="105">
        <f t="shared" si="46"/>
        <v>454537</v>
      </c>
      <c r="AW26" s="105">
        <f t="shared" si="46"/>
        <v>7188220</v>
      </c>
      <c r="AX26" s="105">
        <f t="shared" si="46"/>
        <v>35000</v>
      </c>
      <c r="AY26" s="103">
        <f t="shared" si="46"/>
        <v>46065629</v>
      </c>
      <c r="AZ26" s="105">
        <f t="shared" si="46"/>
        <v>975304</v>
      </c>
      <c r="BA26" s="105">
        <f t="shared" si="46"/>
        <v>44850325</v>
      </c>
      <c r="BB26" s="105">
        <f t="shared" si="46"/>
        <v>240000</v>
      </c>
      <c r="BC26" s="103">
        <f t="shared" si="46"/>
        <v>60609458</v>
      </c>
      <c r="BD26" s="105">
        <f t="shared" si="46"/>
        <v>7408107</v>
      </c>
      <c r="BE26" s="105">
        <f t="shared" si="46"/>
        <v>970396</v>
      </c>
      <c r="BF26" s="105">
        <f t="shared" si="46"/>
        <v>52230955</v>
      </c>
      <c r="BG26" s="104">
        <f t="shared" si="46"/>
        <v>194123542</v>
      </c>
      <c r="BH26" s="83"/>
      <c r="BI26" s="106">
        <f>SUM(BI5:BI25)</f>
        <v>-61804448</v>
      </c>
      <c r="BJ26" s="106">
        <f t="shared" ref="BJ26:CJ26" si="47">SUM(BJ5:BJ25)</f>
        <v>0</v>
      </c>
      <c r="BK26" s="106">
        <f t="shared" si="47"/>
        <v>-125409</v>
      </c>
      <c r="BL26" s="106">
        <f t="shared" si="47"/>
        <v>-726915</v>
      </c>
      <c r="BM26" s="106">
        <f t="shared" si="47"/>
        <v>-2443</v>
      </c>
      <c r="BN26" s="112">
        <f t="shared" si="47"/>
        <v>3599</v>
      </c>
      <c r="BO26" s="112">
        <f t="shared" si="47"/>
        <v>-6042</v>
      </c>
      <c r="BP26" s="106">
        <f t="shared" si="47"/>
        <v>-13864</v>
      </c>
      <c r="BQ26" s="107">
        <f t="shared" si="47"/>
        <v>-228414</v>
      </c>
      <c r="BR26" s="112">
        <f t="shared" si="47"/>
        <v>164324</v>
      </c>
      <c r="BS26" s="112">
        <f t="shared" si="47"/>
        <v>-392738</v>
      </c>
      <c r="BT26" s="107">
        <f t="shared" si="47"/>
        <v>214550</v>
      </c>
      <c r="BU26" s="112">
        <f t="shared" si="47"/>
        <v>214550</v>
      </c>
      <c r="BV26" s="112">
        <f t="shared" si="47"/>
        <v>0</v>
      </c>
      <c r="BW26" s="112">
        <f t="shared" si="47"/>
        <v>0</v>
      </c>
      <c r="BX26" s="106">
        <f t="shared" si="47"/>
        <v>2132410</v>
      </c>
      <c r="BY26" s="107">
        <f t="shared" si="47"/>
        <v>-5090810</v>
      </c>
      <c r="BZ26" s="107">
        <f t="shared" si="47"/>
        <v>7188220</v>
      </c>
      <c r="CA26" s="107">
        <f t="shared" si="47"/>
        <v>35000</v>
      </c>
      <c r="CB26" s="106">
        <f t="shared" si="47"/>
        <v>35824937</v>
      </c>
      <c r="CC26" s="107">
        <f t="shared" si="47"/>
        <v>-9265388</v>
      </c>
      <c r="CD26" s="107">
        <f t="shared" si="47"/>
        <v>44850325</v>
      </c>
      <c r="CE26" s="107">
        <f t="shared" si="47"/>
        <v>240000</v>
      </c>
      <c r="CF26" s="106">
        <f t="shared" si="47"/>
        <v>6537675</v>
      </c>
      <c r="CG26" s="107">
        <f t="shared" si="47"/>
        <v>7408107</v>
      </c>
      <c r="CH26" s="107">
        <f t="shared" si="47"/>
        <v>0</v>
      </c>
      <c r="CI26" s="107">
        <f t="shared" si="47"/>
        <v>-870432</v>
      </c>
      <c r="CJ26" s="106">
        <f t="shared" si="47"/>
        <v>-18178057</v>
      </c>
    </row>
    <row r="28" spans="1:88" x14ac:dyDescent="0.3">
      <c r="C28" s="165" t="s">
        <v>31</v>
      </c>
      <c r="D28" s="166"/>
      <c r="E28" s="166"/>
      <c r="F28" s="166"/>
      <c r="G28" s="166"/>
      <c r="H28" s="167"/>
      <c r="BJ28" s="83"/>
    </row>
    <row r="29" spans="1:88" x14ac:dyDescent="0.3">
      <c r="AC29" s="1"/>
      <c r="AE29" s="1"/>
      <c r="BE29" s="1"/>
    </row>
    <row r="30" spans="1:88" x14ac:dyDescent="0.3">
      <c r="AC30" s="1"/>
    </row>
    <row r="31" spans="1:88" x14ac:dyDescent="0.3">
      <c r="O31" s="1"/>
    </row>
  </sheetData>
  <mergeCells count="9">
    <mergeCell ref="C28:H28"/>
    <mergeCell ref="A26:B26"/>
    <mergeCell ref="BI2:CJ2"/>
    <mergeCell ref="D1:AC1"/>
    <mergeCell ref="A2:A3"/>
    <mergeCell ref="B2:B3"/>
    <mergeCell ref="C2:AD2"/>
    <mergeCell ref="AE2:AE3"/>
    <mergeCell ref="AF2:BG2"/>
  </mergeCells>
  <conditionalFormatting sqref="AE5:AE26 BI5:CJ26">
    <cfRule type="cellIs" dxfId="13" priority="5" operator="lessThan">
      <formula>0</formula>
    </cfRule>
    <cfRule type="cellIs" dxfId="12" priority="6" operator="greater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A556-F7AA-4C12-803C-002CB8459FFF}">
  <dimension ref="A2:O28"/>
  <sheetViews>
    <sheetView topLeftCell="A25" zoomScale="130" zoomScaleNormal="130" workbookViewId="0">
      <selection activeCell="A8" sqref="A8"/>
    </sheetView>
  </sheetViews>
  <sheetFormatPr defaultRowHeight="14.4" x14ac:dyDescent="0.3"/>
  <cols>
    <col min="1" max="3" width="12.6640625" customWidth="1"/>
    <col min="4" max="12" width="10.88671875" customWidth="1"/>
    <col min="13" max="13" width="11.109375" customWidth="1"/>
    <col min="14" max="14" width="19" customWidth="1"/>
    <col min="15" max="15" width="10.88671875" customWidth="1"/>
  </cols>
  <sheetData>
    <row r="2" spans="1:15" ht="15" customHeight="1" x14ac:dyDescent="0.3">
      <c r="A2" s="174" t="s">
        <v>1</v>
      </c>
      <c r="B2" s="174" t="s">
        <v>67</v>
      </c>
      <c r="C2" s="174" t="s">
        <v>68</v>
      </c>
      <c r="D2" s="174" t="s">
        <v>69</v>
      </c>
      <c r="E2" s="178" t="s">
        <v>70</v>
      </c>
      <c r="F2" s="178"/>
      <c r="G2" s="178"/>
      <c r="H2" s="178"/>
      <c r="I2" s="178"/>
      <c r="J2" s="179"/>
      <c r="K2" s="175" t="s">
        <v>71</v>
      </c>
      <c r="L2" s="175" t="s">
        <v>72</v>
      </c>
      <c r="M2" s="177" t="s">
        <v>73</v>
      </c>
    </row>
    <row r="3" spans="1:15" x14ac:dyDescent="0.3">
      <c r="A3" s="174"/>
      <c r="B3" s="174"/>
      <c r="C3" s="174"/>
      <c r="D3" s="174"/>
      <c r="E3" s="121" t="s">
        <v>8</v>
      </c>
      <c r="F3" s="121" t="s">
        <v>9</v>
      </c>
      <c r="G3" s="121" t="s">
        <v>10</v>
      </c>
      <c r="H3" s="121" t="s">
        <v>11</v>
      </c>
      <c r="I3" s="121" t="s">
        <v>7</v>
      </c>
      <c r="J3" s="129" t="s">
        <v>74</v>
      </c>
      <c r="K3" s="176"/>
      <c r="L3" s="176"/>
      <c r="M3" s="177"/>
    </row>
    <row r="4" spans="1:15" x14ac:dyDescent="0.3">
      <c r="A4" s="113"/>
      <c r="B4" s="113"/>
      <c r="C4" s="113"/>
      <c r="D4" s="114"/>
      <c r="E4" s="114"/>
      <c r="F4" s="114"/>
      <c r="G4" s="114"/>
      <c r="H4" s="114"/>
      <c r="I4" s="114"/>
      <c r="J4" s="114" t="s">
        <v>75</v>
      </c>
      <c r="K4" s="114"/>
      <c r="L4" s="114" t="s">
        <v>76</v>
      </c>
      <c r="M4" s="114" t="s">
        <v>77</v>
      </c>
    </row>
    <row r="5" spans="1:15" x14ac:dyDescent="0.3">
      <c r="A5" s="26">
        <v>2024</v>
      </c>
      <c r="B5" s="101">
        <f>'Talejas 1_anotācijai'!C5</f>
        <v>6780683</v>
      </c>
      <c r="C5" s="101">
        <f>'Talejas 1_anotācijai'!AF5</f>
        <v>6006804</v>
      </c>
      <c r="D5" s="116">
        <f>'Talejas 1_anotācijai'!BI5*-1</f>
        <v>773879</v>
      </c>
      <c r="E5" s="116">
        <f>'Talejas 1_anotācijai'!BP5</f>
        <v>62585</v>
      </c>
      <c r="F5" s="116">
        <f>'Talejas 1_anotācijai'!BX5</f>
        <v>83188</v>
      </c>
      <c r="G5" s="116">
        <f>EM!S5</f>
        <v>372283</v>
      </c>
      <c r="H5" s="116">
        <f>'Talejas 1_anotācijai'!CF5</f>
        <v>0</v>
      </c>
      <c r="I5" s="116">
        <v>0</v>
      </c>
      <c r="J5" s="116">
        <f>SUM(E5:I5)</f>
        <v>518056</v>
      </c>
      <c r="K5" s="116">
        <f>'Talejas 1_anotācijai'!BM5</f>
        <v>244</v>
      </c>
      <c r="L5" s="116">
        <f>SUM(J5:K5)</f>
        <v>518300</v>
      </c>
      <c r="M5" s="39">
        <f>D5-L5</f>
        <v>255579</v>
      </c>
      <c r="O5" s="1"/>
    </row>
    <row r="6" spans="1:15" x14ac:dyDescent="0.3">
      <c r="A6" s="26">
        <v>2025</v>
      </c>
      <c r="B6" s="101">
        <f>'Talejas 1_anotācijai'!C6</f>
        <v>6367743</v>
      </c>
      <c r="C6" s="101">
        <f>'Talejas 1_anotācijai'!AF6</f>
        <v>4493208</v>
      </c>
      <c r="D6" s="116">
        <f>'Talejas 1_anotācijai'!BI6*-1</f>
        <v>1874535</v>
      </c>
      <c r="E6" s="116">
        <f>'Talejas 1_anotācijai'!BP6</f>
        <v>45430</v>
      </c>
      <c r="F6" s="116">
        <f>'Talejas 1_anotācijai'!BX6</f>
        <v>304189</v>
      </c>
      <c r="G6" s="116">
        <f>EM!S6</f>
        <v>1212030</v>
      </c>
      <c r="H6" s="116">
        <f>'Talejas 1_anotācijai'!CF6</f>
        <v>272333</v>
      </c>
      <c r="I6" s="116">
        <f>'Talejas 1_anotācijai'!BM6</f>
        <v>649</v>
      </c>
      <c r="J6" s="116">
        <f>SUM(E6:I6)</f>
        <v>1834631</v>
      </c>
      <c r="K6" s="116">
        <v>0</v>
      </c>
      <c r="L6" s="116">
        <f t="shared" ref="L6:L25" si="0">SUM(J6:K6)</f>
        <v>1834631</v>
      </c>
      <c r="M6" s="39">
        <f t="shared" ref="M6:M25" si="1">D6-L6</f>
        <v>39904</v>
      </c>
      <c r="O6" s="1"/>
    </row>
    <row r="7" spans="1:15" x14ac:dyDescent="0.3">
      <c r="A7" s="26">
        <v>2026</v>
      </c>
      <c r="B7" s="101">
        <f>'Talejas 1_anotācijai'!C7</f>
        <v>6367743</v>
      </c>
      <c r="C7" s="101">
        <f>'Talejas 1_anotācijai'!AF7</f>
        <v>4228824</v>
      </c>
      <c r="D7" s="116">
        <f>'Talejas 1_anotācijai'!BI7*-1</f>
        <v>2138919</v>
      </c>
      <c r="E7" s="116">
        <f>'Talejas 1_anotācijai'!BP7</f>
        <v>111960</v>
      </c>
      <c r="F7" s="116">
        <f>'Talejas 1_anotācijai'!BX7</f>
        <v>295418</v>
      </c>
      <c r="G7" s="116">
        <f>EM!S7</f>
        <v>1365994</v>
      </c>
      <c r="H7" s="116">
        <f>'Talejas 1_anotācijai'!CF7</f>
        <v>183685</v>
      </c>
      <c r="I7" s="116">
        <f>'Talejas 1_anotācijai'!BM7</f>
        <v>349</v>
      </c>
      <c r="J7" s="116">
        <f t="shared" ref="J7:J25" si="2">SUM(E7:I7)</f>
        <v>1957406</v>
      </c>
      <c r="K7" s="116">
        <v>0</v>
      </c>
      <c r="L7" s="116">
        <f t="shared" si="0"/>
        <v>1957406</v>
      </c>
      <c r="M7" s="39">
        <f t="shared" si="1"/>
        <v>181513</v>
      </c>
      <c r="O7" s="1"/>
    </row>
    <row r="8" spans="1:15" x14ac:dyDescent="0.3">
      <c r="A8" s="26">
        <v>2027</v>
      </c>
      <c r="B8" s="101">
        <f>'Talejas 1_anotācijai'!C8</f>
        <v>6780683</v>
      </c>
      <c r="C8" s="101">
        <f>'Talejas 1_anotācijai'!AF8</f>
        <v>3457548</v>
      </c>
      <c r="D8" s="116">
        <f>'Talejas 1_anotācijai'!BI8*-1</f>
        <v>3323135</v>
      </c>
      <c r="E8" s="116">
        <v>0</v>
      </c>
      <c r="F8" s="116">
        <f>'Talejas 1_anotācijai'!BX8</f>
        <v>245210</v>
      </c>
      <c r="G8" s="116">
        <f>EM!S8</f>
        <v>2282538</v>
      </c>
      <c r="H8" s="116">
        <f>'Talejas 1_anotācijai'!CF8</f>
        <v>121885</v>
      </c>
      <c r="I8" s="116">
        <v>0</v>
      </c>
      <c r="J8" s="116">
        <f t="shared" si="2"/>
        <v>2649633</v>
      </c>
      <c r="K8" s="116">
        <v>0</v>
      </c>
      <c r="L8" s="116">
        <f t="shared" si="0"/>
        <v>2649633</v>
      </c>
      <c r="M8" s="39">
        <f t="shared" si="1"/>
        <v>673502</v>
      </c>
      <c r="O8" s="1"/>
    </row>
    <row r="9" spans="1:15" x14ac:dyDescent="0.3">
      <c r="A9" s="26">
        <v>2028</v>
      </c>
      <c r="B9" s="101">
        <f>'Talejas 1_anotācijai'!C9</f>
        <v>6780683</v>
      </c>
      <c r="C9" s="101">
        <f>'Talejas 1_anotācijai'!AF9</f>
        <v>3457548</v>
      </c>
      <c r="D9" s="116">
        <f>'Talejas 1_anotācijai'!BI9*-1</f>
        <v>3323135</v>
      </c>
      <c r="E9" s="116">
        <v>0</v>
      </c>
      <c r="F9" s="116">
        <f>'Talejas 1_anotācijai'!BX9</f>
        <v>245210</v>
      </c>
      <c r="G9" s="116">
        <f>EM!S9</f>
        <v>2282538</v>
      </c>
      <c r="H9" s="116">
        <f>'Talejas 1_anotācijai'!CF9</f>
        <v>364884</v>
      </c>
      <c r="I9" s="116">
        <v>0</v>
      </c>
      <c r="J9" s="116">
        <f t="shared" si="2"/>
        <v>2892632</v>
      </c>
      <c r="K9" s="116">
        <v>0</v>
      </c>
      <c r="L9" s="116">
        <f t="shared" si="0"/>
        <v>2892632</v>
      </c>
      <c r="M9" s="39">
        <f t="shared" si="1"/>
        <v>430503</v>
      </c>
      <c r="O9" s="1"/>
    </row>
    <row r="10" spans="1:15" x14ac:dyDescent="0.3">
      <c r="A10" s="26">
        <v>2029</v>
      </c>
      <c r="B10" s="101">
        <f>'Talejas 1_anotācijai'!C10</f>
        <v>6780683</v>
      </c>
      <c r="C10" s="101">
        <f>'Talejas 1_anotācijai'!AF10</f>
        <v>3457548</v>
      </c>
      <c r="D10" s="116">
        <f>'Talejas 1_anotācijai'!BI10*-1</f>
        <v>3323135</v>
      </c>
      <c r="E10" s="116">
        <v>0</v>
      </c>
      <c r="F10" s="116">
        <f>'Talejas 1_anotācijai'!BX10</f>
        <v>245210</v>
      </c>
      <c r="G10" s="116">
        <f>EM!S10</f>
        <v>2282538</v>
      </c>
      <c r="H10" s="116">
        <f>'Talejas 1_anotācijai'!CF10</f>
        <v>364884</v>
      </c>
      <c r="I10" s="116">
        <v>0</v>
      </c>
      <c r="J10" s="116">
        <f t="shared" si="2"/>
        <v>2892632</v>
      </c>
      <c r="K10" s="116">
        <v>0</v>
      </c>
      <c r="L10" s="116">
        <f t="shared" si="0"/>
        <v>2892632</v>
      </c>
      <c r="M10" s="39">
        <f t="shared" si="1"/>
        <v>430503</v>
      </c>
      <c r="O10" s="1"/>
    </row>
    <row r="11" spans="1:15" x14ac:dyDescent="0.3">
      <c r="A11" s="26">
        <v>2030</v>
      </c>
      <c r="B11" s="101">
        <f>'Talejas 1_anotācijai'!C11</f>
        <v>6780683</v>
      </c>
      <c r="C11" s="101">
        <f>'Talejas 1_anotācijai'!AF11</f>
        <v>3457548</v>
      </c>
      <c r="D11" s="116">
        <f>'Talejas 1_anotācijai'!BI11*-1</f>
        <v>3323135</v>
      </c>
      <c r="E11" s="116">
        <v>0</v>
      </c>
      <c r="F11" s="116">
        <f>'Talejas 1_anotācijai'!BX11</f>
        <v>211814</v>
      </c>
      <c r="G11" s="116">
        <f>EM!S11</f>
        <v>2282538</v>
      </c>
      <c r="H11" s="116">
        <f>'Talejas 1_anotācijai'!CF11</f>
        <v>364884</v>
      </c>
      <c r="I11" s="116">
        <v>0</v>
      </c>
      <c r="J11" s="116">
        <f t="shared" si="2"/>
        <v>2859236</v>
      </c>
      <c r="K11" s="116">
        <v>0</v>
      </c>
      <c r="L11" s="116">
        <f t="shared" si="0"/>
        <v>2859236</v>
      </c>
      <c r="M11" s="39">
        <f t="shared" si="1"/>
        <v>463899</v>
      </c>
      <c r="O11" s="1"/>
    </row>
    <row r="12" spans="1:15" x14ac:dyDescent="0.3">
      <c r="A12" s="26">
        <v>2031</v>
      </c>
      <c r="B12" s="101">
        <f>'Talejas 1_anotācijai'!C12</f>
        <v>6780683</v>
      </c>
      <c r="C12" s="101">
        <f>'Talejas 1_anotācijai'!AF12</f>
        <v>3457548</v>
      </c>
      <c r="D12" s="116">
        <f>'Talejas 1_anotācijai'!BI12*-1</f>
        <v>3323135</v>
      </c>
      <c r="E12" s="116">
        <v>0</v>
      </c>
      <c r="F12" s="116">
        <f>'Talejas 1_anotācijai'!BX12</f>
        <v>145022</v>
      </c>
      <c r="G12" s="116">
        <f>EM!S12</f>
        <v>2282538</v>
      </c>
      <c r="H12" s="116">
        <f>'Talejas 1_anotācijai'!CF12</f>
        <v>364884</v>
      </c>
      <c r="I12" s="116">
        <v>0</v>
      </c>
      <c r="J12" s="116">
        <f t="shared" si="2"/>
        <v>2792444</v>
      </c>
      <c r="K12" s="116">
        <v>0</v>
      </c>
      <c r="L12" s="116">
        <f t="shared" si="0"/>
        <v>2792444</v>
      </c>
      <c r="M12" s="39">
        <f t="shared" si="1"/>
        <v>530691</v>
      </c>
      <c r="O12" s="1"/>
    </row>
    <row r="13" spans="1:15" x14ac:dyDescent="0.3">
      <c r="A13" s="26">
        <v>2032</v>
      </c>
      <c r="B13" s="101">
        <f>'Talejas 1_anotācijai'!C13</f>
        <v>6780683</v>
      </c>
      <c r="C13" s="101">
        <f>'Talejas 1_anotācijai'!AF13</f>
        <v>3457548</v>
      </c>
      <c r="D13" s="116">
        <f>'Talejas 1_anotācijai'!BI13*-1</f>
        <v>3323135</v>
      </c>
      <c r="E13" s="116">
        <v>0</v>
      </c>
      <c r="F13" s="116">
        <f>'Talejas 1_anotācijai'!BX13</f>
        <v>145022</v>
      </c>
      <c r="G13" s="116">
        <f>EM!S13</f>
        <v>1677354</v>
      </c>
      <c r="H13" s="116">
        <f>'Talejas 1_anotācijai'!CF13</f>
        <v>364884</v>
      </c>
      <c r="I13" s="116">
        <v>0</v>
      </c>
      <c r="J13" s="116">
        <f t="shared" si="2"/>
        <v>2187260</v>
      </c>
      <c r="K13" s="116">
        <v>0</v>
      </c>
      <c r="L13" s="116">
        <f t="shared" si="0"/>
        <v>2187260</v>
      </c>
      <c r="M13" s="39">
        <f t="shared" si="1"/>
        <v>1135875</v>
      </c>
      <c r="O13" s="1"/>
    </row>
    <row r="14" spans="1:15" x14ac:dyDescent="0.3">
      <c r="A14" s="26">
        <v>2033</v>
      </c>
      <c r="B14" s="101">
        <f>'Talejas 1_anotācijai'!C14</f>
        <v>6780683</v>
      </c>
      <c r="C14" s="101">
        <f>'Talejas 1_anotācijai'!AF14</f>
        <v>3457548</v>
      </c>
      <c r="D14" s="116">
        <f>'Talejas 1_anotācijai'!BI14*-1</f>
        <v>3323135</v>
      </c>
      <c r="E14" s="116">
        <v>0</v>
      </c>
      <c r="F14" s="116">
        <f>'Talejas 1_anotācijai'!BX14</f>
        <v>145022</v>
      </c>
      <c r="G14" s="116">
        <f>EM!S14</f>
        <v>1677354</v>
      </c>
      <c r="H14" s="116">
        <f>'Talejas 1_anotācijai'!CF14</f>
        <v>364884</v>
      </c>
      <c r="I14" s="116">
        <v>0</v>
      </c>
      <c r="J14" s="116">
        <f t="shared" si="2"/>
        <v>2187260</v>
      </c>
      <c r="K14" s="116">
        <v>0</v>
      </c>
      <c r="L14" s="116">
        <f t="shared" si="0"/>
        <v>2187260</v>
      </c>
      <c r="M14" s="39">
        <f t="shared" si="1"/>
        <v>1135875</v>
      </c>
      <c r="O14" s="1"/>
    </row>
    <row r="15" spans="1:15" x14ac:dyDescent="0.3">
      <c r="A15" s="26">
        <v>2034</v>
      </c>
      <c r="B15" s="101">
        <f>'Talejas 1_anotācijai'!C15</f>
        <v>6780683</v>
      </c>
      <c r="C15" s="101">
        <f>'Talejas 1_anotācijai'!AF15</f>
        <v>3457548</v>
      </c>
      <c r="D15" s="116">
        <f>'Talejas 1_anotācijai'!BI15*-1</f>
        <v>3323135</v>
      </c>
      <c r="E15" s="116">
        <v>0</v>
      </c>
      <c r="F15" s="116">
        <f>'Talejas 1_anotācijai'!BX15</f>
        <v>145022</v>
      </c>
      <c r="G15" s="116">
        <f>EM!S15</f>
        <v>1677354</v>
      </c>
      <c r="H15" s="116">
        <f>'Talejas 1_anotācijai'!CF15</f>
        <v>364884</v>
      </c>
      <c r="I15" s="116">
        <v>0</v>
      </c>
      <c r="J15" s="116">
        <f t="shared" si="2"/>
        <v>2187260</v>
      </c>
      <c r="K15" s="116">
        <v>0</v>
      </c>
      <c r="L15" s="116">
        <f t="shared" si="0"/>
        <v>2187260</v>
      </c>
      <c r="M15" s="39">
        <f t="shared" si="1"/>
        <v>1135875</v>
      </c>
      <c r="O15" s="1"/>
    </row>
    <row r="16" spans="1:15" x14ac:dyDescent="0.3">
      <c r="A16" s="26">
        <v>2035</v>
      </c>
      <c r="B16" s="101">
        <f>'Talejas 1_anotācijai'!C16</f>
        <v>6780683</v>
      </c>
      <c r="C16" s="101">
        <f>'Talejas 1_anotācijai'!AF16</f>
        <v>3457548</v>
      </c>
      <c r="D16" s="116">
        <f>'Talejas 1_anotācijai'!BI16*-1</f>
        <v>3323135</v>
      </c>
      <c r="E16" s="116">
        <v>0</v>
      </c>
      <c r="F16" s="116">
        <f>'Talejas 1_anotācijai'!BX16</f>
        <v>89966</v>
      </c>
      <c r="G16" s="116">
        <f>EM!S16</f>
        <v>1677354</v>
      </c>
      <c r="H16" s="116">
        <f>'Talejas 1_anotācijai'!CF16</f>
        <v>364884</v>
      </c>
      <c r="I16" s="116">
        <v>0</v>
      </c>
      <c r="J16" s="116">
        <f t="shared" si="2"/>
        <v>2132204</v>
      </c>
      <c r="K16" s="116">
        <v>0</v>
      </c>
      <c r="L16" s="116">
        <f t="shared" si="0"/>
        <v>2132204</v>
      </c>
      <c r="M16" s="39">
        <f t="shared" si="1"/>
        <v>1190931</v>
      </c>
      <c r="O16" s="1"/>
    </row>
    <row r="17" spans="1:15" x14ac:dyDescent="0.3">
      <c r="A17" s="26">
        <v>2036</v>
      </c>
      <c r="B17" s="101">
        <f>'Talejas 1_anotācijai'!C17</f>
        <v>6780683</v>
      </c>
      <c r="C17" s="101">
        <f>'Talejas 1_anotācijai'!AF17</f>
        <v>3457548</v>
      </c>
      <c r="D17" s="116">
        <f>'Talejas 1_anotācijai'!BI17*-1</f>
        <v>3323135</v>
      </c>
      <c r="E17" s="116">
        <v>0</v>
      </c>
      <c r="F17" s="116">
        <v>0</v>
      </c>
      <c r="G17" s="116">
        <f>EM!S17</f>
        <v>1677354</v>
      </c>
      <c r="H17" s="116">
        <f>'Talejas 1_anotācijai'!CF17</f>
        <v>364884</v>
      </c>
      <c r="I17" s="116">
        <v>0</v>
      </c>
      <c r="J17" s="116">
        <f t="shared" si="2"/>
        <v>2042238</v>
      </c>
      <c r="K17" s="116">
        <v>0</v>
      </c>
      <c r="L17" s="116">
        <f t="shared" si="0"/>
        <v>2042238</v>
      </c>
      <c r="M17" s="39">
        <f t="shared" si="1"/>
        <v>1280897</v>
      </c>
      <c r="O17" s="1"/>
    </row>
    <row r="18" spans="1:15" x14ac:dyDescent="0.3">
      <c r="A18" s="26">
        <v>2037</v>
      </c>
      <c r="B18" s="101">
        <f>'Talejas 1_anotācijai'!C18</f>
        <v>6780683</v>
      </c>
      <c r="C18" s="101">
        <f>'Talejas 1_anotācijai'!AF18</f>
        <v>3457548</v>
      </c>
      <c r="D18" s="116">
        <f>'Talejas 1_anotācijai'!BI18*-1</f>
        <v>3323135</v>
      </c>
      <c r="E18" s="116">
        <v>0</v>
      </c>
      <c r="F18" s="116">
        <v>0</v>
      </c>
      <c r="G18" s="116">
        <f>EM!S18</f>
        <v>1677354</v>
      </c>
      <c r="H18" s="116">
        <f>'Talejas 1_anotācijai'!CF18</f>
        <v>364884</v>
      </c>
      <c r="I18" s="116">
        <v>0</v>
      </c>
      <c r="J18" s="116">
        <f t="shared" si="2"/>
        <v>2042238</v>
      </c>
      <c r="K18" s="116">
        <v>0</v>
      </c>
      <c r="L18" s="116">
        <f t="shared" si="0"/>
        <v>2042238</v>
      </c>
      <c r="M18" s="39">
        <f t="shared" si="1"/>
        <v>1280897</v>
      </c>
      <c r="O18" s="1"/>
    </row>
    <row r="19" spans="1:15" x14ac:dyDescent="0.3">
      <c r="A19" s="26">
        <v>2038</v>
      </c>
      <c r="B19" s="101">
        <f>'Talejas 1_anotācijai'!C19</f>
        <v>6780683</v>
      </c>
      <c r="C19" s="101">
        <f>'Talejas 1_anotācijai'!AF19</f>
        <v>3457548</v>
      </c>
      <c r="D19" s="116">
        <f>'Talejas 1_anotācijai'!BI19*-1</f>
        <v>3323135</v>
      </c>
      <c r="E19" s="116">
        <v>0</v>
      </c>
      <c r="F19" s="116">
        <v>0</v>
      </c>
      <c r="G19" s="116">
        <f>EM!S19</f>
        <v>1677354</v>
      </c>
      <c r="H19" s="116">
        <f>'Talejas 1_anotācijai'!CF19</f>
        <v>364884</v>
      </c>
      <c r="I19" s="116">
        <v>0</v>
      </c>
      <c r="J19" s="116">
        <f t="shared" si="2"/>
        <v>2042238</v>
      </c>
      <c r="K19" s="116">
        <v>0</v>
      </c>
      <c r="L19" s="116">
        <f t="shared" si="0"/>
        <v>2042238</v>
      </c>
      <c r="M19" s="39">
        <f t="shared" si="1"/>
        <v>1280897</v>
      </c>
      <c r="O19" s="1"/>
    </row>
    <row r="20" spans="1:15" x14ac:dyDescent="0.3">
      <c r="A20" s="26">
        <v>2039</v>
      </c>
      <c r="B20" s="101">
        <f>'Talejas 1_anotācijai'!C20</f>
        <v>6780683</v>
      </c>
      <c r="C20" s="101">
        <f>'Talejas 1_anotācijai'!AF20</f>
        <v>3457548</v>
      </c>
      <c r="D20" s="116">
        <f>'Talejas 1_anotācijai'!BI20*-1</f>
        <v>3323135</v>
      </c>
      <c r="E20" s="116">
        <v>0</v>
      </c>
      <c r="F20" s="116">
        <v>0</v>
      </c>
      <c r="G20" s="116">
        <f>EM!S20</f>
        <v>1677354</v>
      </c>
      <c r="H20" s="116">
        <f>'Talejas 1_anotācijai'!CF20</f>
        <v>364884</v>
      </c>
      <c r="I20" s="116">
        <v>0</v>
      </c>
      <c r="J20" s="116">
        <f t="shared" si="2"/>
        <v>2042238</v>
      </c>
      <c r="K20" s="116">
        <v>0</v>
      </c>
      <c r="L20" s="116">
        <f t="shared" si="0"/>
        <v>2042238</v>
      </c>
      <c r="M20" s="39">
        <f t="shared" si="1"/>
        <v>1280897</v>
      </c>
      <c r="O20" s="1"/>
    </row>
    <row r="21" spans="1:15" x14ac:dyDescent="0.3">
      <c r="A21" s="26">
        <v>2040</v>
      </c>
      <c r="B21" s="101">
        <f>'Talejas 1_anotācijai'!C21</f>
        <v>6780683</v>
      </c>
      <c r="C21" s="101">
        <f>'Talejas 1_anotācijai'!AF21</f>
        <v>3457548</v>
      </c>
      <c r="D21" s="116">
        <f>'Talejas 1_anotācijai'!BI21*-1</f>
        <v>3323135</v>
      </c>
      <c r="E21" s="116">
        <v>0</v>
      </c>
      <c r="F21" s="116">
        <v>0</v>
      </c>
      <c r="G21" s="116">
        <f>EM!S21</f>
        <v>1677354</v>
      </c>
      <c r="H21" s="116">
        <f>'Talejas 1_anotācijai'!CF21</f>
        <v>364884</v>
      </c>
      <c r="I21" s="116">
        <v>0</v>
      </c>
      <c r="J21" s="116">
        <f t="shared" si="2"/>
        <v>2042238</v>
      </c>
      <c r="K21" s="116">
        <v>0</v>
      </c>
      <c r="L21" s="116">
        <f t="shared" si="0"/>
        <v>2042238</v>
      </c>
      <c r="M21" s="39">
        <f t="shared" si="1"/>
        <v>1280897</v>
      </c>
      <c r="O21" s="1"/>
    </row>
    <row r="22" spans="1:15" x14ac:dyDescent="0.3">
      <c r="A22" s="26">
        <v>2041</v>
      </c>
      <c r="B22" s="101">
        <f>'Talejas 1_anotācijai'!C22</f>
        <v>6780683</v>
      </c>
      <c r="C22" s="101">
        <f>'Talejas 1_anotācijai'!AF22</f>
        <v>3457548</v>
      </c>
      <c r="D22" s="116">
        <f>'Talejas 1_anotācijai'!BI22*-1</f>
        <v>3323135</v>
      </c>
      <c r="E22" s="116">
        <v>0</v>
      </c>
      <c r="F22" s="116">
        <v>0</v>
      </c>
      <c r="G22" s="116">
        <f>EM!S22</f>
        <v>1677354</v>
      </c>
      <c r="H22" s="116">
        <f>'Talejas 1_anotācijai'!CF22</f>
        <v>364884</v>
      </c>
      <c r="I22" s="116">
        <v>0</v>
      </c>
      <c r="J22" s="116">
        <f t="shared" si="2"/>
        <v>2042238</v>
      </c>
      <c r="K22" s="116">
        <v>0</v>
      </c>
      <c r="L22" s="116">
        <f t="shared" si="0"/>
        <v>2042238</v>
      </c>
      <c r="M22" s="39">
        <f t="shared" si="1"/>
        <v>1280897</v>
      </c>
      <c r="O22" s="1"/>
    </row>
    <row r="23" spans="1:15" x14ac:dyDescent="0.3">
      <c r="A23" s="26">
        <v>2042</v>
      </c>
      <c r="B23" s="101">
        <f>'Talejas 1_anotācijai'!C23</f>
        <v>6780683</v>
      </c>
      <c r="C23" s="101">
        <f>'Talejas 1_anotācijai'!AF23</f>
        <v>3457548</v>
      </c>
      <c r="D23" s="116">
        <f>'Talejas 1_anotācijai'!BI23*-1</f>
        <v>3323135</v>
      </c>
      <c r="E23" s="116">
        <v>0</v>
      </c>
      <c r="F23" s="116">
        <v>0</v>
      </c>
      <c r="G23" s="116">
        <f>EM!S23</f>
        <v>1677354</v>
      </c>
      <c r="H23" s="116">
        <f>'Talejas 1_anotācijai'!CF23</f>
        <v>364884</v>
      </c>
      <c r="I23" s="116">
        <v>0</v>
      </c>
      <c r="J23" s="116">
        <f t="shared" si="2"/>
        <v>2042238</v>
      </c>
      <c r="K23" s="116">
        <v>0</v>
      </c>
      <c r="L23" s="116">
        <f t="shared" si="0"/>
        <v>2042238</v>
      </c>
      <c r="M23" s="39">
        <f t="shared" si="1"/>
        <v>1280897</v>
      </c>
      <c r="O23" s="1"/>
    </row>
    <row r="24" spans="1:15" x14ac:dyDescent="0.3">
      <c r="A24" s="26">
        <v>2043</v>
      </c>
      <c r="B24" s="101">
        <f>'Talejas 1_anotācijai'!C24</f>
        <v>6780683</v>
      </c>
      <c r="C24" s="101">
        <f>'Talejas 1_anotācijai'!AF24</f>
        <v>3457548</v>
      </c>
      <c r="D24" s="116">
        <f>'Talejas 1_anotācijai'!BI24*-1</f>
        <v>3323135</v>
      </c>
      <c r="E24" s="116">
        <v>0</v>
      </c>
      <c r="F24" s="116">
        <v>0</v>
      </c>
      <c r="G24" s="116">
        <f>EM!S24</f>
        <v>1677354</v>
      </c>
      <c r="H24" s="116">
        <f>'Talejas 1_anotācijai'!CF24</f>
        <v>364884</v>
      </c>
      <c r="I24" s="116">
        <v>0</v>
      </c>
      <c r="J24" s="116">
        <f t="shared" si="2"/>
        <v>2042238</v>
      </c>
      <c r="K24" s="116">
        <v>0</v>
      </c>
      <c r="L24" s="116">
        <f t="shared" si="0"/>
        <v>2042238</v>
      </c>
      <c r="M24" s="39">
        <f t="shared" si="1"/>
        <v>1280897</v>
      </c>
      <c r="O24" s="1"/>
    </row>
    <row r="25" spans="1:15" x14ac:dyDescent="0.3">
      <c r="A25" s="26" t="s">
        <v>30</v>
      </c>
      <c r="B25" s="101">
        <f>'Talejas 1_anotācijai'!C25</f>
        <v>1676336</v>
      </c>
      <c r="C25" s="101">
        <f>'Talejas 1_anotācijai'!AF25</f>
        <v>1152516</v>
      </c>
      <c r="D25" s="116">
        <f>'Talejas 1_anotācijai'!BI25*-1</f>
        <v>523820</v>
      </c>
      <c r="E25" s="116">
        <f>'Talejas 1_anotācijai'!BP25</f>
        <v>1458</v>
      </c>
      <c r="F25" s="116">
        <v>0</v>
      </c>
      <c r="G25" s="116">
        <f>EM!S25</f>
        <v>242212</v>
      </c>
      <c r="H25" s="116">
        <f>'Talejas 1_anotācijai'!CF25</f>
        <v>121628</v>
      </c>
      <c r="I25" s="116">
        <f>'Talejas 1_anotācijai'!BM25</f>
        <v>174</v>
      </c>
      <c r="J25" s="116">
        <f t="shared" si="2"/>
        <v>365472</v>
      </c>
      <c r="K25" s="116">
        <v>0</v>
      </c>
      <c r="L25" s="116">
        <f t="shared" si="0"/>
        <v>365472</v>
      </c>
      <c r="M25" s="39">
        <f t="shared" si="1"/>
        <v>158348</v>
      </c>
      <c r="O25" s="1"/>
    </row>
    <row r="26" spans="1:15" x14ac:dyDescent="0.3">
      <c r="A26" s="122" t="s">
        <v>13</v>
      </c>
      <c r="B26" s="130">
        <f>SUM(B5:B25)</f>
        <v>136464116</v>
      </c>
      <c r="C26" s="130">
        <f>SUM(C5:C25)</f>
        <v>74659668</v>
      </c>
      <c r="D26" s="130">
        <f>SUM(D5:D25)</f>
        <v>61804448</v>
      </c>
      <c r="E26" s="123">
        <f t="shared" ref="E26:M26" si="3">SUM(E5:E25)</f>
        <v>221433</v>
      </c>
      <c r="F26" s="123">
        <f t="shared" si="3"/>
        <v>2300293</v>
      </c>
      <c r="G26" s="123">
        <f t="shared" si="3"/>
        <v>34733457</v>
      </c>
      <c r="H26" s="123">
        <f t="shared" si="3"/>
        <v>6537675</v>
      </c>
      <c r="I26" s="123">
        <f>SUM(I5:I25)</f>
        <v>1172</v>
      </c>
      <c r="J26" s="123">
        <f>SUM(J5:J25)</f>
        <v>43794030</v>
      </c>
      <c r="K26" s="123">
        <f>SUM(K5:K25)</f>
        <v>244</v>
      </c>
      <c r="L26" s="123">
        <f>SUM(L5:L25)</f>
        <v>43794274</v>
      </c>
      <c r="M26" s="118">
        <f t="shared" si="3"/>
        <v>18010174</v>
      </c>
      <c r="O26" s="1"/>
    </row>
    <row r="28" spans="1:15" ht="21" customHeight="1" x14ac:dyDescent="0.3">
      <c r="A28" s="173" t="s">
        <v>78</v>
      </c>
      <c r="B28" s="173"/>
      <c r="C28" s="173"/>
      <c r="D28" s="173"/>
      <c r="E28" s="173"/>
      <c r="F28" s="173"/>
      <c r="G28" s="173"/>
      <c r="H28" s="173"/>
      <c r="I28" s="173"/>
      <c r="J28" s="173"/>
      <c r="K28" s="173"/>
      <c r="L28" s="173"/>
      <c r="M28" s="173"/>
      <c r="N28" s="128"/>
    </row>
  </sheetData>
  <mergeCells count="9">
    <mergeCell ref="A28:M28"/>
    <mergeCell ref="B2:B3"/>
    <mergeCell ref="C2:C3"/>
    <mergeCell ref="K2:K3"/>
    <mergeCell ref="L2:L3"/>
    <mergeCell ref="M2:M3"/>
    <mergeCell ref="D2:D3"/>
    <mergeCell ref="A2:A3"/>
    <mergeCell ref="E2:J2"/>
  </mergeCells>
  <pageMargins left="0.7" right="0.7" top="0.75" bottom="0.75" header="0.3" footer="0.3"/>
  <ignoredErrors>
    <ignoredError sqref="J25"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EAC2E-77FF-4638-8213-B1B3B58B356D}">
  <dimension ref="A2:N27"/>
  <sheetViews>
    <sheetView topLeftCell="A10" zoomScale="130" zoomScaleNormal="130" workbookViewId="0"/>
  </sheetViews>
  <sheetFormatPr defaultRowHeight="14.4" x14ac:dyDescent="0.3"/>
  <cols>
    <col min="1" max="1" width="14.6640625" customWidth="1"/>
    <col min="2" max="10" width="11" customWidth="1"/>
    <col min="11" max="11" width="2.109375" customWidth="1"/>
  </cols>
  <sheetData>
    <row r="2" spans="1:13" ht="22.5" customHeight="1" x14ac:dyDescent="0.3">
      <c r="A2" s="174" t="s">
        <v>1</v>
      </c>
      <c r="B2" s="180" t="s">
        <v>79</v>
      </c>
      <c r="C2" s="181"/>
      <c r="D2" s="181"/>
      <c r="E2" s="180" t="s">
        <v>80</v>
      </c>
      <c r="F2" s="181"/>
      <c r="G2" s="181"/>
      <c r="H2" s="177" t="s">
        <v>81</v>
      </c>
      <c r="I2" s="177"/>
      <c r="J2" s="177"/>
      <c r="L2" s="177" t="s">
        <v>82</v>
      </c>
    </row>
    <row r="3" spans="1:13" ht="30.75" customHeight="1" x14ac:dyDescent="0.3">
      <c r="A3" s="174"/>
      <c r="B3" s="125" t="s">
        <v>83</v>
      </c>
      <c r="C3" s="125" t="s">
        <v>84</v>
      </c>
      <c r="D3" s="125" t="s">
        <v>85</v>
      </c>
      <c r="E3" s="125" t="s">
        <v>83</v>
      </c>
      <c r="F3" s="125" t="s">
        <v>84</v>
      </c>
      <c r="G3" s="125" t="s">
        <v>85</v>
      </c>
      <c r="H3" s="125" t="s">
        <v>83</v>
      </c>
      <c r="I3" s="125" t="s">
        <v>84</v>
      </c>
      <c r="J3" s="125" t="s">
        <v>85</v>
      </c>
      <c r="L3" s="177"/>
    </row>
    <row r="4" spans="1:13" ht="15" customHeight="1" x14ac:dyDescent="0.3">
      <c r="A4" s="114"/>
      <c r="B4" s="114"/>
      <c r="C4" s="114"/>
      <c r="D4" s="114" t="s">
        <v>86</v>
      </c>
      <c r="E4" s="114"/>
      <c r="F4" s="114"/>
      <c r="G4" s="114" t="s">
        <v>87</v>
      </c>
      <c r="H4" s="114" t="s">
        <v>88</v>
      </c>
      <c r="I4" s="114" t="s">
        <v>89</v>
      </c>
      <c r="J4" s="114" t="s">
        <v>90</v>
      </c>
      <c r="L4" s="39" t="s">
        <v>91</v>
      </c>
    </row>
    <row r="5" spans="1:13" ht="15" customHeight="1" x14ac:dyDescent="0.3">
      <c r="A5" s="26">
        <v>2024</v>
      </c>
      <c r="B5" s="101">
        <f>'Talejas 1_anotācijai'!AW5</f>
        <v>83188</v>
      </c>
      <c r="C5" s="101">
        <f>'Talejas 1_anotācijai'!BY5*-1</f>
        <v>0</v>
      </c>
      <c r="D5" s="116">
        <f>IF(C5&gt;B5,0,B5-C5)</f>
        <v>83188</v>
      </c>
      <c r="E5" s="116">
        <f>'Talejas 1_anotācijai'!CA5</f>
        <v>0</v>
      </c>
      <c r="F5" s="116">
        <f>'Talejas 1_anotācijai'!Y5</f>
        <v>0</v>
      </c>
      <c r="G5" s="116">
        <f>IF(F5&gt;E5,0,E5-F5)</f>
        <v>0</v>
      </c>
      <c r="H5" s="116">
        <f t="shared" ref="H5:H25" si="0">B5+E5</f>
        <v>83188</v>
      </c>
      <c r="I5" s="116">
        <f t="shared" ref="I5:I25" si="1">C5+F5</f>
        <v>0</v>
      </c>
      <c r="J5" s="116">
        <f t="shared" ref="J5:J25" si="2">D5+G5</f>
        <v>83188</v>
      </c>
      <c r="L5" s="116">
        <f>I5-H5+J5</f>
        <v>0</v>
      </c>
      <c r="M5" s="1"/>
    </row>
    <row r="6" spans="1:13" ht="15" customHeight="1" x14ac:dyDescent="0.3">
      <c r="A6" s="26">
        <v>2025</v>
      </c>
      <c r="B6" s="101">
        <f>'Talejas 1_anotācijai'!AW6</f>
        <v>360096</v>
      </c>
      <c r="C6" s="101">
        <f>'Talejas 1_anotācijai'!BY6*-1</f>
        <v>90907</v>
      </c>
      <c r="D6" s="116">
        <f t="shared" ref="D6:D25" si="3">IF(C6&gt;B6,0,B6-C6)</f>
        <v>269189</v>
      </c>
      <c r="E6" s="116">
        <f>'Talejas 1_anotācijai'!CA6</f>
        <v>35000</v>
      </c>
      <c r="F6" s="116">
        <f>'Talejas 1_anotācijai'!Y6</f>
        <v>0</v>
      </c>
      <c r="G6" s="116">
        <f t="shared" ref="G6:G25" si="4">IF(F6&gt;E6,0,E6-F6)</f>
        <v>35000</v>
      </c>
      <c r="H6" s="116">
        <f t="shared" si="0"/>
        <v>395096</v>
      </c>
      <c r="I6" s="116">
        <f t="shared" si="1"/>
        <v>90907</v>
      </c>
      <c r="J6" s="116">
        <f t="shared" si="2"/>
        <v>304189</v>
      </c>
      <c r="L6" s="116">
        <f t="shared" ref="L6:L25" si="5">I6-H6+J6</f>
        <v>0</v>
      </c>
      <c r="M6" s="1"/>
    </row>
    <row r="7" spans="1:13" ht="15" customHeight="1" x14ac:dyDescent="0.3">
      <c r="A7" s="26">
        <v>2026</v>
      </c>
      <c r="B7" s="101">
        <f>'Talejas 1_anotācijai'!AW7</f>
        <v>568140</v>
      </c>
      <c r="C7" s="101">
        <f>'Talejas 1_anotācijai'!BY7*-1</f>
        <v>272722</v>
      </c>
      <c r="D7" s="116">
        <f t="shared" si="3"/>
        <v>295418</v>
      </c>
      <c r="E7" s="116">
        <f>'Talejas 1_anotācijai'!CA7</f>
        <v>0</v>
      </c>
      <c r="F7" s="116">
        <f>'Talejas 1_anotācijai'!Y7</f>
        <v>0</v>
      </c>
      <c r="G7" s="116">
        <f t="shared" si="4"/>
        <v>0</v>
      </c>
      <c r="H7" s="116">
        <f t="shared" si="0"/>
        <v>568140</v>
      </c>
      <c r="I7" s="116">
        <f t="shared" si="1"/>
        <v>272722</v>
      </c>
      <c r="J7" s="116">
        <f t="shared" si="2"/>
        <v>295418</v>
      </c>
      <c r="L7" s="116">
        <f t="shared" si="5"/>
        <v>0</v>
      </c>
      <c r="M7" s="1"/>
    </row>
    <row r="8" spans="1:13" ht="15" customHeight="1" x14ac:dyDescent="0.3">
      <c r="A8" s="26">
        <v>2027</v>
      </c>
      <c r="B8" s="101">
        <f>'Talejas 1_anotācijai'!AW8</f>
        <v>517932</v>
      </c>
      <c r="C8" s="101">
        <f>'Talejas 1_anotācijai'!BY8*-1</f>
        <v>272722</v>
      </c>
      <c r="D8" s="116">
        <f t="shared" si="3"/>
        <v>245210</v>
      </c>
      <c r="E8" s="116">
        <f>'Talejas 1_anotācijai'!CA8</f>
        <v>0</v>
      </c>
      <c r="F8" s="116">
        <f>'Talejas 1_anotācijai'!Y8</f>
        <v>0</v>
      </c>
      <c r="G8" s="116">
        <f t="shared" si="4"/>
        <v>0</v>
      </c>
      <c r="H8" s="116">
        <f t="shared" si="0"/>
        <v>517932</v>
      </c>
      <c r="I8" s="116">
        <f t="shared" si="1"/>
        <v>272722</v>
      </c>
      <c r="J8" s="116">
        <f t="shared" si="2"/>
        <v>245210</v>
      </c>
      <c r="L8" s="116">
        <f t="shared" si="5"/>
        <v>0</v>
      </c>
      <c r="M8" s="1"/>
    </row>
    <row r="9" spans="1:13" ht="15" customHeight="1" x14ac:dyDescent="0.3">
      <c r="A9" s="26">
        <v>2028</v>
      </c>
      <c r="B9" s="101">
        <f>'Talejas 1_anotācijai'!AW9</f>
        <v>517932</v>
      </c>
      <c r="C9" s="101">
        <f>'Talejas 1_anotācijai'!BY9*-1</f>
        <v>272722</v>
      </c>
      <c r="D9" s="116">
        <f t="shared" si="3"/>
        <v>245210</v>
      </c>
      <c r="E9" s="116">
        <f>'Talejas 1_anotācijai'!CA9</f>
        <v>0</v>
      </c>
      <c r="F9" s="116">
        <f>'Talejas 1_anotācijai'!Y9</f>
        <v>0</v>
      </c>
      <c r="G9" s="116">
        <f t="shared" si="4"/>
        <v>0</v>
      </c>
      <c r="H9" s="116">
        <f t="shared" si="0"/>
        <v>517932</v>
      </c>
      <c r="I9" s="116">
        <f t="shared" si="1"/>
        <v>272722</v>
      </c>
      <c r="J9" s="116">
        <f t="shared" si="2"/>
        <v>245210</v>
      </c>
      <c r="L9" s="116">
        <f t="shared" si="5"/>
        <v>0</v>
      </c>
      <c r="M9" s="1"/>
    </row>
    <row r="10" spans="1:13" ht="15" customHeight="1" x14ac:dyDescent="0.3">
      <c r="A10" s="26">
        <v>2029</v>
      </c>
      <c r="B10" s="101">
        <f>'Talejas 1_anotācijai'!AW10</f>
        <v>517932</v>
      </c>
      <c r="C10" s="101">
        <f>'Talejas 1_anotācijai'!BY10*-1</f>
        <v>272722</v>
      </c>
      <c r="D10" s="116">
        <f t="shared" si="3"/>
        <v>245210</v>
      </c>
      <c r="E10" s="116">
        <f>'Talejas 1_anotācijai'!CA10</f>
        <v>0</v>
      </c>
      <c r="F10" s="116">
        <f>'Talejas 1_anotācijai'!Y10</f>
        <v>0</v>
      </c>
      <c r="G10" s="116">
        <f t="shared" si="4"/>
        <v>0</v>
      </c>
      <c r="H10" s="116">
        <f t="shared" si="0"/>
        <v>517932</v>
      </c>
      <c r="I10" s="116">
        <f t="shared" si="1"/>
        <v>272722</v>
      </c>
      <c r="J10" s="116">
        <f t="shared" si="2"/>
        <v>245210</v>
      </c>
      <c r="L10" s="116">
        <f t="shared" si="5"/>
        <v>0</v>
      </c>
      <c r="M10" s="1"/>
    </row>
    <row r="11" spans="1:13" ht="15" customHeight="1" x14ac:dyDescent="0.3">
      <c r="A11" s="26">
        <v>2030</v>
      </c>
      <c r="B11" s="101">
        <f>'Talejas 1_anotācijai'!AW11</f>
        <v>484536</v>
      </c>
      <c r="C11" s="101">
        <f>'Talejas 1_anotācijai'!BY11*-1</f>
        <v>272722</v>
      </c>
      <c r="D11" s="116">
        <f t="shared" si="3"/>
        <v>211814</v>
      </c>
      <c r="E11" s="116">
        <f>'Talejas 1_anotācijai'!CA11</f>
        <v>0</v>
      </c>
      <c r="F11" s="116">
        <f>'Talejas 1_anotācijai'!Y11</f>
        <v>0</v>
      </c>
      <c r="G11" s="116">
        <f t="shared" si="4"/>
        <v>0</v>
      </c>
      <c r="H11" s="116">
        <f t="shared" si="0"/>
        <v>484536</v>
      </c>
      <c r="I11" s="116">
        <f t="shared" si="1"/>
        <v>272722</v>
      </c>
      <c r="J11" s="116">
        <f t="shared" si="2"/>
        <v>211814</v>
      </c>
      <c r="L11" s="116">
        <f t="shared" si="5"/>
        <v>0</v>
      </c>
      <c r="M11" s="1"/>
    </row>
    <row r="12" spans="1:13" ht="15" customHeight="1" x14ac:dyDescent="0.3">
      <c r="A12" s="26">
        <v>2031</v>
      </c>
      <c r="B12" s="101">
        <f>'Talejas 1_anotācijai'!AW12</f>
        <v>417744</v>
      </c>
      <c r="C12" s="101">
        <f>'Talejas 1_anotācijai'!BY12*-1</f>
        <v>272722</v>
      </c>
      <c r="D12" s="116">
        <f t="shared" si="3"/>
        <v>145022</v>
      </c>
      <c r="E12" s="116">
        <f>'Talejas 1_anotācijai'!CA12</f>
        <v>0</v>
      </c>
      <c r="F12" s="116">
        <f>'Talejas 1_anotācijai'!Y12</f>
        <v>0</v>
      </c>
      <c r="G12" s="116">
        <f t="shared" si="4"/>
        <v>0</v>
      </c>
      <c r="H12" s="116">
        <f t="shared" si="0"/>
        <v>417744</v>
      </c>
      <c r="I12" s="116">
        <f t="shared" si="1"/>
        <v>272722</v>
      </c>
      <c r="J12" s="116">
        <f t="shared" si="2"/>
        <v>145022</v>
      </c>
      <c r="L12" s="116">
        <f t="shared" si="5"/>
        <v>0</v>
      </c>
      <c r="M12" s="1"/>
    </row>
    <row r="13" spans="1:13" ht="15" customHeight="1" x14ac:dyDescent="0.3">
      <c r="A13" s="26">
        <v>2032</v>
      </c>
      <c r="B13" s="101">
        <f>'Talejas 1_anotācijai'!AW13</f>
        <v>417744</v>
      </c>
      <c r="C13" s="101">
        <f>'Talejas 1_anotācijai'!BY13*-1</f>
        <v>272722</v>
      </c>
      <c r="D13" s="116">
        <f t="shared" si="3"/>
        <v>145022</v>
      </c>
      <c r="E13" s="116">
        <f>'Talejas 1_anotācijai'!CA13</f>
        <v>0</v>
      </c>
      <c r="F13" s="116">
        <f>'Talejas 1_anotācijai'!Y13</f>
        <v>0</v>
      </c>
      <c r="G13" s="116">
        <f t="shared" si="4"/>
        <v>0</v>
      </c>
      <c r="H13" s="116">
        <f t="shared" si="0"/>
        <v>417744</v>
      </c>
      <c r="I13" s="116">
        <f t="shared" si="1"/>
        <v>272722</v>
      </c>
      <c r="J13" s="116">
        <f t="shared" si="2"/>
        <v>145022</v>
      </c>
      <c r="L13" s="116">
        <f t="shared" si="5"/>
        <v>0</v>
      </c>
      <c r="M13" s="1"/>
    </row>
    <row r="14" spans="1:13" ht="15" customHeight="1" x14ac:dyDescent="0.3">
      <c r="A14" s="26">
        <v>2033</v>
      </c>
      <c r="B14" s="101">
        <f>'Talejas 1_anotācijai'!AW14</f>
        <v>417744</v>
      </c>
      <c r="C14" s="101">
        <f>'Talejas 1_anotācijai'!BY14*-1</f>
        <v>272722</v>
      </c>
      <c r="D14" s="116">
        <f t="shared" si="3"/>
        <v>145022</v>
      </c>
      <c r="E14" s="116">
        <f>'Talejas 1_anotācijai'!CA14</f>
        <v>0</v>
      </c>
      <c r="F14" s="116">
        <f>'Talejas 1_anotācijai'!Y14</f>
        <v>0</v>
      </c>
      <c r="G14" s="116">
        <f t="shared" si="4"/>
        <v>0</v>
      </c>
      <c r="H14" s="116">
        <f t="shared" si="0"/>
        <v>417744</v>
      </c>
      <c r="I14" s="116">
        <f t="shared" si="1"/>
        <v>272722</v>
      </c>
      <c r="J14" s="116">
        <f t="shared" si="2"/>
        <v>145022</v>
      </c>
      <c r="L14" s="116">
        <f t="shared" si="5"/>
        <v>0</v>
      </c>
      <c r="M14" s="1"/>
    </row>
    <row r="15" spans="1:13" ht="15" customHeight="1" x14ac:dyDescent="0.3">
      <c r="A15" s="26">
        <v>2034</v>
      </c>
      <c r="B15" s="101">
        <f>'Talejas 1_anotācijai'!AW15</f>
        <v>417744</v>
      </c>
      <c r="C15" s="101">
        <f>'Talejas 1_anotācijai'!BY15*-1</f>
        <v>272722</v>
      </c>
      <c r="D15" s="116">
        <f t="shared" si="3"/>
        <v>145022</v>
      </c>
      <c r="E15" s="116">
        <f>'Talejas 1_anotācijai'!CA15</f>
        <v>0</v>
      </c>
      <c r="F15" s="116">
        <f>'Talejas 1_anotācijai'!Y15</f>
        <v>0</v>
      </c>
      <c r="G15" s="116">
        <f t="shared" si="4"/>
        <v>0</v>
      </c>
      <c r="H15" s="116">
        <f t="shared" si="0"/>
        <v>417744</v>
      </c>
      <c r="I15" s="116">
        <f t="shared" si="1"/>
        <v>272722</v>
      </c>
      <c r="J15" s="116">
        <f t="shared" si="2"/>
        <v>145022</v>
      </c>
      <c r="L15" s="116">
        <f t="shared" si="5"/>
        <v>0</v>
      </c>
      <c r="M15" s="1"/>
    </row>
    <row r="16" spans="1:13" ht="15" customHeight="1" x14ac:dyDescent="0.3">
      <c r="A16" s="26">
        <v>2035</v>
      </c>
      <c r="B16" s="101">
        <f>'Talejas 1_anotācijai'!AW16</f>
        <v>362688</v>
      </c>
      <c r="C16" s="101">
        <f>'Talejas 1_anotācijai'!BY16*-1</f>
        <v>272722</v>
      </c>
      <c r="D16" s="116">
        <f t="shared" si="3"/>
        <v>89966</v>
      </c>
      <c r="E16" s="116">
        <f>'Talejas 1_anotācijai'!CA16</f>
        <v>0</v>
      </c>
      <c r="F16" s="116">
        <f>'Talejas 1_anotācijai'!Y16</f>
        <v>0</v>
      </c>
      <c r="G16" s="116">
        <f t="shared" si="4"/>
        <v>0</v>
      </c>
      <c r="H16" s="116">
        <f t="shared" si="0"/>
        <v>362688</v>
      </c>
      <c r="I16" s="116">
        <f t="shared" si="1"/>
        <v>272722</v>
      </c>
      <c r="J16" s="116">
        <f t="shared" si="2"/>
        <v>89966</v>
      </c>
      <c r="L16" s="116">
        <f t="shared" si="5"/>
        <v>0</v>
      </c>
      <c r="M16" s="1"/>
    </row>
    <row r="17" spans="1:14" ht="15" customHeight="1" x14ac:dyDescent="0.3">
      <c r="A17" s="26">
        <v>2036</v>
      </c>
      <c r="B17" s="101">
        <f>'Talejas 1_anotācijai'!AW17</f>
        <v>252576</v>
      </c>
      <c r="C17" s="101">
        <f>'Talejas 1_anotācijai'!BY17*-1</f>
        <v>272722</v>
      </c>
      <c r="D17" s="116">
        <f t="shared" si="3"/>
        <v>0</v>
      </c>
      <c r="E17" s="116">
        <f>'Talejas 1_anotācijai'!CA17</f>
        <v>0</v>
      </c>
      <c r="F17" s="116">
        <f>'Talejas 1_anotācijai'!Y17</f>
        <v>0</v>
      </c>
      <c r="G17" s="116">
        <f t="shared" si="4"/>
        <v>0</v>
      </c>
      <c r="H17" s="116">
        <f t="shared" si="0"/>
        <v>252576</v>
      </c>
      <c r="I17" s="116">
        <f t="shared" si="1"/>
        <v>272722</v>
      </c>
      <c r="J17" s="116">
        <f t="shared" si="2"/>
        <v>0</v>
      </c>
      <c r="L17" s="116">
        <f t="shared" si="5"/>
        <v>20146</v>
      </c>
      <c r="M17" s="1"/>
    </row>
    <row r="18" spans="1:14" ht="15" customHeight="1" x14ac:dyDescent="0.3">
      <c r="A18" s="26">
        <v>2037</v>
      </c>
      <c r="B18" s="101">
        <f>'Talejas 1_anotācijai'!AW18</f>
        <v>252576</v>
      </c>
      <c r="C18" s="101">
        <f>'Talejas 1_anotācijai'!BY18*-1</f>
        <v>272722</v>
      </c>
      <c r="D18" s="116">
        <f t="shared" si="3"/>
        <v>0</v>
      </c>
      <c r="E18" s="116">
        <f>'Talejas 1_anotācijai'!CA18</f>
        <v>0</v>
      </c>
      <c r="F18" s="116">
        <f>'Talejas 1_anotācijai'!Y18</f>
        <v>0</v>
      </c>
      <c r="G18" s="116">
        <f t="shared" si="4"/>
        <v>0</v>
      </c>
      <c r="H18" s="116">
        <f t="shared" si="0"/>
        <v>252576</v>
      </c>
      <c r="I18" s="116">
        <f t="shared" si="1"/>
        <v>272722</v>
      </c>
      <c r="J18" s="116">
        <f t="shared" si="2"/>
        <v>0</v>
      </c>
      <c r="L18" s="116">
        <f t="shared" si="5"/>
        <v>20146</v>
      </c>
      <c r="M18" s="1"/>
    </row>
    <row r="19" spans="1:14" ht="15" customHeight="1" x14ac:dyDescent="0.3">
      <c r="A19" s="26">
        <v>2038</v>
      </c>
      <c r="B19" s="101">
        <f>'Talejas 1_anotācijai'!AW19</f>
        <v>252576</v>
      </c>
      <c r="C19" s="101">
        <f>'Talejas 1_anotācijai'!BY19*-1</f>
        <v>272722</v>
      </c>
      <c r="D19" s="116">
        <f t="shared" si="3"/>
        <v>0</v>
      </c>
      <c r="E19" s="116">
        <f>'Talejas 1_anotācijai'!CA19</f>
        <v>0</v>
      </c>
      <c r="F19" s="116">
        <f>'Talejas 1_anotācijai'!Y19</f>
        <v>0</v>
      </c>
      <c r="G19" s="116">
        <f t="shared" si="4"/>
        <v>0</v>
      </c>
      <c r="H19" s="116">
        <f t="shared" si="0"/>
        <v>252576</v>
      </c>
      <c r="I19" s="116">
        <f t="shared" si="1"/>
        <v>272722</v>
      </c>
      <c r="J19" s="116">
        <f t="shared" si="2"/>
        <v>0</v>
      </c>
      <c r="L19" s="116">
        <f t="shared" si="5"/>
        <v>20146</v>
      </c>
      <c r="M19" s="1"/>
    </row>
    <row r="20" spans="1:14" ht="15" customHeight="1" x14ac:dyDescent="0.3">
      <c r="A20" s="26">
        <v>2039</v>
      </c>
      <c r="B20" s="101">
        <f>'Talejas 1_anotācijai'!AW20</f>
        <v>252576</v>
      </c>
      <c r="C20" s="101">
        <f>'Talejas 1_anotācijai'!BY20*-1</f>
        <v>272722</v>
      </c>
      <c r="D20" s="116">
        <f t="shared" si="3"/>
        <v>0</v>
      </c>
      <c r="E20" s="116">
        <f>'Talejas 1_anotācijai'!CA20</f>
        <v>0</v>
      </c>
      <c r="F20" s="116">
        <f>'Talejas 1_anotācijai'!Y20</f>
        <v>0</v>
      </c>
      <c r="G20" s="116">
        <f t="shared" si="4"/>
        <v>0</v>
      </c>
      <c r="H20" s="116">
        <f t="shared" si="0"/>
        <v>252576</v>
      </c>
      <c r="I20" s="116">
        <f t="shared" si="1"/>
        <v>272722</v>
      </c>
      <c r="J20" s="116">
        <f t="shared" si="2"/>
        <v>0</v>
      </c>
      <c r="L20" s="116">
        <f t="shared" si="5"/>
        <v>20146</v>
      </c>
      <c r="M20" s="1"/>
    </row>
    <row r="21" spans="1:14" ht="15" customHeight="1" x14ac:dyDescent="0.3">
      <c r="A21" s="26">
        <v>2040</v>
      </c>
      <c r="B21" s="101">
        <f>'Talejas 1_anotācijai'!AW21</f>
        <v>252576</v>
      </c>
      <c r="C21" s="101">
        <f>'Talejas 1_anotācijai'!BY21*-1</f>
        <v>272722</v>
      </c>
      <c r="D21" s="116">
        <f t="shared" si="3"/>
        <v>0</v>
      </c>
      <c r="E21" s="116">
        <f>'Talejas 1_anotācijai'!CA21</f>
        <v>0</v>
      </c>
      <c r="F21" s="116">
        <f>'Talejas 1_anotācijai'!Y21</f>
        <v>0</v>
      </c>
      <c r="G21" s="116">
        <f t="shared" si="4"/>
        <v>0</v>
      </c>
      <c r="H21" s="116">
        <f t="shared" si="0"/>
        <v>252576</v>
      </c>
      <c r="I21" s="116">
        <f t="shared" si="1"/>
        <v>272722</v>
      </c>
      <c r="J21" s="116">
        <f t="shared" si="2"/>
        <v>0</v>
      </c>
      <c r="L21" s="116">
        <f t="shared" si="5"/>
        <v>20146</v>
      </c>
      <c r="M21" s="1"/>
    </row>
    <row r="22" spans="1:14" ht="15" customHeight="1" x14ac:dyDescent="0.3">
      <c r="A22" s="26">
        <v>2041</v>
      </c>
      <c r="B22" s="101">
        <f>'Talejas 1_anotācijai'!AW22</f>
        <v>252576</v>
      </c>
      <c r="C22" s="101">
        <f>'Talejas 1_anotācijai'!BY22*-1</f>
        <v>272722</v>
      </c>
      <c r="D22" s="116">
        <f t="shared" si="3"/>
        <v>0</v>
      </c>
      <c r="E22" s="116">
        <f>'Talejas 1_anotācijai'!CA22</f>
        <v>0</v>
      </c>
      <c r="F22" s="116">
        <f>'Talejas 1_anotācijai'!Y22</f>
        <v>0</v>
      </c>
      <c r="G22" s="116">
        <f t="shared" si="4"/>
        <v>0</v>
      </c>
      <c r="H22" s="116">
        <f t="shared" si="0"/>
        <v>252576</v>
      </c>
      <c r="I22" s="116">
        <f t="shared" si="1"/>
        <v>272722</v>
      </c>
      <c r="J22" s="116">
        <f t="shared" si="2"/>
        <v>0</v>
      </c>
      <c r="L22" s="116">
        <f t="shared" si="5"/>
        <v>20146</v>
      </c>
      <c r="M22" s="1"/>
    </row>
    <row r="23" spans="1:14" ht="15" customHeight="1" x14ac:dyDescent="0.3">
      <c r="A23" s="26">
        <v>2042</v>
      </c>
      <c r="B23" s="101">
        <f>'Talejas 1_anotācijai'!AW23</f>
        <v>252576</v>
      </c>
      <c r="C23" s="101">
        <f>'Talejas 1_anotācijai'!BY23*-1</f>
        <v>272722</v>
      </c>
      <c r="D23" s="116">
        <f t="shared" si="3"/>
        <v>0</v>
      </c>
      <c r="E23" s="116">
        <f>'Talejas 1_anotācijai'!CA23</f>
        <v>0</v>
      </c>
      <c r="F23" s="116">
        <f>'Talejas 1_anotācijai'!Y23</f>
        <v>0</v>
      </c>
      <c r="G23" s="116">
        <f t="shared" si="4"/>
        <v>0</v>
      </c>
      <c r="H23" s="116">
        <f t="shared" si="0"/>
        <v>252576</v>
      </c>
      <c r="I23" s="116">
        <f t="shared" si="1"/>
        <v>272722</v>
      </c>
      <c r="J23" s="116">
        <f t="shared" si="2"/>
        <v>0</v>
      </c>
      <c r="L23" s="116">
        <f t="shared" si="5"/>
        <v>20146</v>
      </c>
      <c r="M23" s="1"/>
    </row>
    <row r="24" spans="1:14" ht="15" customHeight="1" x14ac:dyDescent="0.3">
      <c r="A24" s="26">
        <v>2043</v>
      </c>
      <c r="B24" s="101">
        <f>'Talejas 1_anotācijai'!AW24</f>
        <v>252576</v>
      </c>
      <c r="C24" s="101">
        <f>'Talejas 1_anotācijai'!BY24*-1</f>
        <v>272722</v>
      </c>
      <c r="D24" s="116">
        <f t="shared" si="3"/>
        <v>0</v>
      </c>
      <c r="E24" s="116">
        <f>'Talejas 1_anotācijai'!CA24</f>
        <v>0</v>
      </c>
      <c r="F24" s="116">
        <f>'Talejas 1_anotācijai'!Y24</f>
        <v>0</v>
      </c>
      <c r="G24" s="116">
        <f t="shared" si="4"/>
        <v>0</v>
      </c>
      <c r="H24" s="116">
        <f t="shared" si="0"/>
        <v>252576</v>
      </c>
      <c r="I24" s="116">
        <f t="shared" si="1"/>
        <v>272722</v>
      </c>
      <c r="J24" s="116">
        <f t="shared" si="2"/>
        <v>0</v>
      </c>
      <c r="L24" s="116">
        <f t="shared" si="5"/>
        <v>20146</v>
      </c>
      <c r="M24" s="1"/>
    </row>
    <row r="25" spans="1:14" ht="15" customHeight="1" x14ac:dyDescent="0.3">
      <c r="A25" s="26" t="s">
        <v>30</v>
      </c>
      <c r="B25" s="101">
        <f>'Talejas 1_anotācijai'!AW25</f>
        <v>84192</v>
      </c>
      <c r="C25" s="101">
        <f>'Talejas 1_anotācijai'!BY25*-1</f>
        <v>90907</v>
      </c>
      <c r="D25" s="116">
        <f t="shared" si="3"/>
        <v>0</v>
      </c>
      <c r="E25" s="116">
        <f>'Talejas 1_anotācijai'!CA25</f>
        <v>0</v>
      </c>
      <c r="F25" s="116">
        <f>'Talejas 1_anotācijai'!Y25</f>
        <v>0</v>
      </c>
      <c r="G25" s="116">
        <f t="shared" si="4"/>
        <v>0</v>
      </c>
      <c r="H25" s="116">
        <f t="shared" si="0"/>
        <v>84192</v>
      </c>
      <c r="I25" s="116">
        <f t="shared" si="1"/>
        <v>90907</v>
      </c>
      <c r="J25" s="116">
        <f t="shared" si="2"/>
        <v>0</v>
      </c>
      <c r="L25" s="116">
        <f t="shared" si="5"/>
        <v>6715</v>
      </c>
      <c r="M25" s="1"/>
    </row>
    <row r="26" spans="1:14" x14ac:dyDescent="0.3">
      <c r="B26" s="1"/>
      <c r="C26" s="1"/>
      <c r="D26" s="1"/>
      <c r="E26" s="1"/>
      <c r="F26" s="1"/>
      <c r="G26" s="1"/>
      <c r="H26" s="1"/>
      <c r="I26" s="1"/>
      <c r="J26" s="1"/>
      <c r="K26" s="1"/>
      <c r="L26" s="1"/>
      <c r="M26" s="1"/>
      <c r="N26" s="1"/>
    </row>
    <row r="27" spans="1:14" ht="15" customHeight="1" x14ac:dyDescent="0.3">
      <c r="A27" s="173" t="s">
        <v>92</v>
      </c>
      <c r="B27" s="173"/>
      <c r="C27" s="173"/>
      <c r="D27" s="173"/>
      <c r="E27" s="173"/>
      <c r="F27" s="173"/>
      <c r="G27" s="173"/>
      <c r="H27" s="173"/>
      <c r="I27" s="173"/>
      <c r="J27" s="173"/>
      <c r="K27" s="173"/>
      <c r="L27" s="173"/>
    </row>
  </sheetData>
  <mergeCells count="6">
    <mergeCell ref="A27:L27"/>
    <mergeCell ref="A2:A3"/>
    <mergeCell ref="B2:D2"/>
    <mergeCell ref="E2:G2"/>
    <mergeCell ref="H2:J2"/>
    <mergeCell ref="L2:L3"/>
  </mergeCells>
  <pageMargins left="0.7" right="0.7" top="0.75" bottom="0.75" header="0.3" footer="0.3"/>
  <ignoredErrors>
    <ignoredError sqref="F5:F25"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A8A80-D2AE-47CD-BBA6-21736FBAE004}">
  <dimension ref="A2:U25"/>
  <sheetViews>
    <sheetView topLeftCell="G11" zoomScale="130" zoomScaleNormal="130" workbookViewId="0">
      <selection activeCell="Q24" sqref="Q24:R24"/>
    </sheetView>
  </sheetViews>
  <sheetFormatPr defaultRowHeight="14.4" x14ac:dyDescent="0.3"/>
  <cols>
    <col min="1" max="1" width="14.6640625" customWidth="1"/>
    <col min="2" max="19" width="10.44140625" customWidth="1"/>
  </cols>
  <sheetData>
    <row r="2" spans="1:21" ht="22.5" customHeight="1" x14ac:dyDescent="0.3">
      <c r="A2" s="174" t="s">
        <v>1</v>
      </c>
      <c r="B2" s="180" t="s">
        <v>79</v>
      </c>
      <c r="C2" s="181"/>
      <c r="D2" s="181"/>
      <c r="E2" s="181"/>
      <c r="F2" s="181"/>
      <c r="G2" s="181"/>
      <c r="H2" s="180" t="s">
        <v>80</v>
      </c>
      <c r="I2" s="181"/>
      <c r="J2" s="181"/>
      <c r="K2" s="181"/>
      <c r="L2" s="181"/>
      <c r="M2" s="181"/>
      <c r="N2" s="180" t="s">
        <v>81</v>
      </c>
      <c r="O2" s="181"/>
      <c r="P2" s="181"/>
      <c r="Q2" s="181"/>
      <c r="R2" s="181"/>
      <c r="S2" s="182"/>
    </row>
    <row r="3" spans="1:21" ht="30.75" customHeight="1" x14ac:dyDescent="0.3">
      <c r="A3" s="174"/>
      <c r="B3" s="125" t="s">
        <v>93</v>
      </c>
      <c r="C3" s="125" t="s">
        <v>94</v>
      </c>
      <c r="D3" s="125" t="s">
        <v>95</v>
      </c>
      <c r="E3" s="125" t="s">
        <v>96</v>
      </c>
      <c r="F3" s="125" t="s">
        <v>97</v>
      </c>
      <c r="G3" s="125" t="s">
        <v>98</v>
      </c>
      <c r="H3" s="125" t="s">
        <v>93</v>
      </c>
      <c r="I3" s="125" t="s">
        <v>94</v>
      </c>
      <c r="J3" s="125" t="s">
        <v>99</v>
      </c>
      <c r="K3" s="125" t="s">
        <v>96</v>
      </c>
      <c r="L3" s="125" t="s">
        <v>97</v>
      </c>
      <c r="M3" s="126" t="s">
        <v>100</v>
      </c>
      <c r="N3" s="127" t="s">
        <v>93</v>
      </c>
      <c r="O3" s="127" t="s">
        <v>94</v>
      </c>
      <c r="P3" s="127" t="s">
        <v>99</v>
      </c>
      <c r="Q3" s="125" t="s">
        <v>96</v>
      </c>
      <c r="R3" s="125" t="s">
        <v>97</v>
      </c>
      <c r="S3" s="127" t="s">
        <v>100</v>
      </c>
    </row>
    <row r="4" spans="1:21" x14ac:dyDescent="0.3">
      <c r="A4" s="114"/>
      <c r="B4" s="114"/>
      <c r="C4" s="114"/>
      <c r="D4" s="114"/>
      <c r="E4" s="114"/>
      <c r="F4" s="114"/>
      <c r="G4" s="114"/>
      <c r="H4" s="114"/>
      <c r="I4" s="114"/>
      <c r="J4" s="114"/>
      <c r="K4" s="114"/>
      <c r="L4" s="114"/>
      <c r="M4" s="114"/>
      <c r="N4" s="114" t="s">
        <v>101</v>
      </c>
      <c r="O4" s="114" t="s">
        <v>102</v>
      </c>
      <c r="P4" s="114" t="s">
        <v>103</v>
      </c>
      <c r="Q4" s="114"/>
      <c r="R4" s="114"/>
      <c r="S4" s="114" t="s">
        <v>104</v>
      </c>
    </row>
    <row r="5" spans="1:21" x14ac:dyDescent="0.3">
      <c r="A5" s="26">
        <v>2024</v>
      </c>
      <c r="B5" s="101">
        <f>'Talejas 1_anotācijai'!BA5</f>
        <v>414373</v>
      </c>
      <c r="C5" s="101">
        <f>'Talejas 1_anotācijai'!CC5*-1</f>
        <v>0</v>
      </c>
      <c r="D5" s="101">
        <f>('Talejas 1_anotācijai'!BK5+'Talejas 1_anotācijai'!BL5)*-1</f>
        <v>42090</v>
      </c>
      <c r="E5" s="101">
        <f>LRP!L5</f>
        <v>0</v>
      </c>
      <c r="F5" s="101">
        <f>IAUI!H5</f>
        <v>0</v>
      </c>
      <c r="G5" s="116">
        <f>B5-C5-D5-E5-F5</f>
        <v>372283</v>
      </c>
      <c r="H5" s="116">
        <f>'Talejas 1_anotācijai'!BB5</f>
        <v>0</v>
      </c>
      <c r="I5" s="116">
        <f>'Talejas 1_anotācijai'!Y5</f>
        <v>0</v>
      </c>
      <c r="J5" s="116">
        <v>0</v>
      </c>
      <c r="K5" s="116">
        <v>0</v>
      </c>
      <c r="L5" s="116">
        <v>0</v>
      </c>
      <c r="M5" s="116">
        <f>'Talejas 1_anotācijai'!CE5</f>
        <v>0</v>
      </c>
      <c r="N5" s="116">
        <f t="shared" ref="N5:N25" si="0">B5+H5</f>
        <v>414373</v>
      </c>
      <c r="O5" s="116">
        <f t="shared" ref="O5:O25" si="1">C5+I5</f>
        <v>0</v>
      </c>
      <c r="P5" s="116">
        <f t="shared" ref="P5:P25" si="2">D5+J5</f>
        <v>42090</v>
      </c>
      <c r="Q5" s="116">
        <f t="shared" ref="Q5:Q25" si="3">E5+K5</f>
        <v>0</v>
      </c>
      <c r="R5" s="116">
        <f t="shared" ref="R5:R25" si="4">F5+L5</f>
        <v>0</v>
      </c>
      <c r="S5" s="116">
        <f t="shared" ref="S5:S25" si="5">G5+M5</f>
        <v>372283</v>
      </c>
      <c r="U5" s="1"/>
    </row>
    <row r="6" spans="1:21" x14ac:dyDescent="0.3">
      <c r="A6" s="26">
        <v>2025</v>
      </c>
      <c r="B6" s="101">
        <f>'Talejas 1_anotācijai'!BA6</f>
        <v>1254120</v>
      </c>
      <c r="C6" s="101">
        <f>'Talejas 1_anotācijai'!CC6*-1</f>
        <v>0</v>
      </c>
      <c r="D6" s="101">
        <f>('Talejas 1_anotācijai'!BK6+'Talejas 1_anotācijai'!BL6)*-1</f>
        <v>42090</v>
      </c>
      <c r="E6" s="101">
        <f>LRP!L6</f>
        <v>0</v>
      </c>
      <c r="F6" s="101">
        <f>IAUI!H6</f>
        <v>0</v>
      </c>
      <c r="G6" s="116">
        <f t="shared" ref="G6:G25" si="6">B6-C6-D6-E6-F6</f>
        <v>1212030</v>
      </c>
      <c r="H6" s="116">
        <f>'Talejas 1_anotācijai'!BB6</f>
        <v>0</v>
      </c>
      <c r="I6" s="116">
        <f>'Talejas 1_anotācijai'!Y6</f>
        <v>0</v>
      </c>
      <c r="J6" s="116">
        <v>0</v>
      </c>
      <c r="K6" s="116">
        <v>0</v>
      </c>
      <c r="L6" s="116">
        <v>0</v>
      </c>
      <c r="M6" s="116">
        <f>'Talejas 1_anotācijai'!CE6</f>
        <v>0</v>
      </c>
      <c r="N6" s="116">
        <f t="shared" si="0"/>
        <v>1254120</v>
      </c>
      <c r="O6" s="116">
        <f t="shared" si="1"/>
        <v>0</v>
      </c>
      <c r="P6" s="116">
        <f t="shared" si="2"/>
        <v>42090</v>
      </c>
      <c r="Q6" s="116">
        <f t="shared" si="3"/>
        <v>0</v>
      </c>
      <c r="R6" s="116">
        <f t="shared" si="4"/>
        <v>0</v>
      </c>
      <c r="S6" s="116">
        <f t="shared" si="5"/>
        <v>1212030</v>
      </c>
      <c r="U6" s="1"/>
    </row>
    <row r="7" spans="1:21" x14ac:dyDescent="0.3">
      <c r="A7" s="26">
        <v>2026</v>
      </c>
      <c r="B7" s="101">
        <f>'Talejas 1_anotācijai'!BA7</f>
        <v>1655736</v>
      </c>
      <c r="C7" s="101">
        <f>'Talejas 1_anotācijai'!CC7*-1</f>
        <v>487652</v>
      </c>
      <c r="D7" s="101">
        <f>('Talejas 1_anotācijai'!BK7+'Talejas 1_anotācijai'!BL7)*-1</f>
        <v>42090</v>
      </c>
      <c r="E7" s="101">
        <f>LRP!L7</f>
        <v>0</v>
      </c>
      <c r="F7" s="101">
        <f>IAUI!H7</f>
        <v>0</v>
      </c>
      <c r="G7" s="116">
        <f t="shared" si="6"/>
        <v>1125994</v>
      </c>
      <c r="H7" s="116">
        <f>'Talejas 1_anotācijai'!BB7</f>
        <v>240000</v>
      </c>
      <c r="I7" s="116">
        <f>'Talejas 1_anotācijai'!Y7</f>
        <v>0</v>
      </c>
      <c r="J7" s="116">
        <v>0</v>
      </c>
      <c r="K7" s="116">
        <v>0</v>
      </c>
      <c r="L7" s="116">
        <v>0</v>
      </c>
      <c r="M7" s="116">
        <f>'Talejas 1_anotācijai'!CE7</f>
        <v>240000</v>
      </c>
      <c r="N7" s="116">
        <f t="shared" si="0"/>
        <v>1895736</v>
      </c>
      <c r="O7" s="116">
        <f t="shared" si="1"/>
        <v>487652</v>
      </c>
      <c r="P7" s="116">
        <f t="shared" si="2"/>
        <v>42090</v>
      </c>
      <c r="Q7" s="116">
        <f t="shared" si="3"/>
        <v>0</v>
      </c>
      <c r="R7" s="116">
        <f t="shared" si="4"/>
        <v>0</v>
      </c>
      <c r="S7" s="116">
        <f t="shared" si="5"/>
        <v>1365994</v>
      </c>
      <c r="U7" s="1"/>
    </row>
    <row r="8" spans="1:21" x14ac:dyDescent="0.3">
      <c r="A8" s="26">
        <v>2027</v>
      </c>
      <c r="B8" s="101">
        <f>'Talejas 1_anotācijai'!BA8</f>
        <v>2826348</v>
      </c>
      <c r="C8" s="101">
        <f>'Talejas 1_anotācijai'!CC8*-1</f>
        <v>487652</v>
      </c>
      <c r="D8" s="101">
        <f>('Talejas 1_anotācijai'!BK8+'Talejas 1_anotācijai'!BL8)*-1</f>
        <v>42090</v>
      </c>
      <c r="E8" s="101">
        <f>LRP!L8</f>
        <v>13841</v>
      </c>
      <c r="F8" s="101">
        <f>IAUI!H8</f>
        <v>227</v>
      </c>
      <c r="G8" s="116">
        <f t="shared" si="6"/>
        <v>2282538</v>
      </c>
      <c r="H8" s="116">
        <f>'Talejas 1_anotācijai'!BB8</f>
        <v>0</v>
      </c>
      <c r="I8" s="116">
        <f>'Talejas 1_anotācijai'!Y8</f>
        <v>0</v>
      </c>
      <c r="J8" s="116">
        <v>0</v>
      </c>
      <c r="K8" s="116">
        <v>0</v>
      </c>
      <c r="L8" s="116">
        <v>0</v>
      </c>
      <c r="M8" s="116">
        <f>'Talejas 1_anotācijai'!CE8</f>
        <v>0</v>
      </c>
      <c r="N8" s="116">
        <f t="shared" si="0"/>
        <v>2826348</v>
      </c>
      <c r="O8" s="116">
        <f t="shared" si="1"/>
        <v>487652</v>
      </c>
      <c r="P8" s="116">
        <f t="shared" si="2"/>
        <v>42090</v>
      </c>
      <c r="Q8" s="116">
        <f t="shared" si="3"/>
        <v>13841</v>
      </c>
      <c r="R8" s="116">
        <f t="shared" si="4"/>
        <v>227</v>
      </c>
      <c r="S8" s="116">
        <f t="shared" si="5"/>
        <v>2282538</v>
      </c>
      <c r="U8" s="139"/>
    </row>
    <row r="9" spans="1:21" x14ac:dyDescent="0.3">
      <c r="A9" s="26">
        <v>2028</v>
      </c>
      <c r="B9" s="101">
        <f>'Talejas 1_anotācijai'!BA9</f>
        <v>2826348</v>
      </c>
      <c r="C9" s="101">
        <f>'Talejas 1_anotācijai'!CC9*-1</f>
        <v>487652</v>
      </c>
      <c r="D9" s="101">
        <f>('Talejas 1_anotācijai'!BK9+'Talejas 1_anotācijai'!BL9)*-1</f>
        <v>42090</v>
      </c>
      <c r="E9" s="101">
        <f>LRP!L9</f>
        <v>13841</v>
      </c>
      <c r="F9" s="101">
        <f>IAUI!H9</f>
        <v>227</v>
      </c>
      <c r="G9" s="116">
        <f t="shared" si="6"/>
        <v>2282538</v>
      </c>
      <c r="H9" s="116">
        <f>'Talejas 1_anotācijai'!BB9</f>
        <v>0</v>
      </c>
      <c r="I9" s="116">
        <f>'Talejas 1_anotācijai'!Y9</f>
        <v>0</v>
      </c>
      <c r="J9" s="116">
        <v>0</v>
      </c>
      <c r="K9" s="116">
        <v>0</v>
      </c>
      <c r="L9" s="116">
        <v>0</v>
      </c>
      <c r="M9" s="116">
        <f>'Talejas 1_anotācijai'!CE9</f>
        <v>0</v>
      </c>
      <c r="N9" s="116">
        <f t="shared" si="0"/>
        <v>2826348</v>
      </c>
      <c r="O9" s="116">
        <f t="shared" si="1"/>
        <v>487652</v>
      </c>
      <c r="P9" s="116">
        <f t="shared" si="2"/>
        <v>42090</v>
      </c>
      <c r="Q9" s="116">
        <f t="shared" si="3"/>
        <v>13841</v>
      </c>
      <c r="R9" s="116">
        <f t="shared" si="4"/>
        <v>227</v>
      </c>
      <c r="S9" s="116">
        <f t="shared" si="5"/>
        <v>2282538</v>
      </c>
      <c r="U9" s="1"/>
    </row>
    <row r="10" spans="1:21" x14ac:dyDescent="0.3">
      <c r="A10" s="26">
        <v>2029</v>
      </c>
      <c r="B10" s="101">
        <f>'Talejas 1_anotācijai'!BA10</f>
        <v>2826348</v>
      </c>
      <c r="C10" s="101">
        <f>'Talejas 1_anotācijai'!CC10*-1</f>
        <v>487652</v>
      </c>
      <c r="D10" s="101">
        <f>('Talejas 1_anotācijai'!BK10+'Talejas 1_anotācijai'!BL10)*-1</f>
        <v>42090</v>
      </c>
      <c r="E10" s="101">
        <f>LRP!L10</f>
        <v>13841</v>
      </c>
      <c r="F10" s="101">
        <f>IAUI!H10</f>
        <v>227</v>
      </c>
      <c r="G10" s="116">
        <f t="shared" si="6"/>
        <v>2282538</v>
      </c>
      <c r="H10" s="116">
        <f>'Talejas 1_anotācijai'!BB10</f>
        <v>0</v>
      </c>
      <c r="I10" s="116">
        <f>'Talejas 1_anotācijai'!Y10</f>
        <v>0</v>
      </c>
      <c r="J10" s="116">
        <v>0</v>
      </c>
      <c r="K10" s="116">
        <v>0</v>
      </c>
      <c r="L10" s="116">
        <v>0</v>
      </c>
      <c r="M10" s="116">
        <f>'Talejas 1_anotācijai'!CE10</f>
        <v>0</v>
      </c>
      <c r="N10" s="116">
        <f t="shared" si="0"/>
        <v>2826348</v>
      </c>
      <c r="O10" s="116">
        <f t="shared" si="1"/>
        <v>487652</v>
      </c>
      <c r="P10" s="116">
        <f t="shared" si="2"/>
        <v>42090</v>
      </c>
      <c r="Q10" s="116">
        <f t="shared" si="3"/>
        <v>13841</v>
      </c>
      <c r="R10" s="116">
        <f t="shared" si="4"/>
        <v>227</v>
      </c>
      <c r="S10" s="116">
        <f t="shared" si="5"/>
        <v>2282538</v>
      </c>
      <c r="U10" s="1"/>
    </row>
    <row r="11" spans="1:21" x14ac:dyDescent="0.3">
      <c r="A11" s="26">
        <v>2030</v>
      </c>
      <c r="B11" s="101">
        <f>'Talejas 1_anotācijai'!BA11</f>
        <v>2826348</v>
      </c>
      <c r="C11" s="101">
        <f>'Talejas 1_anotācijai'!CC11*-1</f>
        <v>487652</v>
      </c>
      <c r="D11" s="101">
        <f>('Talejas 1_anotācijai'!BK11+'Talejas 1_anotācijai'!BL11)*-1</f>
        <v>42090</v>
      </c>
      <c r="E11" s="101">
        <f>LRP!L11</f>
        <v>13841</v>
      </c>
      <c r="F11" s="101">
        <f>IAUI!H11</f>
        <v>227</v>
      </c>
      <c r="G11" s="116">
        <f t="shared" si="6"/>
        <v>2282538</v>
      </c>
      <c r="H11" s="116">
        <f>'Talejas 1_anotācijai'!BB11</f>
        <v>0</v>
      </c>
      <c r="I11" s="116">
        <f>'Talejas 1_anotācijai'!Y11</f>
        <v>0</v>
      </c>
      <c r="J11" s="116">
        <v>0</v>
      </c>
      <c r="K11" s="116">
        <v>0</v>
      </c>
      <c r="L11" s="116">
        <v>0</v>
      </c>
      <c r="M11" s="116">
        <f>'Talejas 1_anotācijai'!CE11</f>
        <v>0</v>
      </c>
      <c r="N11" s="116">
        <f t="shared" si="0"/>
        <v>2826348</v>
      </c>
      <c r="O11" s="116">
        <f t="shared" si="1"/>
        <v>487652</v>
      </c>
      <c r="P11" s="116">
        <f t="shared" si="2"/>
        <v>42090</v>
      </c>
      <c r="Q11" s="116">
        <f t="shared" si="3"/>
        <v>13841</v>
      </c>
      <c r="R11" s="116">
        <f t="shared" si="4"/>
        <v>227</v>
      </c>
      <c r="S11" s="116">
        <f t="shared" si="5"/>
        <v>2282538</v>
      </c>
      <c r="U11" s="1"/>
    </row>
    <row r="12" spans="1:21" x14ac:dyDescent="0.3">
      <c r="A12" s="26">
        <v>2031</v>
      </c>
      <c r="B12" s="101">
        <f>'Talejas 1_anotācijai'!BA12</f>
        <v>2826348</v>
      </c>
      <c r="C12" s="101">
        <f>'Talejas 1_anotācijai'!CC12*-1</f>
        <v>487652</v>
      </c>
      <c r="D12" s="101">
        <f>('Talejas 1_anotācijai'!BK12+'Talejas 1_anotācijai'!BL12)*-1</f>
        <v>42090</v>
      </c>
      <c r="E12" s="101">
        <f>LRP!L12</f>
        <v>13841</v>
      </c>
      <c r="F12" s="101">
        <f>IAUI!H12</f>
        <v>227</v>
      </c>
      <c r="G12" s="116">
        <f t="shared" si="6"/>
        <v>2282538</v>
      </c>
      <c r="H12" s="116">
        <f>'Talejas 1_anotācijai'!BB12</f>
        <v>0</v>
      </c>
      <c r="I12" s="116">
        <f>'Talejas 1_anotācijai'!Y12</f>
        <v>0</v>
      </c>
      <c r="J12" s="116">
        <v>0</v>
      </c>
      <c r="K12" s="116">
        <v>0</v>
      </c>
      <c r="L12" s="116">
        <v>0</v>
      </c>
      <c r="M12" s="116">
        <f>'Talejas 1_anotācijai'!CE12</f>
        <v>0</v>
      </c>
      <c r="N12" s="116">
        <f t="shared" si="0"/>
        <v>2826348</v>
      </c>
      <c r="O12" s="116">
        <f t="shared" si="1"/>
        <v>487652</v>
      </c>
      <c r="P12" s="116">
        <f t="shared" si="2"/>
        <v>42090</v>
      </c>
      <c r="Q12" s="116">
        <f t="shared" si="3"/>
        <v>13841</v>
      </c>
      <c r="R12" s="116">
        <f t="shared" si="4"/>
        <v>227</v>
      </c>
      <c r="S12" s="116">
        <f t="shared" si="5"/>
        <v>2282538</v>
      </c>
      <c r="U12" s="1"/>
    </row>
    <row r="13" spans="1:21" x14ac:dyDescent="0.3">
      <c r="A13" s="26">
        <v>2032</v>
      </c>
      <c r="B13" s="101">
        <f>'Talejas 1_anotācijai'!BA13</f>
        <v>2221164</v>
      </c>
      <c r="C13" s="101">
        <f>'Talejas 1_anotācijai'!CC13*-1</f>
        <v>487652</v>
      </c>
      <c r="D13" s="101">
        <f>('Talejas 1_anotācijai'!BK13+'Talejas 1_anotācijai'!BL13)*-1</f>
        <v>42090</v>
      </c>
      <c r="E13" s="101">
        <f>LRP!L13</f>
        <v>13841</v>
      </c>
      <c r="F13" s="101">
        <f>IAUI!H13</f>
        <v>227</v>
      </c>
      <c r="G13" s="116">
        <f t="shared" si="6"/>
        <v>1677354</v>
      </c>
      <c r="H13" s="116">
        <f>'Talejas 1_anotācijai'!BB13</f>
        <v>0</v>
      </c>
      <c r="I13" s="116">
        <f>'Talejas 1_anotācijai'!Y13</f>
        <v>0</v>
      </c>
      <c r="J13" s="116">
        <v>0</v>
      </c>
      <c r="K13" s="116">
        <v>0</v>
      </c>
      <c r="L13" s="116">
        <v>0</v>
      </c>
      <c r="M13" s="116">
        <f>'Talejas 1_anotācijai'!CE13</f>
        <v>0</v>
      </c>
      <c r="N13" s="116">
        <f t="shared" si="0"/>
        <v>2221164</v>
      </c>
      <c r="O13" s="116">
        <f t="shared" si="1"/>
        <v>487652</v>
      </c>
      <c r="P13" s="116">
        <f t="shared" si="2"/>
        <v>42090</v>
      </c>
      <c r="Q13" s="116">
        <f t="shared" si="3"/>
        <v>13841</v>
      </c>
      <c r="R13" s="116">
        <f t="shared" si="4"/>
        <v>227</v>
      </c>
      <c r="S13" s="116">
        <f t="shared" si="5"/>
        <v>1677354</v>
      </c>
      <c r="U13" s="1"/>
    </row>
    <row r="14" spans="1:21" x14ac:dyDescent="0.3">
      <c r="A14" s="26">
        <v>2033</v>
      </c>
      <c r="B14" s="101">
        <f>'Talejas 1_anotācijai'!BA14</f>
        <v>2221164</v>
      </c>
      <c r="C14" s="101">
        <f>'Talejas 1_anotācijai'!CC14*-1</f>
        <v>487652</v>
      </c>
      <c r="D14" s="101">
        <f>('Talejas 1_anotācijai'!BK14+'Talejas 1_anotācijai'!BL14)*-1</f>
        <v>42090</v>
      </c>
      <c r="E14" s="101">
        <f>LRP!L14</f>
        <v>13841</v>
      </c>
      <c r="F14" s="101">
        <f>IAUI!H14</f>
        <v>227</v>
      </c>
      <c r="G14" s="116">
        <f t="shared" si="6"/>
        <v>1677354</v>
      </c>
      <c r="H14" s="116">
        <f>'Talejas 1_anotācijai'!BB14</f>
        <v>0</v>
      </c>
      <c r="I14" s="116">
        <f>'Talejas 1_anotācijai'!Y14</f>
        <v>0</v>
      </c>
      <c r="J14" s="116">
        <v>0</v>
      </c>
      <c r="K14" s="116">
        <v>0</v>
      </c>
      <c r="L14" s="116">
        <v>0</v>
      </c>
      <c r="M14" s="116">
        <f>'Talejas 1_anotācijai'!CE14</f>
        <v>0</v>
      </c>
      <c r="N14" s="116">
        <f t="shared" si="0"/>
        <v>2221164</v>
      </c>
      <c r="O14" s="116">
        <f t="shared" si="1"/>
        <v>487652</v>
      </c>
      <c r="P14" s="116">
        <f t="shared" si="2"/>
        <v>42090</v>
      </c>
      <c r="Q14" s="116">
        <f t="shared" si="3"/>
        <v>13841</v>
      </c>
      <c r="R14" s="116">
        <f t="shared" si="4"/>
        <v>227</v>
      </c>
      <c r="S14" s="116">
        <f t="shared" si="5"/>
        <v>1677354</v>
      </c>
      <c r="U14" s="1"/>
    </row>
    <row r="15" spans="1:21" x14ac:dyDescent="0.3">
      <c r="A15" s="26">
        <v>2034</v>
      </c>
      <c r="B15" s="101">
        <f>'Talejas 1_anotācijai'!BA15</f>
        <v>2221164</v>
      </c>
      <c r="C15" s="101">
        <f>'Talejas 1_anotācijai'!CC15*-1</f>
        <v>487652</v>
      </c>
      <c r="D15" s="101">
        <f>('Talejas 1_anotācijai'!BK15+'Talejas 1_anotācijai'!BL15)*-1</f>
        <v>42090</v>
      </c>
      <c r="E15" s="101">
        <f>LRP!L15</f>
        <v>13841</v>
      </c>
      <c r="F15" s="101">
        <f>IAUI!H15</f>
        <v>227</v>
      </c>
      <c r="G15" s="116">
        <f t="shared" si="6"/>
        <v>1677354</v>
      </c>
      <c r="H15" s="116">
        <f>'Talejas 1_anotācijai'!BB15</f>
        <v>0</v>
      </c>
      <c r="I15" s="116">
        <f>'Talejas 1_anotācijai'!Y15</f>
        <v>0</v>
      </c>
      <c r="J15" s="116">
        <v>0</v>
      </c>
      <c r="K15" s="116">
        <v>0</v>
      </c>
      <c r="L15" s="116">
        <v>0</v>
      </c>
      <c r="M15" s="116">
        <f>'Talejas 1_anotācijai'!CE15</f>
        <v>0</v>
      </c>
      <c r="N15" s="116">
        <f t="shared" si="0"/>
        <v>2221164</v>
      </c>
      <c r="O15" s="116">
        <f t="shared" si="1"/>
        <v>487652</v>
      </c>
      <c r="P15" s="116">
        <f t="shared" si="2"/>
        <v>42090</v>
      </c>
      <c r="Q15" s="116">
        <f t="shared" si="3"/>
        <v>13841</v>
      </c>
      <c r="R15" s="116">
        <f t="shared" si="4"/>
        <v>227</v>
      </c>
      <c r="S15" s="116">
        <f t="shared" si="5"/>
        <v>1677354</v>
      </c>
      <c r="U15" s="1"/>
    </row>
    <row r="16" spans="1:21" x14ac:dyDescent="0.3">
      <c r="A16" s="26">
        <v>2035</v>
      </c>
      <c r="B16" s="101">
        <f>'Talejas 1_anotācijai'!BA16</f>
        <v>2221164</v>
      </c>
      <c r="C16" s="101">
        <f>'Talejas 1_anotācijai'!CC16*-1</f>
        <v>487652</v>
      </c>
      <c r="D16" s="101">
        <f>('Talejas 1_anotācijai'!BK16+'Talejas 1_anotācijai'!BL16)*-1</f>
        <v>42090</v>
      </c>
      <c r="E16" s="101">
        <f>LRP!L16</f>
        <v>13841</v>
      </c>
      <c r="F16" s="101">
        <f>IAUI!H16</f>
        <v>227</v>
      </c>
      <c r="G16" s="116">
        <f t="shared" si="6"/>
        <v>1677354</v>
      </c>
      <c r="H16" s="116">
        <f>'Talejas 1_anotācijai'!BB16</f>
        <v>0</v>
      </c>
      <c r="I16" s="116">
        <f>'Talejas 1_anotācijai'!Y16</f>
        <v>0</v>
      </c>
      <c r="J16" s="116">
        <v>0</v>
      </c>
      <c r="K16" s="116">
        <v>0</v>
      </c>
      <c r="L16" s="116">
        <v>0</v>
      </c>
      <c r="M16" s="116">
        <f>'Talejas 1_anotācijai'!CE16</f>
        <v>0</v>
      </c>
      <c r="N16" s="116">
        <f t="shared" si="0"/>
        <v>2221164</v>
      </c>
      <c r="O16" s="116">
        <f t="shared" si="1"/>
        <v>487652</v>
      </c>
      <c r="P16" s="116">
        <f t="shared" si="2"/>
        <v>42090</v>
      </c>
      <c r="Q16" s="116">
        <f t="shared" si="3"/>
        <v>13841</v>
      </c>
      <c r="R16" s="116">
        <f t="shared" si="4"/>
        <v>227</v>
      </c>
      <c r="S16" s="116">
        <f t="shared" si="5"/>
        <v>1677354</v>
      </c>
      <c r="U16" s="1"/>
    </row>
    <row r="17" spans="1:21" x14ac:dyDescent="0.3">
      <c r="A17" s="26">
        <v>2036</v>
      </c>
      <c r="B17" s="101">
        <f>'Talejas 1_anotācijai'!BA17</f>
        <v>2221164</v>
      </c>
      <c r="C17" s="101">
        <f>'Talejas 1_anotācijai'!CC17*-1</f>
        <v>487652</v>
      </c>
      <c r="D17" s="101">
        <f>('Talejas 1_anotācijai'!BK17+'Talejas 1_anotācijai'!BL17)*-1</f>
        <v>42090</v>
      </c>
      <c r="E17" s="101">
        <f>LRP!L17</f>
        <v>13841</v>
      </c>
      <c r="F17" s="101">
        <f>IAUI!H17</f>
        <v>227</v>
      </c>
      <c r="G17" s="116">
        <f t="shared" si="6"/>
        <v>1677354</v>
      </c>
      <c r="H17" s="116">
        <f>'Talejas 1_anotācijai'!BB17</f>
        <v>0</v>
      </c>
      <c r="I17" s="116">
        <f>'Talejas 1_anotācijai'!Y17</f>
        <v>0</v>
      </c>
      <c r="J17" s="116">
        <v>0</v>
      </c>
      <c r="K17" s="116">
        <v>0</v>
      </c>
      <c r="L17" s="116">
        <v>0</v>
      </c>
      <c r="M17" s="116">
        <f>'Talejas 1_anotācijai'!CE17</f>
        <v>0</v>
      </c>
      <c r="N17" s="116">
        <f t="shared" si="0"/>
        <v>2221164</v>
      </c>
      <c r="O17" s="116">
        <f t="shared" si="1"/>
        <v>487652</v>
      </c>
      <c r="P17" s="116">
        <f t="shared" si="2"/>
        <v>42090</v>
      </c>
      <c r="Q17" s="116">
        <f t="shared" si="3"/>
        <v>13841</v>
      </c>
      <c r="R17" s="116">
        <f t="shared" si="4"/>
        <v>227</v>
      </c>
      <c r="S17" s="116">
        <f t="shared" si="5"/>
        <v>1677354</v>
      </c>
      <c r="U17" s="1"/>
    </row>
    <row r="18" spans="1:21" x14ac:dyDescent="0.3">
      <c r="A18" s="26">
        <v>2037</v>
      </c>
      <c r="B18" s="101">
        <f>'Talejas 1_anotācijai'!BA18</f>
        <v>2221164</v>
      </c>
      <c r="C18" s="101">
        <f>'Talejas 1_anotācijai'!CC18*-1</f>
        <v>487652</v>
      </c>
      <c r="D18" s="101">
        <f>('Talejas 1_anotācijai'!BK18+'Talejas 1_anotācijai'!BL18)*-1</f>
        <v>42090</v>
      </c>
      <c r="E18" s="101">
        <f>LRP!L18</f>
        <v>13841</v>
      </c>
      <c r="F18" s="101">
        <f>IAUI!H18</f>
        <v>227</v>
      </c>
      <c r="G18" s="116">
        <f t="shared" si="6"/>
        <v>1677354</v>
      </c>
      <c r="H18" s="116">
        <f>'Talejas 1_anotācijai'!BB18</f>
        <v>0</v>
      </c>
      <c r="I18" s="116">
        <f>'Talejas 1_anotācijai'!Y18</f>
        <v>0</v>
      </c>
      <c r="J18" s="116">
        <v>0</v>
      </c>
      <c r="K18" s="116">
        <v>0</v>
      </c>
      <c r="L18" s="116">
        <v>0</v>
      </c>
      <c r="M18" s="116">
        <f>'Talejas 1_anotācijai'!CE18</f>
        <v>0</v>
      </c>
      <c r="N18" s="116">
        <f t="shared" si="0"/>
        <v>2221164</v>
      </c>
      <c r="O18" s="116">
        <f t="shared" si="1"/>
        <v>487652</v>
      </c>
      <c r="P18" s="116">
        <f t="shared" si="2"/>
        <v>42090</v>
      </c>
      <c r="Q18" s="116">
        <f t="shared" si="3"/>
        <v>13841</v>
      </c>
      <c r="R18" s="116">
        <f t="shared" si="4"/>
        <v>227</v>
      </c>
      <c r="S18" s="116">
        <f t="shared" si="5"/>
        <v>1677354</v>
      </c>
      <c r="U18" s="1"/>
    </row>
    <row r="19" spans="1:21" x14ac:dyDescent="0.3">
      <c r="A19" s="26">
        <v>2038</v>
      </c>
      <c r="B19" s="101">
        <f>'Talejas 1_anotācijai'!BA19</f>
        <v>2221164</v>
      </c>
      <c r="C19" s="101">
        <f>'Talejas 1_anotācijai'!CC19*-1</f>
        <v>487652</v>
      </c>
      <c r="D19" s="101">
        <f>('Talejas 1_anotācijai'!BK19+'Talejas 1_anotācijai'!BL19)*-1</f>
        <v>42090</v>
      </c>
      <c r="E19" s="101">
        <f>LRP!L19</f>
        <v>13841</v>
      </c>
      <c r="F19" s="101">
        <f>IAUI!H19</f>
        <v>227</v>
      </c>
      <c r="G19" s="116">
        <f t="shared" si="6"/>
        <v>1677354</v>
      </c>
      <c r="H19" s="116">
        <f>'Talejas 1_anotācijai'!BB19</f>
        <v>0</v>
      </c>
      <c r="I19" s="116">
        <f>'Talejas 1_anotācijai'!Y19</f>
        <v>0</v>
      </c>
      <c r="J19" s="116">
        <v>0</v>
      </c>
      <c r="K19" s="116">
        <v>0</v>
      </c>
      <c r="L19" s="116">
        <v>0</v>
      </c>
      <c r="M19" s="116">
        <f>'Talejas 1_anotācijai'!CE19</f>
        <v>0</v>
      </c>
      <c r="N19" s="116">
        <f t="shared" si="0"/>
        <v>2221164</v>
      </c>
      <c r="O19" s="116">
        <f t="shared" si="1"/>
        <v>487652</v>
      </c>
      <c r="P19" s="116">
        <f t="shared" si="2"/>
        <v>42090</v>
      </c>
      <c r="Q19" s="116">
        <f t="shared" si="3"/>
        <v>13841</v>
      </c>
      <c r="R19" s="116">
        <f t="shared" si="4"/>
        <v>227</v>
      </c>
      <c r="S19" s="116">
        <f t="shared" si="5"/>
        <v>1677354</v>
      </c>
      <c r="U19" s="1"/>
    </row>
    <row r="20" spans="1:21" x14ac:dyDescent="0.3">
      <c r="A20" s="26">
        <v>2039</v>
      </c>
      <c r="B20" s="101">
        <f>'Talejas 1_anotācijai'!BA20</f>
        <v>2221164</v>
      </c>
      <c r="C20" s="101">
        <f>'Talejas 1_anotācijai'!CC20*-1</f>
        <v>487652</v>
      </c>
      <c r="D20" s="101">
        <f>('Talejas 1_anotācijai'!BK20+'Talejas 1_anotācijai'!BL20)*-1</f>
        <v>42090</v>
      </c>
      <c r="E20" s="101">
        <f>LRP!L20</f>
        <v>13841</v>
      </c>
      <c r="F20" s="101">
        <f>IAUI!H20</f>
        <v>227</v>
      </c>
      <c r="G20" s="116">
        <f t="shared" si="6"/>
        <v>1677354</v>
      </c>
      <c r="H20" s="116">
        <f>'Talejas 1_anotācijai'!BB20</f>
        <v>0</v>
      </c>
      <c r="I20" s="116">
        <f>'Talejas 1_anotācijai'!Y20</f>
        <v>0</v>
      </c>
      <c r="J20" s="116">
        <v>0</v>
      </c>
      <c r="K20" s="116">
        <v>0</v>
      </c>
      <c r="L20" s="116">
        <v>0</v>
      </c>
      <c r="M20" s="116">
        <f>'Talejas 1_anotācijai'!CE20</f>
        <v>0</v>
      </c>
      <c r="N20" s="116">
        <f t="shared" si="0"/>
        <v>2221164</v>
      </c>
      <c r="O20" s="116">
        <f t="shared" si="1"/>
        <v>487652</v>
      </c>
      <c r="P20" s="116">
        <f t="shared" si="2"/>
        <v>42090</v>
      </c>
      <c r="Q20" s="116">
        <f t="shared" si="3"/>
        <v>13841</v>
      </c>
      <c r="R20" s="116">
        <f t="shared" si="4"/>
        <v>227</v>
      </c>
      <c r="S20" s="116">
        <f t="shared" si="5"/>
        <v>1677354</v>
      </c>
      <c r="U20" s="1"/>
    </row>
    <row r="21" spans="1:21" x14ac:dyDescent="0.3">
      <c r="A21" s="26">
        <v>2040</v>
      </c>
      <c r="B21" s="101">
        <f>'Talejas 1_anotācijai'!BA21</f>
        <v>2221164</v>
      </c>
      <c r="C21" s="101">
        <f>'Talejas 1_anotācijai'!CC21*-1</f>
        <v>487652</v>
      </c>
      <c r="D21" s="101">
        <f>('Talejas 1_anotācijai'!BK21+'Talejas 1_anotācijai'!BL21)*-1</f>
        <v>42090</v>
      </c>
      <c r="E21" s="101">
        <f>LRP!L21</f>
        <v>13841</v>
      </c>
      <c r="F21" s="101">
        <f>IAUI!H21</f>
        <v>227</v>
      </c>
      <c r="G21" s="116">
        <f t="shared" si="6"/>
        <v>1677354</v>
      </c>
      <c r="H21" s="116">
        <f>'Talejas 1_anotācijai'!BB21</f>
        <v>0</v>
      </c>
      <c r="I21" s="116">
        <f>'Talejas 1_anotācijai'!Y21</f>
        <v>0</v>
      </c>
      <c r="J21" s="116">
        <v>0</v>
      </c>
      <c r="K21" s="116">
        <v>0</v>
      </c>
      <c r="L21" s="116">
        <v>0</v>
      </c>
      <c r="M21" s="116">
        <f>'Talejas 1_anotācijai'!CE21</f>
        <v>0</v>
      </c>
      <c r="N21" s="116">
        <f t="shared" si="0"/>
        <v>2221164</v>
      </c>
      <c r="O21" s="116">
        <f t="shared" si="1"/>
        <v>487652</v>
      </c>
      <c r="P21" s="116">
        <f t="shared" si="2"/>
        <v>42090</v>
      </c>
      <c r="Q21" s="116">
        <f t="shared" si="3"/>
        <v>13841</v>
      </c>
      <c r="R21" s="116">
        <f t="shared" si="4"/>
        <v>227</v>
      </c>
      <c r="S21" s="116">
        <f t="shared" si="5"/>
        <v>1677354</v>
      </c>
      <c r="U21" s="1"/>
    </row>
    <row r="22" spans="1:21" x14ac:dyDescent="0.3">
      <c r="A22" s="26">
        <v>2041</v>
      </c>
      <c r="B22" s="101">
        <f>'Talejas 1_anotācijai'!BA22</f>
        <v>2221164</v>
      </c>
      <c r="C22" s="101">
        <f>'Talejas 1_anotācijai'!CC22*-1</f>
        <v>487652</v>
      </c>
      <c r="D22" s="101">
        <f>('Talejas 1_anotācijai'!BK22+'Talejas 1_anotācijai'!BL22)*-1</f>
        <v>42090</v>
      </c>
      <c r="E22" s="101">
        <f>LRP!L22</f>
        <v>13841</v>
      </c>
      <c r="F22" s="101">
        <f>IAUI!H22</f>
        <v>227</v>
      </c>
      <c r="G22" s="116">
        <f t="shared" si="6"/>
        <v>1677354</v>
      </c>
      <c r="H22" s="116">
        <f>'Talejas 1_anotācijai'!BB22</f>
        <v>0</v>
      </c>
      <c r="I22" s="116">
        <f>'Talejas 1_anotācijai'!Y22</f>
        <v>0</v>
      </c>
      <c r="J22" s="116">
        <v>0</v>
      </c>
      <c r="K22" s="116">
        <v>0</v>
      </c>
      <c r="L22" s="116">
        <v>0</v>
      </c>
      <c r="M22" s="116">
        <f>'Talejas 1_anotācijai'!CE22</f>
        <v>0</v>
      </c>
      <c r="N22" s="116">
        <f t="shared" si="0"/>
        <v>2221164</v>
      </c>
      <c r="O22" s="116">
        <f t="shared" si="1"/>
        <v>487652</v>
      </c>
      <c r="P22" s="116">
        <f t="shared" si="2"/>
        <v>42090</v>
      </c>
      <c r="Q22" s="116">
        <f t="shared" si="3"/>
        <v>13841</v>
      </c>
      <c r="R22" s="116">
        <f t="shared" si="4"/>
        <v>227</v>
      </c>
      <c r="S22" s="116">
        <f t="shared" si="5"/>
        <v>1677354</v>
      </c>
      <c r="U22" s="1"/>
    </row>
    <row r="23" spans="1:21" x14ac:dyDescent="0.3">
      <c r="A23" s="26">
        <v>2042</v>
      </c>
      <c r="B23" s="101">
        <f>'Talejas 1_anotācijai'!BA23</f>
        <v>2221164</v>
      </c>
      <c r="C23" s="101">
        <f>'Talejas 1_anotācijai'!CC23*-1</f>
        <v>487652</v>
      </c>
      <c r="D23" s="101">
        <f>('Talejas 1_anotācijai'!BK23+'Talejas 1_anotācijai'!BL23)*-1</f>
        <v>42090</v>
      </c>
      <c r="E23" s="101">
        <f>LRP!L23</f>
        <v>13841</v>
      </c>
      <c r="F23" s="101">
        <f>IAUI!H23</f>
        <v>227</v>
      </c>
      <c r="G23" s="116">
        <f t="shared" si="6"/>
        <v>1677354</v>
      </c>
      <c r="H23" s="116">
        <f>'Talejas 1_anotācijai'!BB23</f>
        <v>0</v>
      </c>
      <c r="I23" s="116">
        <f>'Talejas 1_anotācijai'!Y23</f>
        <v>0</v>
      </c>
      <c r="J23" s="116">
        <v>0</v>
      </c>
      <c r="K23" s="116">
        <v>0</v>
      </c>
      <c r="L23" s="116">
        <v>0</v>
      </c>
      <c r="M23" s="116">
        <f>'Talejas 1_anotācijai'!CE23</f>
        <v>0</v>
      </c>
      <c r="N23" s="116">
        <f t="shared" si="0"/>
        <v>2221164</v>
      </c>
      <c r="O23" s="116">
        <f t="shared" si="1"/>
        <v>487652</v>
      </c>
      <c r="P23" s="116">
        <f t="shared" si="2"/>
        <v>42090</v>
      </c>
      <c r="Q23" s="116">
        <f t="shared" si="3"/>
        <v>13841</v>
      </c>
      <c r="R23" s="116">
        <f t="shared" si="4"/>
        <v>227</v>
      </c>
      <c r="S23" s="116">
        <f t="shared" si="5"/>
        <v>1677354</v>
      </c>
      <c r="U23" s="1"/>
    </row>
    <row r="24" spans="1:21" x14ac:dyDescent="0.3">
      <c r="A24" s="26">
        <v>2043</v>
      </c>
      <c r="B24" s="101">
        <f>'Talejas 1_anotācijai'!BA24</f>
        <v>2221164</v>
      </c>
      <c r="C24" s="101">
        <f>'Talejas 1_anotācijai'!CC24*-1</f>
        <v>487652</v>
      </c>
      <c r="D24" s="101">
        <f>('Talejas 1_anotācijai'!BK24+'Talejas 1_anotācijai'!BL24)*-1</f>
        <v>42090</v>
      </c>
      <c r="E24" s="101">
        <f>LRP!L24</f>
        <v>13841</v>
      </c>
      <c r="F24" s="101">
        <f>IAUI!H24</f>
        <v>227</v>
      </c>
      <c r="G24" s="116">
        <f t="shared" si="6"/>
        <v>1677354</v>
      </c>
      <c r="H24" s="116">
        <f>'Talejas 1_anotācijai'!BB24</f>
        <v>0</v>
      </c>
      <c r="I24" s="116">
        <f>'Talejas 1_anotācijai'!Y24</f>
        <v>0</v>
      </c>
      <c r="J24" s="116">
        <v>0</v>
      </c>
      <c r="K24" s="116">
        <v>0</v>
      </c>
      <c r="L24" s="116">
        <v>0</v>
      </c>
      <c r="M24" s="116">
        <f>'Talejas 1_anotācijai'!CE24</f>
        <v>0</v>
      </c>
      <c r="N24" s="116">
        <f t="shared" si="0"/>
        <v>2221164</v>
      </c>
      <c r="O24" s="116">
        <f t="shared" si="1"/>
        <v>487652</v>
      </c>
      <c r="P24" s="116">
        <f t="shared" si="2"/>
        <v>42090</v>
      </c>
      <c r="Q24" s="116">
        <f t="shared" si="3"/>
        <v>13841</v>
      </c>
      <c r="R24" s="116">
        <f t="shared" si="4"/>
        <v>227</v>
      </c>
      <c r="S24" s="116">
        <f t="shared" si="5"/>
        <v>1677354</v>
      </c>
      <c r="U24" s="1"/>
    </row>
    <row r="25" spans="1:21" x14ac:dyDescent="0.3">
      <c r="A25" s="26" t="s">
        <v>30</v>
      </c>
      <c r="B25" s="101">
        <f>'Talejas 1_anotācijai'!BA25</f>
        <v>740388</v>
      </c>
      <c r="C25" s="101">
        <f>'Talejas 1_anotācijai'!CC25*-1</f>
        <v>487652</v>
      </c>
      <c r="D25" s="101">
        <f>('Talejas 1_anotācijai'!BK25+'Talejas 1_anotācijai'!BL25)*-1</f>
        <v>10524</v>
      </c>
      <c r="E25" s="101">
        <f>LRP!L25</f>
        <v>0</v>
      </c>
      <c r="F25" s="101">
        <f>IAUI!H25</f>
        <v>0</v>
      </c>
      <c r="G25" s="116">
        <f t="shared" si="6"/>
        <v>242212</v>
      </c>
      <c r="H25" s="116">
        <f>'Talejas 1_anotācijai'!BB25</f>
        <v>0</v>
      </c>
      <c r="I25" s="116">
        <f>'Talejas 1_anotācijai'!Y25</f>
        <v>0</v>
      </c>
      <c r="J25" s="116">
        <v>0</v>
      </c>
      <c r="K25" s="116">
        <v>0</v>
      </c>
      <c r="L25" s="116">
        <v>0</v>
      </c>
      <c r="M25" s="116">
        <f>'Talejas 1_anotācijai'!CE25</f>
        <v>0</v>
      </c>
      <c r="N25" s="116">
        <f t="shared" si="0"/>
        <v>740388</v>
      </c>
      <c r="O25" s="116">
        <f t="shared" si="1"/>
        <v>487652</v>
      </c>
      <c r="P25" s="116">
        <f t="shared" si="2"/>
        <v>10524</v>
      </c>
      <c r="Q25" s="116">
        <f t="shared" si="3"/>
        <v>0</v>
      </c>
      <c r="R25" s="116">
        <f t="shared" si="4"/>
        <v>0</v>
      </c>
      <c r="S25" s="116">
        <f t="shared" si="5"/>
        <v>242212</v>
      </c>
      <c r="U25" s="1"/>
    </row>
  </sheetData>
  <mergeCells count="4">
    <mergeCell ref="N2:S2"/>
    <mergeCell ref="A2:A3"/>
    <mergeCell ref="B2:G2"/>
    <mergeCell ref="H2:M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09D78-B899-402B-9270-1E923DE34AFB}">
  <dimension ref="A2:N28"/>
  <sheetViews>
    <sheetView topLeftCell="A8" zoomScale="130" zoomScaleNormal="130" workbookViewId="0">
      <selection activeCell="J6" sqref="J6"/>
    </sheetView>
  </sheetViews>
  <sheetFormatPr defaultRowHeight="14.4" x14ac:dyDescent="0.3"/>
  <cols>
    <col min="1" max="1" width="14.6640625" customWidth="1"/>
    <col min="2" max="6" width="11" customWidth="1"/>
    <col min="7" max="7" width="12.6640625" customWidth="1"/>
    <col min="8" max="10" width="11" customWidth="1"/>
    <col min="11" max="11" width="2.109375" customWidth="1"/>
  </cols>
  <sheetData>
    <row r="2" spans="1:13" ht="22.5" customHeight="1" x14ac:dyDescent="0.3">
      <c r="A2" s="174" t="s">
        <v>1</v>
      </c>
      <c r="B2" s="180" t="s">
        <v>105</v>
      </c>
      <c r="C2" s="181"/>
      <c r="D2" s="181"/>
      <c r="E2" s="180" t="s">
        <v>106</v>
      </c>
      <c r="F2" s="181"/>
      <c r="G2" s="181"/>
      <c r="H2" s="180" t="s">
        <v>107</v>
      </c>
      <c r="I2" s="181"/>
      <c r="J2" s="182"/>
      <c r="L2" s="177" t="s">
        <v>108</v>
      </c>
    </row>
    <row r="3" spans="1:13" ht="30.75" customHeight="1" x14ac:dyDescent="0.3">
      <c r="A3" s="174"/>
      <c r="B3" s="125" t="s">
        <v>109</v>
      </c>
      <c r="C3" s="125" t="s">
        <v>110</v>
      </c>
      <c r="D3" s="125" t="s">
        <v>111</v>
      </c>
      <c r="E3" s="125" t="s">
        <v>109</v>
      </c>
      <c r="F3" s="125" t="s">
        <v>110</v>
      </c>
      <c r="G3" s="125" t="s">
        <v>112</v>
      </c>
      <c r="H3" s="125" t="s">
        <v>109</v>
      </c>
      <c r="I3" s="125" t="s">
        <v>110</v>
      </c>
      <c r="J3" s="125" t="s">
        <v>111</v>
      </c>
      <c r="L3" s="177"/>
    </row>
    <row r="4" spans="1:13" ht="15" customHeight="1" x14ac:dyDescent="0.3">
      <c r="A4" s="114"/>
      <c r="B4" s="114"/>
      <c r="C4" s="114"/>
      <c r="D4" s="114" t="s">
        <v>86</v>
      </c>
      <c r="E4" s="114"/>
      <c r="F4" s="114"/>
      <c r="G4" s="114" t="s">
        <v>113</v>
      </c>
      <c r="H4" s="114" t="s">
        <v>88</v>
      </c>
      <c r="I4" s="114" t="s">
        <v>89</v>
      </c>
      <c r="J4" s="114" t="s">
        <v>90</v>
      </c>
      <c r="L4" s="39" t="s">
        <v>91</v>
      </c>
    </row>
    <row r="5" spans="1:13" ht="15" customHeight="1" x14ac:dyDescent="0.3">
      <c r="A5" s="26">
        <v>2024</v>
      </c>
      <c r="B5" s="101">
        <f>'Talejas 1_anotācijai'!AN5</f>
        <v>88816</v>
      </c>
      <c r="C5" s="101">
        <f>'Talejas 1_anotācijai'!K5</f>
        <v>89825</v>
      </c>
      <c r="D5" s="116">
        <f>IF(C5&gt;B5,0,B5-C5)</f>
        <v>0</v>
      </c>
      <c r="E5" s="116">
        <f>'Talejas 1_anotācijai'!AR5</f>
        <v>218184</v>
      </c>
      <c r="F5" s="116">
        <f>'Talejas 1_anotācijai'!O5</f>
        <v>154590</v>
      </c>
      <c r="G5" s="124">
        <f>IF(F5&gt;E5,0,E5-F5)-C5+B5</f>
        <v>62585</v>
      </c>
      <c r="H5" s="116">
        <f t="shared" ref="H5:H25" si="0">B5+E5</f>
        <v>307000</v>
      </c>
      <c r="I5" s="116">
        <f t="shared" ref="I5:I25" si="1">C5+F5</f>
        <v>244415</v>
      </c>
      <c r="J5" s="116">
        <f t="shared" ref="J5:J25" si="2">D5+G5</f>
        <v>62585</v>
      </c>
      <c r="L5" s="116">
        <f t="shared" ref="L5:L25" si="3">I5-H5+J5</f>
        <v>0</v>
      </c>
      <c r="M5" s="1"/>
    </row>
    <row r="6" spans="1:13" ht="15" customHeight="1" x14ac:dyDescent="0.3">
      <c r="A6" s="26">
        <v>2025</v>
      </c>
      <c r="B6" s="101">
        <f>'Talejas 1_anotācijai'!AN6</f>
        <v>95004</v>
      </c>
      <c r="C6" s="101">
        <f>'Talejas 1_anotācijai'!K6</f>
        <v>89825</v>
      </c>
      <c r="D6" s="116">
        <f t="shared" ref="D6:D25" si="4">IF(C6&gt;B6,0,B6-C6)</f>
        <v>5179</v>
      </c>
      <c r="E6" s="116">
        <f>'Talejas 1_anotācijai'!AR6</f>
        <v>658608</v>
      </c>
      <c r="F6" s="116">
        <f>'Talejas 1_anotācijai'!O6</f>
        <v>618357</v>
      </c>
      <c r="G6" s="116">
        <f t="shared" ref="G6:G25" si="5">IF(F6&gt;E6,0,E6-F6)</f>
        <v>40251</v>
      </c>
      <c r="H6" s="116">
        <f t="shared" si="0"/>
        <v>753612</v>
      </c>
      <c r="I6" s="116">
        <f t="shared" si="1"/>
        <v>708182</v>
      </c>
      <c r="J6" s="116">
        <f t="shared" si="2"/>
        <v>45430</v>
      </c>
      <c r="L6" s="116">
        <f t="shared" si="3"/>
        <v>0</v>
      </c>
      <c r="M6" s="1"/>
    </row>
    <row r="7" spans="1:13" ht="15" customHeight="1" x14ac:dyDescent="0.3">
      <c r="A7" s="26">
        <v>2026</v>
      </c>
      <c r="B7" s="101">
        <f>'Talejas 1_anotācijai'!AN7</f>
        <v>91080</v>
      </c>
      <c r="C7" s="101">
        <f>'Talejas 1_anotācijai'!K7</f>
        <v>89825</v>
      </c>
      <c r="D7" s="116">
        <f t="shared" si="4"/>
        <v>1255</v>
      </c>
      <c r="E7" s="116">
        <f>'Talejas 1_anotācijai'!AR7</f>
        <v>626003</v>
      </c>
      <c r="F7" s="116">
        <f>'Talejas 1_anotācijai'!O7</f>
        <v>515298</v>
      </c>
      <c r="G7" s="116">
        <f t="shared" si="5"/>
        <v>110705</v>
      </c>
      <c r="H7" s="116">
        <f t="shared" si="0"/>
        <v>717083</v>
      </c>
      <c r="I7" s="116">
        <f t="shared" si="1"/>
        <v>605123</v>
      </c>
      <c r="J7" s="116">
        <f t="shared" si="2"/>
        <v>111960</v>
      </c>
      <c r="L7" s="116">
        <f t="shared" si="3"/>
        <v>0</v>
      </c>
      <c r="M7" s="1"/>
    </row>
    <row r="8" spans="1:13" ht="15" customHeight="1" x14ac:dyDescent="0.3">
      <c r="A8" s="26">
        <v>2027</v>
      </c>
      <c r="B8" s="101">
        <f>'Talejas 1_anotācijai'!AN8</f>
        <v>75984</v>
      </c>
      <c r="C8" s="101">
        <f>'Talejas 1_anotācijai'!K8</f>
        <v>89825</v>
      </c>
      <c r="D8" s="116">
        <f t="shared" si="4"/>
        <v>0</v>
      </c>
      <c r="E8" s="116">
        <f>'Talejas 1_anotācijai'!AR8</f>
        <v>0</v>
      </c>
      <c r="F8" s="116">
        <f>'Talejas 1_anotācijai'!O8</f>
        <v>0</v>
      </c>
      <c r="G8" s="116">
        <f t="shared" si="5"/>
        <v>0</v>
      </c>
      <c r="H8" s="116">
        <f t="shared" si="0"/>
        <v>75984</v>
      </c>
      <c r="I8" s="116">
        <f t="shared" si="1"/>
        <v>89825</v>
      </c>
      <c r="J8" s="116">
        <f t="shared" si="2"/>
        <v>0</v>
      </c>
      <c r="L8" s="116">
        <f t="shared" si="3"/>
        <v>13841</v>
      </c>
      <c r="M8" s="1"/>
    </row>
    <row r="9" spans="1:13" ht="15" customHeight="1" x14ac:dyDescent="0.3">
      <c r="A9" s="26">
        <v>2028</v>
      </c>
      <c r="B9" s="101">
        <f>'Talejas 1_anotācijai'!AN9</f>
        <v>75984</v>
      </c>
      <c r="C9" s="101">
        <f>'Talejas 1_anotācijai'!K9</f>
        <v>89825</v>
      </c>
      <c r="D9" s="116">
        <f t="shared" si="4"/>
        <v>0</v>
      </c>
      <c r="E9" s="116">
        <f>'Talejas 1_anotācijai'!AR9</f>
        <v>0</v>
      </c>
      <c r="F9" s="116">
        <f>'Talejas 1_anotācijai'!O9</f>
        <v>0</v>
      </c>
      <c r="G9" s="116">
        <f t="shared" si="5"/>
        <v>0</v>
      </c>
      <c r="H9" s="116">
        <f t="shared" si="0"/>
        <v>75984</v>
      </c>
      <c r="I9" s="116">
        <f t="shared" si="1"/>
        <v>89825</v>
      </c>
      <c r="J9" s="116">
        <f t="shared" si="2"/>
        <v>0</v>
      </c>
      <c r="L9" s="116">
        <f t="shared" si="3"/>
        <v>13841</v>
      </c>
      <c r="M9" s="1"/>
    </row>
    <row r="10" spans="1:13" ht="15" customHeight="1" x14ac:dyDescent="0.3">
      <c r="A10" s="26">
        <v>2029</v>
      </c>
      <c r="B10" s="101">
        <f>'Talejas 1_anotācijai'!AN10</f>
        <v>75984</v>
      </c>
      <c r="C10" s="101">
        <f>'Talejas 1_anotācijai'!K10</f>
        <v>89825</v>
      </c>
      <c r="D10" s="116">
        <f t="shared" si="4"/>
        <v>0</v>
      </c>
      <c r="E10" s="116">
        <f>'Talejas 1_anotācijai'!AR10</f>
        <v>0</v>
      </c>
      <c r="F10" s="116">
        <f>'Talejas 1_anotācijai'!O10</f>
        <v>0</v>
      </c>
      <c r="G10" s="116">
        <f t="shared" si="5"/>
        <v>0</v>
      </c>
      <c r="H10" s="116">
        <f t="shared" si="0"/>
        <v>75984</v>
      </c>
      <c r="I10" s="116">
        <f t="shared" si="1"/>
        <v>89825</v>
      </c>
      <c r="J10" s="116">
        <f t="shared" si="2"/>
        <v>0</v>
      </c>
      <c r="L10" s="116">
        <f t="shared" si="3"/>
        <v>13841</v>
      </c>
      <c r="M10" s="1"/>
    </row>
    <row r="11" spans="1:13" ht="15" customHeight="1" x14ac:dyDescent="0.3">
      <c r="A11" s="26">
        <v>2030</v>
      </c>
      <c r="B11" s="101">
        <f>'Talejas 1_anotācijai'!AN11</f>
        <v>75984</v>
      </c>
      <c r="C11" s="101">
        <f>'Talejas 1_anotācijai'!K11</f>
        <v>89825</v>
      </c>
      <c r="D11" s="116">
        <f t="shared" si="4"/>
        <v>0</v>
      </c>
      <c r="E11" s="116">
        <f>'Talejas 1_anotācijai'!AR11</f>
        <v>0</v>
      </c>
      <c r="F11" s="116">
        <f>'Talejas 1_anotācijai'!O11</f>
        <v>0</v>
      </c>
      <c r="G11" s="116">
        <f t="shared" si="5"/>
        <v>0</v>
      </c>
      <c r="H11" s="116">
        <f t="shared" si="0"/>
        <v>75984</v>
      </c>
      <c r="I11" s="116">
        <f t="shared" si="1"/>
        <v>89825</v>
      </c>
      <c r="J11" s="116">
        <f t="shared" si="2"/>
        <v>0</v>
      </c>
      <c r="L11" s="116">
        <f t="shared" si="3"/>
        <v>13841</v>
      </c>
      <c r="M11" s="1"/>
    </row>
    <row r="12" spans="1:13" ht="15" customHeight="1" x14ac:dyDescent="0.3">
      <c r="A12" s="26">
        <v>2031</v>
      </c>
      <c r="B12" s="101">
        <f>'Talejas 1_anotācijai'!AN12</f>
        <v>75984</v>
      </c>
      <c r="C12" s="101">
        <f>'Talejas 1_anotācijai'!K12</f>
        <v>89825</v>
      </c>
      <c r="D12" s="116">
        <f t="shared" si="4"/>
        <v>0</v>
      </c>
      <c r="E12" s="116">
        <f>'Talejas 1_anotācijai'!AR12</f>
        <v>0</v>
      </c>
      <c r="F12" s="116">
        <f>'Talejas 1_anotācijai'!O12</f>
        <v>0</v>
      </c>
      <c r="G12" s="116">
        <f t="shared" si="5"/>
        <v>0</v>
      </c>
      <c r="H12" s="116">
        <f t="shared" si="0"/>
        <v>75984</v>
      </c>
      <c r="I12" s="116">
        <f t="shared" si="1"/>
        <v>89825</v>
      </c>
      <c r="J12" s="116">
        <f t="shared" si="2"/>
        <v>0</v>
      </c>
      <c r="L12" s="116">
        <f t="shared" si="3"/>
        <v>13841</v>
      </c>
      <c r="M12" s="1"/>
    </row>
    <row r="13" spans="1:13" ht="15" customHeight="1" x14ac:dyDescent="0.3">
      <c r="A13" s="26">
        <v>2032</v>
      </c>
      <c r="B13" s="101">
        <f>'Talejas 1_anotācijai'!AN13</f>
        <v>75984</v>
      </c>
      <c r="C13" s="101">
        <f>'Talejas 1_anotācijai'!K13</f>
        <v>89825</v>
      </c>
      <c r="D13" s="116">
        <f t="shared" si="4"/>
        <v>0</v>
      </c>
      <c r="E13" s="116">
        <f>'Talejas 1_anotācijai'!AR13</f>
        <v>0</v>
      </c>
      <c r="F13" s="116">
        <f>'Talejas 1_anotācijai'!O13</f>
        <v>0</v>
      </c>
      <c r="G13" s="116">
        <f t="shared" si="5"/>
        <v>0</v>
      </c>
      <c r="H13" s="116">
        <f t="shared" si="0"/>
        <v>75984</v>
      </c>
      <c r="I13" s="116">
        <f t="shared" si="1"/>
        <v>89825</v>
      </c>
      <c r="J13" s="116">
        <f t="shared" si="2"/>
        <v>0</v>
      </c>
      <c r="L13" s="116">
        <f t="shared" si="3"/>
        <v>13841</v>
      </c>
      <c r="M13" s="1"/>
    </row>
    <row r="14" spans="1:13" ht="15" customHeight="1" x14ac:dyDescent="0.3">
      <c r="A14" s="26">
        <v>2033</v>
      </c>
      <c r="B14" s="101">
        <f>'Talejas 1_anotācijai'!AN14</f>
        <v>75984</v>
      </c>
      <c r="C14" s="101">
        <f>'Talejas 1_anotācijai'!K14</f>
        <v>89825</v>
      </c>
      <c r="D14" s="116">
        <f t="shared" si="4"/>
        <v>0</v>
      </c>
      <c r="E14" s="116">
        <f>'Talejas 1_anotācijai'!AR14</f>
        <v>0</v>
      </c>
      <c r="F14" s="116">
        <f>'Talejas 1_anotācijai'!O14</f>
        <v>0</v>
      </c>
      <c r="G14" s="116">
        <f t="shared" si="5"/>
        <v>0</v>
      </c>
      <c r="H14" s="116">
        <f t="shared" si="0"/>
        <v>75984</v>
      </c>
      <c r="I14" s="116">
        <f t="shared" si="1"/>
        <v>89825</v>
      </c>
      <c r="J14" s="116">
        <f t="shared" si="2"/>
        <v>0</v>
      </c>
      <c r="L14" s="116">
        <f t="shared" si="3"/>
        <v>13841</v>
      </c>
      <c r="M14" s="1"/>
    </row>
    <row r="15" spans="1:13" ht="15" customHeight="1" x14ac:dyDescent="0.3">
      <c r="A15" s="26">
        <v>2034</v>
      </c>
      <c r="B15" s="101">
        <f>'Talejas 1_anotācijai'!AN15</f>
        <v>75984</v>
      </c>
      <c r="C15" s="101">
        <f>'Talejas 1_anotācijai'!K15</f>
        <v>89825</v>
      </c>
      <c r="D15" s="116">
        <f t="shared" si="4"/>
        <v>0</v>
      </c>
      <c r="E15" s="116">
        <f>'Talejas 1_anotācijai'!AR15</f>
        <v>0</v>
      </c>
      <c r="F15" s="116">
        <f>'Talejas 1_anotācijai'!O15</f>
        <v>0</v>
      </c>
      <c r="G15" s="116">
        <f t="shared" si="5"/>
        <v>0</v>
      </c>
      <c r="H15" s="116">
        <f t="shared" si="0"/>
        <v>75984</v>
      </c>
      <c r="I15" s="116">
        <f t="shared" si="1"/>
        <v>89825</v>
      </c>
      <c r="J15" s="116">
        <f t="shared" si="2"/>
        <v>0</v>
      </c>
      <c r="L15" s="116">
        <f t="shared" si="3"/>
        <v>13841</v>
      </c>
      <c r="M15" s="1"/>
    </row>
    <row r="16" spans="1:13" ht="15" customHeight="1" x14ac:dyDescent="0.3">
      <c r="A16" s="26">
        <v>2035</v>
      </c>
      <c r="B16" s="101">
        <f>'Talejas 1_anotācijai'!AN16</f>
        <v>75984</v>
      </c>
      <c r="C16" s="101">
        <f>'Talejas 1_anotācijai'!K16</f>
        <v>89825</v>
      </c>
      <c r="D16" s="116">
        <f t="shared" si="4"/>
        <v>0</v>
      </c>
      <c r="E16" s="116">
        <f>'Talejas 1_anotācijai'!AR16</f>
        <v>0</v>
      </c>
      <c r="F16" s="116">
        <f>'Talejas 1_anotācijai'!O16</f>
        <v>0</v>
      </c>
      <c r="G16" s="116">
        <f t="shared" si="5"/>
        <v>0</v>
      </c>
      <c r="H16" s="116">
        <f t="shared" si="0"/>
        <v>75984</v>
      </c>
      <c r="I16" s="116">
        <f t="shared" si="1"/>
        <v>89825</v>
      </c>
      <c r="J16" s="116">
        <f t="shared" si="2"/>
        <v>0</v>
      </c>
      <c r="L16" s="116">
        <f t="shared" si="3"/>
        <v>13841</v>
      </c>
      <c r="M16" s="1"/>
    </row>
    <row r="17" spans="1:14" ht="15" customHeight="1" x14ac:dyDescent="0.3">
      <c r="A17" s="26">
        <v>2036</v>
      </c>
      <c r="B17" s="101">
        <f>'Talejas 1_anotācijai'!AN17</f>
        <v>75984</v>
      </c>
      <c r="C17" s="101">
        <f>'Talejas 1_anotācijai'!K17</f>
        <v>89825</v>
      </c>
      <c r="D17" s="116">
        <f t="shared" si="4"/>
        <v>0</v>
      </c>
      <c r="E17" s="116">
        <f>'Talejas 1_anotācijai'!AR17</f>
        <v>0</v>
      </c>
      <c r="F17" s="116">
        <f>'Talejas 1_anotācijai'!O17</f>
        <v>0</v>
      </c>
      <c r="G17" s="116">
        <f t="shared" si="5"/>
        <v>0</v>
      </c>
      <c r="H17" s="116">
        <f t="shared" si="0"/>
        <v>75984</v>
      </c>
      <c r="I17" s="116">
        <f t="shared" si="1"/>
        <v>89825</v>
      </c>
      <c r="J17" s="116">
        <f t="shared" si="2"/>
        <v>0</v>
      </c>
      <c r="L17" s="116">
        <f t="shared" si="3"/>
        <v>13841</v>
      </c>
      <c r="M17" s="1"/>
    </row>
    <row r="18" spans="1:14" ht="15" customHeight="1" x14ac:dyDescent="0.3">
      <c r="A18" s="26">
        <v>2037</v>
      </c>
      <c r="B18" s="101">
        <f>'Talejas 1_anotācijai'!AN18</f>
        <v>75984</v>
      </c>
      <c r="C18" s="101">
        <f>'Talejas 1_anotācijai'!K18</f>
        <v>89825</v>
      </c>
      <c r="D18" s="116">
        <f t="shared" si="4"/>
        <v>0</v>
      </c>
      <c r="E18" s="116">
        <f>'Talejas 1_anotācijai'!AR18</f>
        <v>0</v>
      </c>
      <c r="F18" s="116">
        <f>'Talejas 1_anotācijai'!O18</f>
        <v>0</v>
      </c>
      <c r="G18" s="116">
        <f t="shared" si="5"/>
        <v>0</v>
      </c>
      <c r="H18" s="116">
        <f t="shared" si="0"/>
        <v>75984</v>
      </c>
      <c r="I18" s="116">
        <f t="shared" si="1"/>
        <v>89825</v>
      </c>
      <c r="J18" s="116">
        <f t="shared" si="2"/>
        <v>0</v>
      </c>
      <c r="L18" s="116">
        <f t="shared" si="3"/>
        <v>13841</v>
      </c>
      <c r="M18" s="1"/>
    </row>
    <row r="19" spans="1:14" ht="15" customHeight="1" x14ac:dyDescent="0.3">
      <c r="A19" s="26">
        <v>2038</v>
      </c>
      <c r="B19" s="101">
        <f>'Talejas 1_anotācijai'!AN19</f>
        <v>75984</v>
      </c>
      <c r="C19" s="101">
        <f>'Talejas 1_anotācijai'!K19</f>
        <v>89825</v>
      </c>
      <c r="D19" s="116">
        <f t="shared" si="4"/>
        <v>0</v>
      </c>
      <c r="E19" s="116">
        <f>'Talejas 1_anotācijai'!AR19</f>
        <v>0</v>
      </c>
      <c r="F19" s="116">
        <f>'Talejas 1_anotācijai'!O19</f>
        <v>0</v>
      </c>
      <c r="G19" s="116">
        <f t="shared" si="5"/>
        <v>0</v>
      </c>
      <c r="H19" s="116">
        <f t="shared" si="0"/>
        <v>75984</v>
      </c>
      <c r="I19" s="116">
        <f t="shared" si="1"/>
        <v>89825</v>
      </c>
      <c r="J19" s="116">
        <f t="shared" si="2"/>
        <v>0</v>
      </c>
      <c r="L19" s="116">
        <f t="shared" si="3"/>
        <v>13841</v>
      </c>
      <c r="M19" s="1"/>
    </row>
    <row r="20" spans="1:14" ht="15" customHeight="1" x14ac:dyDescent="0.3">
      <c r="A20" s="26">
        <v>2039</v>
      </c>
      <c r="B20" s="101">
        <f>'Talejas 1_anotācijai'!AN20</f>
        <v>75984</v>
      </c>
      <c r="C20" s="101">
        <f>'Talejas 1_anotācijai'!K20</f>
        <v>89825</v>
      </c>
      <c r="D20" s="116">
        <f t="shared" si="4"/>
        <v>0</v>
      </c>
      <c r="E20" s="116">
        <f>'Talejas 1_anotācijai'!AR20</f>
        <v>0</v>
      </c>
      <c r="F20" s="116">
        <f>'Talejas 1_anotācijai'!O20</f>
        <v>0</v>
      </c>
      <c r="G20" s="116">
        <f t="shared" si="5"/>
        <v>0</v>
      </c>
      <c r="H20" s="116">
        <f t="shared" si="0"/>
        <v>75984</v>
      </c>
      <c r="I20" s="116">
        <f t="shared" si="1"/>
        <v>89825</v>
      </c>
      <c r="J20" s="116">
        <f t="shared" si="2"/>
        <v>0</v>
      </c>
      <c r="L20" s="116">
        <f t="shared" si="3"/>
        <v>13841</v>
      </c>
      <c r="M20" s="1"/>
    </row>
    <row r="21" spans="1:14" ht="15" customHeight="1" x14ac:dyDescent="0.3">
      <c r="A21" s="26">
        <v>2040</v>
      </c>
      <c r="B21" s="101">
        <f>'Talejas 1_anotācijai'!AN21</f>
        <v>75984</v>
      </c>
      <c r="C21" s="101">
        <f>'Talejas 1_anotācijai'!K21</f>
        <v>89825</v>
      </c>
      <c r="D21" s="116">
        <f t="shared" si="4"/>
        <v>0</v>
      </c>
      <c r="E21" s="116">
        <f>'Talejas 1_anotācijai'!AR21</f>
        <v>0</v>
      </c>
      <c r="F21" s="116">
        <f>'Talejas 1_anotācijai'!O21</f>
        <v>0</v>
      </c>
      <c r="G21" s="116">
        <f t="shared" si="5"/>
        <v>0</v>
      </c>
      <c r="H21" s="116">
        <f t="shared" si="0"/>
        <v>75984</v>
      </c>
      <c r="I21" s="116">
        <f t="shared" si="1"/>
        <v>89825</v>
      </c>
      <c r="J21" s="116">
        <f t="shared" si="2"/>
        <v>0</v>
      </c>
      <c r="L21" s="116">
        <f t="shared" si="3"/>
        <v>13841</v>
      </c>
      <c r="M21" s="1"/>
    </row>
    <row r="22" spans="1:14" ht="15" customHeight="1" x14ac:dyDescent="0.3">
      <c r="A22" s="26">
        <v>2041</v>
      </c>
      <c r="B22" s="101">
        <f>'Talejas 1_anotācijai'!AN22</f>
        <v>75984</v>
      </c>
      <c r="C22" s="101">
        <f>'Talejas 1_anotācijai'!K22</f>
        <v>89825</v>
      </c>
      <c r="D22" s="116">
        <f t="shared" si="4"/>
        <v>0</v>
      </c>
      <c r="E22" s="116">
        <f>'Talejas 1_anotācijai'!AR22</f>
        <v>0</v>
      </c>
      <c r="F22" s="116">
        <f>'Talejas 1_anotācijai'!O22</f>
        <v>0</v>
      </c>
      <c r="G22" s="116">
        <f t="shared" si="5"/>
        <v>0</v>
      </c>
      <c r="H22" s="116">
        <f t="shared" si="0"/>
        <v>75984</v>
      </c>
      <c r="I22" s="116">
        <f t="shared" si="1"/>
        <v>89825</v>
      </c>
      <c r="J22" s="116">
        <f t="shared" si="2"/>
        <v>0</v>
      </c>
      <c r="L22" s="116">
        <f t="shared" si="3"/>
        <v>13841</v>
      </c>
      <c r="M22" s="1"/>
    </row>
    <row r="23" spans="1:14" ht="15" customHeight="1" x14ac:dyDescent="0.3">
      <c r="A23" s="26">
        <v>2042</v>
      </c>
      <c r="B23" s="101">
        <f>'Talejas 1_anotācijai'!AN23</f>
        <v>75984</v>
      </c>
      <c r="C23" s="101">
        <f>'Talejas 1_anotācijai'!K23</f>
        <v>89825</v>
      </c>
      <c r="D23" s="116">
        <f t="shared" si="4"/>
        <v>0</v>
      </c>
      <c r="E23" s="116">
        <f>'Talejas 1_anotācijai'!AR23</f>
        <v>0</v>
      </c>
      <c r="F23" s="116">
        <f>'Talejas 1_anotācijai'!O23</f>
        <v>0</v>
      </c>
      <c r="G23" s="116">
        <f t="shared" si="5"/>
        <v>0</v>
      </c>
      <c r="H23" s="116">
        <f t="shared" si="0"/>
        <v>75984</v>
      </c>
      <c r="I23" s="116">
        <f t="shared" si="1"/>
        <v>89825</v>
      </c>
      <c r="J23" s="116">
        <f t="shared" si="2"/>
        <v>0</v>
      </c>
      <c r="L23" s="116">
        <f t="shared" si="3"/>
        <v>13841</v>
      </c>
      <c r="M23" s="1"/>
    </row>
    <row r="24" spans="1:14" ht="15" customHeight="1" x14ac:dyDescent="0.3">
      <c r="A24" s="26">
        <v>2043</v>
      </c>
      <c r="B24" s="101">
        <f>'Talejas 1_anotācijai'!AN24</f>
        <v>75984</v>
      </c>
      <c r="C24" s="101">
        <f>'Talejas 1_anotācijai'!K24</f>
        <v>89825</v>
      </c>
      <c r="D24" s="116">
        <f t="shared" si="4"/>
        <v>0</v>
      </c>
      <c r="E24" s="116">
        <f>'Talejas 1_anotācijai'!AR24</f>
        <v>0</v>
      </c>
      <c r="F24" s="116">
        <f>'Talejas 1_anotācijai'!O24</f>
        <v>0</v>
      </c>
      <c r="G24" s="116">
        <f t="shared" si="5"/>
        <v>0</v>
      </c>
      <c r="H24" s="116">
        <f t="shared" si="0"/>
        <v>75984</v>
      </c>
      <c r="I24" s="116">
        <f t="shared" si="1"/>
        <v>89825</v>
      </c>
      <c r="J24" s="116">
        <f t="shared" si="2"/>
        <v>0</v>
      </c>
      <c r="L24" s="116">
        <f t="shared" si="3"/>
        <v>13841</v>
      </c>
      <c r="M24" s="1"/>
    </row>
    <row r="25" spans="1:14" ht="15" customHeight="1" x14ac:dyDescent="0.3">
      <c r="A25" s="26" t="s">
        <v>30</v>
      </c>
      <c r="B25" s="101">
        <f>'Talejas 1_anotācijai'!AN25</f>
        <v>25328</v>
      </c>
      <c r="C25" s="101">
        <f>'Talejas 1_anotācijai'!K25</f>
        <v>23870</v>
      </c>
      <c r="D25" s="116">
        <f t="shared" si="4"/>
        <v>1458</v>
      </c>
      <c r="E25" s="116">
        <f>'Talejas 1_anotācijai'!AR25</f>
        <v>0</v>
      </c>
      <c r="F25" s="116">
        <f>'Talejas 1_anotācijai'!O25</f>
        <v>0</v>
      </c>
      <c r="G25" s="116">
        <f t="shared" si="5"/>
        <v>0</v>
      </c>
      <c r="H25" s="116">
        <f t="shared" si="0"/>
        <v>25328</v>
      </c>
      <c r="I25" s="116">
        <f t="shared" si="1"/>
        <v>23870</v>
      </c>
      <c r="J25" s="116">
        <f t="shared" si="2"/>
        <v>1458</v>
      </c>
      <c r="L25" s="116">
        <f t="shared" si="3"/>
        <v>0</v>
      </c>
      <c r="M25" s="1"/>
    </row>
    <row r="26" spans="1:14" x14ac:dyDescent="0.3">
      <c r="B26" s="1"/>
      <c r="C26" s="1"/>
      <c r="D26" s="1"/>
      <c r="E26" s="1"/>
      <c r="F26" s="1"/>
      <c r="G26" s="1"/>
      <c r="H26" s="1"/>
      <c r="I26" s="1"/>
      <c r="J26" s="1"/>
      <c r="K26" s="1"/>
      <c r="L26" s="1"/>
      <c r="M26" s="1"/>
      <c r="N26" s="1"/>
    </row>
    <row r="27" spans="1:14" ht="15" customHeight="1" x14ac:dyDescent="0.3">
      <c r="A27" s="173" t="s">
        <v>114</v>
      </c>
      <c r="B27" s="173"/>
      <c r="C27" s="173"/>
      <c r="D27" s="173"/>
      <c r="E27" s="173"/>
      <c r="F27" s="173"/>
      <c r="G27" s="173"/>
      <c r="H27" s="173"/>
      <c r="I27" s="173"/>
      <c r="J27" s="173"/>
      <c r="K27" s="173"/>
      <c r="L27" s="173"/>
    </row>
    <row r="28" spans="1:14" ht="24" customHeight="1" x14ac:dyDescent="0.3">
      <c r="A28" s="173" t="s">
        <v>115</v>
      </c>
      <c r="B28" s="173"/>
      <c r="C28" s="173"/>
      <c r="D28" s="173"/>
      <c r="E28" s="173"/>
      <c r="F28" s="173"/>
      <c r="G28" s="173"/>
      <c r="H28" s="173"/>
      <c r="I28" s="173"/>
      <c r="J28" s="173"/>
      <c r="K28" s="173"/>
      <c r="L28" s="173"/>
    </row>
  </sheetData>
  <mergeCells count="7">
    <mergeCell ref="A28:L28"/>
    <mergeCell ref="A2:A3"/>
    <mergeCell ref="B2:D2"/>
    <mergeCell ref="E2:G2"/>
    <mergeCell ref="H2:J2"/>
    <mergeCell ref="L2:L3"/>
    <mergeCell ref="A27:L2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78FC-63EA-43C1-9586-A865255592D0}">
  <dimension ref="A2:J27"/>
  <sheetViews>
    <sheetView topLeftCell="A13" zoomScale="130" zoomScaleNormal="130" workbookViewId="0"/>
  </sheetViews>
  <sheetFormatPr defaultRowHeight="14.4" x14ac:dyDescent="0.3"/>
  <cols>
    <col min="1" max="1" width="14.6640625" customWidth="1"/>
    <col min="2" max="6" width="11" customWidth="1"/>
    <col min="7" max="7" width="2.109375" customWidth="1"/>
  </cols>
  <sheetData>
    <row r="2" spans="1:9" ht="22.5" customHeight="1" x14ac:dyDescent="0.3">
      <c r="A2" s="174" t="s">
        <v>1</v>
      </c>
      <c r="B2" s="177" t="s">
        <v>79</v>
      </c>
      <c r="C2" s="177"/>
      <c r="D2" s="177"/>
      <c r="E2" s="177"/>
      <c r="F2" s="177"/>
      <c r="H2" s="177" t="s">
        <v>116</v>
      </c>
    </row>
    <row r="3" spans="1:9" ht="30.75" customHeight="1" x14ac:dyDescent="0.3">
      <c r="A3" s="174"/>
      <c r="B3" s="125" t="s">
        <v>117</v>
      </c>
      <c r="C3" s="125" t="s">
        <v>118</v>
      </c>
      <c r="D3" s="125" t="s">
        <v>119</v>
      </c>
      <c r="E3" s="125" t="s">
        <v>120</v>
      </c>
      <c r="F3" s="125" t="s">
        <v>121</v>
      </c>
      <c r="H3" s="177"/>
    </row>
    <row r="4" spans="1:9" ht="15" customHeight="1" x14ac:dyDescent="0.3">
      <c r="A4" s="114"/>
      <c r="B4" s="114"/>
      <c r="C4" s="114"/>
      <c r="D4" s="114"/>
      <c r="E4" s="114"/>
      <c r="F4" s="114" t="s">
        <v>122</v>
      </c>
      <c r="H4" s="39" t="s">
        <v>123</v>
      </c>
    </row>
    <row r="5" spans="1:9" ht="15" customHeight="1" x14ac:dyDescent="0.3">
      <c r="A5" s="26">
        <v>2024</v>
      </c>
      <c r="B5" s="101">
        <f>'Talejas 1_anotācijai'!AJ5</f>
        <v>3243</v>
      </c>
      <c r="C5" s="101">
        <f>'Talejas 1_anotācijai'!G5</f>
        <v>2999</v>
      </c>
      <c r="D5" s="116">
        <v>0</v>
      </c>
      <c r="E5" s="116">
        <f>IF(C5&gt;B5,0,B5-C5)</f>
        <v>244</v>
      </c>
      <c r="F5" s="116">
        <f>IF(C5&gt;B5,0,B5-C5)</f>
        <v>244</v>
      </c>
      <c r="H5" s="116">
        <f>C5-B5+F5</f>
        <v>0</v>
      </c>
      <c r="I5" s="1"/>
    </row>
    <row r="6" spans="1:9" ht="15" customHeight="1" x14ac:dyDescent="0.3">
      <c r="A6" s="26">
        <v>2025</v>
      </c>
      <c r="B6" s="101">
        <f>'Talejas 1_anotācijai'!AJ6</f>
        <v>3648</v>
      </c>
      <c r="C6" s="101">
        <f>'Talejas 1_anotācijai'!G6</f>
        <v>2999</v>
      </c>
      <c r="D6" s="116">
        <f t="shared" ref="D6:D25" si="0">IF(C6&gt;B6,0,B6-C6)</f>
        <v>649</v>
      </c>
      <c r="E6" s="116">
        <v>0</v>
      </c>
      <c r="F6" s="116">
        <f t="shared" ref="F6:F25" si="1">IF(C6&gt;B6,0,B6-C6)</f>
        <v>649</v>
      </c>
      <c r="H6" s="116">
        <f t="shared" ref="H6:H25" si="2">C6-B6+F6</f>
        <v>0</v>
      </c>
      <c r="I6" s="1"/>
    </row>
    <row r="7" spans="1:9" ht="15" customHeight="1" x14ac:dyDescent="0.3">
      <c r="A7" s="26">
        <v>2026</v>
      </c>
      <c r="B7" s="101">
        <f>'Talejas 1_anotācijai'!AJ7</f>
        <v>3348</v>
      </c>
      <c r="C7" s="101">
        <f>'Talejas 1_anotācijai'!G7</f>
        <v>2999</v>
      </c>
      <c r="D7" s="116">
        <f t="shared" si="0"/>
        <v>349</v>
      </c>
      <c r="E7" s="116">
        <v>0</v>
      </c>
      <c r="F7" s="116">
        <f t="shared" si="1"/>
        <v>349</v>
      </c>
      <c r="H7" s="116">
        <f t="shared" si="2"/>
        <v>0</v>
      </c>
      <c r="I7" s="1"/>
    </row>
    <row r="8" spans="1:9" ht="15" customHeight="1" x14ac:dyDescent="0.3">
      <c r="A8" s="26">
        <v>2027</v>
      </c>
      <c r="B8" s="101">
        <f>'Talejas 1_anotācijai'!AJ8</f>
        <v>2772</v>
      </c>
      <c r="C8" s="101">
        <f>'Talejas 1_anotācijai'!G8</f>
        <v>2999</v>
      </c>
      <c r="D8" s="116">
        <f t="shared" si="0"/>
        <v>0</v>
      </c>
      <c r="E8" s="116">
        <f t="shared" ref="E8:E24" si="3">IF(C8&gt;B8,0,B8-C8)</f>
        <v>0</v>
      </c>
      <c r="F8" s="116">
        <f t="shared" si="1"/>
        <v>0</v>
      </c>
      <c r="H8" s="116">
        <f t="shared" si="2"/>
        <v>227</v>
      </c>
      <c r="I8" s="1"/>
    </row>
    <row r="9" spans="1:9" ht="15" customHeight="1" x14ac:dyDescent="0.3">
      <c r="A9" s="26">
        <v>2028</v>
      </c>
      <c r="B9" s="101">
        <f>'Talejas 1_anotācijai'!AJ9</f>
        <v>2772</v>
      </c>
      <c r="C9" s="101">
        <f>'Talejas 1_anotācijai'!G9</f>
        <v>2999</v>
      </c>
      <c r="D9" s="116">
        <f t="shared" si="0"/>
        <v>0</v>
      </c>
      <c r="E9" s="116">
        <f t="shared" si="3"/>
        <v>0</v>
      </c>
      <c r="F9" s="116">
        <f t="shared" si="1"/>
        <v>0</v>
      </c>
      <c r="H9" s="116">
        <f t="shared" si="2"/>
        <v>227</v>
      </c>
      <c r="I9" s="1"/>
    </row>
    <row r="10" spans="1:9" ht="15" customHeight="1" x14ac:dyDescent="0.3">
      <c r="A10" s="26">
        <v>2029</v>
      </c>
      <c r="B10" s="101">
        <f>'Talejas 1_anotācijai'!AJ10</f>
        <v>2772</v>
      </c>
      <c r="C10" s="101">
        <f>'Talejas 1_anotācijai'!G10</f>
        <v>2999</v>
      </c>
      <c r="D10" s="116">
        <f t="shared" si="0"/>
        <v>0</v>
      </c>
      <c r="E10" s="116">
        <f t="shared" si="3"/>
        <v>0</v>
      </c>
      <c r="F10" s="116">
        <f t="shared" si="1"/>
        <v>0</v>
      </c>
      <c r="H10" s="116">
        <f t="shared" si="2"/>
        <v>227</v>
      </c>
      <c r="I10" s="1"/>
    </row>
    <row r="11" spans="1:9" ht="15" customHeight="1" x14ac:dyDescent="0.3">
      <c r="A11" s="26">
        <v>2030</v>
      </c>
      <c r="B11" s="101">
        <f>'Talejas 1_anotācijai'!AJ11</f>
        <v>2772</v>
      </c>
      <c r="C11" s="101">
        <f>'Talejas 1_anotācijai'!G11</f>
        <v>2999</v>
      </c>
      <c r="D11" s="116">
        <f t="shared" si="0"/>
        <v>0</v>
      </c>
      <c r="E11" s="116">
        <f t="shared" si="3"/>
        <v>0</v>
      </c>
      <c r="F11" s="116">
        <f t="shared" si="1"/>
        <v>0</v>
      </c>
      <c r="H11" s="116">
        <f t="shared" si="2"/>
        <v>227</v>
      </c>
      <c r="I11" s="1"/>
    </row>
    <row r="12" spans="1:9" ht="15" customHeight="1" x14ac:dyDescent="0.3">
      <c r="A12" s="26">
        <v>2031</v>
      </c>
      <c r="B12" s="101">
        <f>'Talejas 1_anotācijai'!AJ12</f>
        <v>2772</v>
      </c>
      <c r="C12" s="101">
        <f>'Talejas 1_anotācijai'!G12</f>
        <v>2999</v>
      </c>
      <c r="D12" s="116">
        <f t="shared" si="0"/>
        <v>0</v>
      </c>
      <c r="E12" s="116">
        <f t="shared" si="3"/>
        <v>0</v>
      </c>
      <c r="F12" s="116">
        <f t="shared" si="1"/>
        <v>0</v>
      </c>
      <c r="H12" s="116">
        <f t="shared" si="2"/>
        <v>227</v>
      </c>
      <c r="I12" s="1"/>
    </row>
    <row r="13" spans="1:9" ht="15" customHeight="1" x14ac:dyDescent="0.3">
      <c r="A13" s="26">
        <v>2032</v>
      </c>
      <c r="B13" s="101">
        <f>'Talejas 1_anotācijai'!AJ13</f>
        <v>2772</v>
      </c>
      <c r="C13" s="101">
        <f>'Talejas 1_anotācijai'!G13</f>
        <v>2999</v>
      </c>
      <c r="D13" s="116">
        <f t="shared" si="0"/>
        <v>0</v>
      </c>
      <c r="E13" s="116">
        <f t="shared" si="3"/>
        <v>0</v>
      </c>
      <c r="F13" s="116">
        <f t="shared" si="1"/>
        <v>0</v>
      </c>
      <c r="H13" s="116">
        <f t="shared" si="2"/>
        <v>227</v>
      </c>
      <c r="I13" s="1"/>
    </row>
    <row r="14" spans="1:9" ht="15" customHeight="1" x14ac:dyDescent="0.3">
      <c r="A14" s="26">
        <v>2033</v>
      </c>
      <c r="B14" s="101">
        <f>'Talejas 1_anotācijai'!AJ14</f>
        <v>2772</v>
      </c>
      <c r="C14" s="101">
        <f>'Talejas 1_anotācijai'!G14</f>
        <v>2999</v>
      </c>
      <c r="D14" s="116">
        <f t="shared" si="0"/>
        <v>0</v>
      </c>
      <c r="E14" s="116">
        <f t="shared" si="3"/>
        <v>0</v>
      </c>
      <c r="F14" s="116">
        <f t="shared" si="1"/>
        <v>0</v>
      </c>
      <c r="H14" s="116">
        <f t="shared" si="2"/>
        <v>227</v>
      </c>
      <c r="I14" s="1"/>
    </row>
    <row r="15" spans="1:9" ht="15" customHeight="1" x14ac:dyDescent="0.3">
      <c r="A15" s="26">
        <v>2034</v>
      </c>
      <c r="B15" s="101">
        <f>'Talejas 1_anotācijai'!AJ15</f>
        <v>2772</v>
      </c>
      <c r="C15" s="101">
        <f>'Talejas 1_anotācijai'!G15</f>
        <v>2999</v>
      </c>
      <c r="D15" s="116">
        <f t="shared" si="0"/>
        <v>0</v>
      </c>
      <c r="E15" s="116">
        <f t="shared" si="3"/>
        <v>0</v>
      </c>
      <c r="F15" s="116">
        <f t="shared" si="1"/>
        <v>0</v>
      </c>
      <c r="H15" s="116">
        <f t="shared" si="2"/>
        <v>227</v>
      </c>
      <c r="I15" s="1"/>
    </row>
    <row r="16" spans="1:9" ht="15" customHeight="1" x14ac:dyDescent="0.3">
      <c r="A16" s="26">
        <v>2035</v>
      </c>
      <c r="B16" s="101">
        <f>'Talejas 1_anotācijai'!AJ16</f>
        <v>2772</v>
      </c>
      <c r="C16" s="101">
        <f>'Talejas 1_anotācijai'!G16</f>
        <v>2999</v>
      </c>
      <c r="D16" s="116">
        <f t="shared" si="0"/>
        <v>0</v>
      </c>
      <c r="E16" s="116">
        <f t="shared" si="3"/>
        <v>0</v>
      </c>
      <c r="F16" s="116">
        <f t="shared" si="1"/>
        <v>0</v>
      </c>
      <c r="H16" s="116">
        <f t="shared" si="2"/>
        <v>227</v>
      </c>
      <c r="I16" s="1"/>
    </row>
    <row r="17" spans="1:10" ht="15" customHeight="1" x14ac:dyDescent="0.3">
      <c r="A17" s="26">
        <v>2036</v>
      </c>
      <c r="B17" s="101">
        <f>'Talejas 1_anotācijai'!AJ17</f>
        <v>2772</v>
      </c>
      <c r="C17" s="101">
        <f>'Talejas 1_anotācijai'!G17</f>
        <v>2999</v>
      </c>
      <c r="D17" s="116">
        <f t="shared" si="0"/>
        <v>0</v>
      </c>
      <c r="E17" s="116">
        <f t="shared" si="3"/>
        <v>0</v>
      </c>
      <c r="F17" s="116">
        <f t="shared" si="1"/>
        <v>0</v>
      </c>
      <c r="H17" s="116">
        <f t="shared" si="2"/>
        <v>227</v>
      </c>
      <c r="I17" s="1"/>
    </row>
    <row r="18" spans="1:10" ht="15" customHeight="1" x14ac:dyDescent="0.3">
      <c r="A18" s="26">
        <v>2037</v>
      </c>
      <c r="B18" s="101">
        <f>'Talejas 1_anotācijai'!AJ18</f>
        <v>2772</v>
      </c>
      <c r="C18" s="101">
        <f>'Talejas 1_anotācijai'!G18</f>
        <v>2999</v>
      </c>
      <c r="D18" s="116">
        <f t="shared" si="0"/>
        <v>0</v>
      </c>
      <c r="E18" s="116">
        <f t="shared" si="3"/>
        <v>0</v>
      </c>
      <c r="F18" s="116">
        <f t="shared" si="1"/>
        <v>0</v>
      </c>
      <c r="H18" s="116">
        <f t="shared" si="2"/>
        <v>227</v>
      </c>
      <c r="I18" s="1"/>
    </row>
    <row r="19" spans="1:10" ht="15" customHeight="1" x14ac:dyDescent="0.3">
      <c r="A19" s="26">
        <v>2038</v>
      </c>
      <c r="B19" s="101">
        <f>'Talejas 1_anotācijai'!AJ19</f>
        <v>2772</v>
      </c>
      <c r="C19" s="101">
        <f>'Talejas 1_anotācijai'!G19</f>
        <v>2999</v>
      </c>
      <c r="D19" s="116">
        <f t="shared" si="0"/>
        <v>0</v>
      </c>
      <c r="E19" s="116">
        <f t="shared" si="3"/>
        <v>0</v>
      </c>
      <c r="F19" s="116">
        <f t="shared" si="1"/>
        <v>0</v>
      </c>
      <c r="H19" s="116">
        <f t="shared" si="2"/>
        <v>227</v>
      </c>
      <c r="I19" s="1"/>
    </row>
    <row r="20" spans="1:10" ht="15" customHeight="1" x14ac:dyDescent="0.3">
      <c r="A20" s="26">
        <v>2039</v>
      </c>
      <c r="B20" s="101">
        <f>'Talejas 1_anotācijai'!AJ20</f>
        <v>2772</v>
      </c>
      <c r="C20" s="101">
        <f>'Talejas 1_anotācijai'!G20</f>
        <v>2999</v>
      </c>
      <c r="D20" s="116">
        <f t="shared" si="0"/>
        <v>0</v>
      </c>
      <c r="E20" s="116">
        <f t="shared" si="3"/>
        <v>0</v>
      </c>
      <c r="F20" s="116">
        <f t="shared" si="1"/>
        <v>0</v>
      </c>
      <c r="H20" s="116">
        <f t="shared" si="2"/>
        <v>227</v>
      </c>
      <c r="I20" s="1"/>
    </row>
    <row r="21" spans="1:10" ht="15" customHeight="1" x14ac:dyDescent="0.3">
      <c r="A21" s="26">
        <v>2040</v>
      </c>
      <c r="B21" s="101">
        <f>'Talejas 1_anotācijai'!AJ21</f>
        <v>2772</v>
      </c>
      <c r="C21" s="101">
        <f>'Talejas 1_anotācijai'!G21</f>
        <v>2999</v>
      </c>
      <c r="D21" s="116">
        <f t="shared" si="0"/>
        <v>0</v>
      </c>
      <c r="E21" s="116">
        <f t="shared" si="3"/>
        <v>0</v>
      </c>
      <c r="F21" s="116">
        <f t="shared" si="1"/>
        <v>0</v>
      </c>
      <c r="H21" s="116">
        <f t="shared" si="2"/>
        <v>227</v>
      </c>
      <c r="I21" s="1"/>
    </row>
    <row r="22" spans="1:10" ht="15" customHeight="1" x14ac:dyDescent="0.3">
      <c r="A22" s="26">
        <v>2041</v>
      </c>
      <c r="B22" s="101">
        <f>'Talejas 1_anotācijai'!AJ22</f>
        <v>2772</v>
      </c>
      <c r="C22" s="101">
        <f>'Talejas 1_anotācijai'!G22</f>
        <v>2999</v>
      </c>
      <c r="D22" s="116">
        <f t="shared" si="0"/>
        <v>0</v>
      </c>
      <c r="E22" s="116">
        <f t="shared" si="3"/>
        <v>0</v>
      </c>
      <c r="F22" s="116">
        <f t="shared" si="1"/>
        <v>0</v>
      </c>
      <c r="H22" s="116">
        <f t="shared" si="2"/>
        <v>227</v>
      </c>
      <c r="I22" s="1"/>
    </row>
    <row r="23" spans="1:10" ht="15" customHeight="1" x14ac:dyDescent="0.3">
      <c r="A23" s="26">
        <v>2042</v>
      </c>
      <c r="B23" s="101">
        <f>'Talejas 1_anotācijai'!AJ23</f>
        <v>2772</v>
      </c>
      <c r="C23" s="101">
        <f>'Talejas 1_anotācijai'!G23</f>
        <v>2999</v>
      </c>
      <c r="D23" s="116">
        <f t="shared" si="0"/>
        <v>0</v>
      </c>
      <c r="E23" s="116">
        <f t="shared" si="3"/>
        <v>0</v>
      </c>
      <c r="F23" s="116">
        <f t="shared" si="1"/>
        <v>0</v>
      </c>
      <c r="H23" s="116">
        <f t="shared" si="2"/>
        <v>227</v>
      </c>
      <c r="I23" s="1"/>
    </row>
    <row r="24" spans="1:10" ht="15" customHeight="1" x14ac:dyDescent="0.3">
      <c r="A24" s="26">
        <v>2043</v>
      </c>
      <c r="B24" s="101">
        <f>'Talejas 1_anotācijai'!AJ24</f>
        <v>2772</v>
      </c>
      <c r="C24" s="101">
        <f>'Talejas 1_anotācijai'!G24</f>
        <v>2999</v>
      </c>
      <c r="D24" s="116">
        <f t="shared" si="0"/>
        <v>0</v>
      </c>
      <c r="E24" s="116">
        <f t="shared" si="3"/>
        <v>0</v>
      </c>
      <c r="F24" s="116">
        <f t="shared" si="1"/>
        <v>0</v>
      </c>
      <c r="H24" s="116">
        <f t="shared" si="2"/>
        <v>227</v>
      </c>
      <c r="I24" s="1"/>
    </row>
    <row r="25" spans="1:10" ht="15" customHeight="1" x14ac:dyDescent="0.3">
      <c r="A25" s="26" t="s">
        <v>30</v>
      </c>
      <c r="B25" s="101">
        <f>'Talejas 1_anotācijai'!AJ25</f>
        <v>924</v>
      </c>
      <c r="C25" s="101">
        <f>'Talejas 1_anotācijai'!G25</f>
        <v>750</v>
      </c>
      <c r="D25" s="116">
        <f t="shared" si="0"/>
        <v>174</v>
      </c>
      <c r="E25" s="116">
        <v>0</v>
      </c>
      <c r="F25" s="116">
        <f t="shared" si="1"/>
        <v>174</v>
      </c>
      <c r="H25" s="116">
        <f t="shared" si="2"/>
        <v>0</v>
      </c>
      <c r="I25" s="1"/>
    </row>
    <row r="26" spans="1:10" x14ac:dyDescent="0.3">
      <c r="B26" s="1"/>
      <c r="C26" s="1"/>
      <c r="D26" s="1"/>
      <c r="E26" s="1"/>
      <c r="F26" s="1"/>
      <c r="G26" s="1"/>
      <c r="H26" s="1"/>
      <c r="I26" s="1"/>
      <c r="J26" s="1"/>
    </row>
    <row r="27" spans="1:10" ht="21.75" customHeight="1" x14ac:dyDescent="0.3">
      <c r="A27" s="173" t="s">
        <v>124</v>
      </c>
      <c r="B27" s="173"/>
      <c r="C27" s="173"/>
      <c r="D27" s="173"/>
      <c r="E27" s="173"/>
      <c r="F27" s="173"/>
      <c r="G27" s="173"/>
      <c r="H27" s="173"/>
    </row>
  </sheetData>
  <mergeCells count="4">
    <mergeCell ref="A2:A3"/>
    <mergeCell ref="B2:F2"/>
    <mergeCell ref="H2:H3"/>
    <mergeCell ref="A27:H2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DAB98-44BC-4ACD-9E22-2971BE243875}">
  <dimension ref="A2:G25"/>
  <sheetViews>
    <sheetView zoomScale="130" zoomScaleNormal="130" workbookViewId="0"/>
  </sheetViews>
  <sheetFormatPr defaultRowHeight="14.4" x14ac:dyDescent="0.3"/>
  <cols>
    <col min="1" max="1" width="14.6640625" customWidth="1"/>
    <col min="2" max="5" width="10.44140625" customWidth="1"/>
  </cols>
  <sheetData>
    <row r="2" spans="1:7" ht="22.5" customHeight="1" x14ac:dyDescent="0.3">
      <c r="A2" s="174" t="s">
        <v>1</v>
      </c>
      <c r="B2" s="177" t="s">
        <v>79</v>
      </c>
      <c r="C2" s="177"/>
      <c r="D2" s="177"/>
      <c r="E2" s="177"/>
    </row>
    <row r="3" spans="1:7" ht="30.75" customHeight="1" x14ac:dyDescent="0.3">
      <c r="A3" s="174"/>
      <c r="B3" s="125" t="s">
        <v>125</v>
      </c>
      <c r="C3" s="125" t="s">
        <v>126</v>
      </c>
      <c r="D3" s="125" t="s">
        <v>127</v>
      </c>
      <c r="E3" s="125" t="s">
        <v>128</v>
      </c>
    </row>
    <row r="4" spans="1:7" x14ac:dyDescent="0.3">
      <c r="A4" s="114"/>
      <c r="B4" s="114"/>
      <c r="C4" s="114"/>
      <c r="D4" s="114"/>
      <c r="E4" s="114" t="s">
        <v>129</v>
      </c>
    </row>
    <row r="5" spans="1:7" x14ac:dyDescent="0.3">
      <c r="A5" s="26">
        <v>2024</v>
      </c>
      <c r="B5" s="101">
        <f>'Talejas 1_anotācijai'!BD5</f>
        <v>170695</v>
      </c>
      <c r="C5" s="101">
        <f>'Talejas 1_anotācijai'!AA5</f>
        <v>0</v>
      </c>
      <c r="D5" s="101">
        <f>'Talejas 1_anotācijai'!CI5*-1</f>
        <v>170695</v>
      </c>
      <c r="E5" s="116">
        <f>B5-C5-D5</f>
        <v>0</v>
      </c>
      <c r="G5" s="1"/>
    </row>
    <row r="6" spans="1:7" x14ac:dyDescent="0.3">
      <c r="A6" s="26">
        <v>2025</v>
      </c>
      <c r="B6" s="101">
        <f>'Talejas 1_anotācijai'!BD6</f>
        <v>453672</v>
      </c>
      <c r="C6" s="101">
        <f>'Talejas 1_anotācijai'!AA6</f>
        <v>0</v>
      </c>
      <c r="D6" s="101">
        <f>'Talejas 1_anotācijai'!CI6*-1</f>
        <v>181339</v>
      </c>
      <c r="E6" s="116">
        <f t="shared" ref="E6:E25" si="0">B6-C6-D6</f>
        <v>272333</v>
      </c>
      <c r="G6" s="1"/>
    </row>
    <row r="7" spans="1:7" x14ac:dyDescent="0.3">
      <c r="A7" s="26">
        <v>2026</v>
      </c>
      <c r="B7" s="101">
        <f>'Talejas 1_anotācijai'!BD7</f>
        <v>442884</v>
      </c>
      <c r="C7" s="101">
        <f>'Talejas 1_anotācijai'!AA7</f>
        <v>0</v>
      </c>
      <c r="D7" s="101">
        <f>'Talejas 1_anotācijai'!CI7*-1</f>
        <v>259199</v>
      </c>
      <c r="E7" s="116">
        <f>B7-C7-D7</f>
        <v>183685</v>
      </c>
      <c r="G7" s="1"/>
    </row>
    <row r="8" spans="1:7" x14ac:dyDescent="0.3">
      <c r="A8" s="26">
        <v>2027</v>
      </c>
      <c r="B8" s="101">
        <f>'Talejas 1_anotācijai'!BD8</f>
        <v>381084</v>
      </c>
      <c r="C8" s="101">
        <f>'Talejas 1_anotācijai'!AA8</f>
        <v>0</v>
      </c>
      <c r="D8" s="101">
        <f>'Talejas 1_anotācijai'!CI8*-1</f>
        <v>259199</v>
      </c>
      <c r="E8" s="116">
        <f t="shared" si="0"/>
        <v>121885</v>
      </c>
      <c r="G8" s="1"/>
    </row>
    <row r="9" spans="1:7" x14ac:dyDescent="0.3">
      <c r="A9" s="26">
        <v>2028</v>
      </c>
      <c r="B9" s="101">
        <f>'Talejas 1_anotācijai'!BD9</f>
        <v>364884</v>
      </c>
      <c r="C9" s="101">
        <f>'Talejas 1_anotācijai'!AA9</f>
        <v>0</v>
      </c>
      <c r="D9" s="101">
        <f>'Talejas 1_anotācijai'!CI9*-1</f>
        <v>0</v>
      </c>
      <c r="E9" s="116">
        <f t="shared" si="0"/>
        <v>364884</v>
      </c>
      <c r="G9" s="1"/>
    </row>
    <row r="10" spans="1:7" x14ac:dyDescent="0.3">
      <c r="A10" s="26">
        <v>2029</v>
      </c>
      <c r="B10" s="101">
        <f>'Talejas 1_anotācijai'!BD10</f>
        <v>364884</v>
      </c>
      <c r="C10" s="101">
        <f>'Talejas 1_anotācijai'!AA10</f>
        <v>0</v>
      </c>
      <c r="D10" s="101">
        <f>'Talejas 1_anotācijai'!CI10*-1</f>
        <v>0</v>
      </c>
      <c r="E10" s="116">
        <f t="shared" si="0"/>
        <v>364884</v>
      </c>
      <c r="G10" s="1"/>
    </row>
    <row r="11" spans="1:7" x14ac:dyDescent="0.3">
      <c r="A11" s="26">
        <v>2030</v>
      </c>
      <c r="B11" s="101">
        <f>'Talejas 1_anotācijai'!BD11</f>
        <v>364884</v>
      </c>
      <c r="C11" s="101">
        <f>'Talejas 1_anotācijai'!AA11</f>
        <v>0</v>
      </c>
      <c r="D11" s="101">
        <f>'Talejas 1_anotācijai'!CI11*-1</f>
        <v>0</v>
      </c>
      <c r="E11" s="116">
        <f t="shared" si="0"/>
        <v>364884</v>
      </c>
      <c r="G11" s="1"/>
    </row>
    <row r="12" spans="1:7" x14ac:dyDescent="0.3">
      <c r="A12" s="26">
        <v>2031</v>
      </c>
      <c r="B12" s="101">
        <f>'Talejas 1_anotācijai'!BD12</f>
        <v>364884</v>
      </c>
      <c r="C12" s="101">
        <f>'Talejas 1_anotācijai'!AA12</f>
        <v>0</v>
      </c>
      <c r="D12" s="101">
        <f>'Talejas 1_anotācijai'!CI12*-1</f>
        <v>0</v>
      </c>
      <c r="E12" s="116">
        <f t="shared" si="0"/>
        <v>364884</v>
      </c>
      <c r="G12" s="1"/>
    </row>
    <row r="13" spans="1:7" x14ac:dyDescent="0.3">
      <c r="A13" s="26">
        <v>2032</v>
      </c>
      <c r="B13" s="101">
        <f>'Talejas 1_anotācijai'!BD13</f>
        <v>364884</v>
      </c>
      <c r="C13" s="101">
        <f>'Talejas 1_anotācijai'!AA13</f>
        <v>0</v>
      </c>
      <c r="D13" s="101">
        <f>'Talejas 1_anotācijai'!CI13*-1</f>
        <v>0</v>
      </c>
      <c r="E13" s="116">
        <f t="shared" si="0"/>
        <v>364884</v>
      </c>
      <c r="G13" s="1"/>
    </row>
    <row r="14" spans="1:7" x14ac:dyDescent="0.3">
      <c r="A14" s="26">
        <v>2033</v>
      </c>
      <c r="B14" s="101">
        <f>'Talejas 1_anotācijai'!BD14</f>
        <v>364884</v>
      </c>
      <c r="C14" s="101">
        <f>'Talejas 1_anotācijai'!AA14</f>
        <v>0</v>
      </c>
      <c r="D14" s="101">
        <f>'Talejas 1_anotācijai'!CI14*-1</f>
        <v>0</v>
      </c>
      <c r="E14" s="116">
        <f t="shared" si="0"/>
        <v>364884</v>
      </c>
      <c r="G14" s="1"/>
    </row>
    <row r="15" spans="1:7" x14ac:dyDescent="0.3">
      <c r="A15" s="26">
        <v>2034</v>
      </c>
      <c r="B15" s="101">
        <f>'Talejas 1_anotācijai'!BD15</f>
        <v>364884</v>
      </c>
      <c r="C15" s="101">
        <f>'Talejas 1_anotācijai'!AA15</f>
        <v>0</v>
      </c>
      <c r="D15" s="101">
        <f>'Talejas 1_anotācijai'!CI15*-1</f>
        <v>0</v>
      </c>
      <c r="E15" s="116">
        <f t="shared" si="0"/>
        <v>364884</v>
      </c>
      <c r="G15" s="1"/>
    </row>
    <row r="16" spans="1:7" x14ac:dyDescent="0.3">
      <c r="A16" s="26">
        <v>2035</v>
      </c>
      <c r="B16" s="101">
        <f>'Talejas 1_anotācijai'!BD16</f>
        <v>364884</v>
      </c>
      <c r="C16" s="101">
        <f>'Talejas 1_anotācijai'!AA16</f>
        <v>0</v>
      </c>
      <c r="D16" s="101">
        <f>'Talejas 1_anotācijai'!CI16*-1</f>
        <v>0</v>
      </c>
      <c r="E16" s="116">
        <f t="shared" si="0"/>
        <v>364884</v>
      </c>
      <c r="G16" s="1"/>
    </row>
    <row r="17" spans="1:7" x14ac:dyDescent="0.3">
      <c r="A17" s="26">
        <v>2036</v>
      </c>
      <c r="B17" s="101">
        <f>'Talejas 1_anotācijai'!BD17</f>
        <v>364884</v>
      </c>
      <c r="C17" s="101">
        <f>'Talejas 1_anotācijai'!AA17</f>
        <v>0</v>
      </c>
      <c r="D17" s="101">
        <f>'Talejas 1_anotācijai'!CI17*-1</f>
        <v>0</v>
      </c>
      <c r="E17" s="116">
        <f t="shared" si="0"/>
        <v>364884</v>
      </c>
      <c r="G17" s="1"/>
    </row>
    <row r="18" spans="1:7" x14ac:dyDescent="0.3">
      <c r="A18" s="26">
        <v>2037</v>
      </c>
      <c r="B18" s="101">
        <f>'Talejas 1_anotācijai'!BD18</f>
        <v>364884</v>
      </c>
      <c r="C18" s="101">
        <f>'Talejas 1_anotācijai'!AA18</f>
        <v>0</v>
      </c>
      <c r="D18" s="101">
        <f>'Talejas 1_anotācijai'!CI18*-1</f>
        <v>0</v>
      </c>
      <c r="E18" s="116">
        <f t="shared" si="0"/>
        <v>364884</v>
      </c>
      <c r="G18" s="1"/>
    </row>
    <row r="19" spans="1:7" x14ac:dyDescent="0.3">
      <c r="A19" s="26">
        <v>2038</v>
      </c>
      <c r="B19" s="101">
        <f>'Talejas 1_anotācijai'!BD19</f>
        <v>364884</v>
      </c>
      <c r="C19" s="101">
        <f>'Talejas 1_anotācijai'!AA19</f>
        <v>0</v>
      </c>
      <c r="D19" s="101">
        <f>'Talejas 1_anotācijai'!CI19*-1</f>
        <v>0</v>
      </c>
      <c r="E19" s="116">
        <f t="shared" si="0"/>
        <v>364884</v>
      </c>
      <c r="G19" s="1"/>
    </row>
    <row r="20" spans="1:7" x14ac:dyDescent="0.3">
      <c r="A20" s="26">
        <v>2039</v>
      </c>
      <c r="B20" s="101">
        <f>'Talejas 1_anotācijai'!BD20</f>
        <v>364884</v>
      </c>
      <c r="C20" s="101">
        <f>'Talejas 1_anotācijai'!AA20</f>
        <v>0</v>
      </c>
      <c r="D20" s="101">
        <f>'Talejas 1_anotācijai'!CI20*-1</f>
        <v>0</v>
      </c>
      <c r="E20" s="116">
        <f t="shared" si="0"/>
        <v>364884</v>
      </c>
      <c r="G20" s="1"/>
    </row>
    <row r="21" spans="1:7" x14ac:dyDescent="0.3">
      <c r="A21" s="26">
        <v>2040</v>
      </c>
      <c r="B21" s="101">
        <f>'Talejas 1_anotācijai'!BD21</f>
        <v>364884</v>
      </c>
      <c r="C21" s="101">
        <f>'Talejas 1_anotācijai'!AA21</f>
        <v>0</v>
      </c>
      <c r="D21" s="101">
        <f>'Talejas 1_anotācijai'!CI21*-1</f>
        <v>0</v>
      </c>
      <c r="E21" s="116">
        <f t="shared" si="0"/>
        <v>364884</v>
      </c>
      <c r="G21" s="1"/>
    </row>
    <row r="22" spans="1:7" x14ac:dyDescent="0.3">
      <c r="A22" s="26">
        <v>2041</v>
      </c>
      <c r="B22" s="101">
        <f>'Talejas 1_anotācijai'!BD22</f>
        <v>364884</v>
      </c>
      <c r="C22" s="101">
        <f>'Talejas 1_anotācijai'!AA22</f>
        <v>0</v>
      </c>
      <c r="D22" s="101">
        <f>'Talejas 1_anotācijai'!CI22*-1</f>
        <v>0</v>
      </c>
      <c r="E22" s="116">
        <f t="shared" si="0"/>
        <v>364884</v>
      </c>
      <c r="G22" s="1"/>
    </row>
    <row r="23" spans="1:7" x14ac:dyDescent="0.3">
      <c r="A23" s="26">
        <v>2042</v>
      </c>
      <c r="B23" s="101">
        <f>'Talejas 1_anotācijai'!BD23</f>
        <v>364884</v>
      </c>
      <c r="C23" s="101">
        <f>'Talejas 1_anotācijai'!AA23</f>
        <v>0</v>
      </c>
      <c r="D23" s="101">
        <f>'Talejas 1_anotācijai'!CI23*-1</f>
        <v>0</v>
      </c>
      <c r="E23" s="116">
        <f t="shared" si="0"/>
        <v>364884</v>
      </c>
      <c r="G23" s="1"/>
    </row>
    <row r="24" spans="1:7" x14ac:dyDescent="0.3">
      <c r="A24" s="26">
        <v>2043</v>
      </c>
      <c r="B24" s="101">
        <f>'Talejas 1_anotācijai'!BD24</f>
        <v>364884</v>
      </c>
      <c r="C24" s="101">
        <f>'Talejas 1_anotācijai'!AA24</f>
        <v>0</v>
      </c>
      <c r="D24" s="101">
        <f>'Talejas 1_anotācijai'!CI24*-1</f>
        <v>0</v>
      </c>
      <c r="E24" s="116">
        <f t="shared" si="0"/>
        <v>364884</v>
      </c>
      <c r="G24" s="1"/>
    </row>
    <row r="25" spans="1:7" x14ac:dyDescent="0.3">
      <c r="A25" s="26" t="s">
        <v>30</v>
      </c>
      <c r="B25" s="101">
        <f>'Talejas 1_anotācijai'!BD25</f>
        <v>121628</v>
      </c>
      <c r="C25" s="101">
        <f>'Talejas 1_anotācijai'!AA25</f>
        <v>0</v>
      </c>
      <c r="D25" s="101">
        <f>'Talejas 1_anotācijai'!CI25*-1</f>
        <v>0</v>
      </c>
      <c r="E25" s="116">
        <f t="shared" si="0"/>
        <v>121628</v>
      </c>
      <c r="G25" s="1"/>
    </row>
  </sheetData>
  <mergeCells count="2">
    <mergeCell ref="A2:A3"/>
    <mergeCell ref="B2:E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41736-0338-433B-872C-7935322FD861}">
  <dimension ref="A2:F25"/>
  <sheetViews>
    <sheetView zoomScale="130" zoomScaleNormal="130" workbookViewId="0"/>
  </sheetViews>
  <sheetFormatPr defaultRowHeight="14.4" x14ac:dyDescent="0.3"/>
  <cols>
    <col min="1" max="1" width="14.6640625" customWidth="1"/>
    <col min="2" max="4" width="10.44140625" customWidth="1"/>
  </cols>
  <sheetData>
    <row r="2" spans="1:6" ht="22.5" customHeight="1" x14ac:dyDescent="0.3">
      <c r="A2" s="174" t="s">
        <v>1</v>
      </c>
      <c r="B2" s="177" t="s">
        <v>79</v>
      </c>
      <c r="C2" s="177"/>
      <c r="D2" s="177"/>
    </row>
    <row r="3" spans="1:6" ht="30.75" customHeight="1" x14ac:dyDescent="0.3">
      <c r="A3" s="174"/>
      <c r="B3" s="125" t="s">
        <v>130</v>
      </c>
      <c r="C3" s="125" t="s">
        <v>131</v>
      </c>
      <c r="D3" s="125" t="s">
        <v>132</v>
      </c>
    </row>
    <row r="4" spans="1:6" x14ac:dyDescent="0.3">
      <c r="A4" s="114"/>
      <c r="B4" s="114"/>
      <c r="C4" s="114"/>
      <c r="D4" s="114" t="s">
        <v>133</v>
      </c>
    </row>
    <row r="5" spans="1:6" x14ac:dyDescent="0.3">
      <c r="A5" s="26">
        <v>2024</v>
      </c>
      <c r="B5" s="101">
        <f>'Talejas 1_anotācijai'!AG5</f>
        <v>39288</v>
      </c>
      <c r="C5" s="101">
        <f>B5</f>
        <v>39288</v>
      </c>
      <c r="D5" s="116">
        <f>C5-B5</f>
        <v>0</v>
      </c>
      <c r="F5" s="1"/>
    </row>
    <row r="6" spans="1:6" x14ac:dyDescent="0.3">
      <c r="A6" s="26">
        <v>2025</v>
      </c>
      <c r="B6" s="101">
        <f>'Talejas 1_anotācijai'!AG6</f>
        <v>117864</v>
      </c>
      <c r="C6" s="101">
        <f t="shared" ref="C6:C25" si="0">B6</f>
        <v>117864</v>
      </c>
      <c r="D6" s="116">
        <f t="shared" ref="D6:D25" si="1">C6-B6</f>
        <v>0</v>
      </c>
      <c r="F6" s="1"/>
    </row>
    <row r="7" spans="1:6" x14ac:dyDescent="0.3">
      <c r="A7" s="26">
        <v>2026</v>
      </c>
      <c r="B7" s="101">
        <f>'Talejas 1_anotācijai'!AG7</f>
        <v>117864</v>
      </c>
      <c r="C7" s="101">
        <f t="shared" si="0"/>
        <v>117864</v>
      </c>
      <c r="D7" s="116">
        <f t="shared" si="1"/>
        <v>0</v>
      </c>
      <c r="F7" s="1"/>
    </row>
    <row r="8" spans="1:6" x14ac:dyDescent="0.3">
      <c r="A8" s="26">
        <v>2027</v>
      </c>
      <c r="B8" s="101">
        <f>'Talejas 1_anotācijai'!AG8</f>
        <v>117864</v>
      </c>
      <c r="C8" s="101">
        <f t="shared" si="0"/>
        <v>117864</v>
      </c>
      <c r="D8" s="116">
        <f t="shared" si="1"/>
        <v>0</v>
      </c>
      <c r="F8" s="1"/>
    </row>
    <row r="9" spans="1:6" x14ac:dyDescent="0.3">
      <c r="A9" s="26">
        <v>2028</v>
      </c>
      <c r="B9" s="101">
        <f>'Talejas 1_anotācijai'!AG9</f>
        <v>117864</v>
      </c>
      <c r="C9" s="101">
        <f t="shared" si="0"/>
        <v>117864</v>
      </c>
      <c r="D9" s="116">
        <f t="shared" si="1"/>
        <v>0</v>
      </c>
      <c r="F9" s="1"/>
    </row>
    <row r="10" spans="1:6" x14ac:dyDescent="0.3">
      <c r="A10" s="26">
        <v>2029</v>
      </c>
      <c r="B10" s="101">
        <f>'Talejas 1_anotācijai'!AG10</f>
        <v>78576</v>
      </c>
      <c r="C10" s="101">
        <f t="shared" si="0"/>
        <v>78576</v>
      </c>
      <c r="D10" s="116">
        <f t="shared" si="1"/>
        <v>0</v>
      </c>
      <c r="F10" s="1"/>
    </row>
    <row r="11" spans="1:6" x14ac:dyDescent="0.3">
      <c r="A11" s="26">
        <v>2030</v>
      </c>
      <c r="B11" s="101">
        <f>'Talejas 1_anotācijai'!AG11</f>
        <v>0</v>
      </c>
      <c r="C11" s="101">
        <f t="shared" si="0"/>
        <v>0</v>
      </c>
      <c r="D11" s="116">
        <f t="shared" si="1"/>
        <v>0</v>
      </c>
      <c r="F11" s="1"/>
    </row>
    <row r="12" spans="1:6" x14ac:dyDescent="0.3">
      <c r="A12" s="26">
        <v>2031</v>
      </c>
      <c r="B12" s="101">
        <f>'Talejas 1_anotācijai'!AG12</f>
        <v>0</v>
      </c>
      <c r="C12" s="101">
        <f t="shared" si="0"/>
        <v>0</v>
      </c>
      <c r="D12" s="116">
        <f t="shared" si="1"/>
        <v>0</v>
      </c>
      <c r="F12" s="1"/>
    </row>
    <row r="13" spans="1:6" x14ac:dyDescent="0.3">
      <c r="A13" s="26">
        <v>2032</v>
      </c>
      <c r="B13" s="101">
        <f>'Talejas 1_anotācijai'!AG13</f>
        <v>0</v>
      </c>
      <c r="C13" s="101">
        <f t="shared" si="0"/>
        <v>0</v>
      </c>
      <c r="D13" s="116">
        <f t="shared" si="1"/>
        <v>0</v>
      </c>
      <c r="F13" s="1"/>
    </row>
    <row r="14" spans="1:6" x14ac:dyDescent="0.3">
      <c r="A14" s="26">
        <v>2033</v>
      </c>
      <c r="B14" s="101">
        <f>'Talejas 1_anotācijai'!AG14</f>
        <v>0</v>
      </c>
      <c r="C14" s="101">
        <f t="shared" si="0"/>
        <v>0</v>
      </c>
      <c r="D14" s="116">
        <f t="shared" si="1"/>
        <v>0</v>
      </c>
      <c r="F14" s="1"/>
    </row>
    <row r="15" spans="1:6" x14ac:dyDescent="0.3">
      <c r="A15" s="26">
        <v>2034</v>
      </c>
      <c r="B15" s="101">
        <f>'Talejas 1_anotācijai'!AG15</f>
        <v>0</v>
      </c>
      <c r="C15" s="101">
        <f t="shared" si="0"/>
        <v>0</v>
      </c>
      <c r="D15" s="116">
        <f t="shared" si="1"/>
        <v>0</v>
      </c>
      <c r="F15" s="1"/>
    </row>
    <row r="16" spans="1:6" x14ac:dyDescent="0.3">
      <c r="A16" s="26">
        <v>2035</v>
      </c>
      <c r="B16" s="101">
        <f>'Talejas 1_anotācijai'!AG16</f>
        <v>0</v>
      </c>
      <c r="C16" s="101">
        <f t="shared" si="0"/>
        <v>0</v>
      </c>
      <c r="D16" s="116">
        <f t="shared" si="1"/>
        <v>0</v>
      </c>
      <c r="F16" s="1"/>
    </row>
    <row r="17" spans="1:6" x14ac:dyDescent="0.3">
      <c r="A17" s="26">
        <v>2036</v>
      </c>
      <c r="B17" s="101">
        <f>'Talejas 1_anotācijai'!AG17</f>
        <v>0</v>
      </c>
      <c r="C17" s="101">
        <f t="shared" si="0"/>
        <v>0</v>
      </c>
      <c r="D17" s="116">
        <f t="shared" si="1"/>
        <v>0</v>
      </c>
      <c r="F17" s="1"/>
    </row>
    <row r="18" spans="1:6" x14ac:dyDescent="0.3">
      <c r="A18" s="26">
        <v>2037</v>
      </c>
      <c r="B18" s="101">
        <f>'Talejas 1_anotācijai'!AG18</f>
        <v>0</v>
      </c>
      <c r="C18" s="101">
        <f t="shared" si="0"/>
        <v>0</v>
      </c>
      <c r="D18" s="116">
        <f t="shared" si="1"/>
        <v>0</v>
      </c>
      <c r="F18" s="1"/>
    </row>
    <row r="19" spans="1:6" x14ac:dyDescent="0.3">
      <c r="A19" s="26">
        <v>2038</v>
      </c>
      <c r="B19" s="101">
        <f>'Talejas 1_anotācijai'!AG19</f>
        <v>0</v>
      </c>
      <c r="C19" s="101">
        <f t="shared" si="0"/>
        <v>0</v>
      </c>
      <c r="D19" s="116">
        <f t="shared" si="1"/>
        <v>0</v>
      </c>
      <c r="F19" s="1"/>
    </row>
    <row r="20" spans="1:6" x14ac:dyDescent="0.3">
      <c r="A20" s="26">
        <v>2039</v>
      </c>
      <c r="B20" s="101">
        <f>'Talejas 1_anotācijai'!AG20</f>
        <v>0</v>
      </c>
      <c r="C20" s="101">
        <f t="shared" si="0"/>
        <v>0</v>
      </c>
      <c r="D20" s="116">
        <f t="shared" si="1"/>
        <v>0</v>
      </c>
      <c r="F20" s="1"/>
    </row>
    <row r="21" spans="1:6" x14ac:dyDescent="0.3">
      <c r="A21" s="26">
        <v>2040</v>
      </c>
      <c r="B21" s="101">
        <f>'Talejas 1_anotācijai'!AG21</f>
        <v>0</v>
      </c>
      <c r="C21" s="101">
        <f t="shared" si="0"/>
        <v>0</v>
      </c>
      <c r="D21" s="116">
        <f t="shared" si="1"/>
        <v>0</v>
      </c>
      <c r="F21" s="1"/>
    </row>
    <row r="22" spans="1:6" x14ac:dyDescent="0.3">
      <c r="A22" s="26">
        <v>2041</v>
      </c>
      <c r="B22" s="101">
        <f>'Talejas 1_anotācijai'!AG22</f>
        <v>0</v>
      </c>
      <c r="C22" s="101">
        <f t="shared" si="0"/>
        <v>0</v>
      </c>
      <c r="D22" s="116">
        <f t="shared" si="1"/>
        <v>0</v>
      </c>
      <c r="F22" s="1"/>
    </row>
    <row r="23" spans="1:6" x14ac:dyDescent="0.3">
      <c r="A23" s="26">
        <v>2042</v>
      </c>
      <c r="B23" s="101">
        <f>'Talejas 1_anotācijai'!AG23</f>
        <v>0</v>
      </c>
      <c r="C23" s="101">
        <f t="shared" si="0"/>
        <v>0</v>
      </c>
      <c r="D23" s="116">
        <f t="shared" si="1"/>
        <v>0</v>
      </c>
      <c r="F23" s="1"/>
    </row>
    <row r="24" spans="1:6" x14ac:dyDescent="0.3">
      <c r="A24" s="26">
        <v>2043</v>
      </c>
      <c r="B24" s="101">
        <f>'Talejas 1_anotācijai'!AG24</f>
        <v>0</v>
      </c>
      <c r="C24" s="101">
        <f t="shared" si="0"/>
        <v>0</v>
      </c>
      <c r="D24" s="116">
        <f t="shared" si="1"/>
        <v>0</v>
      </c>
      <c r="F24" s="1"/>
    </row>
    <row r="25" spans="1:6" x14ac:dyDescent="0.3">
      <c r="A25" s="26" t="s">
        <v>30</v>
      </c>
      <c r="B25" s="101">
        <f>'Talejas 1_anotācijai'!AG25</f>
        <v>0</v>
      </c>
      <c r="C25" s="101">
        <f t="shared" si="0"/>
        <v>0</v>
      </c>
      <c r="D25" s="116">
        <f t="shared" si="1"/>
        <v>0</v>
      </c>
      <c r="F25" s="1"/>
    </row>
  </sheetData>
  <mergeCells count="2">
    <mergeCell ref="A2:A3"/>
    <mergeCell ref="B2:D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947B1-524E-4835-8B27-D36D54EF925A}">
  <dimension ref="A2:F25"/>
  <sheetViews>
    <sheetView zoomScale="130" zoomScaleNormal="130" workbookViewId="0"/>
  </sheetViews>
  <sheetFormatPr defaultRowHeight="14.4" x14ac:dyDescent="0.3"/>
  <cols>
    <col min="1" max="1" width="14.6640625" customWidth="1"/>
    <col min="2" max="4" width="10.44140625" customWidth="1"/>
  </cols>
  <sheetData>
    <row r="2" spans="1:6" ht="22.5" customHeight="1" x14ac:dyDescent="0.3">
      <c r="A2" s="174" t="s">
        <v>1</v>
      </c>
      <c r="B2" s="177" t="s">
        <v>79</v>
      </c>
      <c r="C2" s="177"/>
      <c r="D2" s="177"/>
    </row>
    <row r="3" spans="1:6" ht="30.75" customHeight="1" x14ac:dyDescent="0.3">
      <c r="A3" s="174"/>
      <c r="B3" s="125" t="s">
        <v>134</v>
      </c>
      <c r="C3" s="125" t="s">
        <v>135</v>
      </c>
      <c r="D3" s="125" t="s">
        <v>95</v>
      </c>
    </row>
    <row r="4" spans="1:6" x14ac:dyDescent="0.3">
      <c r="A4" s="114"/>
      <c r="B4" s="114"/>
      <c r="C4" s="114"/>
      <c r="D4" s="114" t="s">
        <v>133</v>
      </c>
    </row>
    <row r="5" spans="1:6" x14ac:dyDescent="0.3">
      <c r="A5" s="26">
        <v>2024</v>
      </c>
      <c r="B5" s="101">
        <v>0</v>
      </c>
      <c r="C5" s="101">
        <f>'Talejas 1_anotācijai'!E5+'Talejas 1_anotācijai'!F5</f>
        <v>42090</v>
      </c>
      <c r="D5" s="116">
        <f>C5-B5</f>
        <v>42090</v>
      </c>
      <c r="F5" s="1"/>
    </row>
    <row r="6" spans="1:6" x14ac:dyDescent="0.3">
      <c r="A6" s="26">
        <v>2025</v>
      </c>
      <c r="B6" s="101">
        <v>0</v>
      </c>
      <c r="C6" s="101">
        <f>'Talejas 1_anotācijai'!E6+'Talejas 1_anotācijai'!F6</f>
        <v>42090</v>
      </c>
      <c r="D6" s="116">
        <f t="shared" ref="D6:D25" si="0">C6-B6</f>
        <v>42090</v>
      </c>
      <c r="F6" s="1"/>
    </row>
    <row r="7" spans="1:6" x14ac:dyDescent="0.3">
      <c r="A7" s="26">
        <v>2026</v>
      </c>
      <c r="B7" s="101">
        <v>0</v>
      </c>
      <c r="C7" s="101">
        <f>'Talejas 1_anotācijai'!E7+'Talejas 1_anotācijai'!F7</f>
        <v>42090</v>
      </c>
      <c r="D7" s="116">
        <f t="shared" si="0"/>
        <v>42090</v>
      </c>
      <c r="F7" s="1"/>
    </row>
    <row r="8" spans="1:6" x14ac:dyDescent="0.3">
      <c r="A8" s="26">
        <v>2027</v>
      </c>
      <c r="B8" s="101">
        <v>0</v>
      </c>
      <c r="C8" s="101">
        <f>'Talejas 1_anotācijai'!E8+'Talejas 1_anotācijai'!F8</f>
        <v>42090</v>
      </c>
      <c r="D8" s="116">
        <f t="shared" si="0"/>
        <v>42090</v>
      </c>
      <c r="F8" s="1"/>
    </row>
    <row r="9" spans="1:6" x14ac:dyDescent="0.3">
      <c r="A9" s="26">
        <v>2028</v>
      </c>
      <c r="B9" s="101">
        <v>0</v>
      </c>
      <c r="C9" s="101">
        <f>'Talejas 1_anotācijai'!E9+'Talejas 1_anotācijai'!F9</f>
        <v>42090</v>
      </c>
      <c r="D9" s="116">
        <f t="shared" si="0"/>
        <v>42090</v>
      </c>
      <c r="F9" s="1"/>
    </row>
    <row r="10" spans="1:6" x14ac:dyDescent="0.3">
      <c r="A10" s="26">
        <v>2029</v>
      </c>
      <c r="B10" s="101">
        <v>0</v>
      </c>
      <c r="C10" s="101">
        <f>'Talejas 1_anotācijai'!E10+'Talejas 1_anotācijai'!F10</f>
        <v>42090</v>
      </c>
      <c r="D10" s="116">
        <f t="shared" si="0"/>
        <v>42090</v>
      </c>
      <c r="F10" s="1"/>
    </row>
    <row r="11" spans="1:6" x14ac:dyDescent="0.3">
      <c r="A11" s="26">
        <v>2030</v>
      </c>
      <c r="B11" s="101">
        <v>0</v>
      </c>
      <c r="C11" s="101">
        <f>'Talejas 1_anotācijai'!E11+'Talejas 1_anotācijai'!F11</f>
        <v>42090</v>
      </c>
      <c r="D11" s="116">
        <f t="shared" si="0"/>
        <v>42090</v>
      </c>
      <c r="F11" s="1"/>
    </row>
    <row r="12" spans="1:6" x14ac:dyDescent="0.3">
      <c r="A12" s="26">
        <v>2031</v>
      </c>
      <c r="B12" s="101">
        <v>0</v>
      </c>
      <c r="C12" s="101">
        <f>'Talejas 1_anotācijai'!E12+'Talejas 1_anotācijai'!F12</f>
        <v>42090</v>
      </c>
      <c r="D12" s="116">
        <f t="shared" si="0"/>
        <v>42090</v>
      </c>
      <c r="F12" s="1"/>
    </row>
    <row r="13" spans="1:6" x14ac:dyDescent="0.3">
      <c r="A13" s="26">
        <v>2032</v>
      </c>
      <c r="B13" s="101">
        <v>0</v>
      </c>
      <c r="C13" s="101">
        <f>'Talejas 1_anotācijai'!E13+'Talejas 1_anotācijai'!F13</f>
        <v>42090</v>
      </c>
      <c r="D13" s="116">
        <f t="shared" si="0"/>
        <v>42090</v>
      </c>
      <c r="F13" s="1"/>
    </row>
    <row r="14" spans="1:6" x14ac:dyDescent="0.3">
      <c r="A14" s="26">
        <v>2033</v>
      </c>
      <c r="B14" s="101">
        <v>0</v>
      </c>
      <c r="C14" s="101">
        <f>'Talejas 1_anotācijai'!E14+'Talejas 1_anotācijai'!F14</f>
        <v>42090</v>
      </c>
      <c r="D14" s="116">
        <f t="shared" si="0"/>
        <v>42090</v>
      </c>
      <c r="F14" s="1"/>
    </row>
    <row r="15" spans="1:6" x14ac:dyDescent="0.3">
      <c r="A15" s="26">
        <v>2034</v>
      </c>
      <c r="B15" s="101">
        <v>0</v>
      </c>
      <c r="C15" s="101">
        <f>'Talejas 1_anotācijai'!E15+'Talejas 1_anotācijai'!F15</f>
        <v>42090</v>
      </c>
      <c r="D15" s="116">
        <f t="shared" si="0"/>
        <v>42090</v>
      </c>
      <c r="F15" s="1"/>
    </row>
    <row r="16" spans="1:6" x14ac:dyDescent="0.3">
      <c r="A16" s="26">
        <v>2035</v>
      </c>
      <c r="B16" s="101">
        <v>0</v>
      </c>
      <c r="C16" s="101">
        <f>'Talejas 1_anotācijai'!E16+'Talejas 1_anotācijai'!F16</f>
        <v>42090</v>
      </c>
      <c r="D16" s="116">
        <f t="shared" si="0"/>
        <v>42090</v>
      </c>
      <c r="F16" s="1"/>
    </row>
    <row r="17" spans="1:6" x14ac:dyDescent="0.3">
      <c r="A17" s="26">
        <v>2036</v>
      </c>
      <c r="B17" s="101">
        <v>0</v>
      </c>
      <c r="C17" s="101">
        <f>'Talejas 1_anotācijai'!E17+'Talejas 1_anotācijai'!F17</f>
        <v>42090</v>
      </c>
      <c r="D17" s="116">
        <f t="shared" si="0"/>
        <v>42090</v>
      </c>
      <c r="F17" s="1"/>
    </row>
    <row r="18" spans="1:6" x14ac:dyDescent="0.3">
      <c r="A18" s="26">
        <v>2037</v>
      </c>
      <c r="B18" s="101">
        <v>0</v>
      </c>
      <c r="C18" s="101">
        <f>'Talejas 1_anotācijai'!E18+'Talejas 1_anotācijai'!F18</f>
        <v>42090</v>
      </c>
      <c r="D18" s="116">
        <f t="shared" si="0"/>
        <v>42090</v>
      </c>
      <c r="F18" s="1"/>
    </row>
    <row r="19" spans="1:6" x14ac:dyDescent="0.3">
      <c r="A19" s="26">
        <v>2038</v>
      </c>
      <c r="B19" s="101">
        <v>0</v>
      </c>
      <c r="C19" s="101">
        <f>'Talejas 1_anotācijai'!E19+'Talejas 1_anotācijai'!F19</f>
        <v>42090</v>
      </c>
      <c r="D19" s="116">
        <f t="shared" si="0"/>
        <v>42090</v>
      </c>
      <c r="F19" s="1"/>
    </row>
    <row r="20" spans="1:6" x14ac:dyDescent="0.3">
      <c r="A20" s="26">
        <v>2039</v>
      </c>
      <c r="B20" s="101">
        <v>0</v>
      </c>
      <c r="C20" s="101">
        <f>'Talejas 1_anotācijai'!E20+'Talejas 1_anotācijai'!F20</f>
        <v>42090</v>
      </c>
      <c r="D20" s="116">
        <f t="shared" si="0"/>
        <v>42090</v>
      </c>
      <c r="F20" s="1"/>
    </row>
    <row r="21" spans="1:6" x14ac:dyDescent="0.3">
      <c r="A21" s="26">
        <v>2040</v>
      </c>
      <c r="B21" s="101">
        <v>0</v>
      </c>
      <c r="C21" s="101">
        <f>'Talejas 1_anotācijai'!E21+'Talejas 1_anotācijai'!F21</f>
        <v>42090</v>
      </c>
      <c r="D21" s="116">
        <f t="shared" si="0"/>
        <v>42090</v>
      </c>
      <c r="F21" s="1"/>
    </row>
    <row r="22" spans="1:6" x14ac:dyDescent="0.3">
      <c r="A22" s="26">
        <v>2041</v>
      </c>
      <c r="B22" s="101">
        <v>0</v>
      </c>
      <c r="C22" s="101">
        <f>'Talejas 1_anotācijai'!E22+'Talejas 1_anotācijai'!F22</f>
        <v>42090</v>
      </c>
      <c r="D22" s="116">
        <f t="shared" si="0"/>
        <v>42090</v>
      </c>
      <c r="F22" s="1"/>
    </row>
    <row r="23" spans="1:6" x14ac:dyDescent="0.3">
      <c r="A23" s="26">
        <v>2042</v>
      </c>
      <c r="B23" s="101">
        <v>0</v>
      </c>
      <c r="C23" s="101">
        <f>'Talejas 1_anotācijai'!E23+'Talejas 1_anotācijai'!F23</f>
        <v>42090</v>
      </c>
      <c r="D23" s="116">
        <f t="shared" si="0"/>
        <v>42090</v>
      </c>
      <c r="F23" s="1"/>
    </row>
    <row r="24" spans="1:6" x14ac:dyDescent="0.3">
      <c r="A24" s="26">
        <v>2043</v>
      </c>
      <c r="B24" s="101">
        <v>0</v>
      </c>
      <c r="C24" s="101">
        <f>'Talejas 1_anotācijai'!E24+'Talejas 1_anotācijai'!F24</f>
        <v>42090</v>
      </c>
      <c r="D24" s="116">
        <f t="shared" si="0"/>
        <v>42090</v>
      </c>
      <c r="F24" s="1"/>
    </row>
    <row r="25" spans="1:6" x14ac:dyDescent="0.3">
      <c r="A25" s="26" t="s">
        <v>30</v>
      </c>
      <c r="B25" s="101">
        <v>0</v>
      </c>
      <c r="C25" s="101">
        <f>'Talejas 1_anotācijai'!E25+'Talejas 1_anotācijai'!F25</f>
        <v>10524</v>
      </c>
      <c r="D25" s="116">
        <f t="shared" si="0"/>
        <v>10524</v>
      </c>
      <c r="F25" s="1"/>
    </row>
  </sheetData>
  <mergeCells count="2">
    <mergeCell ref="A2:A3"/>
    <mergeCell ref="B2:D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0B3-1F39-46F2-8329-BCAF663734C0}">
  <dimension ref="A2:U19"/>
  <sheetViews>
    <sheetView zoomScaleNormal="100" workbookViewId="0"/>
  </sheetViews>
  <sheetFormatPr defaultRowHeight="14.4" x14ac:dyDescent="0.3"/>
  <cols>
    <col min="1" max="1" width="12.88671875" customWidth="1"/>
    <col min="2" max="17" width="14.33203125" customWidth="1"/>
    <col min="20" max="20" width="14" bestFit="1" customWidth="1"/>
    <col min="21" max="21" width="15" customWidth="1"/>
  </cols>
  <sheetData>
    <row r="2" spans="1:21" s="138" customFormat="1" ht="19.5" customHeight="1" x14ac:dyDescent="0.3">
      <c r="A2" s="133" t="s">
        <v>136</v>
      </c>
      <c r="B2" s="137"/>
      <c r="C2" s="137"/>
      <c r="D2" s="137"/>
      <c r="E2" s="137"/>
      <c r="F2" s="132">
        <v>34277572</v>
      </c>
      <c r="G2" s="133" t="s">
        <v>137</v>
      </c>
    </row>
    <row r="3" spans="1:21" s="138" customFormat="1" ht="19.5" customHeight="1" x14ac:dyDescent="0.3">
      <c r="A3" s="133" t="s">
        <v>138</v>
      </c>
      <c r="B3" s="137"/>
      <c r="C3" s="137"/>
      <c r="D3" s="137"/>
      <c r="E3" s="137"/>
      <c r="F3" s="132">
        <v>17260000</v>
      </c>
      <c r="G3" s="133" t="s">
        <v>137</v>
      </c>
    </row>
    <row r="4" spans="1:21" x14ac:dyDescent="0.3">
      <c r="A4" s="136"/>
    </row>
    <row r="5" spans="1:21" x14ac:dyDescent="0.3">
      <c r="A5" s="143" t="s">
        <v>139</v>
      </c>
    </row>
    <row r="6" spans="1:21" ht="15" thickBot="1" x14ac:dyDescent="0.35"/>
    <row r="7" spans="1:21" ht="30" customHeight="1" x14ac:dyDescent="0.3">
      <c r="A7" s="153" t="s">
        <v>140</v>
      </c>
      <c r="B7" s="154" t="s">
        <v>141</v>
      </c>
      <c r="C7" s="186" t="s">
        <v>142</v>
      </c>
      <c r="D7" s="184"/>
      <c r="E7" s="185"/>
      <c r="F7" s="186" t="s">
        <v>143</v>
      </c>
      <c r="G7" s="184"/>
      <c r="H7" s="187"/>
      <c r="I7" s="183" t="s">
        <v>144</v>
      </c>
      <c r="J7" s="184"/>
      <c r="K7" s="185"/>
      <c r="L7" s="186" t="s">
        <v>145</v>
      </c>
      <c r="M7" s="184"/>
      <c r="N7" s="187"/>
      <c r="O7" s="183" t="s">
        <v>146</v>
      </c>
      <c r="P7" s="184"/>
      <c r="Q7" s="185"/>
    </row>
    <row r="8" spans="1:21" x14ac:dyDescent="0.3">
      <c r="A8" s="145"/>
      <c r="B8" s="149" t="s">
        <v>147</v>
      </c>
      <c r="C8" s="145" t="s">
        <v>148</v>
      </c>
      <c r="D8" s="144" t="s">
        <v>149</v>
      </c>
      <c r="E8" s="146" t="s">
        <v>150</v>
      </c>
      <c r="F8" s="145" t="s">
        <v>148</v>
      </c>
      <c r="G8" s="144" t="s">
        <v>149</v>
      </c>
      <c r="H8" s="144" t="s">
        <v>150</v>
      </c>
      <c r="I8" s="144" t="s">
        <v>148</v>
      </c>
      <c r="J8" s="144" t="s">
        <v>149</v>
      </c>
      <c r="K8" s="146" t="s">
        <v>150</v>
      </c>
      <c r="L8" s="145" t="s">
        <v>148</v>
      </c>
      <c r="M8" s="144" t="s">
        <v>149</v>
      </c>
      <c r="N8" s="144" t="s">
        <v>150</v>
      </c>
      <c r="O8" s="144" t="s">
        <v>148</v>
      </c>
      <c r="P8" s="144" t="s">
        <v>149</v>
      </c>
      <c r="Q8" s="146" t="s">
        <v>150</v>
      </c>
    </row>
    <row r="9" spans="1:21" x14ac:dyDescent="0.3">
      <c r="A9" s="147" t="s">
        <v>5</v>
      </c>
      <c r="B9" s="150">
        <v>19600.759999999998</v>
      </c>
      <c r="C9" s="152">
        <v>10.2729</v>
      </c>
      <c r="D9" s="135">
        <f>B9*C9</f>
        <v>201356.64740399999</v>
      </c>
      <c r="E9" s="148">
        <f>D9*12</f>
        <v>2416279.7688480001</v>
      </c>
      <c r="F9" s="152">
        <v>8.6374488518812544</v>
      </c>
      <c r="G9" s="135">
        <f>F9*B9</f>
        <v>169300.56195800001</v>
      </c>
      <c r="H9" s="135">
        <f>G9*12</f>
        <v>2031606.7434960001</v>
      </c>
      <c r="I9" s="134">
        <f>C9-F9</f>
        <v>1.6354511481187455</v>
      </c>
      <c r="J9" s="135">
        <f t="shared" ref="J9:K9" si="0">D9-G9</f>
        <v>32056.085445999983</v>
      </c>
      <c r="K9" s="148">
        <f t="shared" si="0"/>
        <v>384673.02535200003</v>
      </c>
      <c r="L9" s="152">
        <v>5.4934000000000003</v>
      </c>
      <c r="M9" s="135">
        <f>B9*L9</f>
        <v>107674.814984</v>
      </c>
      <c r="N9" s="135">
        <f>M9*12</f>
        <v>1292097.779808</v>
      </c>
      <c r="O9" s="134">
        <f>C9-L9</f>
        <v>4.7794999999999996</v>
      </c>
      <c r="P9" s="135">
        <f>D9-M9</f>
        <v>93681.832419999992</v>
      </c>
      <c r="Q9" s="148">
        <f>P9*12</f>
        <v>1124181.9890399999</v>
      </c>
      <c r="S9" s="141"/>
      <c r="T9" s="142"/>
    </row>
    <row r="10" spans="1:21" x14ac:dyDescent="0.3">
      <c r="A10" s="147" t="s">
        <v>10</v>
      </c>
      <c r="B10" s="150">
        <v>8514.65</v>
      </c>
      <c r="C10" s="152">
        <v>9.8130999999999986</v>
      </c>
      <c r="D10" s="135">
        <f>B10*C10</f>
        <v>83555.111914999987</v>
      </c>
      <c r="E10" s="148">
        <f t="shared" ref="E10:E15" si="1">D10*12</f>
        <v>1002661.3429799998</v>
      </c>
      <c r="F10" s="152">
        <v>8.2643000000000004</v>
      </c>
      <c r="G10" s="135">
        <f t="shared" ref="G10:G15" si="2">F10*B10</f>
        <v>70367.621994999994</v>
      </c>
      <c r="H10" s="135">
        <f t="shared" ref="H10:H16" si="3">G10*12</f>
        <v>844411.46393999993</v>
      </c>
      <c r="I10" s="134">
        <f t="shared" ref="I10:I15" si="4">C10-F10</f>
        <v>1.5487999999999982</v>
      </c>
      <c r="J10" s="135">
        <f t="shared" ref="J10:J15" si="5">D10-G10</f>
        <v>13187.489919999993</v>
      </c>
      <c r="K10" s="148">
        <f t="shared" ref="K10:K15" si="6">E10-H10</f>
        <v>158249.87903999991</v>
      </c>
      <c r="L10" s="152">
        <v>5.2513999999999994</v>
      </c>
      <c r="M10" s="135">
        <f>B10*L10</f>
        <v>44713.833009999995</v>
      </c>
      <c r="N10" s="135">
        <f t="shared" ref="N10:N15" si="7">M10*12</f>
        <v>536565.99611999991</v>
      </c>
      <c r="O10" s="134">
        <f t="shared" ref="O10:O15" si="8">C10-L10</f>
        <v>4.5616999999999992</v>
      </c>
      <c r="P10" s="135">
        <f t="shared" ref="P10:P16" si="9">D10-M10</f>
        <v>38841.278904999992</v>
      </c>
      <c r="Q10" s="148">
        <f>P10*12</f>
        <v>466095.34685999993</v>
      </c>
      <c r="S10" s="141"/>
      <c r="T10" s="142"/>
    </row>
    <row r="11" spans="1:21" x14ac:dyDescent="0.3">
      <c r="A11" s="147" t="s">
        <v>11</v>
      </c>
      <c r="B11" s="150">
        <v>1918.3</v>
      </c>
      <c r="C11" s="152">
        <v>9.8130999999999986</v>
      </c>
      <c r="D11" s="135">
        <f>B11*C11</f>
        <v>18824.469729999997</v>
      </c>
      <c r="E11" s="148">
        <f t="shared" si="1"/>
        <v>225893.63675999996</v>
      </c>
      <c r="F11" s="152">
        <v>8.2643000000000004</v>
      </c>
      <c r="G11" s="135">
        <f t="shared" si="2"/>
        <v>15853.40669</v>
      </c>
      <c r="H11" s="135">
        <f t="shared" si="3"/>
        <v>190240.88027999998</v>
      </c>
      <c r="I11" s="134">
        <f t="shared" si="4"/>
        <v>1.5487999999999982</v>
      </c>
      <c r="J11" s="135">
        <f t="shared" si="5"/>
        <v>2971.0630399999973</v>
      </c>
      <c r="K11" s="148">
        <f t="shared" si="6"/>
        <v>35652.756479999982</v>
      </c>
      <c r="L11" s="152">
        <v>5.2513999999999994</v>
      </c>
      <c r="M11" s="135">
        <f>B11*L11</f>
        <v>10073.760619999999</v>
      </c>
      <c r="N11" s="135">
        <f t="shared" si="7"/>
        <v>120885.12743999998</v>
      </c>
      <c r="O11" s="134">
        <f t="shared" si="8"/>
        <v>4.5616999999999992</v>
      </c>
      <c r="P11" s="135">
        <f t="shared" si="9"/>
        <v>8750.709109999998</v>
      </c>
      <c r="Q11" s="148">
        <f>P11*12</f>
        <v>105008.50931999998</v>
      </c>
      <c r="S11" s="141"/>
      <c r="T11" s="142"/>
    </row>
    <row r="12" spans="1:21" x14ac:dyDescent="0.3">
      <c r="A12" s="147" t="s">
        <v>8</v>
      </c>
      <c r="B12" s="150">
        <v>2759.1</v>
      </c>
      <c r="C12" s="152">
        <v>9.8130999999999986</v>
      </c>
      <c r="D12" s="135">
        <f t="shared" ref="D12:D15" si="10">B12*C12</f>
        <v>27075.324209999995</v>
      </c>
      <c r="E12" s="148">
        <f t="shared" si="1"/>
        <v>324903.89051999996</v>
      </c>
      <c r="F12" s="152">
        <v>8.2643000000000004</v>
      </c>
      <c r="G12" s="135">
        <f t="shared" si="2"/>
        <v>22802.030129999999</v>
      </c>
      <c r="H12" s="135">
        <f t="shared" si="3"/>
        <v>273624.36155999999</v>
      </c>
      <c r="I12" s="134">
        <f t="shared" si="4"/>
        <v>1.5487999999999982</v>
      </c>
      <c r="J12" s="135">
        <f t="shared" si="5"/>
        <v>4273.294079999996</v>
      </c>
      <c r="K12" s="148">
        <f t="shared" si="6"/>
        <v>51279.528959999967</v>
      </c>
      <c r="L12" s="152">
        <v>5.2513999999999994</v>
      </c>
      <c r="M12" s="135">
        <f t="shared" ref="M12:M15" si="11">B12*L12</f>
        <v>14489.137739999998</v>
      </c>
      <c r="N12" s="135">
        <f t="shared" si="7"/>
        <v>173869.65287999998</v>
      </c>
      <c r="O12" s="134">
        <f t="shared" si="8"/>
        <v>4.5616999999999992</v>
      </c>
      <c r="P12" s="135">
        <f t="shared" si="9"/>
        <v>12586.186469999997</v>
      </c>
      <c r="Q12" s="148">
        <f t="shared" ref="Q12:Q16" si="12">P12*12</f>
        <v>151034.23763999995</v>
      </c>
      <c r="S12" s="141"/>
      <c r="T12" s="142"/>
    </row>
    <row r="13" spans="1:21" x14ac:dyDescent="0.3">
      <c r="A13" s="147" t="s">
        <v>7</v>
      </c>
      <c r="B13" s="150">
        <v>16</v>
      </c>
      <c r="C13" s="152">
        <v>9.8130999999999986</v>
      </c>
      <c r="D13" s="135">
        <f t="shared" si="10"/>
        <v>157.00959999999998</v>
      </c>
      <c r="E13" s="148">
        <f t="shared" si="1"/>
        <v>1884.1151999999997</v>
      </c>
      <c r="F13" s="152">
        <v>8.2643000000000004</v>
      </c>
      <c r="G13" s="135">
        <f t="shared" si="2"/>
        <v>132.22880000000001</v>
      </c>
      <c r="H13" s="135">
        <f t="shared" si="3"/>
        <v>1586.7456000000002</v>
      </c>
      <c r="I13" s="134">
        <f t="shared" si="4"/>
        <v>1.5487999999999982</v>
      </c>
      <c r="J13" s="135">
        <f t="shared" si="5"/>
        <v>24.780799999999971</v>
      </c>
      <c r="K13" s="148">
        <f t="shared" si="6"/>
        <v>297.36959999999954</v>
      </c>
      <c r="L13" s="152">
        <v>5.2513999999999994</v>
      </c>
      <c r="M13" s="135">
        <f t="shared" si="11"/>
        <v>84.02239999999999</v>
      </c>
      <c r="N13" s="135">
        <f t="shared" si="7"/>
        <v>1008.2687999999998</v>
      </c>
      <c r="O13" s="134">
        <f t="shared" si="8"/>
        <v>4.5616999999999992</v>
      </c>
      <c r="P13" s="135">
        <f t="shared" si="9"/>
        <v>72.987199999999987</v>
      </c>
      <c r="Q13" s="148">
        <f t="shared" si="12"/>
        <v>875.8463999999999</v>
      </c>
      <c r="S13" s="141"/>
      <c r="T13" s="142"/>
    </row>
    <row r="14" spans="1:21" x14ac:dyDescent="0.3">
      <c r="A14" s="147" t="s">
        <v>9</v>
      </c>
      <c r="B14" s="151">
        <v>1388.6</v>
      </c>
      <c r="C14" s="152">
        <v>9.8130999999999986</v>
      </c>
      <c r="D14" s="135">
        <f t="shared" si="10"/>
        <v>13626.470659999997</v>
      </c>
      <c r="E14" s="148">
        <f t="shared" si="1"/>
        <v>163517.64791999996</v>
      </c>
      <c r="F14" s="152">
        <v>8.2643000000000004</v>
      </c>
      <c r="G14" s="135">
        <f t="shared" si="2"/>
        <v>11475.806979999999</v>
      </c>
      <c r="H14" s="135">
        <f t="shared" si="3"/>
        <v>137709.68375999999</v>
      </c>
      <c r="I14" s="134">
        <f t="shared" si="4"/>
        <v>1.5487999999999982</v>
      </c>
      <c r="J14" s="135">
        <f t="shared" si="5"/>
        <v>2150.6636799999978</v>
      </c>
      <c r="K14" s="148">
        <f t="shared" si="6"/>
        <v>25807.964159999974</v>
      </c>
      <c r="L14" s="152">
        <v>5.2513999999999994</v>
      </c>
      <c r="M14" s="135">
        <f t="shared" si="11"/>
        <v>7292.094039999999</v>
      </c>
      <c r="N14" s="135">
        <f t="shared" si="7"/>
        <v>87505.128479999985</v>
      </c>
      <c r="O14" s="134">
        <f t="shared" si="8"/>
        <v>4.5616999999999992</v>
      </c>
      <c r="P14" s="135">
        <f t="shared" si="9"/>
        <v>6334.3766199999982</v>
      </c>
      <c r="Q14" s="148">
        <f t="shared" si="12"/>
        <v>76012.519439999975</v>
      </c>
      <c r="S14" s="141"/>
      <c r="T14" s="142"/>
    </row>
    <row r="15" spans="1:21" x14ac:dyDescent="0.3">
      <c r="A15" s="147" t="s">
        <v>6</v>
      </c>
      <c r="B15" s="150">
        <v>511.6</v>
      </c>
      <c r="C15" s="152">
        <v>9.8130999999999986</v>
      </c>
      <c r="D15" s="135">
        <f t="shared" si="10"/>
        <v>5020.3819599999997</v>
      </c>
      <c r="E15" s="148">
        <f t="shared" si="1"/>
        <v>60244.58352</v>
      </c>
      <c r="F15" s="152">
        <v>8.2643000000000004</v>
      </c>
      <c r="G15" s="135">
        <f t="shared" si="2"/>
        <v>4228.0158800000008</v>
      </c>
      <c r="H15" s="135">
        <f t="shared" si="3"/>
        <v>50736.19056000001</v>
      </c>
      <c r="I15" s="134">
        <f t="shared" si="4"/>
        <v>1.5487999999999982</v>
      </c>
      <c r="J15" s="135">
        <f t="shared" si="5"/>
        <v>792.36607999999887</v>
      </c>
      <c r="K15" s="148">
        <f t="shared" si="6"/>
        <v>9508.3929599999901</v>
      </c>
      <c r="L15" s="152">
        <v>5.2513999999999994</v>
      </c>
      <c r="M15" s="135">
        <f t="shared" si="11"/>
        <v>2686.6162399999998</v>
      </c>
      <c r="N15" s="135">
        <f t="shared" si="7"/>
        <v>32239.39488</v>
      </c>
      <c r="O15" s="134">
        <f t="shared" si="8"/>
        <v>4.5616999999999992</v>
      </c>
      <c r="P15" s="135">
        <f t="shared" si="9"/>
        <v>2333.7657199999999</v>
      </c>
      <c r="Q15" s="148">
        <f t="shared" si="12"/>
        <v>28005.18864</v>
      </c>
      <c r="S15" s="141"/>
      <c r="T15" s="142"/>
    </row>
    <row r="16" spans="1:21" ht="15" thickBot="1" x14ac:dyDescent="0.35">
      <c r="A16" s="155" t="s">
        <v>151</v>
      </c>
      <c r="B16" s="156">
        <f>SUM(B9:B15)</f>
        <v>34709.009999999995</v>
      </c>
      <c r="C16" s="157"/>
      <c r="D16" s="158">
        <f>SUM(D9:D15)</f>
        <v>349615.41547899996</v>
      </c>
      <c r="E16" s="159">
        <f>SUM(E9:E15)</f>
        <v>4195384.9857479995</v>
      </c>
      <c r="F16" s="160"/>
      <c r="G16" s="158">
        <f>SUM(G9:G15)</f>
        <v>294159.672433</v>
      </c>
      <c r="H16" s="158">
        <f t="shared" si="3"/>
        <v>3529916.0691959998</v>
      </c>
      <c r="I16" s="158"/>
      <c r="J16" s="158">
        <f>SUM(J9:J15)</f>
        <v>55455.74304599996</v>
      </c>
      <c r="K16" s="159">
        <f>SUM(K9:K15)</f>
        <v>665468.91655199975</v>
      </c>
      <c r="L16" s="157"/>
      <c r="M16" s="158">
        <f>SUM(M9:M15)</f>
        <v>187014.27903399998</v>
      </c>
      <c r="N16" s="158">
        <f>SUM(N9:N15)</f>
        <v>2244171.3484080001</v>
      </c>
      <c r="O16" s="161"/>
      <c r="P16" s="158">
        <f t="shared" si="9"/>
        <v>162601.13644499998</v>
      </c>
      <c r="Q16" s="159">
        <f t="shared" si="12"/>
        <v>1951213.6373399999</v>
      </c>
      <c r="T16" s="142"/>
      <c r="U16" s="142"/>
    </row>
    <row r="18" spans="5:20" x14ac:dyDescent="0.3">
      <c r="E18" s="140"/>
      <c r="F18" s="140"/>
      <c r="G18" s="140"/>
      <c r="H18" s="140"/>
      <c r="I18" s="140"/>
      <c r="J18" s="140"/>
      <c r="K18" s="140"/>
      <c r="T18" s="140"/>
    </row>
    <row r="19" spans="5:20" x14ac:dyDescent="0.3">
      <c r="E19" s="140"/>
      <c r="F19" s="140"/>
      <c r="G19" s="140"/>
      <c r="H19" s="140"/>
      <c r="I19" s="140"/>
      <c r="J19" s="140"/>
      <c r="K19" s="140"/>
    </row>
  </sheetData>
  <mergeCells count="5">
    <mergeCell ref="O7:Q7"/>
    <mergeCell ref="C7:E7"/>
    <mergeCell ref="L7:N7"/>
    <mergeCell ref="F7:H7"/>
    <mergeCell ref="I7:K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2AE53-0E8D-4A12-99B2-5F070BE9CEB0}">
  <dimension ref="A2:L28"/>
  <sheetViews>
    <sheetView tabSelected="1" topLeftCell="A23" zoomScale="130" zoomScaleNormal="130" workbookViewId="0"/>
  </sheetViews>
  <sheetFormatPr defaultRowHeight="14.4" x14ac:dyDescent="0.3"/>
  <cols>
    <col min="2" max="2" width="10.33203125" customWidth="1"/>
    <col min="3" max="3" width="20.109375" customWidth="1"/>
    <col min="4" max="4" width="3.6640625" customWidth="1"/>
    <col min="5" max="6" width="23.33203125" customWidth="1"/>
    <col min="7" max="7" width="4.33203125" customWidth="1"/>
    <col min="8" max="9" width="23.33203125" customWidth="1"/>
    <col min="10" max="10" width="4.109375" customWidth="1"/>
    <col min="12" max="12" width="10.6640625" bestFit="1" customWidth="1"/>
  </cols>
  <sheetData>
    <row r="2" spans="1:9" ht="30.75" customHeight="1" x14ac:dyDescent="0.3">
      <c r="A2" s="164" t="s">
        <v>0</v>
      </c>
      <c r="B2" s="164" t="s">
        <v>1</v>
      </c>
      <c r="C2" s="164" t="s">
        <v>152</v>
      </c>
      <c r="E2" s="191" t="s">
        <v>153</v>
      </c>
      <c r="F2" s="192"/>
      <c r="H2" s="191" t="s">
        <v>154</v>
      </c>
      <c r="I2" s="192"/>
    </row>
    <row r="3" spans="1:9" ht="42" customHeight="1" x14ac:dyDescent="0.3">
      <c r="A3" s="164"/>
      <c r="B3" s="164"/>
      <c r="C3" s="164"/>
      <c r="E3" s="120" t="s">
        <v>155</v>
      </c>
      <c r="F3" s="120" t="s">
        <v>156</v>
      </c>
      <c r="H3" s="120" t="s">
        <v>155</v>
      </c>
      <c r="I3" s="120" t="s">
        <v>156</v>
      </c>
    </row>
    <row r="4" spans="1:9" ht="15" customHeight="1" x14ac:dyDescent="0.3">
      <c r="A4" s="113"/>
      <c r="B4" s="113"/>
      <c r="C4" s="113"/>
      <c r="E4" s="113"/>
      <c r="F4" s="114" t="s">
        <v>157</v>
      </c>
      <c r="H4" s="113"/>
      <c r="I4" s="114" t="s">
        <v>158</v>
      </c>
    </row>
    <row r="5" spans="1:9" ht="15" customHeight="1" x14ac:dyDescent="0.3">
      <c r="A5" s="113">
        <v>1</v>
      </c>
      <c r="B5" s="113">
        <v>2024</v>
      </c>
      <c r="C5" s="131">
        <f>VID!B5+VI!I5+EM!O5+LRP!I5+IAUI!C5+IEM!D5+AIM!C5+LM!C5</f>
        <v>7280170</v>
      </c>
      <c r="E5" s="131">
        <f>SUM('Talejas 1_anotācijai'!AF5,'Talejas 1_anotācijai'!AG5,'Talejas 1_anotācijai'!AJ5,'Talejas 1_anotācijai'!AN5,'Talejas 1_anotācijai'!AR5,'Talejas 1_anotācijai'!AW5,'Talejas 1_anotācijai'!AX5,'Talejas 1_anotācijai'!BA5,'Talejas 1_anotācijai'!BB5,'Talejas 1_anotācijai'!BD5)</f>
        <v>7024591</v>
      </c>
      <c r="F5" s="50">
        <f t="shared" ref="F5:F25" si="0">E5-C5</f>
        <v>-255579</v>
      </c>
      <c r="H5" s="131">
        <f>E5</f>
        <v>7024591</v>
      </c>
      <c r="I5" s="50">
        <f>H5-C5</f>
        <v>-255579</v>
      </c>
    </row>
    <row r="6" spans="1:9" ht="15" customHeight="1" x14ac:dyDescent="0.3">
      <c r="A6" s="113">
        <f>A5+1</f>
        <v>2</v>
      </c>
      <c r="B6" s="113">
        <v>2025</v>
      </c>
      <c r="C6" s="131">
        <f>VID!B6+VI!I6+EM!O6+LRP!I6+IAUI!C6+IEM!D6+AIM!C6+LM!C6</f>
        <v>7511124</v>
      </c>
      <c r="E6" s="131">
        <f>SUM('Talejas 1_anotācijai'!AF6,'Talejas 1_anotācijai'!AG6,'Talejas 1_anotācijai'!AJ6,'Talejas 1_anotācijai'!AN6,'Talejas 1_anotācijai'!AR6,'Talejas 1_anotācijai'!AW6,'Talejas 1_anotācijai'!AX6,'Talejas 1_anotācijai'!BA6,'Talejas 1_anotācijai'!BB6,'Talejas 1_anotācijai'!BD6)</f>
        <v>7471220</v>
      </c>
      <c r="F6" s="50">
        <f t="shared" si="0"/>
        <v>-39904</v>
      </c>
      <c r="H6" s="131">
        <f>E6</f>
        <v>7471220</v>
      </c>
      <c r="I6" s="50">
        <f t="shared" ref="I6:I25" si="1">H6-C6</f>
        <v>-39904</v>
      </c>
    </row>
    <row r="7" spans="1:9" ht="15" customHeight="1" x14ac:dyDescent="0.3">
      <c r="A7" s="113">
        <f t="shared" ref="A7:A25" si="2">A6+1</f>
        <v>3</v>
      </c>
      <c r="B7" s="113">
        <v>2026</v>
      </c>
      <c r="C7" s="131">
        <f>VID!B7+VI!I7+EM!O7+LRP!I7+IAUI!C7+IEM!D7+AIM!C7+LM!C7</f>
        <v>8155392</v>
      </c>
      <c r="E7" s="131">
        <f>SUM('Talejas 1_anotācijai'!AF7,'Talejas 1_anotācijai'!AG7,'Talejas 1_anotācijai'!AJ7,'Talejas 1_anotācijai'!AN7,'Talejas 1_anotācijai'!AR7,'Talejas 1_anotācijai'!AW7,'Talejas 1_anotācijai'!AX7,'Talejas 1_anotācijai'!BA7,'Talejas 1_anotācijai'!BB7,'Talejas 1_anotācijai'!BD7)</f>
        <v>7973879</v>
      </c>
      <c r="F7" s="50">
        <f t="shared" si="0"/>
        <v>-181513</v>
      </c>
      <c r="H7" s="119">
        <f>E7+6*('K komponentes izmaiņas'!D16-'K komponentes izmaiņas'!G16)</f>
        <v>8306613.4582759999</v>
      </c>
      <c r="I7" s="50">
        <f t="shared" si="1"/>
        <v>151221.45827599987</v>
      </c>
    </row>
    <row r="8" spans="1:9" ht="15" customHeight="1" x14ac:dyDescent="0.3">
      <c r="A8" s="113">
        <f t="shared" si="2"/>
        <v>4</v>
      </c>
      <c r="B8" s="26">
        <v>2027</v>
      </c>
      <c r="C8" s="131">
        <f>VID!B8+VI!I8+EM!O8+LRP!I8+IAUI!C8+IEM!D8+AIM!C8+LM!C8</f>
        <v>8053034</v>
      </c>
      <c r="E8" s="131">
        <f>SUM('Talejas 1_anotācijai'!AF8,'Talejas 1_anotācijai'!AG8,'Talejas 1_anotācijai'!AJ8,'Talejas 1_anotācijai'!AN8,'Talejas 1_anotācijai'!AR8,'Talejas 1_anotācijai'!AW8,'Talejas 1_anotācijai'!AX8,'Talejas 1_anotācijai'!BA8,'Talejas 1_anotācijai'!BB8,'Talejas 1_anotācijai'!BD8)</f>
        <v>7379532</v>
      </c>
      <c r="F8" s="50">
        <f t="shared" si="0"/>
        <v>-673502</v>
      </c>
      <c r="H8" s="131">
        <f>E8+('K komponentes izmaiņas'!$E$16-'K komponentes izmaiņas'!$N$16)</f>
        <v>9330745.6373399999</v>
      </c>
      <c r="I8" s="50">
        <f t="shared" si="1"/>
        <v>1277711.6373399999</v>
      </c>
    </row>
    <row r="9" spans="1:9" ht="15" customHeight="1" x14ac:dyDescent="0.3">
      <c r="A9" s="113">
        <f t="shared" si="2"/>
        <v>5</v>
      </c>
      <c r="B9" s="26">
        <v>2028</v>
      </c>
      <c r="C9" s="131">
        <f>VID!B9+VI!I9+EM!O9+LRP!I9+IAUI!C9+IEM!D9+AIM!C9+LM!C9</f>
        <v>7793835</v>
      </c>
      <c r="E9" s="131">
        <f>SUM('Talejas 1_anotācijai'!AF9,'Talejas 1_anotācijai'!AG9,'Talejas 1_anotācijai'!AJ9,'Talejas 1_anotācijai'!AN9,'Talejas 1_anotācijai'!AR9,'Talejas 1_anotācijai'!AW9,'Talejas 1_anotācijai'!AX9,'Talejas 1_anotācijai'!BA9,'Talejas 1_anotācijai'!BB9,'Talejas 1_anotācijai'!BD9)</f>
        <v>7363332</v>
      </c>
      <c r="F9" s="50">
        <f t="shared" si="0"/>
        <v>-430503</v>
      </c>
      <c r="H9" s="131">
        <f>E9+('K komponentes izmaiņas'!$E$16-'K komponentes izmaiņas'!$N$16)</f>
        <v>9314545.6373399999</v>
      </c>
      <c r="I9" s="50">
        <f t="shared" si="1"/>
        <v>1520710.6373399999</v>
      </c>
    </row>
    <row r="10" spans="1:9" ht="15" customHeight="1" x14ac:dyDescent="0.3">
      <c r="A10" s="113">
        <f t="shared" si="2"/>
        <v>6</v>
      </c>
      <c r="B10" s="26">
        <v>2029</v>
      </c>
      <c r="C10" s="131">
        <f>VID!B10+VI!I10+EM!O10+LRP!I10+IAUI!C10+IEM!D10+AIM!C10+LM!C10</f>
        <v>7754547</v>
      </c>
      <c r="E10" s="131">
        <f>SUM('Talejas 1_anotācijai'!AF10,'Talejas 1_anotācijai'!AG10,'Talejas 1_anotācijai'!AJ10,'Talejas 1_anotācijai'!AN10,'Talejas 1_anotācijai'!AR10,'Talejas 1_anotācijai'!AW10,'Talejas 1_anotācijai'!AX10,'Talejas 1_anotācijai'!BA10,'Talejas 1_anotācijai'!BB10,'Talejas 1_anotācijai'!BD10)</f>
        <v>7324044</v>
      </c>
      <c r="F10" s="50">
        <f t="shared" si="0"/>
        <v>-430503</v>
      </c>
      <c r="H10" s="131">
        <f>E10+('K komponentes izmaiņas'!$E$16-'K komponentes izmaiņas'!$N$16)</f>
        <v>9275257.6373399999</v>
      </c>
      <c r="I10" s="50">
        <f t="shared" si="1"/>
        <v>1520710.6373399999</v>
      </c>
    </row>
    <row r="11" spans="1:9" ht="15" customHeight="1" x14ac:dyDescent="0.3">
      <c r="A11" s="113">
        <f t="shared" si="2"/>
        <v>7</v>
      </c>
      <c r="B11" s="26">
        <v>2030</v>
      </c>
      <c r="C11" s="131">
        <f>VID!B11+VI!I11+EM!O11+LRP!I11+IAUI!C11+IEM!D11+AIM!C11+LM!C11</f>
        <v>7675971</v>
      </c>
      <c r="E11" s="131">
        <f>SUM('Talejas 1_anotācijai'!AF11,'Talejas 1_anotācijai'!AG11,'Talejas 1_anotācijai'!AJ11,'Talejas 1_anotācijai'!AN11,'Talejas 1_anotācijai'!AR11,'Talejas 1_anotācijai'!AW11,'Talejas 1_anotācijai'!AX11,'Talejas 1_anotācijai'!BA11,'Talejas 1_anotācijai'!BB11,'Talejas 1_anotācijai'!BD11)</f>
        <v>7212072</v>
      </c>
      <c r="F11" s="50">
        <f t="shared" si="0"/>
        <v>-463899</v>
      </c>
      <c r="H11" s="131">
        <f>E11+('K komponentes izmaiņas'!$E$16-'K komponentes izmaiņas'!$N$16)</f>
        <v>9163285.6373399999</v>
      </c>
      <c r="I11" s="50">
        <f t="shared" si="1"/>
        <v>1487314.6373399999</v>
      </c>
    </row>
    <row r="12" spans="1:9" ht="15" customHeight="1" x14ac:dyDescent="0.3">
      <c r="A12" s="113">
        <f t="shared" si="2"/>
        <v>8</v>
      </c>
      <c r="B12" s="26">
        <v>2031</v>
      </c>
      <c r="C12" s="131">
        <f>VID!B12+VI!I12+EM!O12+LRP!I12+IAUI!C12+IEM!D12+AIM!C12+LM!C12</f>
        <v>7675971</v>
      </c>
      <c r="E12" s="131">
        <f>SUM('Talejas 1_anotācijai'!AF12,'Talejas 1_anotācijai'!AG12,'Talejas 1_anotācijai'!AJ12,'Talejas 1_anotācijai'!AN12,'Talejas 1_anotācijai'!AR12,'Talejas 1_anotācijai'!AW12,'Talejas 1_anotācijai'!AX12,'Talejas 1_anotācijai'!BA12,'Talejas 1_anotācijai'!BB12,'Talejas 1_anotācijai'!BD12)</f>
        <v>7145280</v>
      </c>
      <c r="F12" s="50">
        <f t="shared" si="0"/>
        <v>-530691</v>
      </c>
      <c r="H12" s="131">
        <f>E12+('K komponentes izmaiņas'!$E$16-'K komponentes izmaiņas'!$N$16)</f>
        <v>9096493.6373399999</v>
      </c>
      <c r="I12" s="50">
        <f t="shared" si="1"/>
        <v>1420522.6373399999</v>
      </c>
    </row>
    <row r="13" spans="1:9" ht="15" customHeight="1" x14ac:dyDescent="0.3">
      <c r="A13" s="113">
        <f t="shared" si="2"/>
        <v>9</v>
      </c>
      <c r="B13" s="26">
        <v>2032</v>
      </c>
      <c r="C13" s="131">
        <f>VID!B13+VI!I13+EM!O13+LRP!I13+IAUI!C13+IEM!D13+AIM!C13+LM!C13</f>
        <v>7675971</v>
      </c>
      <c r="E13" s="131">
        <f>SUM('Talejas 1_anotācijai'!AF13,'Talejas 1_anotācijai'!AG13,'Talejas 1_anotācijai'!AJ13,'Talejas 1_anotācijai'!AN13,'Talejas 1_anotācijai'!AR13,'Talejas 1_anotācijai'!AW13,'Talejas 1_anotācijai'!AX13,'Talejas 1_anotācijai'!BA13,'Talejas 1_anotācijai'!BB13,'Talejas 1_anotācijai'!BD13)</f>
        <v>6540096</v>
      </c>
      <c r="F13" s="50">
        <f t="shared" si="0"/>
        <v>-1135875</v>
      </c>
      <c r="H13" s="131">
        <f>E13+('K komponentes izmaiņas'!$E$16-'K komponentes izmaiņas'!$N$16)</f>
        <v>8491309.6373399999</v>
      </c>
      <c r="I13" s="50">
        <f t="shared" si="1"/>
        <v>815338.6373399999</v>
      </c>
    </row>
    <row r="14" spans="1:9" ht="15" customHeight="1" x14ac:dyDescent="0.3">
      <c r="A14" s="113">
        <f t="shared" si="2"/>
        <v>10</v>
      </c>
      <c r="B14" s="26">
        <v>2033</v>
      </c>
      <c r="C14" s="131">
        <f>VID!B14+VI!I14+EM!O14+LRP!I14+IAUI!C14+IEM!D14+AIM!C14+LM!C14</f>
        <v>7675971</v>
      </c>
      <c r="E14" s="131">
        <f>SUM('Talejas 1_anotācijai'!AF14,'Talejas 1_anotācijai'!AG14,'Talejas 1_anotācijai'!AJ14,'Talejas 1_anotācijai'!AN14,'Talejas 1_anotācijai'!AR14,'Talejas 1_anotācijai'!AW14,'Talejas 1_anotācijai'!AX14,'Talejas 1_anotācijai'!BA14,'Talejas 1_anotācijai'!BB14,'Talejas 1_anotācijai'!BD14)</f>
        <v>6540096</v>
      </c>
      <c r="F14" s="50">
        <f t="shared" si="0"/>
        <v>-1135875</v>
      </c>
      <c r="H14" s="131">
        <f>E14+('K komponentes izmaiņas'!$E$16-'K komponentes izmaiņas'!$N$16)</f>
        <v>8491309.6373399999</v>
      </c>
      <c r="I14" s="50">
        <f t="shared" si="1"/>
        <v>815338.6373399999</v>
      </c>
    </row>
    <row r="15" spans="1:9" ht="15" customHeight="1" x14ac:dyDescent="0.3">
      <c r="A15" s="113">
        <f t="shared" si="2"/>
        <v>11</v>
      </c>
      <c r="B15" s="26">
        <v>2034</v>
      </c>
      <c r="C15" s="131">
        <f>VID!B15+VI!I15+EM!O15+LRP!I15+IAUI!C15+IEM!D15+AIM!C15+LM!C15</f>
        <v>7675971</v>
      </c>
      <c r="E15" s="131">
        <f>SUM('Talejas 1_anotācijai'!AF15,'Talejas 1_anotācijai'!AG15,'Talejas 1_anotācijai'!AJ15,'Talejas 1_anotācijai'!AN15,'Talejas 1_anotācijai'!AR15,'Talejas 1_anotācijai'!AW15,'Talejas 1_anotācijai'!AX15,'Talejas 1_anotācijai'!BA15,'Talejas 1_anotācijai'!BB15,'Talejas 1_anotācijai'!BD15)</f>
        <v>6540096</v>
      </c>
      <c r="F15" s="50">
        <f t="shared" si="0"/>
        <v>-1135875</v>
      </c>
      <c r="H15" s="131">
        <f>E15+('K komponentes izmaiņas'!$E$16-'K komponentes izmaiņas'!$N$16)</f>
        <v>8491309.6373399999</v>
      </c>
      <c r="I15" s="50">
        <f t="shared" si="1"/>
        <v>815338.6373399999</v>
      </c>
    </row>
    <row r="16" spans="1:9" ht="15" customHeight="1" x14ac:dyDescent="0.3">
      <c r="A16" s="113">
        <f t="shared" si="2"/>
        <v>12</v>
      </c>
      <c r="B16" s="26">
        <v>2035</v>
      </c>
      <c r="C16" s="131">
        <f>VID!B16+VI!I16+EM!O16+LRP!I16+IAUI!C16+IEM!D16+AIM!C16+LM!C16</f>
        <v>7675971</v>
      </c>
      <c r="E16" s="131">
        <f>SUM('Talejas 1_anotācijai'!AF16,'Talejas 1_anotācijai'!AG16,'Talejas 1_anotācijai'!AJ16,'Talejas 1_anotācijai'!AN16,'Talejas 1_anotācijai'!AR16,'Talejas 1_anotācijai'!AW16,'Talejas 1_anotācijai'!AX16,'Talejas 1_anotācijai'!BA16,'Talejas 1_anotācijai'!BB16,'Talejas 1_anotācijai'!BD16)</f>
        <v>6485040</v>
      </c>
      <c r="F16" s="50">
        <f t="shared" si="0"/>
        <v>-1190931</v>
      </c>
      <c r="H16" s="131">
        <f>E16+('K komponentes izmaiņas'!$E$16-'K komponentes izmaiņas'!$N$16)</f>
        <v>8436253.6373399999</v>
      </c>
      <c r="I16" s="50">
        <f t="shared" si="1"/>
        <v>760282.6373399999</v>
      </c>
    </row>
    <row r="17" spans="1:12" ht="15" customHeight="1" x14ac:dyDescent="0.3">
      <c r="A17" s="113">
        <f t="shared" si="2"/>
        <v>13</v>
      </c>
      <c r="B17" s="26">
        <v>2036</v>
      </c>
      <c r="C17" s="131">
        <f>VID!B17+VI!I17+EM!O17+LRP!I17+IAUI!C17+IEM!D17+AIM!C17+LM!C17</f>
        <v>7675971</v>
      </c>
      <c r="E17" s="131">
        <f>SUM('Talejas 1_anotācijai'!AF17,'Talejas 1_anotācijai'!AG17,'Talejas 1_anotācijai'!AJ17,'Talejas 1_anotācijai'!AN17,'Talejas 1_anotācijai'!AR17,'Talejas 1_anotācijai'!AW17,'Talejas 1_anotācijai'!AX17,'Talejas 1_anotācijai'!BA17,'Talejas 1_anotācijai'!BB17,'Talejas 1_anotācijai'!BD17)</f>
        <v>6374928</v>
      </c>
      <c r="F17" s="50">
        <f t="shared" si="0"/>
        <v>-1301043</v>
      </c>
      <c r="H17" s="131">
        <f>E17+('K komponentes izmaiņas'!$E$16-'K komponentes izmaiņas'!$N$16)</f>
        <v>8326141.6373399999</v>
      </c>
      <c r="I17" s="50">
        <f t="shared" si="1"/>
        <v>650170.6373399999</v>
      </c>
    </row>
    <row r="18" spans="1:12" ht="15" customHeight="1" x14ac:dyDescent="0.3">
      <c r="A18" s="113">
        <f t="shared" si="2"/>
        <v>14</v>
      </c>
      <c r="B18" s="26">
        <v>2037</v>
      </c>
      <c r="C18" s="131">
        <f>VID!B18+VI!I18+EM!O18+LRP!I18+IAUI!C18+IEM!D18+AIM!C18+LM!C18</f>
        <v>7675971</v>
      </c>
      <c r="E18" s="131">
        <f>SUM('Talejas 1_anotācijai'!AF18,'Talejas 1_anotācijai'!AG18,'Talejas 1_anotācijai'!AJ18,'Talejas 1_anotācijai'!AN18,'Talejas 1_anotācijai'!AR18,'Talejas 1_anotācijai'!AW18,'Talejas 1_anotācijai'!AX18,'Talejas 1_anotācijai'!BA18,'Talejas 1_anotācijai'!BB18,'Talejas 1_anotācijai'!BD18)</f>
        <v>6374928</v>
      </c>
      <c r="F18" s="50">
        <f t="shared" si="0"/>
        <v>-1301043</v>
      </c>
      <c r="H18" s="131">
        <f>E18+('K komponentes izmaiņas'!$E$16-'K komponentes izmaiņas'!$N$16)</f>
        <v>8326141.6373399999</v>
      </c>
      <c r="I18" s="50">
        <f t="shared" si="1"/>
        <v>650170.6373399999</v>
      </c>
    </row>
    <row r="19" spans="1:12" ht="15" customHeight="1" x14ac:dyDescent="0.3">
      <c r="A19" s="113">
        <f t="shared" si="2"/>
        <v>15</v>
      </c>
      <c r="B19" s="26">
        <v>2038</v>
      </c>
      <c r="C19" s="131">
        <f>VID!B19+VI!I19+EM!O19+LRP!I19+IAUI!C19+IEM!D19+AIM!C19+LM!C19</f>
        <v>7675971</v>
      </c>
      <c r="E19" s="131">
        <f>SUM('Talejas 1_anotācijai'!AF19,'Talejas 1_anotācijai'!AG19,'Talejas 1_anotācijai'!AJ19,'Talejas 1_anotācijai'!AN19,'Talejas 1_anotācijai'!AR19,'Talejas 1_anotācijai'!AW19,'Talejas 1_anotācijai'!AX19,'Talejas 1_anotācijai'!BA19,'Talejas 1_anotācijai'!BB19,'Talejas 1_anotācijai'!BD19)</f>
        <v>6374928</v>
      </c>
      <c r="F19" s="50">
        <f t="shared" si="0"/>
        <v>-1301043</v>
      </c>
      <c r="H19" s="131">
        <f>E19+('K komponentes izmaiņas'!$E$16-'K komponentes izmaiņas'!$N$16)</f>
        <v>8326141.6373399999</v>
      </c>
      <c r="I19" s="50">
        <f t="shared" si="1"/>
        <v>650170.6373399999</v>
      </c>
    </row>
    <row r="20" spans="1:12" ht="15" customHeight="1" x14ac:dyDescent="0.3">
      <c r="A20" s="113">
        <f t="shared" si="2"/>
        <v>16</v>
      </c>
      <c r="B20" s="26">
        <v>2039</v>
      </c>
      <c r="C20" s="131">
        <f>VID!B20+VI!I20+EM!O20+LRP!I20+IAUI!C20+IEM!D20+AIM!C20+LM!C20</f>
        <v>7675971</v>
      </c>
      <c r="E20" s="131">
        <f>SUM('Talejas 1_anotācijai'!AF20,'Talejas 1_anotācijai'!AG20,'Talejas 1_anotācijai'!AJ20,'Talejas 1_anotācijai'!AN20,'Talejas 1_anotācijai'!AR20,'Talejas 1_anotācijai'!AW20,'Talejas 1_anotācijai'!AX20,'Talejas 1_anotācijai'!BA20,'Talejas 1_anotācijai'!BB20,'Talejas 1_anotācijai'!BD20)</f>
        <v>6374928</v>
      </c>
      <c r="F20" s="50">
        <f t="shared" si="0"/>
        <v>-1301043</v>
      </c>
      <c r="H20" s="131">
        <f>E20+('K komponentes izmaiņas'!$E$16-'K komponentes izmaiņas'!$N$16)</f>
        <v>8326141.6373399999</v>
      </c>
      <c r="I20" s="50">
        <f t="shared" si="1"/>
        <v>650170.6373399999</v>
      </c>
    </row>
    <row r="21" spans="1:12" ht="15" customHeight="1" x14ac:dyDescent="0.3">
      <c r="A21" s="113">
        <f t="shared" si="2"/>
        <v>17</v>
      </c>
      <c r="B21" s="26">
        <v>2040</v>
      </c>
      <c r="C21" s="131">
        <f>VID!B21+VI!I21+EM!O21+LRP!I21+IAUI!C21+IEM!D21+AIM!C21+LM!C21</f>
        <v>7675971</v>
      </c>
      <c r="E21" s="131">
        <f>SUM('Talejas 1_anotācijai'!AF21,'Talejas 1_anotācijai'!AG21,'Talejas 1_anotācijai'!AJ21,'Talejas 1_anotācijai'!AN21,'Talejas 1_anotācijai'!AR21,'Talejas 1_anotācijai'!AW21,'Talejas 1_anotācijai'!AX21,'Talejas 1_anotācijai'!BA21,'Talejas 1_anotācijai'!BB21,'Talejas 1_anotācijai'!BD21)</f>
        <v>6374928</v>
      </c>
      <c r="F21" s="50">
        <f t="shared" si="0"/>
        <v>-1301043</v>
      </c>
      <c r="H21" s="131">
        <f>E21+('K komponentes izmaiņas'!$E$16-'K komponentes izmaiņas'!$N$16)</f>
        <v>8326141.6373399999</v>
      </c>
      <c r="I21" s="50">
        <f t="shared" si="1"/>
        <v>650170.6373399999</v>
      </c>
    </row>
    <row r="22" spans="1:12" ht="15" customHeight="1" x14ac:dyDescent="0.3">
      <c r="A22" s="113">
        <f t="shared" si="2"/>
        <v>18</v>
      </c>
      <c r="B22" s="26">
        <v>2041</v>
      </c>
      <c r="C22" s="131">
        <f>VID!B22+VI!I22+EM!O22+LRP!I22+IAUI!C22+IEM!D22+AIM!C22+LM!C22</f>
        <v>7675971</v>
      </c>
      <c r="E22" s="131">
        <f>SUM('Talejas 1_anotācijai'!AF22,'Talejas 1_anotācijai'!AG22,'Talejas 1_anotācijai'!AJ22,'Talejas 1_anotācijai'!AN22,'Talejas 1_anotācijai'!AR22,'Talejas 1_anotācijai'!AW22,'Talejas 1_anotācijai'!AX22,'Talejas 1_anotācijai'!BA22,'Talejas 1_anotācijai'!BB22,'Talejas 1_anotācijai'!BD22)</f>
        <v>6374928</v>
      </c>
      <c r="F22" s="50">
        <f t="shared" si="0"/>
        <v>-1301043</v>
      </c>
      <c r="H22" s="131">
        <f>E22+('K komponentes izmaiņas'!$E$16-'K komponentes izmaiņas'!$N$16)</f>
        <v>8326141.6373399999</v>
      </c>
      <c r="I22" s="50">
        <f t="shared" si="1"/>
        <v>650170.6373399999</v>
      </c>
    </row>
    <row r="23" spans="1:12" ht="15" customHeight="1" x14ac:dyDescent="0.3">
      <c r="A23" s="113">
        <f t="shared" si="2"/>
        <v>19</v>
      </c>
      <c r="B23" s="26">
        <v>2042</v>
      </c>
      <c r="C23" s="131">
        <f>VID!B23+VI!I23+EM!O23+LRP!I23+IAUI!C23+IEM!D23+AIM!C23+LM!C23</f>
        <v>7675971</v>
      </c>
      <c r="E23" s="131">
        <f>SUM('Talejas 1_anotācijai'!AF23,'Talejas 1_anotācijai'!AG23,'Talejas 1_anotācijai'!AJ23,'Talejas 1_anotācijai'!AN23,'Talejas 1_anotācijai'!AR23,'Talejas 1_anotācijai'!AW23,'Talejas 1_anotācijai'!AX23,'Talejas 1_anotācijai'!BA23,'Talejas 1_anotācijai'!BB23,'Talejas 1_anotācijai'!BD23)</f>
        <v>6374928</v>
      </c>
      <c r="F23" s="50">
        <f t="shared" si="0"/>
        <v>-1301043</v>
      </c>
      <c r="H23" s="131">
        <f>E23+('K komponentes izmaiņas'!$E$16-'K komponentes izmaiņas'!$N$16)</f>
        <v>8326141.6373399999</v>
      </c>
      <c r="I23" s="50">
        <f t="shared" si="1"/>
        <v>650170.6373399999</v>
      </c>
    </row>
    <row r="24" spans="1:12" ht="15" customHeight="1" x14ac:dyDescent="0.3">
      <c r="A24" s="113">
        <f t="shared" si="2"/>
        <v>20</v>
      </c>
      <c r="B24" s="26">
        <v>2043</v>
      </c>
      <c r="C24" s="131">
        <f>VID!B24+VI!I24+EM!O24+LRP!I24+IAUI!C24+IEM!D24+AIM!C24+LM!C24</f>
        <v>7675971</v>
      </c>
      <c r="E24" s="131">
        <f>SUM('Talejas 1_anotācijai'!AF24,'Talejas 1_anotācijai'!AG24,'Talejas 1_anotācijai'!AJ24,'Talejas 1_anotācijai'!AN24,'Talejas 1_anotācijai'!AR24,'Talejas 1_anotācijai'!AW24,'Talejas 1_anotācijai'!AX24,'Talejas 1_anotācijai'!BA24,'Talejas 1_anotācijai'!BB24,'Talejas 1_anotācijai'!BD24)</f>
        <v>6374928</v>
      </c>
      <c r="F24" s="50">
        <f t="shared" si="0"/>
        <v>-1301043</v>
      </c>
      <c r="H24" s="131">
        <f>E24+('K komponentes izmaiņas'!$E$16-'K komponentes izmaiņas'!$N$16)</f>
        <v>8326141.6373399999</v>
      </c>
      <c r="I24" s="50">
        <f t="shared" si="1"/>
        <v>650170.6373399999</v>
      </c>
    </row>
    <row r="25" spans="1:12" ht="15" customHeight="1" x14ac:dyDescent="0.3">
      <c r="A25" s="113">
        <f t="shared" si="2"/>
        <v>21</v>
      </c>
      <c r="B25" s="26" t="s">
        <v>159</v>
      </c>
      <c r="C25" s="131">
        <f>VID!B25+VI!I25+EM!O25+LRP!I25+IAUI!C25+IEM!D25+AIM!C25+LM!C25</f>
        <v>2290039</v>
      </c>
      <c r="E25" s="131">
        <f>SUM('Talejas 1_anotācijai'!AF25,'Talejas 1_anotācijai'!AG25,'Talejas 1_anotācijai'!AJ25,'Talejas 1_anotācijai'!AN25,'Talejas 1_anotācijai'!AR25,'Talejas 1_anotācijai'!AW25,'Talejas 1_anotācijai'!AX25,'Talejas 1_anotācijai'!BA25,'Talejas 1_anotācijai'!BB25,'Talejas 1_anotācijai'!BD25)</f>
        <v>2124976</v>
      </c>
      <c r="F25" s="50">
        <f t="shared" si="0"/>
        <v>-165063</v>
      </c>
      <c r="H25" s="119">
        <f>H24/12*4</f>
        <v>2775380.5457799998</v>
      </c>
      <c r="I25" s="50">
        <f t="shared" si="1"/>
        <v>485341.54577999981</v>
      </c>
    </row>
    <row r="26" spans="1:12" ht="15" customHeight="1" x14ac:dyDescent="0.3">
      <c r="A26" s="162" t="s">
        <v>13</v>
      </c>
      <c r="B26" s="162"/>
      <c r="C26" s="103">
        <f>SUM(C5:C25)</f>
        <v>156301735</v>
      </c>
      <c r="E26" s="103">
        <f>SUM(E5:E25)</f>
        <v>138123678</v>
      </c>
      <c r="F26" s="106">
        <f>SUM(F5:F25)</f>
        <v>-18178057</v>
      </c>
      <c r="H26" s="103">
        <f>SUM(H5:H25)</f>
        <v>172277448.83883601</v>
      </c>
      <c r="I26" s="106">
        <f>SUM(I5:I25)</f>
        <v>15975713.838835998</v>
      </c>
      <c r="L26" s="1"/>
    </row>
    <row r="28" spans="1:12" ht="22.5" customHeight="1" x14ac:dyDescent="0.3">
      <c r="A28" s="188" t="s">
        <v>160</v>
      </c>
      <c r="B28" s="189"/>
      <c r="C28" s="189"/>
      <c r="H28" s="190"/>
      <c r="I28" s="190"/>
    </row>
  </sheetData>
  <mergeCells count="8">
    <mergeCell ref="A28:C28"/>
    <mergeCell ref="H28:I28"/>
    <mergeCell ref="A26:B26"/>
    <mergeCell ref="E2:F2"/>
    <mergeCell ref="H2:I2"/>
    <mergeCell ref="C2:C3"/>
    <mergeCell ref="B2:B3"/>
    <mergeCell ref="A2:A3"/>
  </mergeCells>
  <conditionalFormatting sqref="F5:F26">
    <cfRule type="cellIs" dxfId="11" priority="9" operator="lessThan">
      <formula>0</formula>
    </cfRule>
    <cfRule type="cellIs" dxfId="10" priority="10" operator="greaterThan">
      <formula>0</formula>
    </cfRule>
  </conditionalFormatting>
  <conditionalFormatting sqref="I5:I26">
    <cfRule type="cellIs" dxfId="9" priority="5" operator="lessThan">
      <formula>0</formula>
    </cfRule>
    <cfRule type="cellIs" dxfId="8" priority="6" operator="greaterThan">
      <formula>0</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F5A0B-0FFD-4336-B77A-BE07D9A46E88}">
  <sheetPr>
    <tabColor rgb="FFFFFF00"/>
  </sheetPr>
  <dimension ref="A1:EL37"/>
  <sheetViews>
    <sheetView zoomScaleNormal="100" workbookViewId="0">
      <pane xSplit="2" topLeftCell="Z1" activePane="topRight" state="frozen"/>
      <selection pane="topRight" activeCell="AV3" sqref="AV3:CM3"/>
    </sheetView>
  </sheetViews>
  <sheetFormatPr defaultRowHeight="15" customHeight="1" outlineLevelCol="3" x14ac:dyDescent="0.3"/>
  <cols>
    <col min="1" max="1" width="9.109375" customWidth="1"/>
    <col min="2" max="2" width="13" customWidth="1"/>
    <col min="3" max="3" width="9.109375" customWidth="1" outlineLevel="1"/>
    <col min="4" max="4" width="10.6640625" hidden="1" customWidth="1" outlineLevel="2"/>
    <col min="5" max="7" width="10.6640625" hidden="1" customWidth="1" outlineLevel="3"/>
    <col min="8" max="8" width="10.6640625" hidden="1" customWidth="1" outlineLevel="2"/>
    <col min="9" max="9" width="9.109375" customWidth="1" outlineLevel="1" collapsed="1"/>
    <col min="10" max="11" width="10.6640625" hidden="1" customWidth="1" outlineLevel="2"/>
    <col min="12" max="12" width="9.109375" customWidth="1" outlineLevel="1" collapsed="1"/>
    <col min="13" max="14" width="10.6640625" hidden="1" customWidth="1" outlineLevel="2"/>
    <col min="15" max="15" width="9.109375" customWidth="1" outlineLevel="1" collapsed="1"/>
    <col min="16" max="17" width="10.6640625" hidden="1" customWidth="1" outlineLevel="2"/>
    <col min="18" max="18" width="9.109375" customWidth="1" outlineLevel="1" collapsed="1"/>
    <col min="19" max="22" width="10.6640625" hidden="1" customWidth="1" outlineLevel="2"/>
    <col min="23" max="23" width="9.109375" customWidth="1" outlineLevel="1" collapsed="1"/>
    <col min="24" max="28" width="10.6640625" hidden="1" customWidth="1" outlineLevel="2"/>
    <col min="29" max="29" width="9.109375" customWidth="1" outlineLevel="1" collapsed="1"/>
    <col min="30" max="33" width="10.6640625" hidden="1" customWidth="1" outlineLevel="2"/>
    <col min="34" max="34" width="9.109375" customWidth="1" outlineLevel="1" collapsed="1"/>
    <col min="35" max="35" width="10.6640625" hidden="1" customWidth="1" outlineLevel="2"/>
    <col min="36" max="41" width="10.6640625" hidden="1" customWidth="1" outlineLevel="3"/>
    <col min="42" max="45" width="10.6640625" hidden="1" customWidth="1" outlineLevel="2"/>
    <col min="46" max="47" width="9.109375" customWidth="1"/>
    <col min="48" max="48" width="9.109375" customWidth="1" outlineLevel="1"/>
    <col min="49" max="49" width="10.6640625" hidden="1" customWidth="1" outlineLevel="2"/>
    <col min="50" max="52" width="10.6640625" hidden="1" customWidth="1" outlineLevel="3"/>
    <col min="53" max="53" width="10.6640625" hidden="1" customWidth="1" outlineLevel="2"/>
    <col min="54" max="54" width="9.109375" customWidth="1" outlineLevel="1" collapsed="1"/>
    <col min="55" max="56" width="10.6640625" hidden="1" customWidth="1" outlineLevel="2"/>
    <col min="57" max="57" width="9.109375" customWidth="1" outlineLevel="1" collapsed="1"/>
    <col min="58" max="59" width="10.6640625" hidden="1" customWidth="1" outlineLevel="2"/>
    <col min="60" max="60" width="9.109375" customWidth="1" outlineLevel="1" collapsed="1"/>
    <col min="61" max="62" width="10.6640625" hidden="1" customWidth="1" outlineLevel="2"/>
    <col min="63" max="63" width="9.109375" customWidth="1" outlineLevel="1" collapsed="1"/>
    <col min="64" max="67" width="10.6640625" hidden="1" customWidth="1" outlineLevel="2"/>
    <col min="68" max="68" width="9.109375" customWidth="1" outlineLevel="1" collapsed="1"/>
    <col min="69" max="73" width="10.6640625" hidden="1" customWidth="1" outlineLevel="2"/>
    <col min="74" max="74" width="9.109375" customWidth="1" outlineLevel="1" collapsed="1"/>
    <col min="75" max="78" width="10.6640625" hidden="1" customWidth="1" outlineLevel="2"/>
    <col min="79" max="79" width="9.109375" customWidth="1" outlineLevel="1" collapsed="1"/>
    <col min="80" max="80" width="10.6640625" hidden="1" customWidth="1" outlineLevel="2"/>
    <col min="81" max="86" width="10.6640625" hidden="1" customWidth="1" outlineLevel="3"/>
    <col min="87" max="87" width="10.6640625" hidden="1" customWidth="1" outlineLevel="2" collapsed="1"/>
    <col min="88" max="90" width="10.6640625" hidden="1" customWidth="1" outlineLevel="2"/>
    <col min="91" max="92" width="9.109375" customWidth="1"/>
    <col min="93" max="93" width="9.109375" customWidth="1" outlineLevel="1"/>
    <col min="94" max="94" width="10.6640625" hidden="1" customWidth="1" outlineLevel="2"/>
    <col min="95" max="97" width="10.6640625" hidden="1" customWidth="1" outlineLevel="3"/>
    <col min="98" max="98" width="10.6640625" hidden="1" customWidth="1" outlineLevel="2"/>
    <col min="99" max="99" width="9.109375" customWidth="1" outlineLevel="1" collapsed="1"/>
    <col min="100" max="101" width="10.6640625" hidden="1" customWidth="1" outlineLevel="2"/>
    <col min="102" max="102" width="9.109375" customWidth="1" outlineLevel="1" collapsed="1"/>
    <col min="103" max="104" width="10.6640625" hidden="1" customWidth="1" outlineLevel="2"/>
    <col min="105" max="105" width="9.109375" customWidth="1" outlineLevel="1" collapsed="1"/>
    <col min="106" max="107" width="10.6640625" hidden="1" customWidth="1" outlineLevel="2"/>
    <col min="108" max="108" width="9.109375" customWidth="1" outlineLevel="1" collapsed="1"/>
    <col min="109" max="112" width="10.6640625" hidden="1" customWidth="1" outlineLevel="2"/>
    <col min="113" max="113" width="9.109375" customWidth="1" outlineLevel="1" collapsed="1"/>
    <col min="114" max="118" width="10.6640625" hidden="1" customWidth="1" outlineLevel="2"/>
    <col min="119" max="119" width="9.109375" customWidth="1" outlineLevel="1" collapsed="1"/>
    <col min="120" max="123" width="10.6640625" hidden="1" customWidth="1" outlineLevel="2"/>
    <col min="124" max="124" width="9.109375" customWidth="1" outlineLevel="1" collapsed="1"/>
    <col min="125" max="125" width="10.6640625" hidden="1" customWidth="1" outlineLevel="2"/>
    <col min="126" max="131" width="10.6640625" hidden="1" customWidth="1" outlineLevel="3"/>
    <col min="132" max="135" width="10.6640625" hidden="1" customWidth="1" outlineLevel="2"/>
    <col min="136" max="136" width="9.109375" customWidth="1"/>
    <col min="138" max="138" width="11.33203125" hidden="1" customWidth="1" outlineLevel="2"/>
    <col min="139" max="141" width="10.6640625" hidden="1" customWidth="1" outlineLevel="3"/>
    <col min="142" max="142" width="9.109375" collapsed="1"/>
  </cols>
  <sheetData>
    <row r="1" spans="1:141" ht="14.4" x14ac:dyDescent="0.3">
      <c r="A1" s="9"/>
      <c r="D1" s="9" t="s">
        <v>161</v>
      </c>
      <c r="E1" s="9"/>
      <c r="F1" s="9"/>
      <c r="G1" s="9"/>
      <c r="H1" s="9"/>
      <c r="AW1" s="9" t="s">
        <v>161</v>
      </c>
      <c r="AX1" s="9"/>
      <c r="AY1" s="9"/>
      <c r="AZ1" s="9"/>
      <c r="BA1" s="9"/>
    </row>
    <row r="2" spans="1:141" ht="14.4" x14ac:dyDescent="0.3">
      <c r="A2" s="8" t="s">
        <v>14</v>
      </c>
      <c r="D2" s="171" t="s">
        <v>162</v>
      </c>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row>
    <row r="3" spans="1:141" ht="22.5" customHeight="1" x14ac:dyDescent="0.3">
      <c r="A3" s="164" t="s">
        <v>0</v>
      </c>
      <c r="B3" s="164" t="s">
        <v>1</v>
      </c>
      <c r="C3" s="168" t="s">
        <v>15</v>
      </c>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70"/>
      <c r="AU3" s="172" t="s">
        <v>16</v>
      </c>
      <c r="AV3" s="168" t="s">
        <v>17</v>
      </c>
      <c r="AW3" s="169"/>
      <c r="AX3" s="169"/>
      <c r="AY3" s="169"/>
      <c r="AZ3" s="169"/>
      <c r="BA3" s="169"/>
      <c r="BB3" s="169"/>
      <c r="BC3" s="169"/>
      <c r="BD3" s="169"/>
      <c r="BE3" s="169"/>
      <c r="BF3" s="169"/>
      <c r="BG3" s="169"/>
      <c r="BH3" s="169"/>
      <c r="BI3" s="169"/>
      <c r="BJ3" s="169"/>
      <c r="BK3" s="169"/>
      <c r="BL3" s="169"/>
      <c r="BM3" s="169"/>
      <c r="BN3" s="169"/>
      <c r="BO3" s="169"/>
      <c r="BP3" s="169"/>
      <c r="BQ3" s="169"/>
      <c r="BR3" s="169"/>
      <c r="BS3" s="169"/>
      <c r="BT3" s="169"/>
      <c r="BU3" s="169"/>
      <c r="BV3" s="169"/>
      <c r="BW3" s="169"/>
      <c r="BX3" s="169"/>
      <c r="BY3" s="169"/>
      <c r="BZ3" s="169"/>
      <c r="CA3" s="169"/>
      <c r="CB3" s="169"/>
      <c r="CC3" s="169"/>
      <c r="CD3" s="169"/>
      <c r="CE3" s="169"/>
      <c r="CF3" s="169"/>
      <c r="CG3" s="169"/>
      <c r="CH3" s="169"/>
      <c r="CI3" s="169"/>
      <c r="CJ3" s="169"/>
      <c r="CK3" s="169"/>
      <c r="CL3" s="169"/>
      <c r="CM3" s="170"/>
      <c r="CN3" s="2"/>
      <c r="CO3" s="163" t="s">
        <v>18</v>
      </c>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row>
    <row r="4" spans="1:141" ht="52.5" customHeight="1" x14ac:dyDescent="0.3">
      <c r="A4" s="164"/>
      <c r="B4" s="164"/>
      <c r="C4" s="11" t="s">
        <v>19</v>
      </c>
      <c r="D4" s="12" t="s">
        <v>163</v>
      </c>
      <c r="E4" s="53" t="s">
        <v>164</v>
      </c>
      <c r="F4" s="13" t="s">
        <v>165</v>
      </c>
      <c r="G4" s="13" t="s">
        <v>166</v>
      </c>
      <c r="H4" s="12" t="s">
        <v>167</v>
      </c>
      <c r="I4" s="28" t="s">
        <v>21</v>
      </c>
      <c r="J4" s="63" t="s">
        <v>168</v>
      </c>
      <c r="K4" s="14" t="s">
        <v>169</v>
      </c>
      <c r="L4" s="29" t="s">
        <v>22</v>
      </c>
      <c r="M4" s="64" t="s">
        <v>170</v>
      </c>
      <c r="N4" s="15" t="s">
        <v>171</v>
      </c>
      <c r="O4" s="30" t="s">
        <v>23</v>
      </c>
      <c r="P4" s="65" t="s">
        <v>172</v>
      </c>
      <c r="Q4" s="16" t="s">
        <v>173</v>
      </c>
      <c r="R4" s="27" t="s">
        <v>24</v>
      </c>
      <c r="S4" s="17" t="s">
        <v>174</v>
      </c>
      <c r="T4" s="17" t="s">
        <v>175</v>
      </c>
      <c r="U4" s="17" t="s">
        <v>176</v>
      </c>
      <c r="V4" s="17" t="s">
        <v>175</v>
      </c>
      <c r="W4" s="31" t="s">
        <v>25</v>
      </c>
      <c r="X4" s="54" t="s">
        <v>177</v>
      </c>
      <c r="Y4" s="21" t="s">
        <v>178</v>
      </c>
      <c r="Z4" s="21" t="s">
        <v>179</v>
      </c>
      <c r="AA4" s="21" t="s">
        <v>180</v>
      </c>
      <c r="AB4" s="21" t="s">
        <v>43</v>
      </c>
      <c r="AC4" s="32" t="s">
        <v>26</v>
      </c>
      <c r="AD4" s="56" t="s">
        <v>44</v>
      </c>
      <c r="AE4" s="22" t="s">
        <v>181</v>
      </c>
      <c r="AF4" s="22" t="s">
        <v>182</v>
      </c>
      <c r="AG4" s="22" t="s">
        <v>46</v>
      </c>
      <c r="AH4" s="44" t="s">
        <v>27</v>
      </c>
      <c r="AI4" s="18" t="s">
        <v>183</v>
      </c>
      <c r="AJ4" s="19" t="s">
        <v>184</v>
      </c>
      <c r="AK4" s="19" t="s">
        <v>185</v>
      </c>
      <c r="AL4" s="61" t="s">
        <v>186</v>
      </c>
      <c r="AM4" s="19" t="s">
        <v>187</v>
      </c>
      <c r="AN4" s="19" t="s">
        <v>188</v>
      </c>
      <c r="AO4" s="19" t="s">
        <v>189</v>
      </c>
      <c r="AP4" s="20" t="s">
        <v>190</v>
      </c>
      <c r="AQ4" s="43" t="s">
        <v>48</v>
      </c>
      <c r="AR4" s="43" t="s">
        <v>191</v>
      </c>
      <c r="AS4" s="43" t="s">
        <v>192</v>
      </c>
      <c r="AT4" s="10" t="s">
        <v>12</v>
      </c>
      <c r="AU4" s="172"/>
      <c r="AV4" s="11" t="s">
        <v>19</v>
      </c>
      <c r="AW4" s="12" t="s">
        <v>163</v>
      </c>
      <c r="AX4" s="13" t="s">
        <v>164</v>
      </c>
      <c r="AY4" s="13" t="s">
        <v>165</v>
      </c>
      <c r="AZ4" s="13" t="s">
        <v>166</v>
      </c>
      <c r="BA4" s="12" t="s">
        <v>167</v>
      </c>
      <c r="BB4" s="28" t="s">
        <v>21</v>
      </c>
      <c r="BC4" s="14" t="s">
        <v>168</v>
      </c>
      <c r="BD4" s="14" t="s">
        <v>169</v>
      </c>
      <c r="BE4" s="29" t="s">
        <v>22</v>
      </c>
      <c r="BF4" s="64" t="s">
        <v>170</v>
      </c>
      <c r="BG4" s="15" t="s">
        <v>171</v>
      </c>
      <c r="BH4" s="30" t="s">
        <v>23</v>
      </c>
      <c r="BI4" s="16" t="s">
        <v>172</v>
      </c>
      <c r="BJ4" s="16" t="s">
        <v>173</v>
      </c>
      <c r="BK4" s="27" t="s">
        <v>24</v>
      </c>
      <c r="BL4" s="59" t="s">
        <v>174</v>
      </c>
      <c r="BM4" s="17" t="s">
        <v>175</v>
      </c>
      <c r="BN4" s="17" t="s">
        <v>176</v>
      </c>
      <c r="BO4" s="17" t="s">
        <v>175</v>
      </c>
      <c r="BP4" s="31" t="s">
        <v>25</v>
      </c>
      <c r="BQ4" s="21" t="s">
        <v>177</v>
      </c>
      <c r="BR4" s="21" t="s">
        <v>178</v>
      </c>
      <c r="BS4" s="21" t="s">
        <v>179</v>
      </c>
      <c r="BT4" s="21" t="s">
        <v>180</v>
      </c>
      <c r="BU4" s="21" t="s">
        <v>43</v>
      </c>
      <c r="BV4" s="32" t="s">
        <v>26</v>
      </c>
      <c r="BW4" s="56" t="s">
        <v>44</v>
      </c>
      <c r="BX4" s="22" t="s">
        <v>181</v>
      </c>
      <c r="BY4" s="22" t="s">
        <v>182</v>
      </c>
      <c r="BZ4" s="22" t="s">
        <v>46</v>
      </c>
      <c r="CA4" s="44" t="s">
        <v>27</v>
      </c>
      <c r="CB4" s="18" t="s">
        <v>183</v>
      </c>
      <c r="CC4" s="19" t="s">
        <v>184</v>
      </c>
      <c r="CD4" s="19" t="s">
        <v>185</v>
      </c>
      <c r="CE4" s="61" t="s">
        <v>186</v>
      </c>
      <c r="CF4" s="19" t="s">
        <v>187</v>
      </c>
      <c r="CG4" s="19" t="s">
        <v>188</v>
      </c>
      <c r="CH4" s="19" t="s">
        <v>189</v>
      </c>
      <c r="CI4" s="20" t="s">
        <v>190</v>
      </c>
      <c r="CJ4" s="43" t="s">
        <v>48</v>
      </c>
      <c r="CK4" s="43" t="s">
        <v>191</v>
      </c>
      <c r="CL4" s="43" t="s">
        <v>192</v>
      </c>
      <c r="CM4" s="10" t="s">
        <v>12</v>
      </c>
      <c r="CN4" s="6"/>
      <c r="CO4" s="11" t="s">
        <v>19</v>
      </c>
      <c r="CP4" s="12" t="s">
        <v>163</v>
      </c>
      <c r="CQ4" s="13" t="s">
        <v>164</v>
      </c>
      <c r="CR4" s="13" t="s">
        <v>165</v>
      </c>
      <c r="CS4" s="13" t="s">
        <v>166</v>
      </c>
      <c r="CT4" s="12" t="s">
        <v>167</v>
      </c>
      <c r="CU4" s="28" t="s">
        <v>21</v>
      </c>
      <c r="CV4" s="14" t="s">
        <v>168</v>
      </c>
      <c r="CW4" s="14" t="s">
        <v>169</v>
      </c>
      <c r="CX4" s="29" t="s">
        <v>22</v>
      </c>
      <c r="CY4" s="15" t="s">
        <v>170</v>
      </c>
      <c r="CZ4" s="15" t="s">
        <v>171</v>
      </c>
      <c r="DA4" s="30" t="s">
        <v>23</v>
      </c>
      <c r="DB4" s="16" t="s">
        <v>193</v>
      </c>
      <c r="DC4" s="16" t="s">
        <v>194</v>
      </c>
      <c r="DD4" s="27" t="s">
        <v>24</v>
      </c>
      <c r="DE4" s="17" t="s">
        <v>174</v>
      </c>
      <c r="DF4" s="17" t="s">
        <v>175</v>
      </c>
      <c r="DG4" s="17" t="s">
        <v>176</v>
      </c>
      <c r="DH4" s="17" t="s">
        <v>175</v>
      </c>
      <c r="DI4" s="31" t="s">
        <v>25</v>
      </c>
      <c r="DJ4" s="21" t="s">
        <v>177</v>
      </c>
      <c r="DK4" s="21" t="s">
        <v>178</v>
      </c>
      <c r="DL4" s="21" t="s">
        <v>179</v>
      </c>
      <c r="DM4" s="21" t="s">
        <v>180</v>
      </c>
      <c r="DN4" s="21" t="s">
        <v>43</v>
      </c>
      <c r="DO4" s="32" t="s">
        <v>26</v>
      </c>
      <c r="DP4" s="56" t="s">
        <v>44</v>
      </c>
      <c r="DQ4" s="22" t="s">
        <v>181</v>
      </c>
      <c r="DR4" s="22" t="s">
        <v>182</v>
      </c>
      <c r="DS4" s="22" t="s">
        <v>46</v>
      </c>
      <c r="DT4" s="44" t="s">
        <v>27</v>
      </c>
      <c r="DU4" s="18" t="s">
        <v>183</v>
      </c>
      <c r="DV4" s="19" t="s">
        <v>184</v>
      </c>
      <c r="DW4" s="19" t="s">
        <v>185</v>
      </c>
      <c r="DX4" s="61" t="s">
        <v>186</v>
      </c>
      <c r="DY4" s="19" t="s">
        <v>187</v>
      </c>
      <c r="DZ4" s="19" t="s">
        <v>188</v>
      </c>
      <c r="EA4" s="19" t="s">
        <v>189</v>
      </c>
      <c r="EB4" s="20" t="s">
        <v>190</v>
      </c>
      <c r="EC4" s="43" t="s">
        <v>48</v>
      </c>
      <c r="ED4" s="43" t="s">
        <v>191</v>
      </c>
      <c r="EE4" s="43" t="s">
        <v>192</v>
      </c>
      <c r="EF4" s="10" t="s">
        <v>12</v>
      </c>
      <c r="EH4" s="12" t="s">
        <v>195</v>
      </c>
      <c r="EI4" s="84" t="s">
        <v>196</v>
      </c>
      <c r="EJ4" s="13" t="s">
        <v>195</v>
      </c>
      <c r="EK4" s="84" t="s">
        <v>196</v>
      </c>
    </row>
    <row r="5" spans="1:141" ht="14.4" x14ac:dyDescent="0.3">
      <c r="A5" s="23" t="s">
        <v>28</v>
      </c>
      <c r="B5" s="23" t="s">
        <v>29</v>
      </c>
      <c r="C5" s="33"/>
      <c r="D5" s="23"/>
      <c r="E5" s="23"/>
      <c r="F5" s="23"/>
      <c r="G5" s="23"/>
      <c r="H5" s="23"/>
      <c r="I5" s="33"/>
      <c r="J5" s="23"/>
      <c r="K5" s="23"/>
      <c r="L5" s="33"/>
      <c r="M5" s="23"/>
      <c r="N5" s="23"/>
      <c r="O5" s="33"/>
      <c r="P5" s="23"/>
      <c r="Q5" s="23"/>
      <c r="R5" s="33"/>
      <c r="S5" s="23"/>
      <c r="T5" s="23"/>
      <c r="U5" s="23"/>
      <c r="V5" s="23"/>
      <c r="W5" s="33"/>
      <c r="X5" s="23"/>
      <c r="Y5" s="23"/>
      <c r="Z5" s="23"/>
      <c r="AA5" s="23"/>
      <c r="AB5" s="23"/>
      <c r="AC5" s="33"/>
      <c r="AD5" s="23"/>
      <c r="AE5" s="23"/>
      <c r="AF5" s="23"/>
      <c r="AG5" s="23"/>
      <c r="AH5" s="23"/>
      <c r="AI5" s="23"/>
      <c r="AJ5" s="23"/>
      <c r="AK5" s="23"/>
      <c r="AL5" s="23"/>
      <c r="AM5" s="23"/>
      <c r="AN5" s="23"/>
      <c r="AO5" s="23"/>
      <c r="AP5" s="23"/>
      <c r="AQ5" s="23"/>
      <c r="AR5" s="23"/>
      <c r="AS5" s="23"/>
      <c r="AT5" s="23"/>
      <c r="AU5" s="33"/>
      <c r="AV5" s="3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3"/>
      <c r="CO5" s="3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H5" s="23"/>
      <c r="EI5" s="23"/>
      <c r="EJ5" s="23"/>
      <c r="EK5" s="23"/>
    </row>
    <row r="6" spans="1:141" ht="14.4" x14ac:dyDescent="0.3">
      <c r="A6" s="24">
        <v>1</v>
      </c>
      <c r="B6" s="25">
        <v>2024</v>
      </c>
      <c r="C6" s="40">
        <f>SUM(D6,H6)</f>
        <v>6780682.0899999999</v>
      </c>
      <c r="D6" s="37">
        <f>SUM(E6:G6)</f>
        <v>6780682.0899999999</v>
      </c>
      <c r="E6" s="72">
        <f>5592364.44+1.21</f>
        <v>5592365.6500000004</v>
      </c>
      <c r="F6" s="72">
        <v>950060.76</v>
      </c>
      <c r="G6" s="72">
        <v>238255.68</v>
      </c>
      <c r="H6" s="72">
        <v>0</v>
      </c>
      <c r="I6" s="40">
        <f>SUM(J6:K6)</f>
        <v>6193</v>
      </c>
      <c r="J6" s="73">
        <v>6193</v>
      </c>
      <c r="K6" s="73">
        <v>0</v>
      </c>
      <c r="L6" s="40">
        <f>SUM(M6:N6)</f>
        <v>35897</v>
      </c>
      <c r="M6" s="74">
        <v>35897</v>
      </c>
      <c r="N6" s="74">
        <v>0</v>
      </c>
      <c r="O6" s="40">
        <f>SUM(P6:Q6)</f>
        <v>3006.9500000000003</v>
      </c>
      <c r="P6" s="75">
        <v>2998.38</v>
      </c>
      <c r="Q6" s="75">
        <v>8.57</v>
      </c>
      <c r="R6" s="40">
        <f>SUM(S6:V6)</f>
        <v>238212.84</v>
      </c>
      <c r="S6" s="60">
        <v>83398.66</v>
      </c>
      <c r="T6" s="60">
        <v>224.18</v>
      </c>
      <c r="U6" s="60">
        <v>154590</v>
      </c>
      <c r="V6" s="76">
        <v>0</v>
      </c>
      <c r="W6" s="38">
        <f>SUM(X6:AB6)</f>
        <v>272722.04519999999</v>
      </c>
      <c r="X6" s="55">
        <v>268808.03399999999</v>
      </c>
      <c r="Y6" s="77">
        <v>3914.0111999999999</v>
      </c>
      <c r="Z6" s="55">
        <v>0</v>
      </c>
      <c r="AA6" s="77">
        <v>0</v>
      </c>
      <c r="AB6" s="77">
        <v>0</v>
      </c>
      <c r="AC6" s="39">
        <f t="shared" ref="AC6:AC26" si="0">SUM(AD6:AG6)</f>
        <v>487652.16</v>
      </c>
      <c r="AD6" s="57">
        <v>487652.16</v>
      </c>
      <c r="AE6" s="58">
        <v>0</v>
      </c>
      <c r="AF6" s="58">
        <v>0</v>
      </c>
      <c r="AG6" s="58">
        <v>0</v>
      </c>
      <c r="AH6" s="40">
        <f>SUM(AI6,AP6:AS6)</f>
        <v>9752862.5260000005</v>
      </c>
      <c r="AI6" s="36">
        <f t="shared" ref="AI6:AI26" si="1">SUM(AJ6:AO6)</f>
        <v>0</v>
      </c>
      <c r="AJ6" s="78">
        <v>0</v>
      </c>
      <c r="AK6" s="78">
        <v>0</v>
      </c>
      <c r="AL6" s="78">
        <v>0</v>
      </c>
      <c r="AM6" s="78">
        <v>0</v>
      </c>
      <c r="AN6" s="78">
        <v>0</v>
      </c>
      <c r="AO6" s="78">
        <v>0</v>
      </c>
      <c r="AP6" s="78">
        <v>0</v>
      </c>
      <c r="AQ6" s="62">
        <v>396375</v>
      </c>
      <c r="AR6" s="62">
        <f>ROUNDUP(9335577.6624,0)</f>
        <v>9335578</v>
      </c>
      <c r="AS6" s="62">
        <v>20909.525999999998</v>
      </c>
      <c r="AT6" s="37">
        <f>SUM(C6,I6,L6,O6,R6,W6,AC6,AH6)</f>
        <v>17577228.611200001</v>
      </c>
      <c r="AU6" s="40">
        <f t="shared" ref="AU6:AU26" si="2">CM6-AT6</f>
        <v>-366536.63846451789</v>
      </c>
      <c r="AV6" s="40">
        <f>SUM(AW6,BA6)</f>
        <v>6016525.96</v>
      </c>
      <c r="AW6" s="37">
        <f>SUM(AX6:AZ6)</f>
        <v>6002099.8200000003</v>
      </c>
      <c r="AX6" s="72">
        <v>4780556.28</v>
      </c>
      <c r="AY6" s="72">
        <v>976217.22</v>
      </c>
      <c r="AZ6" s="72">
        <v>245326.32</v>
      </c>
      <c r="BA6" s="80">
        <v>14426.14</v>
      </c>
      <c r="BB6" s="40">
        <f>SUM(BC6:BD6)</f>
        <v>0</v>
      </c>
      <c r="BC6" s="73">
        <v>0</v>
      </c>
      <c r="BD6" s="73">
        <v>0</v>
      </c>
      <c r="BE6" s="40">
        <f t="shared" ref="BE6:BE26" si="3">SUM(BF6:BG6)</f>
        <v>0</v>
      </c>
      <c r="BF6" s="74">
        <v>0</v>
      </c>
      <c r="BG6" s="74">
        <v>0</v>
      </c>
      <c r="BH6" s="40">
        <f t="shared" ref="BH6:BH26" si="4">SUM(BI6:BJ6)</f>
        <v>3247.1000000000004</v>
      </c>
      <c r="BI6" s="79">
        <v>3237.57</v>
      </c>
      <c r="BJ6" s="79">
        <v>9.5299999999999994</v>
      </c>
      <c r="BK6" s="40">
        <f t="shared" ref="BK6:BK26" si="5">SUM(BL6:BO6)</f>
        <v>257902.7078</v>
      </c>
      <c r="BL6" s="60">
        <v>93965.35</v>
      </c>
      <c r="BM6" s="60">
        <v>300.37</v>
      </c>
      <c r="BN6" s="60">
        <v>163218.59400000001</v>
      </c>
      <c r="BO6" s="70">
        <v>418.3938</v>
      </c>
      <c r="BP6" s="38">
        <f t="shared" ref="BP6:BP26" si="6">SUM(BQ6:BU6)</f>
        <v>355906.88319999998</v>
      </c>
      <c r="BQ6" s="55">
        <f>222155.4*1.21</f>
        <v>268808.03399999999</v>
      </c>
      <c r="BR6" s="77">
        <f>3234.72*1.21</f>
        <v>3914.0111999999995</v>
      </c>
      <c r="BS6" s="77">
        <f>17148.07*4*1.21</f>
        <v>82996.65879999999</v>
      </c>
      <c r="BT6" s="77">
        <f>38.88*4*1.21</f>
        <v>188.17920000000001</v>
      </c>
      <c r="BU6" s="54">
        <v>0</v>
      </c>
      <c r="BV6" s="39">
        <f t="shared" ref="BV6:BV26" si="7">SUM(BW6:BZ6)</f>
        <v>905689.56</v>
      </c>
      <c r="BW6" s="57">
        <v>487652.16</v>
      </c>
      <c r="BX6" s="57">
        <f>(104272.96*4)</f>
        <v>417091.84000000003</v>
      </c>
      <c r="BY6" s="57">
        <f>(236.39*4)</f>
        <v>945.56</v>
      </c>
      <c r="BZ6" s="56">
        <v>0</v>
      </c>
      <c r="CA6" s="40">
        <f t="shared" ref="CA6:CA26" si="8">SUM(CB6,CI6:CL6)</f>
        <v>9671419.761735484</v>
      </c>
      <c r="CB6" s="36">
        <f t="shared" ref="CB6" si="9">SUM(CC6:CH6)</f>
        <v>170220.76173548389</v>
      </c>
      <c r="CC6" s="62">
        <f>11196.8*1.21*4</f>
        <v>54192.511999999995</v>
      </c>
      <c r="CD6" s="62">
        <f>7708.62*1.21*4</f>
        <v>37309.720799999996</v>
      </c>
      <c r="CE6" s="62">
        <f>4663.66*1.21*(11+13/31)</f>
        <v>64439.745948387099</v>
      </c>
      <c r="CF6" s="62">
        <f>794.79*1.21*(11+13/31)</f>
        <v>10981.946729032257</v>
      </c>
      <c r="CG6" s="62">
        <f>238.6*1.21*(11+13/31)</f>
        <v>3296.8362580645157</v>
      </c>
      <c r="CH6" s="85">
        <v>0</v>
      </c>
      <c r="CI6" s="85">
        <v>457</v>
      </c>
      <c r="CJ6" s="62">
        <v>396375</v>
      </c>
      <c r="CK6" s="62">
        <v>9078866</v>
      </c>
      <c r="CL6" s="62">
        <v>25501</v>
      </c>
      <c r="CM6" s="37">
        <f>SUM(AV6,BB6,BE6,BH6,BK6,BP6,BV6,CA6)</f>
        <v>17210691.972735483</v>
      </c>
      <c r="CN6" s="4"/>
      <c r="CO6" s="45">
        <f t="shared" ref="CO6:DD21" si="10">AV6-C6</f>
        <v>-764156.12999999989</v>
      </c>
      <c r="CP6" s="46">
        <f t="shared" si="10"/>
        <v>-778582.26999999955</v>
      </c>
      <c r="CQ6" s="46">
        <f t="shared" si="10"/>
        <v>-811809.37000000011</v>
      </c>
      <c r="CR6" s="46">
        <f t="shared" si="10"/>
        <v>26156.459999999963</v>
      </c>
      <c r="CS6" s="46">
        <f t="shared" si="10"/>
        <v>7070.640000000014</v>
      </c>
      <c r="CT6" s="46">
        <f t="shared" si="10"/>
        <v>14426.14</v>
      </c>
      <c r="CU6" s="45">
        <f t="shared" si="10"/>
        <v>-6193</v>
      </c>
      <c r="CV6" s="46">
        <f t="shared" si="10"/>
        <v>-6193</v>
      </c>
      <c r="CW6" s="46">
        <f t="shared" si="10"/>
        <v>0</v>
      </c>
      <c r="CX6" s="45">
        <f t="shared" si="10"/>
        <v>-35897</v>
      </c>
      <c r="CY6" s="46">
        <f t="shared" si="10"/>
        <v>-35897</v>
      </c>
      <c r="CZ6" s="46">
        <f t="shared" si="10"/>
        <v>0</v>
      </c>
      <c r="DA6" s="45">
        <f t="shared" si="10"/>
        <v>240.15000000000009</v>
      </c>
      <c r="DB6" s="46">
        <f t="shared" si="10"/>
        <v>239.19000000000005</v>
      </c>
      <c r="DC6" s="46">
        <f t="shared" si="10"/>
        <v>0.95999999999999908</v>
      </c>
      <c r="DD6" s="45">
        <f t="shared" si="10"/>
        <v>19689.867800000007</v>
      </c>
      <c r="DE6" s="47">
        <f t="shared" ref="DE6:DT21" si="11">BL6-S6</f>
        <v>10566.690000000002</v>
      </c>
      <c r="DF6" s="47">
        <f t="shared" si="11"/>
        <v>76.19</v>
      </c>
      <c r="DG6" s="48">
        <f t="shared" si="11"/>
        <v>8628.5940000000119</v>
      </c>
      <c r="DH6" s="46">
        <f t="shared" si="11"/>
        <v>418.3938</v>
      </c>
      <c r="DI6" s="49">
        <f t="shared" si="11"/>
        <v>83184.837999999989</v>
      </c>
      <c r="DJ6" s="47">
        <f t="shared" si="11"/>
        <v>0</v>
      </c>
      <c r="DK6" s="46">
        <f t="shared" si="11"/>
        <v>0</v>
      </c>
      <c r="DL6" s="46">
        <f t="shared" si="11"/>
        <v>82996.65879999999</v>
      </c>
      <c r="DM6" s="46">
        <f t="shared" si="11"/>
        <v>188.17920000000001</v>
      </c>
      <c r="DN6" s="46">
        <f t="shared" si="11"/>
        <v>0</v>
      </c>
      <c r="DO6" s="50">
        <f t="shared" si="11"/>
        <v>418037.40000000008</v>
      </c>
      <c r="DP6" s="47">
        <f t="shared" si="11"/>
        <v>0</v>
      </c>
      <c r="DQ6" s="47">
        <f t="shared" si="11"/>
        <v>417091.84000000003</v>
      </c>
      <c r="DR6" s="46">
        <f t="shared" si="11"/>
        <v>945.56</v>
      </c>
      <c r="DS6" s="46">
        <f t="shared" si="11"/>
        <v>0</v>
      </c>
      <c r="DT6" s="45">
        <f t="shared" si="11"/>
        <v>-81442.764264516532</v>
      </c>
      <c r="DU6" s="47">
        <f t="shared" ref="DU6:EE26" si="12">CB6-AI6</f>
        <v>170220.76173548389</v>
      </c>
      <c r="DV6" s="47">
        <f t="shared" si="12"/>
        <v>54192.511999999995</v>
      </c>
      <c r="DW6" s="47">
        <f t="shared" si="12"/>
        <v>37309.720799999996</v>
      </c>
      <c r="DX6" s="47">
        <f t="shared" si="12"/>
        <v>64439.745948387099</v>
      </c>
      <c r="DY6" s="47">
        <f t="shared" si="12"/>
        <v>10981.946729032257</v>
      </c>
      <c r="DZ6" s="47">
        <f t="shared" si="12"/>
        <v>3296.8362580645157</v>
      </c>
      <c r="EA6" s="47">
        <f t="shared" si="12"/>
        <v>0</v>
      </c>
      <c r="EB6" s="47">
        <f t="shared" si="12"/>
        <v>457</v>
      </c>
      <c r="EC6" s="47">
        <f t="shared" si="12"/>
        <v>0</v>
      </c>
      <c r="ED6" s="47">
        <f t="shared" si="12"/>
        <v>-256712</v>
      </c>
      <c r="EE6" s="47">
        <f t="shared" si="12"/>
        <v>4591.474000000002</v>
      </c>
      <c r="EF6" s="46">
        <f>SUM(CO6,CU6,CX6,DA6,DD6,DI6,DO6,DT6,)</f>
        <v>-366536.63846451632</v>
      </c>
      <c r="EH6" s="46">
        <v>0</v>
      </c>
      <c r="EI6" s="46">
        <f t="shared" ref="EI6:EI26" si="13">EH6+EF6</f>
        <v>-366536.63846451632</v>
      </c>
      <c r="EJ6" s="46">
        <v>0</v>
      </c>
      <c r="EK6" s="46">
        <f>EF6+EJ6</f>
        <v>-366536.63846451632</v>
      </c>
    </row>
    <row r="7" spans="1:141" ht="14.4" x14ac:dyDescent="0.3">
      <c r="A7" s="24">
        <f>A6+1</f>
        <v>2</v>
      </c>
      <c r="B7" s="25">
        <v>2025</v>
      </c>
      <c r="C7" s="40">
        <f t="shared" ref="C7:C26" si="14">SUM(D7,H7)</f>
        <v>6367742.0899999999</v>
      </c>
      <c r="D7" s="37">
        <f t="shared" ref="D7:D26" si="15">SUM(E7:G7)</f>
        <v>6367742.0899999999</v>
      </c>
      <c r="E7" s="80">
        <v>5179425.6500000004</v>
      </c>
      <c r="F7" s="72">
        <v>950060.76</v>
      </c>
      <c r="G7" s="72">
        <v>238255.68</v>
      </c>
      <c r="H7" s="80">
        <v>0</v>
      </c>
      <c r="I7" s="40">
        <f t="shared" ref="I7:I26" si="16">SUM(J7:K7)</f>
        <v>6193</v>
      </c>
      <c r="J7" s="73">
        <v>6193</v>
      </c>
      <c r="K7" s="73">
        <v>0</v>
      </c>
      <c r="L7" s="40">
        <f t="shared" ref="L7:L26" si="17">SUM(M7:N7)</f>
        <v>35897</v>
      </c>
      <c r="M7" s="74">
        <v>35897</v>
      </c>
      <c r="N7" s="74">
        <v>0</v>
      </c>
      <c r="O7" s="40">
        <f t="shared" ref="O7:O26" si="18">SUM(P7:Q7)</f>
        <v>3006.9500000000003</v>
      </c>
      <c r="P7" s="75">
        <v>2998.38</v>
      </c>
      <c r="Q7" s="75">
        <v>8.57</v>
      </c>
      <c r="R7" s="40">
        <f t="shared" ref="R7:R26" si="19">SUM(S7:V7)</f>
        <v>701979.84</v>
      </c>
      <c r="S7" s="60">
        <v>83398.66</v>
      </c>
      <c r="T7" s="60">
        <v>224.18</v>
      </c>
      <c r="U7" s="60">
        <v>618357</v>
      </c>
      <c r="V7" s="76">
        <v>0</v>
      </c>
      <c r="W7" s="38">
        <f t="shared" ref="W7:W26" si="20">SUM(X7:AB7)</f>
        <v>272722.04519999999</v>
      </c>
      <c r="X7" s="55">
        <v>268808.03399999999</v>
      </c>
      <c r="Y7" s="77">
        <v>3914.0111999999999</v>
      </c>
      <c r="Z7" s="55">
        <v>0</v>
      </c>
      <c r="AA7" s="77">
        <v>0</v>
      </c>
      <c r="AB7" s="77">
        <v>0</v>
      </c>
      <c r="AC7" s="39">
        <f t="shared" si="0"/>
        <v>487652.16</v>
      </c>
      <c r="AD7" s="57">
        <v>487652.16</v>
      </c>
      <c r="AE7" s="58">
        <v>0</v>
      </c>
      <c r="AF7" s="58">
        <v>0</v>
      </c>
      <c r="AG7" s="58">
        <v>0</v>
      </c>
      <c r="AH7" s="40">
        <f t="shared" ref="AH7:AH26" si="21">SUM(AI7,AP7:AS7)</f>
        <v>9930508.9850000013</v>
      </c>
      <c r="AI7" s="36">
        <f t="shared" si="1"/>
        <v>0</v>
      </c>
      <c r="AJ7" s="78">
        <v>0</v>
      </c>
      <c r="AK7" s="78">
        <v>0</v>
      </c>
      <c r="AL7" s="78">
        <v>0</v>
      </c>
      <c r="AM7" s="78">
        <v>0</v>
      </c>
      <c r="AN7" s="78">
        <v>0</v>
      </c>
      <c r="AO7" s="78">
        <v>0</v>
      </c>
      <c r="AP7" s="78">
        <v>0</v>
      </c>
      <c r="AQ7" s="62">
        <v>574021.45900000003</v>
      </c>
      <c r="AR7" s="62">
        <f>ROUNDUP(9335577.6624,0)</f>
        <v>9335578</v>
      </c>
      <c r="AS7" s="62">
        <v>20909.525999999998</v>
      </c>
      <c r="AT7" s="37">
        <f t="shared" ref="AT7:AT26" si="22">SUM(C7,I7,L7,O7,R7,W7,AC7,AH7)</f>
        <v>17805702.0702</v>
      </c>
      <c r="AU7" s="49">
        <f t="shared" si="2"/>
        <v>-138668.4952000007</v>
      </c>
      <c r="AV7" s="40">
        <f t="shared" ref="AV7:AV26" si="23">SUM(AW7,BA7)</f>
        <v>4493182.59</v>
      </c>
      <c r="AW7" s="37">
        <f t="shared" ref="AW7:AW26" si="24">SUM(AX7:AZ7)</f>
        <v>4479087.68</v>
      </c>
      <c r="AX7" s="72">
        <v>3181871.32</v>
      </c>
      <c r="AY7" s="72">
        <v>1036025.81</v>
      </c>
      <c r="AZ7" s="72">
        <v>261190.55</v>
      </c>
      <c r="BA7" s="72">
        <v>14094.91</v>
      </c>
      <c r="BB7" s="40">
        <f t="shared" ref="BB7:BB26" si="25">SUM(BC7:BD7)</f>
        <v>0</v>
      </c>
      <c r="BC7" s="73">
        <v>0</v>
      </c>
      <c r="BD7" s="73">
        <v>0</v>
      </c>
      <c r="BE7" s="40">
        <f t="shared" si="3"/>
        <v>0</v>
      </c>
      <c r="BF7" s="74">
        <v>0</v>
      </c>
      <c r="BG7" s="74">
        <v>0</v>
      </c>
      <c r="BH7" s="40">
        <f t="shared" si="4"/>
        <v>3638.69</v>
      </c>
      <c r="BI7" s="79">
        <v>3627.18</v>
      </c>
      <c r="BJ7" s="79">
        <v>11.51</v>
      </c>
      <c r="BK7" s="40">
        <f t="shared" si="5"/>
        <v>753596.48109999998</v>
      </c>
      <c r="BL7" s="60">
        <v>94693.09</v>
      </c>
      <c r="BM7" s="60">
        <v>300.37</v>
      </c>
      <c r="BN7" s="60">
        <v>656929.46109999996</v>
      </c>
      <c r="BO7" s="60">
        <v>1673.56</v>
      </c>
      <c r="BP7" s="38">
        <f t="shared" si="6"/>
        <v>576903.67879999999</v>
      </c>
      <c r="BQ7" s="55">
        <f>18512.95*8*1.21</f>
        <v>179205.356</v>
      </c>
      <c r="BR7" s="77">
        <f>269.56*8*1.21</f>
        <v>2609.3407999999999</v>
      </c>
      <c r="BS7" s="77">
        <f>(17148.07*8*1.21)+(39955.88*4*1.21)</f>
        <v>359379.77679999999</v>
      </c>
      <c r="BT7" s="77">
        <f>(38.88*8*1.21)+(68.77*4*1.21)</f>
        <v>709.20519999999999</v>
      </c>
      <c r="BU7" s="54">
        <v>35000</v>
      </c>
      <c r="BV7" s="39">
        <f t="shared" si="7"/>
        <v>1741764.16</v>
      </c>
      <c r="BW7" s="57">
        <v>487652.16</v>
      </c>
      <c r="BX7" s="57">
        <v>1251275.3799999999</v>
      </c>
      <c r="BY7" s="57">
        <v>2836.62</v>
      </c>
      <c r="BZ7" s="56">
        <v>0</v>
      </c>
      <c r="CA7" s="40">
        <f t="shared" si="8"/>
        <v>10097947.975099999</v>
      </c>
      <c r="CB7" s="36">
        <f t="shared" ref="CB7:CB26" si="26">SUM(CC7:CH7)</f>
        <v>452306.51610000001</v>
      </c>
      <c r="CC7" s="62">
        <f>11283.53*1.21*12</f>
        <v>163836.85560000001</v>
      </c>
      <c r="CD7" s="62">
        <f>7708.62*1.21*3+9672.27*1.21*9</f>
        <v>133313.31090000001</v>
      </c>
      <c r="CE7" s="62">
        <f>4690.58*1.21*12</f>
        <v>68107.22159999999</v>
      </c>
      <c r="CF7" s="62">
        <f>800.95*1.21*12</f>
        <v>11629.794</v>
      </c>
      <c r="CG7" s="62">
        <f>240.45*1.21*12</f>
        <v>3491.3339999999998</v>
      </c>
      <c r="CH7" s="86">
        <f>5994*12</f>
        <v>71928</v>
      </c>
      <c r="CI7" s="86">
        <v>1331</v>
      </c>
      <c r="CJ7" s="62">
        <v>574021.45900000003</v>
      </c>
      <c r="CK7" s="62">
        <v>9033428</v>
      </c>
      <c r="CL7" s="62">
        <v>36861</v>
      </c>
      <c r="CM7" s="37">
        <f t="shared" ref="CM7:CM26" si="27">SUM(AV7,BB7,BE7,BH7,BK7,BP7,BV7,CA7)</f>
        <v>17667033.574999999</v>
      </c>
      <c r="CN7" s="4"/>
      <c r="CO7" s="45">
        <f t="shared" si="10"/>
        <v>-1874559.5</v>
      </c>
      <c r="CP7" s="46">
        <f t="shared" si="10"/>
        <v>-1888654.4100000001</v>
      </c>
      <c r="CQ7" s="46">
        <f t="shared" si="10"/>
        <v>-1997554.3300000005</v>
      </c>
      <c r="CR7" s="46">
        <f t="shared" si="10"/>
        <v>85965.050000000047</v>
      </c>
      <c r="CS7" s="46">
        <f t="shared" si="10"/>
        <v>22934.869999999995</v>
      </c>
      <c r="CT7" s="46">
        <f t="shared" si="10"/>
        <v>14094.91</v>
      </c>
      <c r="CU7" s="45">
        <f t="shared" si="10"/>
        <v>-6193</v>
      </c>
      <c r="CV7" s="46">
        <f t="shared" si="10"/>
        <v>-6193</v>
      </c>
      <c r="CW7" s="46">
        <f t="shared" si="10"/>
        <v>0</v>
      </c>
      <c r="CX7" s="45">
        <f t="shared" si="10"/>
        <v>-35897</v>
      </c>
      <c r="CY7" s="46">
        <f t="shared" si="10"/>
        <v>-35897</v>
      </c>
      <c r="CZ7" s="46">
        <f t="shared" si="10"/>
        <v>0</v>
      </c>
      <c r="DA7" s="45">
        <f t="shared" si="10"/>
        <v>631.73999999999978</v>
      </c>
      <c r="DB7" s="46">
        <f t="shared" si="10"/>
        <v>628.79999999999973</v>
      </c>
      <c r="DC7" s="46">
        <f t="shared" si="10"/>
        <v>2.9399999999999995</v>
      </c>
      <c r="DD7" s="45">
        <f t="shared" si="10"/>
        <v>51616.641100000008</v>
      </c>
      <c r="DE7" s="47">
        <f t="shared" si="11"/>
        <v>11294.429999999993</v>
      </c>
      <c r="DF7" s="47">
        <f t="shared" si="11"/>
        <v>76.19</v>
      </c>
      <c r="DG7" s="48">
        <f t="shared" si="11"/>
        <v>38572.461099999957</v>
      </c>
      <c r="DH7" s="46">
        <f t="shared" si="11"/>
        <v>1673.56</v>
      </c>
      <c r="DI7" s="49">
        <f t="shared" si="11"/>
        <v>304181.6336</v>
      </c>
      <c r="DJ7" s="47">
        <f t="shared" si="11"/>
        <v>-89602.677999999985</v>
      </c>
      <c r="DK7" s="46">
        <f t="shared" si="11"/>
        <v>-1304.6704</v>
      </c>
      <c r="DL7" s="46">
        <f t="shared" si="11"/>
        <v>359379.77679999999</v>
      </c>
      <c r="DM7" s="46">
        <f t="shared" si="11"/>
        <v>709.20519999999999</v>
      </c>
      <c r="DN7" s="46">
        <f t="shared" si="11"/>
        <v>35000</v>
      </c>
      <c r="DO7" s="50">
        <f t="shared" si="11"/>
        <v>1254112</v>
      </c>
      <c r="DP7" s="47">
        <f t="shared" si="11"/>
        <v>0</v>
      </c>
      <c r="DQ7" s="47">
        <f t="shared" si="11"/>
        <v>1251275.3799999999</v>
      </c>
      <c r="DR7" s="46">
        <f t="shared" si="11"/>
        <v>2836.62</v>
      </c>
      <c r="DS7" s="46">
        <f t="shared" si="11"/>
        <v>0</v>
      </c>
      <c r="DT7" s="45">
        <f t="shared" si="11"/>
        <v>167438.99009999819</v>
      </c>
      <c r="DU7" s="47">
        <f t="shared" si="12"/>
        <v>452306.51610000001</v>
      </c>
      <c r="DV7" s="47">
        <f t="shared" si="12"/>
        <v>163836.85560000001</v>
      </c>
      <c r="DW7" s="47">
        <f t="shared" si="12"/>
        <v>133313.31090000001</v>
      </c>
      <c r="DX7" s="47">
        <f t="shared" si="12"/>
        <v>68107.22159999999</v>
      </c>
      <c r="DY7" s="47">
        <f t="shared" si="12"/>
        <v>11629.794</v>
      </c>
      <c r="DZ7" s="47">
        <f t="shared" si="12"/>
        <v>3491.3339999999998</v>
      </c>
      <c r="EA7" s="47">
        <f t="shared" si="12"/>
        <v>71928</v>
      </c>
      <c r="EB7" s="47">
        <f t="shared" si="12"/>
        <v>1331</v>
      </c>
      <c r="EC7" s="47">
        <f t="shared" si="12"/>
        <v>0</v>
      </c>
      <c r="ED7" s="47">
        <f t="shared" si="12"/>
        <v>-302150</v>
      </c>
      <c r="EE7" s="47">
        <f t="shared" si="12"/>
        <v>15951.474000000002</v>
      </c>
      <c r="EF7" s="46">
        <f t="shared" ref="EF7:EF27" si="28">SUM(CO7,CU7,CX7,DA7,DD7,DI7,DO7,DT7,)</f>
        <v>-138668.49520000187</v>
      </c>
      <c r="EH7" s="46">
        <v>0</v>
      </c>
      <c r="EI7" s="46">
        <f t="shared" si="13"/>
        <v>-138668.49520000187</v>
      </c>
      <c r="EJ7" s="46">
        <v>0</v>
      </c>
      <c r="EK7" s="46">
        <f t="shared" ref="EK7:EK26" si="29">EF7+EJ7</f>
        <v>-138668.49520000187</v>
      </c>
    </row>
    <row r="8" spans="1:141" ht="14.4" x14ac:dyDescent="0.3">
      <c r="A8" s="24">
        <f t="shared" ref="A8:A26" si="30">A7+1</f>
        <v>3</v>
      </c>
      <c r="B8" s="25">
        <v>2026</v>
      </c>
      <c r="C8" s="40">
        <f t="shared" si="14"/>
        <v>6367742.0899999999</v>
      </c>
      <c r="D8" s="37">
        <f t="shared" si="15"/>
        <v>6367742.0899999999</v>
      </c>
      <c r="E8" s="80">
        <v>5179425.6500000004</v>
      </c>
      <c r="F8" s="72">
        <v>950060.76</v>
      </c>
      <c r="G8" s="72">
        <v>238255.68</v>
      </c>
      <c r="H8" s="80">
        <v>0</v>
      </c>
      <c r="I8" s="40">
        <f t="shared" si="16"/>
        <v>6193</v>
      </c>
      <c r="J8" s="73">
        <v>6193</v>
      </c>
      <c r="K8" s="73">
        <v>0</v>
      </c>
      <c r="L8" s="40">
        <f t="shared" si="17"/>
        <v>35897</v>
      </c>
      <c r="M8" s="74">
        <v>35897</v>
      </c>
      <c r="N8" s="74">
        <v>0</v>
      </c>
      <c r="O8" s="40">
        <f t="shared" si="18"/>
        <v>3006.9500000000003</v>
      </c>
      <c r="P8" s="75">
        <v>2998.38</v>
      </c>
      <c r="Q8" s="75">
        <v>8.57</v>
      </c>
      <c r="R8" s="40">
        <f t="shared" si="19"/>
        <v>598920.84</v>
      </c>
      <c r="S8" s="60">
        <v>83398.66</v>
      </c>
      <c r="T8" s="60">
        <v>224.18</v>
      </c>
      <c r="U8" s="60">
        <v>515298</v>
      </c>
      <c r="V8" s="76">
        <v>0</v>
      </c>
      <c r="W8" s="38">
        <f t="shared" si="20"/>
        <v>272722.04519999999</v>
      </c>
      <c r="X8" s="55">
        <v>268808.03399999999</v>
      </c>
      <c r="Y8" s="77">
        <v>3914.0111999999999</v>
      </c>
      <c r="Z8" s="55">
        <v>0</v>
      </c>
      <c r="AA8" s="77">
        <v>0</v>
      </c>
      <c r="AB8" s="77">
        <v>0</v>
      </c>
      <c r="AC8" s="39">
        <f t="shared" si="0"/>
        <v>487652.16</v>
      </c>
      <c r="AD8" s="57">
        <v>487652.16</v>
      </c>
      <c r="AE8" s="58">
        <v>0</v>
      </c>
      <c r="AF8" s="58">
        <v>0</v>
      </c>
      <c r="AG8" s="58">
        <v>0</v>
      </c>
      <c r="AH8" s="40">
        <f t="shared" si="21"/>
        <v>9356487.5260000005</v>
      </c>
      <c r="AI8" s="36">
        <f t="shared" si="1"/>
        <v>0</v>
      </c>
      <c r="AJ8" s="78">
        <v>0</v>
      </c>
      <c r="AK8" s="78">
        <v>0</v>
      </c>
      <c r="AL8" s="78">
        <v>0</v>
      </c>
      <c r="AM8" s="78">
        <v>0</v>
      </c>
      <c r="AN8" s="78">
        <v>0</v>
      </c>
      <c r="AO8" s="78">
        <v>0</v>
      </c>
      <c r="AP8" s="78">
        <v>0</v>
      </c>
      <c r="AQ8" s="62">
        <v>0</v>
      </c>
      <c r="AR8" s="62">
        <f>ROUNDUP(9335577.6624,0)</f>
        <v>9335578</v>
      </c>
      <c r="AS8" s="62">
        <v>20909.525999999998</v>
      </c>
      <c r="AT8" s="37">
        <f t="shared" si="22"/>
        <v>17128621.611200001</v>
      </c>
      <c r="AU8" s="40">
        <f t="shared" si="2"/>
        <v>-297756.13360000029</v>
      </c>
      <c r="AV8" s="40">
        <f t="shared" si="23"/>
        <v>4228800.05</v>
      </c>
      <c r="AW8" s="37">
        <f t="shared" si="24"/>
        <v>4214705.1399999997</v>
      </c>
      <c r="AX8" s="72">
        <v>3031787.92</v>
      </c>
      <c r="AY8" s="72">
        <v>945703.69</v>
      </c>
      <c r="AZ8" s="72">
        <v>237213.53</v>
      </c>
      <c r="BA8" s="72">
        <v>14094.91</v>
      </c>
      <c r="BB8" s="40">
        <f t="shared" si="25"/>
        <v>0</v>
      </c>
      <c r="BC8" s="73">
        <v>0</v>
      </c>
      <c r="BD8" s="73">
        <v>0</v>
      </c>
      <c r="BE8" s="40">
        <f t="shared" si="3"/>
        <v>0</v>
      </c>
      <c r="BF8" s="74">
        <v>0</v>
      </c>
      <c r="BG8" s="74">
        <v>0</v>
      </c>
      <c r="BH8" s="40">
        <f t="shared" si="4"/>
        <v>3341.32</v>
      </c>
      <c r="BI8" s="79">
        <v>3329.81</v>
      </c>
      <c r="BJ8" s="79">
        <v>11.51</v>
      </c>
      <c r="BK8" s="40">
        <f t="shared" si="5"/>
        <v>621719.96099999989</v>
      </c>
      <c r="BL8" s="60">
        <v>90775.18</v>
      </c>
      <c r="BM8" s="60">
        <v>300.37</v>
      </c>
      <c r="BN8" s="60">
        <v>529249.76500000001</v>
      </c>
      <c r="BO8" s="60">
        <v>1394.646</v>
      </c>
      <c r="BP8" s="38">
        <f t="shared" si="6"/>
        <v>568133.01819999993</v>
      </c>
      <c r="BQ8" s="55">
        <v>0</v>
      </c>
      <c r="BR8" s="77">
        <v>0</v>
      </c>
      <c r="BS8" s="77">
        <f>468706.17*1.21</f>
        <v>567134.46569999994</v>
      </c>
      <c r="BT8" s="77">
        <f>825.25*1.21</f>
        <v>998.55250000000001</v>
      </c>
      <c r="BU8" s="54">
        <v>0</v>
      </c>
      <c r="BV8" s="39">
        <f t="shared" si="7"/>
        <v>1895728.76</v>
      </c>
      <c r="BW8" s="57">
        <v>0</v>
      </c>
      <c r="BX8" s="57">
        <f>(104272.95*4)+(154201.185*8)</f>
        <v>1650701.28</v>
      </c>
      <c r="BY8" s="57">
        <f>(236.39*4)+(510.24*8)</f>
        <v>5027.4799999999996</v>
      </c>
      <c r="BZ8" s="58">
        <v>240000</v>
      </c>
      <c r="CA8" s="40">
        <f t="shared" si="8"/>
        <v>9513142.3684</v>
      </c>
      <c r="CB8" s="36">
        <f t="shared" si="26"/>
        <v>441474.36839999998</v>
      </c>
      <c r="CC8" s="62">
        <f>10816.67*1.21*12</f>
        <v>157058.0484</v>
      </c>
      <c r="CD8" s="62">
        <f>9272.07*1.21*12</f>
        <v>134630.45639999997</v>
      </c>
      <c r="CE8" s="62">
        <f>4545.61*1.21*12</f>
        <v>66002.257199999993</v>
      </c>
      <c r="CF8" s="62">
        <f>767.82*1.21*12</f>
        <v>11148.7464</v>
      </c>
      <c r="CG8" s="62">
        <f>230.5*1.21*12</f>
        <v>3346.8599999999997</v>
      </c>
      <c r="CH8" s="86">
        <f>5774*12</f>
        <v>69288</v>
      </c>
      <c r="CI8" s="86">
        <v>1379</v>
      </c>
      <c r="CJ8" s="62">
        <v>0</v>
      </c>
      <c r="CK8" s="62">
        <v>9033428</v>
      </c>
      <c r="CL8" s="62">
        <v>36861</v>
      </c>
      <c r="CM8" s="37">
        <f t="shared" si="27"/>
        <v>16830865.477600001</v>
      </c>
      <c r="CN8" s="4"/>
      <c r="CO8" s="45">
        <f t="shared" si="10"/>
        <v>-2138942.04</v>
      </c>
      <c r="CP8" s="46">
        <f t="shared" si="10"/>
        <v>-2153036.9500000002</v>
      </c>
      <c r="CQ8" s="46">
        <f t="shared" si="10"/>
        <v>-2147637.7300000004</v>
      </c>
      <c r="CR8" s="46">
        <f t="shared" si="10"/>
        <v>-4357.0700000000652</v>
      </c>
      <c r="CS8" s="46">
        <f t="shared" si="10"/>
        <v>-1042.1499999999942</v>
      </c>
      <c r="CT8" s="46">
        <f t="shared" si="10"/>
        <v>14094.91</v>
      </c>
      <c r="CU8" s="45">
        <f t="shared" si="10"/>
        <v>-6193</v>
      </c>
      <c r="CV8" s="46">
        <f t="shared" si="10"/>
        <v>-6193</v>
      </c>
      <c r="CW8" s="46">
        <f t="shared" si="10"/>
        <v>0</v>
      </c>
      <c r="CX8" s="45">
        <f t="shared" si="10"/>
        <v>-35897</v>
      </c>
      <c r="CY8" s="46">
        <f t="shared" si="10"/>
        <v>-35897</v>
      </c>
      <c r="CZ8" s="46">
        <f t="shared" si="10"/>
        <v>0</v>
      </c>
      <c r="DA8" s="45">
        <f t="shared" si="10"/>
        <v>334.36999999999989</v>
      </c>
      <c r="DB8" s="46">
        <f t="shared" si="10"/>
        <v>331.42999999999984</v>
      </c>
      <c r="DC8" s="46">
        <f t="shared" si="10"/>
        <v>2.9399999999999995</v>
      </c>
      <c r="DD8" s="45">
        <f t="shared" si="10"/>
        <v>22799.120999999926</v>
      </c>
      <c r="DE8" s="47">
        <f t="shared" si="11"/>
        <v>7376.5199999999895</v>
      </c>
      <c r="DF8" s="47">
        <f t="shared" si="11"/>
        <v>76.19</v>
      </c>
      <c r="DG8" s="48">
        <f t="shared" si="11"/>
        <v>13951.765000000014</v>
      </c>
      <c r="DH8" s="46">
        <f t="shared" si="11"/>
        <v>1394.646</v>
      </c>
      <c r="DI8" s="49">
        <f t="shared" si="11"/>
        <v>295410.97299999994</v>
      </c>
      <c r="DJ8" s="47">
        <f t="shared" si="11"/>
        <v>-268808.03399999999</v>
      </c>
      <c r="DK8" s="46">
        <f t="shared" si="11"/>
        <v>-3914.0111999999999</v>
      </c>
      <c r="DL8" s="46">
        <f t="shared" si="11"/>
        <v>567134.46569999994</v>
      </c>
      <c r="DM8" s="46">
        <f t="shared" si="11"/>
        <v>998.55250000000001</v>
      </c>
      <c r="DN8" s="46">
        <f t="shared" si="11"/>
        <v>0</v>
      </c>
      <c r="DO8" s="50">
        <f t="shared" si="11"/>
        <v>1408076.6</v>
      </c>
      <c r="DP8" s="47">
        <f t="shared" si="11"/>
        <v>-487652.16</v>
      </c>
      <c r="DQ8" s="47">
        <f t="shared" si="11"/>
        <v>1650701.28</v>
      </c>
      <c r="DR8" s="46">
        <f t="shared" si="11"/>
        <v>5027.4799999999996</v>
      </c>
      <c r="DS8" s="46">
        <f t="shared" si="11"/>
        <v>240000</v>
      </c>
      <c r="DT8" s="45">
        <f t="shared" si="11"/>
        <v>156654.8423999995</v>
      </c>
      <c r="DU8" s="47">
        <f t="shared" si="12"/>
        <v>441474.36839999998</v>
      </c>
      <c r="DV8" s="47">
        <f t="shared" si="12"/>
        <v>157058.0484</v>
      </c>
      <c r="DW8" s="47">
        <f t="shared" si="12"/>
        <v>134630.45639999997</v>
      </c>
      <c r="DX8" s="47">
        <f t="shared" si="12"/>
        <v>66002.257199999993</v>
      </c>
      <c r="DY8" s="47">
        <f t="shared" si="12"/>
        <v>11148.7464</v>
      </c>
      <c r="DZ8" s="47">
        <f t="shared" si="12"/>
        <v>3346.8599999999997</v>
      </c>
      <c r="EA8" s="47">
        <f t="shared" si="12"/>
        <v>69288</v>
      </c>
      <c r="EB8" s="47">
        <f t="shared" si="12"/>
        <v>1379</v>
      </c>
      <c r="EC8" s="47">
        <f t="shared" si="12"/>
        <v>0</v>
      </c>
      <c r="ED8" s="47">
        <f t="shared" si="12"/>
        <v>-302150</v>
      </c>
      <c r="EE8" s="47">
        <f t="shared" si="12"/>
        <v>15951.474000000002</v>
      </c>
      <c r="EF8" s="46">
        <f t="shared" si="28"/>
        <v>-297756.13360000052</v>
      </c>
      <c r="EH8" s="46">
        <v>264382.53999999998</v>
      </c>
      <c r="EI8" s="46">
        <f t="shared" si="13"/>
        <v>-33373.593600000546</v>
      </c>
      <c r="EJ8" s="87">
        <v>639697</v>
      </c>
      <c r="EK8" s="46">
        <f t="shared" si="29"/>
        <v>341940.86639999948</v>
      </c>
    </row>
    <row r="9" spans="1:141" ht="14.4" x14ac:dyDescent="0.3">
      <c r="A9" s="24">
        <f t="shared" si="30"/>
        <v>4</v>
      </c>
      <c r="B9" s="25">
        <v>2027</v>
      </c>
      <c r="C9" s="40">
        <f t="shared" si="14"/>
        <v>6780682.0899999999</v>
      </c>
      <c r="D9" s="37">
        <f t="shared" si="15"/>
        <v>6780682.0899999999</v>
      </c>
      <c r="E9" s="72">
        <v>5592365.6500000004</v>
      </c>
      <c r="F9" s="72">
        <v>950060.76</v>
      </c>
      <c r="G9" s="72">
        <v>238255.68</v>
      </c>
      <c r="H9" s="72">
        <v>0</v>
      </c>
      <c r="I9" s="40">
        <f t="shared" si="16"/>
        <v>6193</v>
      </c>
      <c r="J9" s="81">
        <v>6193</v>
      </c>
      <c r="K9" s="73">
        <v>0</v>
      </c>
      <c r="L9" s="40">
        <f t="shared" si="17"/>
        <v>35897</v>
      </c>
      <c r="M9" s="82">
        <v>35897</v>
      </c>
      <c r="N9" s="74">
        <v>0</v>
      </c>
      <c r="O9" s="40">
        <f t="shared" si="18"/>
        <v>3006.9500000000003</v>
      </c>
      <c r="P9" s="75">
        <v>2998.38</v>
      </c>
      <c r="Q9" s="75">
        <v>8.57</v>
      </c>
      <c r="R9" s="40">
        <f t="shared" si="19"/>
        <v>83622.84</v>
      </c>
      <c r="S9" s="60">
        <v>83398.66</v>
      </c>
      <c r="T9" s="60">
        <v>224.18</v>
      </c>
      <c r="U9" s="76">
        <v>0</v>
      </c>
      <c r="V9" s="76">
        <v>0</v>
      </c>
      <c r="W9" s="38">
        <f t="shared" si="20"/>
        <v>272722.04519999999</v>
      </c>
      <c r="X9" s="55">
        <v>268808.03399999999</v>
      </c>
      <c r="Y9" s="77">
        <v>3914.0111999999999</v>
      </c>
      <c r="Z9" s="55">
        <v>0</v>
      </c>
      <c r="AA9" s="77">
        <v>0</v>
      </c>
      <c r="AB9" s="77">
        <v>0</v>
      </c>
      <c r="AC9" s="39">
        <f t="shared" si="0"/>
        <v>487652.16</v>
      </c>
      <c r="AD9" s="57">
        <v>487652.16</v>
      </c>
      <c r="AE9" s="58">
        <v>0</v>
      </c>
      <c r="AF9" s="58">
        <v>0</v>
      </c>
      <c r="AG9" s="58">
        <v>0</v>
      </c>
      <c r="AH9" s="40">
        <f t="shared" si="21"/>
        <v>9356487.5260000005</v>
      </c>
      <c r="AI9" s="36">
        <f t="shared" si="1"/>
        <v>0</v>
      </c>
      <c r="AJ9" s="78">
        <v>0</v>
      </c>
      <c r="AK9" s="78">
        <v>0</v>
      </c>
      <c r="AL9" s="78">
        <v>0</v>
      </c>
      <c r="AM9" s="78">
        <v>0</v>
      </c>
      <c r="AN9" s="78">
        <v>0</v>
      </c>
      <c r="AO9" s="78">
        <v>0</v>
      </c>
      <c r="AP9" s="78">
        <v>0</v>
      </c>
      <c r="AQ9" s="62">
        <v>0</v>
      </c>
      <c r="AR9" s="62">
        <f>ROUNDUP(9335577.6624,0)</f>
        <v>9335578</v>
      </c>
      <c r="AS9" s="62">
        <v>20909.525999999998</v>
      </c>
      <c r="AT9" s="37">
        <f t="shared" si="22"/>
        <v>17026263.611200001</v>
      </c>
      <c r="AU9" s="40">
        <f t="shared" si="2"/>
        <v>-694388.43030000106</v>
      </c>
      <c r="AV9" s="40">
        <f t="shared" si="23"/>
        <v>3457528.1500000008</v>
      </c>
      <c r="AW9" s="37">
        <f t="shared" si="24"/>
        <v>3443433.2400000007</v>
      </c>
      <c r="AX9" s="72">
        <v>2483999.7200000002</v>
      </c>
      <c r="AY9" s="72">
        <v>768307.05</v>
      </c>
      <c r="AZ9" s="72">
        <v>191126.47</v>
      </c>
      <c r="BA9" s="72">
        <v>14094.91</v>
      </c>
      <c r="BB9" s="40">
        <f t="shared" si="25"/>
        <v>0</v>
      </c>
      <c r="BC9" s="73">
        <v>0</v>
      </c>
      <c r="BD9" s="73">
        <v>0</v>
      </c>
      <c r="BE9" s="40">
        <f t="shared" si="3"/>
        <v>0</v>
      </c>
      <c r="BF9" s="74">
        <v>0</v>
      </c>
      <c r="BG9" s="74">
        <v>0</v>
      </c>
      <c r="BH9" s="40">
        <f t="shared" si="4"/>
        <v>2762.84</v>
      </c>
      <c r="BI9" s="79">
        <v>2751.33</v>
      </c>
      <c r="BJ9" s="79">
        <v>11.51</v>
      </c>
      <c r="BK9" s="40">
        <f t="shared" si="5"/>
        <v>75973.59</v>
      </c>
      <c r="BL9" s="60">
        <v>75673.22</v>
      </c>
      <c r="BM9" s="60">
        <v>300.37</v>
      </c>
      <c r="BN9" s="60">
        <v>0</v>
      </c>
      <c r="BO9" s="60">
        <v>0</v>
      </c>
      <c r="BP9" s="38">
        <f t="shared" si="6"/>
        <v>517928.52099999995</v>
      </c>
      <c r="BQ9" s="55">
        <v>0</v>
      </c>
      <c r="BR9" s="77">
        <v>0</v>
      </c>
      <c r="BS9" s="77">
        <f>427214.85*1.21</f>
        <v>516929.96849999996</v>
      </c>
      <c r="BT9" s="77">
        <f t="shared" ref="BT9:BT25" si="31">825.25*1.21</f>
        <v>998.55250000000001</v>
      </c>
      <c r="BU9" s="54">
        <v>0</v>
      </c>
      <c r="BV9" s="39">
        <f t="shared" si="7"/>
        <v>2826343.6174999997</v>
      </c>
      <c r="BW9" s="57">
        <v>0</v>
      </c>
      <c r="BX9" s="57">
        <v>2820220.7174999998</v>
      </c>
      <c r="BY9" s="57">
        <v>6122.9</v>
      </c>
      <c r="BZ9" s="56">
        <v>0</v>
      </c>
      <c r="CA9" s="40">
        <f t="shared" si="8"/>
        <v>9451338.4624000005</v>
      </c>
      <c r="CB9" s="36">
        <f t="shared" si="26"/>
        <v>379670.4623999999</v>
      </c>
      <c r="CC9" s="62">
        <f t="shared" ref="CC9:CC25" si="32">9017.14*1.21*12</f>
        <v>130928.87279999998</v>
      </c>
      <c r="CD9" s="62">
        <f t="shared" ref="CD9:CD25" si="33">8249.9*1.21*12</f>
        <v>119788.54799999998</v>
      </c>
      <c r="CE9" s="62">
        <f>3986.85*1.21*12</f>
        <v>57889.061999999998</v>
      </c>
      <c r="CF9" s="62">
        <f t="shared" ref="CF9:CF25" si="34">640.08*1.21*12</f>
        <v>9293.9616000000005</v>
      </c>
      <c r="CG9" s="62">
        <f t="shared" ref="CG9:CG25" si="35">192.15*1.21*12</f>
        <v>2790.018</v>
      </c>
      <c r="CH9" s="86">
        <f>4915*12</f>
        <v>58980</v>
      </c>
      <c r="CI9" s="86">
        <v>1379</v>
      </c>
      <c r="CJ9" s="62">
        <v>0</v>
      </c>
      <c r="CK9" s="62">
        <v>9033428</v>
      </c>
      <c r="CL9" s="62">
        <v>36861</v>
      </c>
      <c r="CM9" s="37">
        <f t="shared" si="27"/>
        <v>16331875.1809</v>
      </c>
      <c r="CN9" s="4"/>
      <c r="CO9" s="45">
        <f t="shared" si="10"/>
        <v>-3323153.939999999</v>
      </c>
      <c r="CP9" s="46">
        <f t="shared" si="10"/>
        <v>-3337248.8499999992</v>
      </c>
      <c r="CQ9" s="46">
        <f t="shared" si="10"/>
        <v>-3108365.93</v>
      </c>
      <c r="CR9" s="46">
        <f t="shared" si="10"/>
        <v>-181753.70999999996</v>
      </c>
      <c r="CS9" s="46">
        <f t="shared" si="10"/>
        <v>-47129.209999999992</v>
      </c>
      <c r="CT9" s="46">
        <f t="shared" si="10"/>
        <v>14094.91</v>
      </c>
      <c r="CU9" s="45">
        <f t="shared" si="10"/>
        <v>-6193</v>
      </c>
      <c r="CV9" s="46">
        <f t="shared" si="10"/>
        <v>-6193</v>
      </c>
      <c r="CW9" s="46">
        <f t="shared" si="10"/>
        <v>0</v>
      </c>
      <c r="CX9" s="45">
        <f t="shared" si="10"/>
        <v>-35897</v>
      </c>
      <c r="CY9" s="46">
        <f t="shared" si="10"/>
        <v>-35897</v>
      </c>
      <c r="CZ9" s="46">
        <f t="shared" si="10"/>
        <v>0</v>
      </c>
      <c r="DA9" s="45">
        <f t="shared" si="10"/>
        <v>-244.11000000000013</v>
      </c>
      <c r="DB9" s="46">
        <f t="shared" si="10"/>
        <v>-247.05000000000018</v>
      </c>
      <c r="DC9" s="46">
        <f t="shared" si="10"/>
        <v>2.9399999999999995</v>
      </c>
      <c r="DD9" s="45">
        <f t="shared" si="10"/>
        <v>-7649.25</v>
      </c>
      <c r="DE9" s="47">
        <f t="shared" si="11"/>
        <v>-7725.4400000000023</v>
      </c>
      <c r="DF9" s="47">
        <f t="shared" si="11"/>
        <v>76.19</v>
      </c>
      <c r="DG9" s="48">
        <f t="shared" si="11"/>
        <v>0</v>
      </c>
      <c r="DH9" s="46">
        <f t="shared" si="11"/>
        <v>0</v>
      </c>
      <c r="DI9" s="49">
        <f t="shared" si="11"/>
        <v>245206.47579999996</v>
      </c>
      <c r="DJ9" s="47">
        <f t="shared" si="11"/>
        <v>-268808.03399999999</v>
      </c>
      <c r="DK9" s="46">
        <f t="shared" si="11"/>
        <v>-3914.0111999999999</v>
      </c>
      <c r="DL9" s="46">
        <f t="shared" si="11"/>
        <v>516929.96849999996</v>
      </c>
      <c r="DM9" s="46">
        <f t="shared" si="11"/>
        <v>998.55250000000001</v>
      </c>
      <c r="DN9" s="46">
        <f t="shared" si="11"/>
        <v>0</v>
      </c>
      <c r="DO9" s="50">
        <f t="shared" si="11"/>
        <v>2338691.4574999996</v>
      </c>
      <c r="DP9" s="47">
        <f t="shared" si="11"/>
        <v>-487652.16</v>
      </c>
      <c r="DQ9" s="47">
        <f t="shared" si="11"/>
        <v>2820220.7174999998</v>
      </c>
      <c r="DR9" s="46">
        <f t="shared" si="11"/>
        <v>6122.9</v>
      </c>
      <c r="DS9" s="46">
        <f t="shared" si="11"/>
        <v>0</v>
      </c>
      <c r="DT9" s="45">
        <f t="shared" si="11"/>
        <v>94850.936400000006</v>
      </c>
      <c r="DU9" s="47">
        <f t="shared" si="12"/>
        <v>379670.4623999999</v>
      </c>
      <c r="DV9" s="47">
        <f t="shared" si="12"/>
        <v>130928.87279999998</v>
      </c>
      <c r="DW9" s="47">
        <f t="shared" si="12"/>
        <v>119788.54799999998</v>
      </c>
      <c r="DX9" s="47">
        <f t="shared" si="12"/>
        <v>57889.061999999998</v>
      </c>
      <c r="DY9" s="47">
        <f t="shared" si="12"/>
        <v>9293.9616000000005</v>
      </c>
      <c r="DZ9" s="47">
        <f t="shared" si="12"/>
        <v>2790.018</v>
      </c>
      <c r="EA9" s="47">
        <f t="shared" si="12"/>
        <v>58980</v>
      </c>
      <c r="EB9" s="47">
        <f t="shared" si="12"/>
        <v>1379</v>
      </c>
      <c r="EC9" s="47">
        <f t="shared" si="12"/>
        <v>0</v>
      </c>
      <c r="ED9" s="47">
        <f t="shared" si="12"/>
        <v>-302150</v>
      </c>
      <c r="EE9" s="47">
        <f t="shared" si="12"/>
        <v>15951.474000000002</v>
      </c>
      <c r="EF9" s="46">
        <f t="shared" si="28"/>
        <v>-694388.43029999919</v>
      </c>
      <c r="EH9" s="46">
        <v>771271.91</v>
      </c>
      <c r="EI9" s="89">
        <f t="shared" si="13"/>
        <v>76883.47970000084</v>
      </c>
      <c r="EJ9" s="87">
        <v>602612</v>
      </c>
      <c r="EK9" s="46">
        <f t="shared" si="29"/>
        <v>-91776.430299999192</v>
      </c>
    </row>
    <row r="10" spans="1:141" ht="14.4" x14ac:dyDescent="0.3">
      <c r="A10" s="24">
        <f t="shared" si="30"/>
        <v>5</v>
      </c>
      <c r="B10" s="25">
        <v>2028</v>
      </c>
      <c r="C10" s="40">
        <f t="shared" si="14"/>
        <v>6780682.0899999999</v>
      </c>
      <c r="D10" s="37">
        <f t="shared" si="15"/>
        <v>6780682.0899999999</v>
      </c>
      <c r="E10" s="72">
        <v>5592365.6500000004</v>
      </c>
      <c r="F10" s="72">
        <v>950060.76</v>
      </c>
      <c r="G10" s="72">
        <v>238255.68</v>
      </c>
      <c r="H10" s="72">
        <v>0</v>
      </c>
      <c r="I10" s="40">
        <f t="shared" si="16"/>
        <v>6193</v>
      </c>
      <c r="J10" s="81">
        <v>6193</v>
      </c>
      <c r="K10" s="73">
        <v>0</v>
      </c>
      <c r="L10" s="40">
        <f t="shared" si="17"/>
        <v>35897</v>
      </c>
      <c r="M10" s="82">
        <v>35897</v>
      </c>
      <c r="N10" s="74">
        <v>0</v>
      </c>
      <c r="O10" s="40">
        <f t="shared" si="18"/>
        <v>3006.9500000000003</v>
      </c>
      <c r="P10" s="75">
        <v>2998.38</v>
      </c>
      <c r="Q10" s="75">
        <v>8.57</v>
      </c>
      <c r="R10" s="40">
        <f t="shared" si="19"/>
        <v>83622.84</v>
      </c>
      <c r="S10" s="60">
        <v>83398.66</v>
      </c>
      <c r="T10" s="60">
        <v>224.18</v>
      </c>
      <c r="U10" s="76">
        <v>0</v>
      </c>
      <c r="V10" s="76">
        <v>0</v>
      </c>
      <c r="W10" s="38">
        <f t="shared" si="20"/>
        <v>272722.04519999999</v>
      </c>
      <c r="X10" s="55">
        <v>268808.03399999999</v>
      </c>
      <c r="Y10" s="77">
        <v>3914.0111999999999</v>
      </c>
      <c r="Z10" s="55">
        <v>0</v>
      </c>
      <c r="AA10" s="77">
        <v>0</v>
      </c>
      <c r="AB10" s="77">
        <v>0</v>
      </c>
      <c r="AC10" s="39">
        <f t="shared" si="0"/>
        <v>487652.16</v>
      </c>
      <c r="AD10" s="57">
        <v>487652.16</v>
      </c>
      <c r="AE10" s="58">
        <v>0</v>
      </c>
      <c r="AF10" s="58">
        <v>0</v>
      </c>
      <c r="AG10" s="58">
        <v>0</v>
      </c>
      <c r="AH10" s="40">
        <f t="shared" si="21"/>
        <v>0</v>
      </c>
      <c r="AI10" s="36">
        <f t="shared" si="1"/>
        <v>0</v>
      </c>
      <c r="AJ10" s="78">
        <v>0</v>
      </c>
      <c r="AK10" s="78">
        <v>0</v>
      </c>
      <c r="AL10" s="78">
        <v>0</v>
      </c>
      <c r="AM10" s="78">
        <v>0</v>
      </c>
      <c r="AN10" s="78">
        <v>0</v>
      </c>
      <c r="AO10" s="78">
        <v>0</v>
      </c>
      <c r="AP10" s="78">
        <v>0</v>
      </c>
      <c r="AQ10" s="62">
        <v>0</v>
      </c>
      <c r="AR10" s="62">
        <v>0</v>
      </c>
      <c r="AS10" s="62">
        <v>0</v>
      </c>
      <c r="AT10" s="37">
        <f t="shared" si="22"/>
        <v>7669776.0851999996</v>
      </c>
      <c r="AU10" s="40">
        <f t="shared" si="2"/>
        <v>-424388.5614999989</v>
      </c>
      <c r="AV10" s="40">
        <f t="shared" si="23"/>
        <v>3457528.1500000008</v>
      </c>
      <c r="AW10" s="37">
        <f t="shared" si="24"/>
        <v>3443433.2400000007</v>
      </c>
      <c r="AX10" s="72">
        <v>2483999.7200000002</v>
      </c>
      <c r="AY10" s="72">
        <v>768307.05</v>
      </c>
      <c r="AZ10" s="72">
        <v>191126.47</v>
      </c>
      <c r="BA10" s="72">
        <v>14094.91</v>
      </c>
      <c r="BB10" s="40">
        <f t="shared" si="25"/>
        <v>0</v>
      </c>
      <c r="BC10" s="73">
        <v>0</v>
      </c>
      <c r="BD10" s="73">
        <v>0</v>
      </c>
      <c r="BE10" s="40">
        <f t="shared" si="3"/>
        <v>0</v>
      </c>
      <c r="BF10" s="74">
        <v>0</v>
      </c>
      <c r="BG10" s="74">
        <v>0</v>
      </c>
      <c r="BH10" s="40">
        <f t="shared" si="4"/>
        <v>2762.84</v>
      </c>
      <c r="BI10" s="79">
        <v>2751.33</v>
      </c>
      <c r="BJ10" s="79">
        <v>11.51</v>
      </c>
      <c r="BK10" s="40">
        <f t="shared" si="5"/>
        <v>75973.59</v>
      </c>
      <c r="BL10" s="60">
        <v>75673.22</v>
      </c>
      <c r="BM10" s="60">
        <v>300.37</v>
      </c>
      <c r="BN10" s="76">
        <v>0</v>
      </c>
      <c r="BO10" s="76">
        <v>0</v>
      </c>
      <c r="BP10" s="38">
        <f t="shared" si="6"/>
        <v>517928.52099999995</v>
      </c>
      <c r="BQ10" s="55">
        <v>0</v>
      </c>
      <c r="BR10" s="77">
        <v>0</v>
      </c>
      <c r="BS10" s="77">
        <f t="shared" ref="BS10:BS11" si="36">427214.85*1.21</f>
        <v>516929.96849999996</v>
      </c>
      <c r="BT10" s="77">
        <f t="shared" si="31"/>
        <v>998.55250000000001</v>
      </c>
      <c r="BU10" s="54">
        <v>0</v>
      </c>
      <c r="BV10" s="39">
        <f t="shared" si="7"/>
        <v>2826343.6174999997</v>
      </c>
      <c r="BW10" s="57">
        <v>0</v>
      </c>
      <c r="BX10" s="57">
        <v>2820220.7174999998</v>
      </c>
      <c r="BY10" s="57">
        <v>6122.9</v>
      </c>
      <c r="BZ10" s="56">
        <v>0</v>
      </c>
      <c r="CA10" s="40">
        <f t="shared" si="8"/>
        <v>364850.80519999994</v>
      </c>
      <c r="CB10" s="36">
        <f t="shared" si="26"/>
        <v>363471.80519999994</v>
      </c>
      <c r="CC10" s="62">
        <f t="shared" si="32"/>
        <v>130928.87279999998</v>
      </c>
      <c r="CD10" s="62">
        <f t="shared" si="33"/>
        <v>119788.54799999998</v>
      </c>
      <c r="CE10" s="62">
        <f t="shared" ref="CE10:CE25" si="37">2871.24*1.21*12</f>
        <v>41690.404799999997</v>
      </c>
      <c r="CF10" s="62">
        <f t="shared" si="34"/>
        <v>9293.9616000000005</v>
      </c>
      <c r="CG10" s="62">
        <f t="shared" si="35"/>
        <v>2790.018</v>
      </c>
      <c r="CH10" s="86">
        <f t="shared" ref="CH10:CH25" si="38">4915*12</f>
        <v>58980</v>
      </c>
      <c r="CI10" s="86">
        <v>1379</v>
      </c>
      <c r="CJ10" s="62">
        <v>0</v>
      </c>
      <c r="CK10" s="62">
        <v>0</v>
      </c>
      <c r="CL10" s="62">
        <v>0</v>
      </c>
      <c r="CM10" s="37">
        <f t="shared" si="27"/>
        <v>7245387.5237000007</v>
      </c>
      <c r="CN10" s="4"/>
      <c r="CO10" s="45">
        <f t="shared" si="10"/>
        <v>-3323153.939999999</v>
      </c>
      <c r="CP10" s="46">
        <f t="shared" si="10"/>
        <v>-3337248.8499999992</v>
      </c>
      <c r="CQ10" s="46">
        <f t="shared" si="10"/>
        <v>-3108365.93</v>
      </c>
      <c r="CR10" s="46">
        <f t="shared" si="10"/>
        <v>-181753.70999999996</v>
      </c>
      <c r="CS10" s="46">
        <f t="shared" si="10"/>
        <v>-47129.209999999992</v>
      </c>
      <c r="CT10" s="46">
        <f t="shared" si="10"/>
        <v>14094.91</v>
      </c>
      <c r="CU10" s="45">
        <f t="shared" si="10"/>
        <v>-6193</v>
      </c>
      <c r="CV10" s="46">
        <f t="shared" si="10"/>
        <v>-6193</v>
      </c>
      <c r="CW10" s="46">
        <f t="shared" si="10"/>
        <v>0</v>
      </c>
      <c r="CX10" s="45">
        <f t="shared" si="10"/>
        <v>-35897</v>
      </c>
      <c r="CY10" s="46">
        <f t="shared" si="10"/>
        <v>-35897</v>
      </c>
      <c r="CZ10" s="46">
        <f t="shared" si="10"/>
        <v>0</v>
      </c>
      <c r="DA10" s="45">
        <f t="shared" si="10"/>
        <v>-244.11000000000013</v>
      </c>
      <c r="DB10" s="46">
        <f t="shared" si="10"/>
        <v>-247.05000000000018</v>
      </c>
      <c r="DC10" s="46">
        <f t="shared" si="10"/>
        <v>2.9399999999999995</v>
      </c>
      <c r="DD10" s="45">
        <f t="shared" si="10"/>
        <v>-7649.25</v>
      </c>
      <c r="DE10" s="47">
        <f t="shared" si="11"/>
        <v>-7725.4400000000023</v>
      </c>
      <c r="DF10" s="47">
        <f t="shared" si="11"/>
        <v>76.19</v>
      </c>
      <c r="DG10" s="48">
        <f t="shared" si="11"/>
        <v>0</v>
      </c>
      <c r="DH10" s="46">
        <f t="shared" si="11"/>
        <v>0</v>
      </c>
      <c r="DI10" s="49">
        <f t="shared" si="11"/>
        <v>245206.47579999996</v>
      </c>
      <c r="DJ10" s="47">
        <f t="shared" si="11"/>
        <v>-268808.03399999999</v>
      </c>
      <c r="DK10" s="46">
        <f t="shared" si="11"/>
        <v>-3914.0111999999999</v>
      </c>
      <c r="DL10" s="46">
        <f t="shared" si="11"/>
        <v>516929.96849999996</v>
      </c>
      <c r="DM10" s="46">
        <f t="shared" si="11"/>
        <v>998.55250000000001</v>
      </c>
      <c r="DN10" s="46">
        <f t="shared" si="11"/>
        <v>0</v>
      </c>
      <c r="DO10" s="50">
        <f t="shared" si="11"/>
        <v>2338691.4574999996</v>
      </c>
      <c r="DP10" s="47">
        <f t="shared" si="11"/>
        <v>-487652.16</v>
      </c>
      <c r="DQ10" s="47">
        <f t="shared" si="11"/>
        <v>2820220.7174999998</v>
      </c>
      <c r="DR10" s="46">
        <f t="shared" si="11"/>
        <v>6122.9</v>
      </c>
      <c r="DS10" s="46">
        <f t="shared" si="11"/>
        <v>0</v>
      </c>
      <c r="DT10" s="45">
        <f t="shared" si="11"/>
        <v>364850.80519999994</v>
      </c>
      <c r="DU10" s="47">
        <f t="shared" si="12"/>
        <v>363471.80519999994</v>
      </c>
      <c r="DV10" s="47">
        <f t="shared" si="12"/>
        <v>130928.87279999998</v>
      </c>
      <c r="DW10" s="47">
        <f t="shared" si="12"/>
        <v>119788.54799999998</v>
      </c>
      <c r="DX10" s="47">
        <f t="shared" si="12"/>
        <v>41690.404799999997</v>
      </c>
      <c r="DY10" s="47">
        <f t="shared" si="12"/>
        <v>9293.9616000000005</v>
      </c>
      <c r="DZ10" s="47">
        <f t="shared" si="12"/>
        <v>2790.018</v>
      </c>
      <c r="EA10" s="47">
        <f t="shared" si="12"/>
        <v>58980</v>
      </c>
      <c r="EB10" s="47">
        <f t="shared" si="12"/>
        <v>1379</v>
      </c>
      <c r="EC10" s="47">
        <f t="shared" si="12"/>
        <v>0</v>
      </c>
      <c r="ED10" s="47">
        <f t="shared" si="12"/>
        <v>0</v>
      </c>
      <c r="EE10" s="47">
        <f t="shared" si="12"/>
        <v>0</v>
      </c>
      <c r="EF10" s="46">
        <f t="shared" si="28"/>
        <v>-424388.56149999925</v>
      </c>
      <c r="EH10" s="46">
        <v>771271.91</v>
      </c>
      <c r="EI10" s="89">
        <f t="shared" si="13"/>
        <v>346883.34850000078</v>
      </c>
      <c r="EJ10" s="87">
        <v>755914</v>
      </c>
      <c r="EK10" s="46">
        <f t="shared" si="29"/>
        <v>331525.43850000075</v>
      </c>
    </row>
    <row r="11" spans="1:141" ht="14.4" x14ac:dyDescent="0.3">
      <c r="A11" s="24">
        <f t="shared" si="30"/>
        <v>6</v>
      </c>
      <c r="B11" s="26">
        <v>2029</v>
      </c>
      <c r="C11" s="40">
        <f t="shared" si="14"/>
        <v>6780682.0899999999</v>
      </c>
      <c r="D11" s="37">
        <f t="shared" si="15"/>
        <v>6780682.0899999999</v>
      </c>
      <c r="E11" s="72">
        <v>5592365.6500000004</v>
      </c>
      <c r="F11" s="72">
        <v>950060.76</v>
      </c>
      <c r="G11" s="72">
        <v>238255.68</v>
      </c>
      <c r="H11" s="72">
        <v>0</v>
      </c>
      <c r="I11" s="40">
        <f t="shared" si="16"/>
        <v>6193</v>
      </c>
      <c r="J11" s="81">
        <v>6193</v>
      </c>
      <c r="K11" s="73">
        <v>0</v>
      </c>
      <c r="L11" s="40">
        <f t="shared" si="17"/>
        <v>35897</v>
      </c>
      <c r="M11" s="82">
        <v>35897</v>
      </c>
      <c r="N11" s="74">
        <v>0</v>
      </c>
      <c r="O11" s="40">
        <f t="shared" si="18"/>
        <v>3006.9500000000003</v>
      </c>
      <c r="P11" s="75">
        <v>2998.38</v>
      </c>
      <c r="Q11" s="75">
        <v>8.57</v>
      </c>
      <c r="R11" s="40">
        <f t="shared" si="19"/>
        <v>83622.84</v>
      </c>
      <c r="S11" s="60">
        <v>83398.66</v>
      </c>
      <c r="T11" s="60">
        <v>224.18</v>
      </c>
      <c r="U11" s="76">
        <v>0</v>
      </c>
      <c r="V11" s="76">
        <v>0</v>
      </c>
      <c r="W11" s="38">
        <f t="shared" si="20"/>
        <v>272722.04519999999</v>
      </c>
      <c r="X11" s="55">
        <v>268808.03399999999</v>
      </c>
      <c r="Y11" s="77">
        <v>3914.0111999999999</v>
      </c>
      <c r="Z11" s="55">
        <v>0</v>
      </c>
      <c r="AA11" s="77">
        <v>0</v>
      </c>
      <c r="AB11" s="77">
        <v>0</v>
      </c>
      <c r="AC11" s="39">
        <f t="shared" si="0"/>
        <v>487652.16</v>
      </c>
      <c r="AD11" s="57">
        <v>487652.16</v>
      </c>
      <c r="AE11" s="58">
        <v>0</v>
      </c>
      <c r="AF11" s="58">
        <v>0</v>
      </c>
      <c r="AG11" s="58">
        <v>0</v>
      </c>
      <c r="AH11" s="40">
        <f t="shared" si="21"/>
        <v>0</v>
      </c>
      <c r="AI11" s="36">
        <f t="shared" si="1"/>
        <v>0</v>
      </c>
      <c r="AJ11" s="78">
        <v>0</v>
      </c>
      <c r="AK11" s="78">
        <v>0</v>
      </c>
      <c r="AL11" s="78">
        <v>0</v>
      </c>
      <c r="AM11" s="78">
        <v>0</v>
      </c>
      <c r="AN11" s="78">
        <v>0</v>
      </c>
      <c r="AO11" s="78">
        <v>0</v>
      </c>
      <c r="AP11" s="78">
        <v>0</v>
      </c>
      <c r="AQ11" s="62">
        <v>0</v>
      </c>
      <c r="AR11" s="62">
        <v>0</v>
      </c>
      <c r="AS11" s="62">
        <v>0</v>
      </c>
      <c r="AT11" s="37">
        <f t="shared" si="22"/>
        <v>7669776.0851999996</v>
      </c>
      <c r="AU11" s="40">
        <f t="shared" si="2"/>
        <v>-424388.5614999989</v>
      </c>
      <c r="AV11" s="40">
        <f t="shared" si="23"/>
        <v>3457528.1500000008</v>
      </c>
      <c r="AW11" s="37">
        <f t="shared" si="24"/>
        <v>3443433.2400000007</v>
      </c>
      <c r="AX11" s="72">
        <v>2483999.7200000002</v>
      </c>
      <c r="AY11" s="72">
        <v>768307.05</v>
      </c>
      <c r="AZ11" s="72">
        <v>191126.47</v>
      </c>
      <c r="BA11" s="72">
        <v>14094.91</v>
      </c>
      <c r="BB11" s="40">
        <f t="shared" si="25"/>
        <v>0</v>
      </c>
      <c r="BC11" s="73">
        <v>0</v>
      </c>
      <c r="BD11" s="73">
        <v>0</v>
      </c>
      <c r="BE11" s="40">
        <f t="shared" si="3"/>
        <v>0</v>
      </c>
      <c r="BF11" s="74">
        <v>0</v>
      </c>
      <c r="BG11" s="74">
        <v>0</v>
      </c>
      <c r="BH11" s="40">
        <f t="shared" si="4"/>
        <v>2762.84</v>
      </c>
      <c r="BI11" s="79">
        <v>2751.33</v>
      </c>
      <c r="BJ11" s="79">
        <v>11.51</v>
      </c>
      <c r="BK11" s="40">
        <f t="shared" si="5"/>
        <v>75973.59</v>
      </c>
      <c r="BL11" s="60">
        <v>75673.22</v>
      </c>
      <c r="BM11" s="60">
        <v>300.37</v>
      </c>
      <c r="BN11" s="76">
        <v>0</v>
      </c>
      <c r="BO11" s="76">
        <v>0</v>
      </c>
      <c r="BP11" s="38">
        <f t="shared" si="6"/>
        <v>517928.52099999995</v>
      </c>
      <c r="BQ11" s="55">
        <v>0</v>
      </c>
      <c r="BR11" s="77">
        <v>0</v>
      </c>
      <c r="BS11" s="77">
        <f t="shared" si="36"/>
        <v>516929.96849999996</v>
      </c>
      <c r="BT11" s="77">
        <f t="shared" si="31"/>
        <v>998.55250000000001</v>
      </c>
      <c r="BU11" s="54">
        <v>0</v>
      </c>
      <c r="BV11" s="39">
        <f t="shared" si="7"/>
        <v>2826343.6174999997</v>
      </c>
      <c r="BW11" s="57">
        <v>0</v>
      </c>
      <c r="BX11" s="57">
        <v>2820220.7174999998</v>
      </c>
      <c r="BY11" s="57">
        <v>6122.9</v>
      </c>
      <c r="BZ11" s="56">
        <v>0</v>
      </c>
      <c r="CA11" s="40">
        <f t="shared" si="8"/>
        <v>364850.80519999994</v>
      </c>
      <c r="CB11" s="36">
        <f t="shared" si="26"/>
        <v>363471.80519999994</v>
      </c>
      <c r="CC11" s="62">
        <f t="shared" si="32"/>
        <v>130928.87279999998</v>
      </c>
      <c r="CD11" s="62">
        <f t="shared" si="33"/>
        <v>119788.54799999998</v>
      </c>
      <c r="CE11" s="62">
        <f t="shared" si="37"/>
        <v>41690.404799999997</v>
      </c>
      <c r="CF11" s="62">
        <f t="shared" si="34"/>
        <v>9293.9616000000005</v>
      </c>
      <c r="CG11" s="62">
        <f t="shared" si="35"/>
        <v>2790.018</v>
      </c>
      <c r="CH11" s="86">
        <f t="shared" si="38"/>
        <v>58980</v>
      </c>
      <c r="CI11" s="86">
        <v>1379</v>
      </c>
      <c r="CJ11" s="62">
        <v>0</v>
      </c>
      <c r="CK11" s="62">
        <v>0</v>
      </c>
      <c r="CL11" s="62">
        <v>0</v>
      </c>
      <c r="CM11" s="37">
        <f t="shared" si="27"/>
        <v>7245387.5237000007</v>
      </c>
      <c r="CN11" s="4"/>
      <c r="CO11" s="45">
        <f t="shared" si="10"/>
        <v>-3323153.939999999</v>
      </c>
      <c r="CP11" s="46">
        <f t="shared" si="10"/>
        <v>-3337248.8499999992</v>
      </c>
      <c r="CQ11" s="46">
        <f t="shared" si="10"/>
        <v>-3108365.93</v>
      </c>
      <c r="CR11" s="46">
        <f t="shared" si="10"/>
        <v>-181753.70999999996</v>
      </c>
      <c r="CS11" s="46">
        <f t="shared" si="10"/>
        <v>-47129.209999999992</v>
      </c>
      <c r="CT11" s="46">
        <f t="shared" si="10"/>
        <v>14094.91</v>
      </c>
      <c r="CU11" s="45">
        <f t="shared" si="10"/>
        <v>-6193</v>
      </c>
      <c r="CV11" s="46">
        <f t="shared" si="10"/>
        <v>-6193</v>
      </c>
      <c r="CW11" s="46">
        <f t="shared" si="10"/>
        <v>0</v>
      </c>
      <c r="CX11" s="45">
        <f t="shared" si="10"/>
        <v>-35897</v>
      </c>
      <c r="CY11" s="46">
        <f t="shared" si="10"/>
        <v>-35897</v>
      </c>
      <c r="CZ11" s="46">
        <f t="shared" si="10"/>
        <v>0</v>
      </c>
      <c r="DA11" s="45">
        <f t="shared" si="10"/>
        <v>-244.11000000000013</v>
      </c>
      <c r="DB11" s="46">
        <f t="shared" si="10"/>
        <v>-247.05000000000018</v>
      </c>
      <c r="DC11" s="46">
        <f t="shared" si="10"/>
        <v>2.9399999999999995</v>
      </c>
      <c r="DD11" s="45">
        <f t="shared" si="10"/>
        <v>-7649.25</v>
      </c>
      <c r="DE11" s="47">
        <f t="shared" si="11"/>
        <v>-7725.4400000000023</v>
      </c>
      <c r="DF11" s="47">
        <f t="shared" si="11"/>
        <v>76.19</v>
      </c>
      <c r="DG11" s="48">
        <f t="shared" si="11"/>
        <v>0</v>
      </c>
      <c r="DH11" s="46">
        <f t="shared" si="11"/>
        <v>0</v>
      </c>
      <c r="DI11" s="49">
        <f t="shared" si="11"/>
        <v>245206.47579999996</v>
      </c>
      <c r="DJ11" s="47">
        <f t="shared" si="11"/>
        <v>-268808.03399999999</v>
      </c>
      <c r="DK11" s="46">
        <f t="shared" si="11"/>
        <v>-3914.0111999999999</v>
      </c>
      <c r="DL11" s="46">
        <f t="shared" si="11"/>
        <v>516929.96849999996</v>
      </c>
      <c r="DM11" s="46">
        <f t="shared" si="11"/>
        <v>998.55250000000001</v>
      </c>
      <c r="DN11" s="46">
        <f t="shared" si="11"/>
        <v>0</v>
      </c>
      <c r="DO11" s="50">
        <f t="shared" si="11"/>
        <v>2338691.4574999996</v>
      </c>
      <c r="DP11" s="47">
        <f t="shared" si="11"/>
        <v>-487652.16</v>
      </c>
      <c r="DQ11" s="47">
        <f t="shared" si="11"/>
        <v>2820220.7174999998</v>
      </c>
      <c r="DR11" s="46">
        <f t="shared" si="11"/>
        <v>6122.9</v>
      </c>
      <c r="DS11" s="46">
        <f t="shared" si="11"/>
        <v>0</v>
      </c>
      <c r="DT11" s="45">
        <f t="shared" si="11"/>
        <v>364850.80519999994</v>
      </c>
      <c r="DU11" s="47">
        <f t="shared" si="12"/>
        <v>363471.80519999994</v>
      </c>
      <c r="DV11" s="47">
        <f t="shared" si="12"/>
        <v>130928.87279999998</v>
      </c>
      <c r="DW11" s="47">
        <f t="shared" si="12"/>
        <v>119788.54799999998</v>
      </c>
      <c r="DX11" s="47">
        <f t="shared" si="12"/>
        <v>41690.404799999997</v>
      </c>
      <c r="DY11" s="47">
        <f t="shared" si="12"/>
        <v>9293.9616000000005</v>
      </c>
      <c r="DZ11" s="47">
        <f t="shared" si="12"/>
        <v>2790.018</v>
      </c>
      <c r="EA11" s="47">
        <f t="shared" si="12"/>
        <v>58980</v>
      </c>
      <c r="EB11" s="47">
        <f t="shared" si="12"/>
        <v>1379</v>
      </c>
      <c r="EC11" s="47">
        <f t="shared" si="12"/>
        <v>0</v>
      </c>
      <c r="ED11" s="47">
        <f t="shared" si="12"/>
        <v>0</v>
      </c>
      <c r="EE11" s="47">
        <f t="shared" si="12"/>
        <v>0</v>
      </c>
      <c r="EF11" s="46">
        <f t="shared" si="28"/>
        <v>-424388.56149999925</v>
      </c>
      <c r="EH11" s="46">
        <v>771271.91</v>
      </c>
      <c r="EI11" s="89">
        <f t="shared" si="13"/>
        <v>346883.34850000078</v>
      </c>
      <c r="EJ11" s="87">
        <v>755914</v>
      </c>
      <c r="EK11" s="46">
        <f t="shared" si="29"/>
        <v>331525.43850000075</v>
      </c>
    </row>
    <row r="12" spans="1:141" ht="14.4" x14ac:dyDescent="0.3">
      <c r="A12" s="24">
        <f t="shared" si="30"/>
        <v>7</v>
      </c>
      <c r="B12" s="26">
        <v>2030</v>
      </c>
      <c r="C12" s="40">
        <f t="shared" si="14"/>
        <v>6780682.0899999999</v>
      </c>
      <c r="D12" s="37">
        <f t="shared" si="15"/>
        <v>6780682.0899999999</v>
      </c>
      <c r="E12" s="72">
        <v>5592365.6500000004</v>
      </c>
      <c r="F12" s="72">
        <v>950060.76</v>
      </c>
      <c r="G12" s="72">
        <v>238255.68</v>
      </c>
      <c r="H12" s="72">
        <v>0</v>
      </c>
      <c r="I12" s="40">
        <f t="shared" si="16"/>
        <v>6193</v>
      </c>
      <c r="J12" s="81">
        <v>6193</v>
      </c>
      <c r="K12" s="73">
        <v>0</v>
      </c>
      <c r="L12" s="40">
        <f t="shared" si="17"/>
        <v>35897</v>
      </c>
      <c r="M12" s="82">
        <v>35897</v>
      </c>
      <c r="N12" s="74">
        <v>0</v>
      </c>
      <c r="O12" s="40">
        <f t="shared" si="18"/>
        <v>3006.9500000000003</v>
      </c>
      <c r="P12" s="75">
        <v>2998.38</v>
      </c>
      <c r="Q12" s="75">
        <v>8.57</v>
      </c>
      <c r="R12" s="40">
        <f t="shared" si="19"/>
        <v>83622.84</v>
      </c>
      <c r="S12" s="60">
        <v>83398.66</v>
      </c>
      <c r="T12" s="60">
        <v>224.18</v>
      </c>
      <c r="U12" s="76">
        <v>0</v>
      </c>
      <c r="V12" s="76">
        <v>0</v>
      </c>
      <c r="W12" s="38">
        <f t="shared" si="20"/>
        <v>272722.04519999999</v>
      </c>
      <c r="X12" s="55">
        <v>268808.03399999999</v>
      </c>
      <c r="Y12" s="77">
        <v>3914.0111999999999</v>
      </c>
      <c r="Z12" s="55">
        <v>0</v>
      </c>
      <c r="AA12" s="77">
        <v>0</v>
      </c>
      <c r="AB12" s="77">
        <v>0</v>
      </c>
      <c r="AC12" s="39">
        <f t="shared" si="0"/>
        <v>487652.16</v>
      </c>
      <c r="AD12" s="57">
        <v>487652.16</v>
      </c>
      <c r="AE12" s="58">
        <v>0</v>
      </c>
      <c r="AF12" s="58">
        <v>0</v>
      </c>
      <c r="AG12" s="58">
        <v>0</v>
      </c>
      <c r="AH12" s="40">
        <f t="shared" si="21"/>
        <v>0</v>
      </c>
      <c r="AI12" s="36">
        <f t="shared" si="1"/>
        <v>0</v>
      </c>
      <c r="AJ12" s="78">
        <v>0</v>
      </c>
      <c r="AK12" s="78">
        <v>0</v>
      </c>
      <c r="AL12" s="78">
        <v>0</v>
      </c>
      <c r="AM12" s="78">
        <v>0</v>
      </c>
      <c r="AN12" s="78">
        <v>0</v>
      </c>
      <c r="AO12" s="78">
        <v>0</v>
      </c>
      <c r="AP12" s="78">
        <v>0</v>
      </c>
      <c r="AQ12" s="62">
        <v>0</v>
      </c>
      <c r="AR12" s="62">
        <v>0</v>
      </c>
      <c r="AS12" s="62">
        <v>0</v>
      </c>
      <c r="AT12" s="37">
        <f t="shared" si="22"/>
        <v>7669776.0851999996</v>
      </c>
      <c r="AU12" s="40">
        <f t="shared" si="2"/>
        <v>-457785.10599999875</v>
      </c>
      <c r="AV12" s="40">
        <f t="shared" si="23"/>
        <v>3457528.1500000008</v>
      </c>
      <c r="AW12" s="37">
        <f t="shared" si="24"/>
        <v>3443433.2400000007</v>
      </c>
      <c r="AX12" s="72">
        <v>2483999.7200000002</v>
      </c>
      <c r="AY12" s="72">
        <v>768307.05</v>
      </c>
      <c r="AZ12" s="72">
        <v>191126.47</v>
      </c>
      <c r="BA12" s="72">
        <v>14094.91</v>
      </c>
      <c r="BB12" s="40">
        <f t="shared" si="25"/>
        <v>0</v>
      </c>
      <c r="BC12" s="73">
        <v>0</v>
      </c>
      <c r="BD12" s="73">
        <v>0</v>
      </c>
      <c r="BE12" s="40">
        <f t="shared" si="3"/>
        <v>0</v>
      </c>
      <c r="BF12" s="74">
        <v>0</v>
      </c>
      <c r="BG12" s="74">
        <v>0</v>
      </c>
      <c r="BH12" s="40">
        <f t="shared" si="4"/>
        <v>2762.84</v>
      </c>
      <c r="BI12" s="79">
        <v>2751.33</v>
      </c>
      <c r="BJ12" s="79">
        <v>11.51</v>
      </c>
      <c r="BK12" s="40">
        <f t="shared" si="5"/>
        <v>75973.59</v>
      </c>
      <c r="BL12" s="60">
        <v>75673.22</v>
      </c>
      <c r="BM12" s="60">
        <v>300.37</v>
      </c>
      <c r="BN12" s="76">
        <v>0</v>
      </c>
      <c r="BO12" s="76">
        <v>0</v>
      </c>
      <c r="BP12" s="38">
        <f t="shared" si="6"/>
        <v>484531.97649999999</v>
      </c>
      <c r="BQ12" s="55">
        <v>0</v>
      </c>
      <c r="BR12" s="77">
        <v>0</v>
      </c>
      <c r="BS12" s="77">
        <f>(35601.24*8*1.21)+(28701.12*4*1.21)</f>
        <v>483533.424</v>
      </c>
      <c r="BT12" s="77">
        <f t="shared" si="31"/>
        <v>998.55250000000001</v>
      </c>
      <c r="BU12" s="54">
        <v>0</v>
      </c>
      <c r="BV12" s="39">
        <f t="shared" si="7"/>
        <v>2826343.6174999997</v>
      </c>
      <c r="BW12" s="57">
        <v>0</v>
      </c>
      <c r="BX12" s="57">
        <v>2820220.7174999998</v>
      </c>
      <c r="BY12" s="57">
        <v>6122.9</v>
      </c>
      <c r="BZ12" s="56">
        <v>0</v>
      </c>
      <c r="CA12" s="40">
        <f t="shared" si="8"/>
        <v>364850.80519999994</v>
      </c>
      <c r="CB12" s="36">
        <f t="shared" si="26"/>
        <v>363471.80519999994</v>
      </c>
      <c r="CC12" s="62">
        <f t="shared" si="32"/>
        <v>130928.87279999998</v>
      </c>
      <c r="CD12" s="62">
        <f t="shared" si="33"/>
        <v>119788.54799999998</v>
      </c>
      <c r="CE12" s="62">
        <f t="shared" si="37"/>
        <v>41690.404799999997</v>
      </c>
      <c r="CF12" s="62">
        <f t="shared" si="34"/>
        <v>9293.9616000000005</v>
      </c>
      <c r="CG12" s="62">
        <f t="shared" si="35"/>
        <v>2790.018</v>
      </c>
      <c r="CH12" s="86">
        <f t="shared" si="38"/>
        <v>58980</v>
      </c>
      <c r="CI12" s="86">
        <v>1379</v>
      </c>
      <c r="CJ12" s="62">
        <v>0</v>
      </c>
      <c r="CK12" s="62">
        <v>0</v>
      </c>
      <c r="CL12" s="62">
        <v>0</v>
      </c>
      <c r="CM12" s="37">
        <f t="shared" si="27"/>
        <v>7211990.9792000009</v>
      </c>
      <c r="CN12" s="4"/>
      <c r="CO12" s="45">
        <f t="shared" si="10"/>
        <v>-3323153.939999999</v>
      </c>
      <c r="CP12" s="46">
        <f t="shared" si="10"/>
        <v>-3337248.8499999992</v>
      </c>
      <c r="CQ12" s="46">
        <f t="shared" si="10"/>
        <v>-3108365.93</v>
      </c>
      <c r="CR12" s="46">
        <f t="shared" si="10"/>
        <v>-181753.70999999996</v>
      </c>
      <c r="CS12" s="46">
        <f t="shared" si="10"/>
        <v>-47129.209999999992</v>
      </c>
      <c r="CT12" s="46">
        <f t="shared" si="10"/>
        <v>14094.91</v>
      </c>
      <c r="CU12" s="45">
        <f t="shared" si="10"/>
        <v>-6193</v>
      </c>
      <c r="CV12" s="46">
        <f t="shared" si="10"/>
        <v>-6193</v>
      </c>
      <c r="CW12" s="46">
        <f t="shared" si="10"/>
        <v>0</v>
      </c>
      <c r="CX12" s="45">
        <f t="shared" si="10"/>
        <v>-35897</v>
      </c>
      <c r="CY12" s="46">
        <f t="shared" si="10"/>
        <v>-35897</v>
      </c>
      <c r="CZ12" s="46">
        <f t="shared" si="10"/>
        <v>0</v>
      </c>
      <c r="DA12" s="45">
        <f t="shared" si="10"/>
        <v>-244.11000000000013</v>
      </c>
      <c r="DB12" s="46">
        <f t="shared" si="10"/>
        <v>-247.05000000000018</v>
      </c>
      <c r="DC12" s="46">
        <f t="shared" si="10"/>
        <v>2.9399999999999995</v>
      </c>
      <c r="DD12" s="45">
        <f t="shared" si="10"/>
        <v>-7649.25</v>
      </c>
      <c r="DE12" s="47">
        <f t="shared" si="11"/>
        <v>-7725.4400000000023</v>
      </c>
      <c r="DF12" s="47">
        <f t="shared" si="11"/>
        <v>76.19</v>
      </c>
      <c r="DG12" s="48">
        <f t="shared" si="11"/>
        <v>0</v>
      </c>
      <c r="DH12" s="46">
        <f t="shared" si="11"/>
        <v>0</v>
      </c>
      <c r="DI12" s="49">
        <f t="shared" si="11"/>
        <v>211809.9313</v>
      </c>
      <c r="DJ12" s="47">
        <f t="shared" si="11"/>
        <v>-268808.03399999999</v>
      </c>
      <c r="DK12" s="46">
        <f t="shared" si="11"/>
        <v>-3914.0111999999999</v>
      </c>
      <c r="DL12" s="46">
        <f t="shared" si="11"/>
        <v>483533.424</v>
      </c>
      <c r="DM12" s="46">
        <f t="shared" si="11"/>
        <v>998.55250000000001</v>
      </c>
      <c r="DN12" s="46">
        <f t="shared" si="11"/>
        <v>0</v>
      </c>
      <c r="DO12" s="50">
        <f t="shared" si="11"/>
        <v>2338691.4574999996</v>
      </c>
      <c r="DP12" s="47">
        <f t="shared" si="11"/>
        <v>-487652.16</v>
      </c>
      <c r="DQ12" s="47">
        <f t="shared" si="11"/>
        <v>2820220.7174999998</v>
      </c>
      <c r="DR12" s="46">
        <f t="shared" si="11"/>
        <v>6122.9</v>
      </c>
      <c r="DS12" s="46">
        <f t="shared" si="11"/>
        <v>0</v>
      </c>
      <c r="DT12" s="45">
        <f t="shared" si="11"/>
        <v>364850.80519999994</v>
      </c>
      <c r="DU12" s="47">
        <f t="shared" si="12"/>
        <v>363471.80519999994</v>
      </c>
      <c r="DV12" s="47">
        <f t="shared" si="12"/>
        <v>130928.87279999998</v>
      </c>
      <c r="DW12" s="47">
        <f t="shared" si="12"/>
        <v>119788.54799999998</v>
      </c>
      <c r="DX12" s="47">
        <f t="shared" si="12"/>
        <v>41690.404799999997</v>
      </c>
      <c r="DY12" s="47">
        <f t="shared" si="12"/>
        <v>9293.9616000000005</v>
      </c>
      <c r="DZ12" s="47">
        <f t="shared" si="12"/>
        <v>2790.018</v>
      </c>
      <c r="EA12" s="47">
        <f t="shared" si="12"/>
        <v>58980</v>
      </c>
      <c r="EB12" s="47">
        <f t="shared" si="12"/>
        <v>1379</v>
      </c>
      <c r="EC12" s="47">
        <f t="shared" si="12"/>
        <v>0</v>
      </c>
      <c r="ED12" s="47">
        <f t="shared" si="12"/>
        <v>0</v>
      </c>
      <c r="EE12" s="47">
        <f t="shared" si="12"/>
        <v>0</v>
      </c>
      <c r="EF12" s="46">
        <f t="shared" si="28"/>
        <v>-457785.10599999956</v>
      </c>
      <c r="EH12" s="46">
        <v>771271.91</v>
      </c>
      <c r="EI12" s="89">
        <f t="shared" si="13"/>
        <v>313486.80400000047</v>
      </c>
      <c r="EJ12" s="87">
        <v>755914</v>
      </c>
      <c r="EK12" s="46">
        <f t="shared" si="29"/>
        <v>298128.89400000044</v>
      </c>
    </row>
    <row r="13" spans="1:141" ht="14.4" x14ac:dyDescent="0.3">
      <c r="A13" s="24">
        <f t="shared" si="30"/>
        <v>8</v>
      </c>
      <c r="B13" s="26">
        <v>2031</v>
      </c>
      <c r="C13" s="40">
        <f t="shared" si="14"/>
        <v>6780682.0899999999</v>
      </c>
      <c r="D13" s="37">
        <f t="shared" si="15"/>
        <v>6780682.0899999999</v>
      </c>
      <c r="E13" s="72">
        <v>5592365.6500000004</v>
      </c>
      <c r="F13" s="72">
        <v>950060.76</v>
      </c>
      <c r="G13" s="72">
        <v>238255.68</v>
      </c>
      <c r="H13" s="72">
        <v>0</v>
      </c>
      <c r="I13" s="40">
        <f t="shared" si="16"/>
        <v>6193</v>
      </c>
      <c r="J13" s="81">
        <v>6193</v>
      </c>
      <c r="K13" s="73">
        <v>0</v>
      </c>
      <c r="L13" s="40">
        <f t="shared" si="17"/>
        <v>35897</v>
      </c>
      <c r="M13" s="82">
        <v>35897</v>
      </c>
      <c r="N13" s="74">
        <v>0</v>
      </c>
      <c r="O13" s="40">
        <f t="shared" si="18"/>
        <v>3006.9500000000003</v>
      </c>
      <c r="P13" s="75">
        <v>2998.38</v>
      </c>
      <c r="Q13" s="75">
        <v>8.57</v>
      </c>
      <c r="R13" s="40">
        <f t="shared" si="19"/>
        <v>83622.84</v>
      </c>
      <c r="S13" s="60">
        <v>83398.66</v>
      </c>
      <c r="T13" s="60">
        <v>224.18</v>
      </c>
      <c r="U13" s="76">
        <v>0</v>
      </c>
      <c r="V13" s="76">
        <v>0</v>
      </c>
      <c r="W13" s="38">
        <f t="shared" si="20"/>
        <v>272722.04519999999</v>
      </c>
      <c r="X13" s="55">
        <v>268808.03399999999</v>
      </c>
      <c r="Y13" s="77">
        <v>3914.0111999999999</v>
      </c>
      <c r="Z13" s="55">
        <v>0</v>
      </c>
      <c r="AA13" s="77">
        <v>0</v>
      </c>
      <c r="AB13" s="77">
        <v>0</v>
      </c>
      <c r="AC13" s="39">
        <f t="shared" si="0"/>
        <v>487652.16</v>
      </c>
      <c r="AD13" s="57">
        <v>487652.16</v>
      </c>
      <c r="AE13" s="58">
        <v>0</v>
      </c>
      <c r="AF13" s="58">
        <v>0</v>
      </c>
      <c r="AG13" s="58">
        <v>0</v>
      </c>
      <c r="AH13" s="40">
        <f t="shared" si="21"/>
        <v>0</v>
      </c>
      <c r="AI13" s="36">
        <f t="shared" si="1"/>
        <v>0</v>
      </c>
      <c r="AJ13" s="78">
        <v>0</v>
      </c>
      <c r="AK13" s="78">
        <v>0</v>
      </c>
      <c r="AL13" s="78">
        <v>0</v>
      </c>
      <c r="AM13" s="78">
        <v>0</v>
      </c>
      <c r="AN13" s="78">
        <v>0</v>
      </c>
      <c r="AO13" s="78">
        <v>0</v>
      </c>
      <c r="AP13" s="78">
        <v>0</v>
      </c>
      <c r="AQ13" s="62">
        <v>0</v>
      </c>
      <c r="AR13" s="62">
        <v>0</v>
      </c>
      <c r="AS13" s="62">
        <v>0</v>
      </c>
      <c r="AT13" s="37">
        <f t="shared" si="22"/>
        <v>7669776.0851999996</v>
      </c>
      <c r="AU13" s="40">
        <f t="shared" si="2"/>
        <v>-524578.31599999964</v>
      </c>
      <c r="AV13" s="40">
        <f t="shared" si="23"/>
        <v>3457528.1500000008</v>
      </c>
      <c r="AW13" s="37">
        <f t="shared" si="24"/>
        <v>3443433.2400000007</v>
      </c>
      <c r="AX13" s="72">
        <v>2483999.7200000002</v>
      </c>
      <c r="AY13" s="72">
        <v>768307.05</v>
      </c>
      <c r="AZ13" s="72">
        <v>191126.47</v>
      </c>
      <c r="BA13" s="72">
        <v>14094.91</v>
      </c>
      <c r="BB13" s="40">
        <f t="shared" si="25"/>
        <v>0</v>
      </c>
      <c r="BC13" s="73">
        <v>0</v>
      </c>
      <c r="BD13" s="73">
        <v>0</v>
      </c>
      <c r="BE13" s="40">
        <f t="shared" si="3"/>
        <v>0</v>
      </c>
      <c r="BF13" s="74">
        <v>0</v>
      </c>
      <c r="BG13" s="74">
        <v>0</v>
      </c>
      <c r="BH13" s="40">
        <f t="shared" si="4"/>
        <v>2762.84</v>
      </c>
      <c r="BI13" s="79">
        <v>2751.33</v>
      </c>
      <c r="BJ13" s="79">
        <v>11.51</v>
      </c>
      <c r="BK13" s="40">
        <f t="shared" si="5"/>
        <v>75973.59</v>
      </c>
      <c r="BL13" s="60">
        <v>75673.22</v>
      </c>
      <c r="BM13" s="60">
        <v>300.37</v>
      </c>
      <c r="BN13" s="76">
        <v>0</v>
      </c>
      <c r="BO13" s="76">
        <v>0</v>
      </c>
      <c r="BP13" s="38">
        <f t="shared" si="6"/>
        <v>417738.76650000003</v>
      </c>
      <c r="BQ13" s="55">
        <v>0</v>
      </c>
      <c r="BR13" s="77">
        <v>0</v>
      </c>
      <c r="BS13" s="77">
        <f>344413.4*1.21</f>
        <v>416740.21400000004</v>
      </c>
      <c r="BT13" s="77">
        <f t="shared" si="31"/>
        <v>998.55250000000001</v>
      </c>
      <c r="BU13" s="54">
        <v>0</v>
      </c>
      <c r="BV13" s="39">
        <f t="shared" si="7"/>
        <v>2826343.6174999997</v>
      </c>
      <c r="BW13" s="57">
        <v>0</v>
      </c>
      <c r="BX13" s="57">
        <v>2820220.7174999998</v>
      </c>
      <c r="BY13" s="57">
        <v>6122.9</v>
      </c>
      <c r="BZ13" s="56">
        <v>0</v>
      </c>
      <c r="CA13" s="40">
        <f t="shared" si="8"/>
        <v>364850.80519999994</v>
      </c>
      <c r="CB13" s="36">
        <f t="shared" si="26"/>
        <v>363471.80519999994</v>
      </c>
      <c r="CC13" s="62">
        <f t="shared" si="32"/>
        <v>130928.87279999998</v>
      </c>
      <c r="CD13" s="62">
        <f t="shared" si="33"/>
        <v>119788.54799999998</v>
      </c>
      <c r="CE13" s="62">
        <f t="shared" si="37"/>
        <v>41690.404799999997</v>
      </c>
      <c r="CF13" s="62">
        <f t="shared" si="34"/>
        <v>9293.9616000000005</v>
      </c>
      <c r="CG13" s="62">
        <f t="shared" si="35"/>
        <v>2790.018</v>
      </c>
      <c r="CH13" s="86">
        <f t="shared" si="38"/>
        <v>58980</v>
      </c>
      <c r="CI13" s="86">
        <v>1379</v>
      </c>
      <c r="CJ13" s="62">
        <v>0</v>
      </c>
      <c r="CK13" s="62">
        <v>0</v>
      </c>
      <c r="CL13" s="62">
        <v>0</v>
      </c>
      <c r="CM13" s="37">
        <f t="shared" si="27"/>
        <v>7145197.7692</v>
      </c>
      <c r="CN13" s="4"/>
      <c r="CO13" s="45">
        <f t="shared" si="10"/>
        <v>-3323153.939999999</v>
      </c>
      <c r="CP13" s="46">
        <f t="shared" si="10"/>
        <v>-3337248.8499999992</v>
      </c>
      <c r="CQ13" s="46">
        <f t="shared" si="10"/>
        <v>-3108365.93</v>
      </c>
      <c r="CR13" s="46">
        <f t="shared" si="10"/>
        <v>-181753.70999999996</v>
      </c>
      <c r="CS13" s="46">
        <f t="shared" si="10"/>
        <v>-47129.209999999992</v>
      </c>
      <c r="CT13" s="46">
        <f t="shared" si="10"/>
        <v>14094.91</v>
      </c>
      <c r="CU13" s="45">
        <f t="shared" si="10"/>
        <v>-6193</v>
      </c>
      <c r="CV13" s="46">
        <f t="shared" si="10"/>
        <v>-6193</v>
      </c>
      <c r="CW13" s="46">
        <f t="shared" si="10"/>
        <v>0</v>
      </c>
      <c r="CX13" s="45">
        <f t="shared" si="10"/>
        <v>-35897</v>
      </c>
      <c r="CY13" s="46">
        <f t="shared" si="10"/>
        <v>-35897</v>
      </c>
      <c r="CZ13" s="46">
        <f t="shared" si="10"/>
        <v>0</v>
      </c>
      <c r="DA13" s="45">
        <f t="shared" si="10"/>
        <v>-244.11000000000013</v>
      </c>
      <c r="DB13" s="46">
        <f t="shared" si="10"/>
        <v>-247.05000000000018</v>
      </c>
      <c r="DC13" s="46">
        <f t="shared" si="10"/>
        <v>2.9399999999999995</v>
      </c>
      <c r="DD13" s="45">
        <f t="shared" si="10"/>
        <v>-7649.25</v>
      </c>
      <c r="DE13" s="47">
        <f t="shared" si="11"/>
        <v>-7725.4400000000023</v>
      </c>
      <c r="DF13" s="47">
        <f t="shared" si="11"/>
        <v>76.19</v>
      </c>
      <c r="DG13" s="48">
        <f t="shared" si="11"/>
        <v>0</v>
      </c>
      <c r="DH13" s="46">
        <f t="shared" si="11"/>
        <v>0</v>
      </c>
      <c r="DI13" s="49">
        <f t="shared" si="11"/>
        <v>145016.72130000003</v>
      </c>
      <c r="DJ13" s="47">
        <f t="shared" si="11"/>
        <v>-268808.03399999999</v>
      </c>
      <c r="DK13" s="46">
        <f t="shared" si="11"/>
        <v>-3914.0111999999999</v>
      </c>
      <c r="DL13" s="46">
        <f t="shared" si="11"/>
        <v>416740.21400000004</v>
      </c>
      <c r="DM13" s="46">
        <f t="shared" si="11"/>
        <v>998.55250000000001</v>
      </c>
      <c r="DN13" s="46">
        <f t="shared" si="11"/>
        <v>0</v>
      </c>
      <c r="DO13" s="50">
        <f t="shared" si="11"/>
        <v>2338691.4574999996</v>
      </c>
      <c r="DP13" s="47">
        <f t="shared" si="11"/>
        <v>-487652.16</v>
      </c>
      <c r="DQ13" s="47">
        <f t="shared" si="11"/>
        <v>2820220.7174999998</v>
      </c>
      <c r="DR13" s="46">
        <f t="shared" si="11"/>
        <v>6122.9</v>
      </c>
      <c r="DS13" s="46">
        <f t="shared" si="11"/>
        <v>0</v>
      </c>
      <c r="DT13" s="45">
        <f t="shared" si="11"/>
        <v>364850.80519999994</v>
      </c>
      <c r="DU13" s="47">
        <f t="shared" si="12"/>
        <v>363471.80519999994</v>
      </c>
      <c r="DV13" s="47">
        <f t="shared" si="12"/>
        <v>130928.87279999998</v>
      </c>
      <c r="DW13" s="47">
        <f t="shared" si="12"/>
        <v>119788.54799999998</v>
      </c>
      <c r="DX13" s="47">
        <f t="shared" si="12"/>
        <v>41690.404799999997</v>
      </c>
      <c r="DY13" s="47">
        <f t="shared" si="12"/>
        <v>9293.9616000000005</v>
      </c>
      <c r="DZ13" s="47">
        <f t="shared" si="12"/>
        <v>2790.018</v>
      </c>
      <c r="EA13" s="47">
        <f t="shared" si="12"/>
        <v>58980</v>
      </c>
      <c r="EB13" s="47">
        <f t="shared" si="12"/>
        <v>1379</v>
      </c>
      <c r="EC13" s="47">
        <f t="shared" si="12"/>
        <v>0</v>
      </c>
      <c r="ED13" s="47">
        <f t="shared" si="12"/>
        <v>0</v>
      </c>
      <c r="EE13" s="47">
        <f t="shared" si="12"/>
        <v>0</v>
      </c>
      <c r="EF13" s="46">
        <f t="shared" si="28"/>
        <v>-524578.31599999953</v>
      </c>
      <c r="EH13" s="46">
        <v>771271.91</v>
      </c>
      <c r="EI13" s="89">
        <f t="shared" si="13"/>
        <v>246693.59400000051</v>
      </c>
      <c r="EJ13" s="87">
        <v>755914</v>
      </c>
      <c r="EK13" s="46">
        <f t="shared" si="29"/>
        <v>231335.68400000047</v>
      </c>
    </row>
    <row r="14" spans="1:141" ht="14.4" x14ac:dyDescent="0.3">
      <c r="A14" s="24">
        <f t="shared" si="30"/>
        <v>9</v>
      </c>
      <c r="B14" s="26">
        <v>2032</v>
      </c>
      <c r="C14" s="40">
        <f t="shared" si="14"/>
        <v>6780682.0899999999</v>
      </c>
      <c r="D14" s="37">
        <f t="shared" si="15"/>
        <v>6780682.0899999999</v>
      </c>
      <c r="E14" s="72">
        <v>5592365.6500000004</v>
      </c>
      <c r="F14" s="72">
        <v>950060.76</v>
      </c>
      <c r="G14" s="72">
        <v>238255.68</v>
      </c>
      <c r="H14" s="72">
        <v>0</v>
      </c>
      <c r="I14" s="40">
        <f t="shared" si="16"/>
        <v>6193</v>
      </c>
      <c r="J14" s="81">
        <v>6193</v>
      </c>
      <c r="K14" s="73">
        <v>0</v>
      </c>
      <c r="L14" s="40">
        <f t="shared" si="17"/>
        <v>35897</v>
      </c>
      <c r="M14" s="82">
        <v>35897</v>
      </c>
      <c r="N14" s="74">
        <v>0</v>
      </c>
      <c r="O14" s="40">
        <f t="shared" si="18"/>
        <v>3006.9500000000003</v>
      </c>
      <c r="P14" s="75">
        <v>2998.38</v>
      </c>
      <c r="Q14" s="75">
        <v>8.57</v>
      </c>
      <c r="R14" s="40">
        <f t="shared" si="19"/>
        <v>83622.84</v>
      </c>
      <c r="S14" s="60">
        <v>83398.66</v>
      </c>
      <c r="T14" s="60">
        <v>224.18</v>
      </c>
      <c r="U14" s="76">
        <v>0</v>
      </c>
      <c r="V14" s="76">
        <v>0</v>
      </c>
      <c r="W14" s="38">
        <f t="shared" si="20"/>
        <v>272722.04519999999</v>
      </c>
      <c r="X14" s="55">
        <v>268808.03399999999</v>
      </c>
      <c r="Y14" s="77">
        <v>3914.0111999999999</v>
      </c>
      <c r="Z14" s="55">
        <v>0</v>
      </c>
      <c r="AA14" s="77">
        <v>0</v>
      </c>
      <c r="AB14" s="77">
        <v>0</v>
      </c>
      <c r="AC14" s="39">
        <f t="shared" si="0"/>
        <v>487652.16</v>
      </c>
      <c r="AD14" s="57">
        <v>487652.16</v>
      </c>
      <c r="AE14" s="58">
        <v>0</v>
      </c>
      <c r="AF14" s="58">
        <v>0</v>
      </c>
      <c r="AG14" s="58">
        <v>0</v>
      </c>
      <c r="AH14" s="40">
        <f t="shared" si="21"/>
        <v>0</v>
      </c>
      <c r="AI14" s="36">
        <f t="shared" si="1"/>
        <v>0</v>
      </c>
      <c r="AJ14" s="78">
        <v>0</v>
      </c>
      <c r="AK14" s="78">
        <v>0</v>
      </c>
      <c r="AL14" s="78">
        <v>0</v>
      </c>
      <c r="AM14" s="78">
        <v>0</v>
      </c>
      <c r="AN14" s="78">
        <v>0</v>
      </c>
      <c r="AO14" s="78">
        <v>0</v>
      </c>
      <c r="AP14" s="78">
        <v>0</v>
      </c>
      <c r="AQ14" s="62">
        <v>0</v>
      </c>
      <c r="AR14" s="62">
        <v>0</v>
      </c>
      <c r="AS14" s="62">
        <v>0</v>
      </c>
      <c r="AT14" s="37">
        <f t="shared" si="22"/>
        <v>7669776.0851999996</v>
      </c>
      <c r="AU14" s="40">
        <f t="shared" si="2"/>
        <v>-1129758.9634999987</v>
      </c>
      <c r="AV14" s="40">
        <f t="shared" si="23"/>
        <v>3457528.1500000008</v>
      </c>
      <c r="AW14" s="37">
        <f t="shared" si="24"/>
        <v>3443433.2400000007</v>
      </c>
      <c r="AX14" s="72">
        <v>2483999.7200000002</v>
      </c>
      <c r="AY14" s="72">
        <v>768307.05</v>
      </c>
      <c r="AZ14" s="72">
        <v>191126.47</v>
      </c>
      <c r="BA14" s="72">
        <v>14094.91</v>
      </c>
      <c r="BB14" s="40">
        <f t="shared" si="25"/>
        <v>0</v>
      </c>
      <c r="BC14" s="73">
        <v>0</v>
      </c>
      <c r="BD14" s="73">
        <v>0</v>
      </c>
      <c r="BE14" s="40">
        <f t="shared" si="3"/>
        <v>0</v>
      </c>
      <c r="BF14" s="74">
        <v>0</v>
      </c>
      <c r="BG14" s="74">
        <v>0</v>
      </c>
      <c r="BH14" s="40">
        <f t="shared" si="4"/>
        <v>2762.84</v>
      </c>
      <c r="BI14" s="79">
        <v>2751.33</v>
      </c>
      <c r="BJ14" s="79">
        <v>11.51</v>
      </c>
      <c r="BK14" s="40">
        <f t="shared" si="5"/>
        <v>75973.59</v>
      </c>
      <c r="BL14" s="60">
        <v>75673.22</v>
      </c>
      <c r="BM14" s="60">
        <v>300.37</v>
      </c>
      <c r="BN14" s="76">
        <v>0</v>
      </c>
      <c r="BO14" s="76">
        <v>0</v>
      </c>
      <c r="BP14" s="38">
        <f t="shared" si="6"/>
        <v>417738.76650000003</v>
      </c>
      <c r="BQ14" s="55">
        <v>0</v>
      </c>
      <c r="BR14" s="77">
        <v>0</v>
      </c>
      <c r="BS14" s="77">
        <f t="shared" ref="BS14:BS16" si="39">344413.4*1.21</f>
        <v>416740.21400000004</v>
      </c>
      <c r="BT14" s="77">
        <f t="shared" si="31"/>
        <v>998.55250000000001</v>
      </c>
      <c r="BU14" s="54">
        <v>0</v>
      </c>
      <c r="BV14" s="39">
        <f t="shared" si="7"/>
        <v>2221162.9699999997</v>
      </c>
      <c r="BW14" s="57">
        <v>0</v>
      </c>
      <c r="BX14" s="57">
        <v>2215040.0699999998</v>
      </c>
      <c r="BY14" s="57">
        <v>6122.9</v>
      </c>
      <c r="BZ14" s="56">
        <v>0</v>
      </c>
      <c r="CA14" s="40">
        <f t="shared" si="8"/>
        <v>364850.80519999994</v>
      </c>
      <c r="CB14" s="36">
        <f t="shared" si="26"/>
        <v>363471.80519999994</v>
      </c>
      <c r="CC14" s="62">
        <f t="shared" si="32"/>
        <v>130928.87279999998</v>
      </c>
      <c r="CD14" s="62">
        <f t="shared" si="33"/>
        <v>119788.54799999998</v>
      </c>
      <c r="CE14" s="62">
        <f t="shared" si="37"/>
        <v>41690.404799999997</v>
      </c>
      <c r="CF14" s="62">
        <f t="shared" si="34"/>
        <v>9293.9616000000005</v>
      </c>
      <c r="CG14" s="62">
        <f t="shared" si="35"/>
        <v>2790.018</v>
      </c>
      <c r="CH14" s="86">
        <f t="shared" si="38"/>
        <v>58980</v>
      </c>
      <c r="CI14" s="86">
        <v>1379</v>
      </c>
      <c r="CJ14" s="62">
        <v>0</v>
      </c>
      <c r="CK14" s="62">
        <v>0</v>
      </c>
      <c r="CL14" s="62">
        <v>0</v>
      </c>
      <c r="CM14" s="37">
        <f t="shared" si="27"/>
        <v>6540017.1217000009</v>
      </c>
      <c r="CN14" s="4"/>
      <c r="CO14" s="45">
        <f t="shared" si="10"/>
        <v>-3323153.939999999</v>
      </c>
      <c r="CP14" s="46">
        <f t="shared" si="10"/>
        <v>-3337248.8499999992</v>
      </c>
      <c r="CQ14" s="46">
        <f t="shared" si="10"/>
        <v>-3108365.93</v>
      </c>
      <c r="CR14" s="46">
        <f t="shared" si="10"/>
        <v>-181753.70999999996</v>
      </c>
      <c r="CS14" s="46">
        <f t="shared" si="10"/>
        <v>-47129.209999999992</v>
      </c>
      <c r="CT14" s="46">
        <f t="shared" si="10"/>
        <v>14094.91</v>
      </c>
      <c r="CU14" s="45">
        <f t="shared" si="10"/>
        <v>-6193</v>
      </c>
      <c r="CV14" s="46">
        <f t="shared" si="10"/>
        <v>-6193</v>
      </c>
      <c r="CW14" s="46">
        <f t="shared" si="10"/>
        <v>0</v>
      </c>
      <c r="CX14" s="45">
        <f t="shared" si="10"/>
        <v>-35897</v>
      </c>
      <c r="CY14" s="46">
        <f t="shared" si="10"/>
        <v>-35897</v>
      </c>
      <c r="CZ14" s="46">
        <f t="shared" si="10"/>
        <v>0</v>
      </c>
      <c r="DA14" s="45">
        <f t="shared" si="10"/>
        <v>-244.11000000000013</v>
      </c>
      <c r="DB14" s="46">
        <f t="shared" si="10"/>
        <v>-247.05000000000018</v>
      </c>
      <c r="DC14" s="46">
        <f t="shared" si="10"/>
        <v>2.9399999999999995</v>
      </c>
      <c r="DD14" s="45">
        <f t="shared" si="10"/>
        <v>-7649.25</v>
      </c>
      <c r="DE14" s="47">
        <f t="shared" si="11"/>
        <v>-7725.4400000000023</v>
      </c>
      <c r="DF14" s="47">
        <f t="shared" si="11"/>
        <v>76.19</v>
      </c>
      <c r="DG14" s="48">
        <f t="shared" si="11"/>
        <v>0</v>
      </c>
      <c r="DH14" s="46">
        <f t="shared" si="11"/>
        <v>0</v>
      </c>
      <c r="DI14" s="49">
        <f t="shared" si="11"/>
        <v>145016.72130000003</v>
      </c>
      <c r="DJ14" s="47">
        <f t="shared" si="11"/>
        <v>-268808.03399999999</v>
      </c>
      <c r="DK14" s="46">
        <f t="shared" si="11"/>
        <v>-3914.0111999999999</v>
      </c>
      <c r="DL14" s="46">
        <f t="shared" si="11"/>
        <v>416740.21400000004</v>
      </c>
      <c r="DM14" s="46">
        <f t="shared" si="11"/>
        <v>998.55250000000001</v>
      </c>
      <c r="DN14" s="46">
        <f t="shared" si="11"/>
        <v>0</v>
      </c>
      <c r="DO14" s="50">
        <f t="shared" si="11"/>
        <v>1733510.8099999998</v>
      </c>
      <c r="DP14" s="47">
        <f t="shared" si="11"/>
        <v>-487652.16</v>
      </c>
      <c r="DQ14" s="47">
        <f t="shared" si="11"/>
        <v>2215040.0699999998</v>
      </c>
      <c r="DR14" s="46">
        <f t="shared" si="11"/>
        <v>6122.9</v>
      </c>
      <c r="DS14" s="46">
        <f t="shared" si="11"/>
        <v>0</v>
      </c>
      <c r="DT14" s="45">
        <f t="shared" si="11"/>
        <v>364850.80519999994</v>
      </c>
      <c r="DU14" s="47">
        <f t="shared" si="12"/>
        <v>363471.80519999994</v>
      </c>
      <c r="DV14" s="47">
        <f t="shared" si="12"/>
        <v>130928.87279999998</v>
      </c>
      <c r="DW14" s="47">
        <f t="shared" si="12"/>
        <v>119788.54799999998</v>
      </c>
      <c r="DX14" s="47">
        <f t="shared" si="12"/>
        <v>41690.404799999997</v>
      </c>
      <c r="DY14" s="47">
        <f t="shared" si="12"/>
        <v>9293.9616000000005</v>
      </c>
      <c r="DZ14" s="47">
        <f t="shared" si="12"/>
        <v>2790.018</v>
      </c>
      <c r="EA14" s="47">
        <f t="shared" si="12"/>
        <v>58980</v>
      </c>
      <c r="EB14" s="47">
        <f t="shared" si="12"/>
        <v>1379</v>
      </c>
      <c r="EC14" s="47">
        <f t="shared" si="12"/>
        <v>0</v>
      </c>
      <c r="ED14" s="47">
        <f t="shared" si="12"/>
        <v>0</v>
      </c>
      <c r="EE14" s="47">
        <f t="shared" si="12"/>
        <v>0</v>
      </c>
      <c r="EF14" s="46">
        <f t="shared" si="28"/>
        <v>-1129758.9634999991</v>
      </c>
      <c r="EH14" s="46">
        <v>771271.91</v>
      </c>
      <c r="EI14" s="46">
        <f t="shared" si="13"/>
        <v>-358487.05349999911</v>
      </c>
      <c r="EJ14" s="87">
        <v>1000000</v>
      </c>
      <c r="EK14" s="46">
        <f t="shared" si="29"/>
        <v>-129758.96349999914</v>
      </c>
    </row>
    <row r="15" spans="1:141" ht="14.4" x14ac:dyDescent="0.3">
      <c r="A15" s="24">
        <f t="shared" si="30"/>
        <v>10</v>
      </c>
      <c r="B15" s="26">
        <v>2033</v>
      </c>
      <c r="C15" s="40">
        <f t="shared" si="14"/>
        <v>6780682.0899999999</v>
      </c>
      <c r="D15" s="37">
        <f t="shared" si="15"/>
        <v>6780682.0899999999</v>
      </c>
      <c r="E15" s="72">
        <v>5592365.6500000004</v>
      </c>
      <c r="F15" s="72">
        <v>950060.76</v>
      </c>
      <c r="G15" s="72">
        <v>238255.68</v>
      </c>
      <c r="H15" s="72">
        <v>0</v>
      </c>
      <c r="I15" s="40">
        <f t="shared" si="16"/>
        <v>6193</v>
      </c>
      <c r="J15" s="81">
        <v>6193</v>
      </c>
      <c r="K15" s="73">
        <v>0</v>
      </c>
      <c r="L15" s="40">
        <f t="shared" si="17"/>
        <v>35897</v>
      </c>
      <c r="M15" s="82">
        <v>35897</v>
      </c>
      <c r="N15" s="74">
        <v>0</v>
      </c>
      <c r="O15" s="40">
        <f t="shared" si="18"/>
        <v>3006.9500000000003</v>
      </c>
      <c r="P15" s="75">
        <v>2998.38</v>
      </c>
      <c r="Q15" s="75">
        <v>8.57</v>
      </c>
      <c r="R15" s="40">
        <f t="shared" si="19"/>
        <v>83622.84</v>
      </c>
      <c r="S15" s="60">
        <v>83398.66</v>
      </c>
      <c r="T15" s="60">
        <v>224.18</v>
      </c>
      <c r="U15" s="76">
        <v>0</v>
      </c>
      <c r="V15" s="76">
        <v>0</v>
      </c>
      <c r="W15" s="38">
        <f t="shared" si="20"/>
        <v>272722.04519999999</v>
      </c>
      <c r="X15" s="55">
        <v>268808.03399999999</v>
      </c>
      <c r="Y15" s="77">
        <v>3914.0111999999999</v>
      </c>
      <c r="Z15" s="55">
        <v>0</v>
      </c>
      <c r="AA15" s="77">
        <v>0</v>
      </c>
      <c r="AB15" s="77">
        <v>0</v>
      </c>
      <c r="AC15" s="39">
        <f t="shared" si="0"/>
        <v>487652.16</v>
      </c>
      <c r="AD15" s="57">
        <v>487652.16</v>
      </c>
      <c r="AE15" s="58">
        <v>0</v>
      </c>
      <c r="AF15" s="58">
        <v>0</v>
      </c>
      <c r="AG15" s="58">
        <v>0</v>
      </c>
      <c r="AH15" s="40">
        <f t="shared" si="21"/>
        <v>0</v>
      </c>
      <c r="AI15" s="36">
        <f t="shared" si="1"/>
        <v>0</v>
      </c>
      <c r="AJ15" s="78">
        <v>0</v>
      </c>
      <c r="AK15" s="78">
        <v>0</v>
      </c>
      <c r="AL15" s="78">
        <v>0</v>
      </c>
      <c r="AM15" s="78">
        <v>0</v>
      </c>
      <c r="AN15" s="78">
        <v>0</v>
      </c>
      <c r="AO15" s="78">
        <v>0</v>
      </c>
      <c r="AP15" s="78">
        <v>0</v>
      </c>
      <c r="AQ15" s="62">
        <v>0</v>
      </c>
      <c r="AR15" s="62">
        <v>0</v>
      </c>
      <c r="AS15" s="62">
        <v>0</v>
      </c>
      <c r="AT15" s="37">
        <f t="shared" si="22"/>
        <v>7669776.0851999996</v>
      </c>
      <c r="AU15" s="40">
        <f t="shared" si="2"/>
        <v>-1129758.9634999987</v>
      </c>
      <c r="AV15" s="40">
        <f t="shared" si="23"/>
        <v>3457528.1500000008</v>
      </c>
      <c r="AW15" s="37">
        <f t="shared" si="24"/>
        <v>3443433.2400000007</v>
      </c>
      <c r="AX15" s="72">
        <v>2483999.7200000002</v>
      </c>
      <c r="AY15" s="72">
        <v>768307.05</v>
      </c>
      <c r="AZ15" s="72">
        <v>191126.47</v>
      </c>
      <c r="BA15" s="72">
        <v>14094.91</v>
      </c>
      <c r="BB15" s="40">
        <f t="shared" si="25"/>
        <v>0</v>
      </c>
      <c r="BC15" s="73">
        <v>0</v>
      </c>
      <c r="BD15" s="73">
        <v>0</v>
      </c>
      <c r="BE15" s="40">
        <f t="shared" si="3"/>
        <v>0</v>
      </c>
      <c r="BF15" s="74">
        <v>0</v>
      </c>
      <c r="BG15" s="74">
        <v>0</v>
      </c>
      <c r="BH15" s="40">
        <f t="shared" si="4"/>
        <v>2762.84</v>
      </c>
      <c r="BI15" s="79">
        <v>2751.33</v>
      </c>
      <c r="BJ15" s="79">
        <v>11.51</v>
      </c>
      <c r="BK15" s="40">
        <f t="shared" si="5"/>
        <v>75973.59</v>
      </c>
      <c r="BL15" s="60">
        <v>75673.22</v>
      </c>
      <c r="BM15" s="60">
        <v>300.37</v>
      </c>
      <c r="BN15" s="76">
        <v>0</v>
      </c>
      <c r="BO15" s="76">
        <v>0</v>
      </c>
      <c r="BP15" s="38">
        <f t="shared" si="6"/>
        <v>417738.76650000003</v>
      </c>
      <c r="BQ15" s="55">
        <v>0</v>
      </c>
      <c r="BR15" s="77">
        <v>0</v>
      </c>
      <c r="BS15" s="77">
        <f t="shared" si="39"/>
        <v>416740.21400000004</v>
      </c>
      <c r="BT15" s="77">
        <f t="shared" si="31"/>
        <v>998.55250000000001</v>
      </c>
      <c r="BU15" s="54">
        <v>0</v>
      </c>
      <c r="BV15" s="39">
        <f t="shared" si="7"/>
        <v>2221162.9699999997</v>
      </c>
      <c r="BW15" s="57">
        <v>0</v>
      </c>
      <c r="BX15" s="57">
        <v>2215040.0699999998</v>
      </c>
      <c r="BY15" s="57">
        <v>6122.9</v>
      </c>
      <c r="BZ15" s="56">
        <v>0</v>
      </c>
      <c r="CA15" s="40">
        <f t="shared" si="8"/>
        <v>364850.80519999994</v>
      </c>
      <c r="CB15" s="36">
        <f t="shared" si="26"/>
        <v>363471.80519999994</v>
      </c>
      <c r="CC15" s="62">
        <f t="shared" si="32"/>
        <v>130928.87279999998</v>
      </c>
      <c r="CD15" s="62">
        <f t="shared" si="33"/>
        <v>119788.54799999998</v>
      </c>
      <c r="CE15" s="62">
        <f t="shared" si="37"/>
        <v>41690.404799999997</v>
      </c>
      <c r="CF15" s="62">
        <f t="shared" si="34"/>
        <v>9293.9616000000005</v>
      </c>
      <c r="CG15" s="62">
        <f t="shared" si="35"/>
        <v>2790.018</v>
      </c>
      <c r="CH15" s="86">
        <f t="shared" si="38"/>
        <v>58980</v>
      </c>
      <c r="CI15" s="86">
        <v>1379</v>
      </c>
      <c r="CJ15" s="62">
        <v>0</v>
      </c>
      <c r="CK15" s="62">
        <v>0</v>
      </c>
      <c r="CL15" s="62">
        <v>0</v>
      </c>
      <c r="CM15" s="37">
        <f t="shared" si="27"/>
        <v>6540017.1217000009</v>
      </c>
      <c r="CN15" s="4"/>
      <c r="CO15" s="45">
        <f t="shared" si="10"/>
        <v>-3323153.939999999</v>
      </c>
      <c r="CP15" s="46">
        <f t="shared" si="10"/>
        <v>-3337248.8499999992</v>
      </c>
      <c r="CQ15" s="46">
        <f t="shared" si="10"/>
        <v>-3108365.93</v>
      </c>
      <c r="CR15" s="46">
        <f t="shared" si="10"/>
        <v>-181753.70999999996</v>
      </c>
      <c r="CS15" s="46">
        <f t="shared" si="10"/>
        <v>-47129.209999999992</v>
      </c>
      <c r="CT15" s="46">
        <f t="shared" si="10"/>
        <v>14094.91</v>
      </c>
      <c r="CU15" s="45">
        <f t="shared" si="10"/>
        <v>-6193</v>
      </c>
      <c r="CV15" s="46">
        <f t="shared" si="10"/>
        <v>-6193</v>
      </c>
      <c r="CW15" s="46">
        <f t="shared" si="10"/>
        <v>0</v>
      </c>
      <c r="CX15" s="45">
        <f t="shared" si="10"/>
        <v>-35897</v>
      </c>
      <c r="CY15" s="46">
        <f t="shared" si="10"/>
        <v>-35897</v>
      </c>
      <c r="CZ15" s="46">
        <f t="shared" si="10"/>
        <v>0</v>
      </c>
      <c r="DA15" s="45">
        <f t="shared" si="10"/>
        <v>-244.11000000000013</v>
      </c>
      <c r="DB15" s="46">
        <f t="shared" si="10"/>
        <v>-247.05000000000018</v>
      </c>
      <c r="DC15" s="46">
        <f t="shared" si="10"/>
        <v>2.9399999999999995</v>
      </c>
      <c r="DD15" s="45">
        <f t="shared" si="10"/>
        <v>-7649.25</v>
      </c>
      <c r="DE15" s="47">
        <f t="shared" si="11"/>
        <v>-7725.4400000000023</v>
      </c>
      <c r="DF15" s="47">
        <f t="shared" si="11"/>
        <v>76.19</v>
      </c>
      <c r="DG15" s="48">
        <f t="shared" si="11"/>
        <v>0</v>
      </c>
      <c r="DH15" s="46">
        <f t="shared" si="11"/>
        <v>0</v>
      </c>
      <c r="DI15" s="49">
        <f t="shared" si="11"/>
        <v>145016.72130000003</v>
      </c>
      <c r="DJ15" s="47">
        <f t="shared" si="11"/>
        <v>-268808.03399999999</v>
      </c>
      <c r="DK15" s="46">
        <f t="shared" si="11"/>
        <v>-3914.0111999999999</v>
      </c>
      <c r="DL15" s="46">
        <f t="shared" si="11"/>
        <v>416740.21400000004</v>
      </c>
      <c r="DM15" s="46">
        <f t="shared" si="11"/>
        <v>998.55250000000001</v>
      </c>
      <c r="DN15" s="46">
        <f t="shared" si="11"/>
        <v>0</v>
      </c>
      <c r="DO15" s="50">
        <f t="shared" si="11"/>
        <v>1733510.8099999998</v>
      </c>
      <c r="DP15" s="47">
        <f t="shared" si="11"/>
        <v>-487652.16</v>
      </c>
      <c r="DQ15" s="47">
        <f t="shared" si="11"/>
        <v>2215040.0699999998</v>
      </c>
      <c r="DR15" s="46">
        <f t="shared" si="11"/>
        <v>6122.9</v>
      </c>
      <c r="DS15" s="46">
        <f t="shared" si="11"/>
        <v>0</v>
      </c>
      <c r="DT15" s="45">
        <f t="shared" si="11"/>
        <v>364850.80519999994</v>
      </c>
      <c r="DU15" s="47">
        <f t="shared" si="12"/>
        <v>363471.80519999994</v>
      </c>
      <c r="DV15" s="47">
        <f t="shared" si="12"/>
        <v>130928.87279999998</v>
      </c>
      <c r="DW15" s="47">
        <f t="shared" si="12"/>
        <v>119788.54799999998</v>
      </c>
      <c r="DX15" s="47">
        <f t="shared" si="12"/>
        <v>41690.404799999997</v>
      </c>
      <c r="DY15" s="47">
        <f t="shared" si="12"/>
        <v>9293.9616000000005</v>
      </c>
      <c r="DZ15" s="47">
        <f t="shared" si="12"/>
        <v>2790.018</v>
      </c>
      <c r="EA15" s="47">
        <f t="shared" si="12"/>
        <v>58980</v>
      </c>
      <c r="EB15" s="47">
        <f t="shared" si="12"/>
        <v>1379</v>
      </c>
      <c r="EC15" s="47">
        <f t="shared" si="12"/>
        <v>0</v>
      </c>
      <c r="ED15" s="47">
        <f t="shared" si="12"/>
        <v>0</v>
      </c>
      <c r="EE15" s="47">
        <f t="shared" si="12"/>
        <v>0</v>
      </c>
      <c r="EF15" s="46">
        <f t="shared" si="28"/>
        <v>-1129758.9634999991</v>
      </c>
      <c r="EH15" s="46">
        <v>771271.91</v>
      </c>
      <c r="EI15" s="46">
        <f t="shared" si="13"/>
        <v>-358487.05349999911</v>
      </c>
      <c r="EJ15" s="87">
        <v>1000000</v>
      </c>
      <c r="EK15" s="46">
        <f t="shared" si="29"/>
        <v>-129758.96349999914</v>
      </c>
    </row>
    <row r="16" spans="1:141" ht="14.4" x14ac:dyDescent="0.3">
      <c r="A16" s="24">
        <f t="shared" si="30"/>
        <v>11</v>
      </c>
      <c r="B16" s="26">
        <v>2034</v>
      </c>
      <c r="C16" s="40">
        <f t="shared" si="14"/>
        <v>6780682.0899999999</v>
      </c>
      <c r="D16" s="37">
        <f t="shared" si="15"/>
        <v>6780682.0899999999</v>
      </c>
      <c r="E16" s="72">
        <v>5592365.6500000004</v>
      </c>
      <c r="F16" s="72">
        <v>950060.76</v>
      </c>
      <c r="G16" s="72">
        <v>238255.68</v>
      </c>
      <c r="H16" s="72">
        <v>0</v>
      </c>
      <c r="I16" s="40">
        <f t="shared" si="16"/>
        <v>6193</v>
      </c>
      <c r="J16" s="81">
        <v>6193</v>
      </c>
      <c r="K16" s="73">
        <v>0</v>
      </c>
      <c r="L16" s="40">
        <f t="shared" si="17"/>
        <v>35897</v>
      </c>
      <c r="M16" s="82">
        <v>35897</v>
      </c>
      <c r="N16" s="74">
        <v>0</v>
      </c>
      <c r="O16" s="40">
        <f t="shared" si="18"/>
        <v>3006.9500000000003</v>
      </c>
      <c r="P16" s="75">
        <v>2998.38</v>
      </c>
      <c r="Q16" s="75">
        <v>8.57</v>
      </c>
      <c r="R16" s="40">
        <f t="shared" si="19"/>
        <v>83622.84</v>
      </c>
      <c r="S16" s="60">
        <v>83398.66</v>
      </c>
      <c r="T16" s="60">
        <v>224.18</v>
      </c>
      <c r="U16" s="76">
        <v>0</v>
      </c>
      <c r="V16" s="76">
        <v>0</v>
      </c>
      <c r="W16" s="38">
        <f t="shared" si="20"/>
        <v>272722.04519999999</v>
      </c>
      <c r="X16" s="55">
        <v>268808.03399999999</v>
      </c>
      <c r="Y16" s="77">
        <v>3914.0111999999999</v>
      </c>
      <c r="Z16" s="55">
        <v>0</v>
      </c>
      <c r="AA16" s="77">
        <v>0</v>
      </c>
      <c r="AB16" s="77">
        <v>0</v>
      </c>
      <c r="AC16" s="39">
        <f t="shared" si="0"/>
        <v>487652.16</v>
      </c>
      <c r="AD16" s="57">
        <v>487652.16</v>
      </c>
      <c r="AE16" s="58">
        <v>0</v>
      </c>
      <c r="AF16" s="58">
        <v>0</v>
      </c>
      <c r="AG16" s="58">
        <v>0</v>
      </c>
      <c r="AH16" s="40">
        <f t="shared" si="21"/>
        <v>0</v>
      </c>
      <c r="AI16" s="36">
        <f t="shared" si="1"/>
        <v>0</v>
      </c>
      <c r="AJ16" s="78">
        <v>0</v>
      </c>
      <c r="AK16" s="78">
        <v>0</v>
      </c>
      <c r="AL16" s="78">
        <v>0</v>
      </c>
      <c r="AM16" s="78">
        <v>0</v>
      </c>
      <c r="AN16" s="78">
        <v>0</v>
      </c>
      <c r="AO16" s="78">
        <v>0</v>
      </c>
      <c r="AP16" s="78">
        <v>0</v>
      </c>
      <c r="AQ16" s="62">
        <v>0</v>
      </c>
      <c r="AR16" s="62">
        <v>0</v>
      </c>
      <c r="AS16" s="62">
        <v>0</v>
      </c>
      <c r="AT16" s="37">
        <f t="shared" si="22"/>
        <v>7669776.0851999996</v>
      </c>
      <c r="AU16" s="40">
        <f t="shared" si="2"/>
        <v>-1129758.9634999987</v>
      </c>
      <c r="AV16" s="40">
        <f t="shared" si="23"/>
        <v>3457528.1500000008</v>
      </c>
      <c r="AW16" s="37">
        <f t="shared" si="24"/>
        <v>3443433.2400000007</v>
      </c>
      <c r="AX16" s="72">
        <v>2483999.7200000002</v>
      </c>
      <c r="AY16" s="72">
        <v>768307.05</v>
      </c>
      <c r="AZ16" s="72">
        <v>191126.47</v>
      </c>
      <c r="BA16" s="72">
        <v>14094.91</v>
      </c>
      <c r="BB16" s="40">
        <f t="shared" si="25"/>
        <v>0</v>
      </c>
      <c r="BC16" s="73">
        <v>0</v>
      </c>
      <c r="BD16" s="73">
        <v>0</v>
      </c>
      <c r="BE16" s="40">
        <f t="shared" si="3"/>
        <v>0</v>
      </c>
      <c r="BF16" s="74">
        <v>0</v>
      </c>
      <c r="BG16" s="74">
        <v>0</v>
      </c>
      <c r="BH16" s="40">
        <f t="shared" si="4"/>
        <v>2762.84</v>
      </c>
      <c r="BI16" s="79">
        <v>2751.33</v>
      </c>
      <c r="BJ16" s="79">
        <v>11.51</v>
      </c>
      <c r="BK16" s="40">
        <f t="shared" si="5"/>
        <v>75973.59</v>
      </c>
      <c r="BL16" s="60">
        <v>75673.22</v>
      </c>
      <c r="BM16" s="60">
        <v>300.37</v>
      </c>
      <c r="BN16" s="76">
        <v>0</v>
      </c>
      <c r="BO16" s="76">
        <v>0</v>
      </c>
      <c r="BP16" s="38">
        <f t="shared" si="6"/>
        <v>417738.76650000003</v>
      </c>
      <c r="BQ16" s="55">
        <v>0</v>
      </c>
      <c r="BR16" s="77">
        <v>0</v>
      </c>
      <c r="BS16" s="77">
        <f t="shared" si="39"/>
        <v>416740.21400000004</v>
      </c>
      <c r="BT16" s="77">
        <f t="shared" si="31"/>
        <v>998.55250000000001</v>
      </c>
      <c r="BU16" s="54">
        <v>0</v>
      </c>
      <c r="BV16" s="39">
        <f t="shared" si="7"/>
        <v>2221162.9699999997</v>
      </c>
      <c r="BW16" s="57">
        <v>0</v>
      </c>
      <c r="BX16" s="57">
        <v>2215040.0699999998</v>
      </c>
      <c r="BY16" s="57">
        <v>6122.9</v>
      </c>
      <c r="BZ16" s="56">
        <v>0</v>
      </c>
      <c r="CA16" s="40">
        <f t="shared" si="8"/>
        <v>364850.80519999994</v>
      </c>
      <c r="CB16" s="36">
        <f t="shared" si="26"/>
        <v>363471.80519999994</v>
      </c>
      <c r="CC16" s="62">
        <f t="shared" si="32"/>
        <v>130928.87279999998</v>
      </c>
      <c r="CD16" s="62">
        <f t="shared" si="33"/>
        <v>119788.54799999998</v>
      </c>
      <c r="CE16" s="62">
        <f t="shared" si="37"/>
        <v>41690.404799999997</v>
      </c>
      <c r="CF16" s="62">
        <f t="shared" si="34"/>
        <v>9293.9616000000005</v>
      </c>
      <c r="CG16" s="62">
        <f t="shared" si="35"/>
        <v>2790.018</v>
      </c>
      <c r="CH16" s="86">
        <f t="shared" si="38"/>
        <v>58980</v>
      </c>
      <c r="CI16" s="86">
        <v>1379</v>
      </c>
      <c r="CJ16" s="62">
        <v>0</v>
      </c>
      <c r="CK16" s="62">
        <v>0</v>
      </c>
      <c r="CL16" s="62">
        <v>0</v>
      </c>
      <c r="CM16" s="37">
        <f t="shared" si="27"/>
        <v>6540017.1217000009</v>
      </c>
      <c r="CN16" s="4"/>
      <c r="CO16" s="45">
        <f t="shared" si="10"/>
        <v>-3323153.939999999</v>
      </c>
      <c r="CP16" s="46">
        <f t="shared" si="10"/>
        <v>-3337248.8499999992</v>
      </c>
      <c r="CQ16" s="46">
        <f t="shared" si="10"/>
        <v>-3108365.93</v>
      </c>
      <c r="CR16" s="46">
        <f t="shared" si="10"/>
        <v>-181753.70999999996</v>
      </c>
      <c r="CS16" s="46">
        <f t="shared" si="10"/>
        <v>-47129.209999999992</v>
      </c>
      <c r="CT16" s="46">
        <f t="shared" si="10"/>
        <v>14094.91</v>
      </c>
      <c r="CU16" s="45">
        <f t="shared" si="10"/>
        <v>-6193</v>
      </c>
      <c r="CV16" s="46">
        <f t="shared" si="10"/>
        <v>-6193</v>
      </c>
      <c r="CW16" s="46">
        <f t="shared" si="10"/>
        <v>0</v>
      </c>
      <c r="CX16" s="45">
        <f t="shared" si="10"/>
        <v>-35897</v>
      </c>
      <c r="CY16" s="46">
        <f t="shared" si="10"/>
        <v>-35897</v>
      </c>
      <c r="CZ16" s="46">
        <f t="shared" si="10"/>
        <v>0</v>
      </c>
      <c r="DA16" s="45">
        <f t="shared" si="10"/>
        <v>-244.11000000000013</v>
      </c>
      <c r="DB16" s="46">
        <f t="shared" si="10"/>
        <v>-247.05000000000018</v>
      </c>
      <c r="DC16" s="46">
        <f t="shared" si="10"/>
        <v>2.9399999999999995</v>
      </c>
      <c r="DD16" s="45">
        <f t="shared" si="10"/>
        <v>-7649.25</v>
      </c>
      <c r="DE16" s="47">
        <f t="shared" si="11"/>
        <v>-7725.4400000000023</v>
      </c>
      <c r="DF16" s="47">
        <f t="shared" si="11"/>
        <v>76.19</v>
      </c>
      <c r="DG16" s="48">
        <f t="shared" si="11"/>
        <v>0</v>
      </c>
      <c r="DH16" s="46">
        <f t="shared" si="11"/>
        <v>0</v>
      </c>
      <c r="DI16" s="49">
        <f t="shared" si="11"/>
        <v>145016.72130000003</v>
      </c>
      <c r="DJ16" s="47">
        <f t="shared" si="11"/>
        <v>-268808.03399999999</v>
      </c>
      <c r="DK16" s="46">
        <f t="shared" si="11"/>
        <v>-3914.0111999999999</v>
      </c>
      <c r="DL16" s="46">
        <f t="shared" si="11"/>
        <v>416740.21400000004</v>
      </c>
      <c r="DM16" s="46">
        <f t="shared" si="11"/>
        <v>998.55250000000001</v>
      </c>
      <c r="DN16" s="46">
        <f t="shared" si="11"/>
        <v>0</v>
      </c>
      <c r="DO16" s="50">
        <f t="shared" si="11"/>
        <v>1733510.8099999998</v>
      </c>
      <c r="DP16" s="47">
        <f t="shared" si="11"/>
        <v>-487652.16</v>
      </c>
      <c r="DQ16" s="47">
        <f t="shared" si="11"/>
        <v>2215040.0699999998</v>
      </c>
      <c r="DR16" s="46">
        <f t="shared" si="11"/>
        <v>6122.9</v>
      </c>
      <c r="DS16" s="46">
        <f t="shared" si="11"/>
        <v>0</v>
      </c>
      <c r="DT16" s="45">
        <f t="shared" si="11"/>
        <v>364850.80519999994</v>
      </c>
      <c r="DU16" s="47">
        <f t="shared" si="12"/>
        <v>363471.80519999994</v>
      </c>
      <c r="DV16" s="47">
        <f t="shared" si="12"/>
        <v>130928.87279999998</v>
      </c>
      <c r="DW16" s="47">
        <f t="shared" si="12"/>
        <v>119788.54799999998</v>
      </c>
      <c r="DX16" s="47">
        <f t="shared" si="12"/>
        <v>41690.404799999997</v>
      </c>
      <c r="DY16" s="47">
        <f t="shared" si="12"/>
        <v>9293.9616000000005</v>
      </c>
      <c r="DZ16" s="47">
        <f t="shared" si="12"/>
        <v>2790.018</v>
      </c>
      <c r="EA16" s="47">
        <f t="shared" si="12"/>
        <v>58980</v>
      </c>
      <c r="EB16" s="47">
        <f t="shared" si="12"/>
        <v>1379</v>
      </c>
      <c r="EC16" s="47">
        <f t="shared" si="12"/>
        <v>0</v>
      </c>
      <c r="ED16" s="47">
        <f t="shared" si="12"/>
        <v>0</v>
      </c>
      <c r="EE16" s="47">
        <f t="shared" si="12"/>
        <v>0</v>
      </c>
      <c r="EF16" s="46">
        <f t="shared" si="28"/>
        <v>-1129758.9634999991</v>
      </c>
      <c r="EH16" s="46">
        <v>771271.91</v>
      </c>
      <c r="EI16" s="46">
        <f t="shared" si="13"/>
        <v>-358487.05349999911</v>
      </c>
      <c r="EJ16" s="87">
        <v>1000000</v>
      </c>
      <c r="EK16" s="46">
        <f t="shared" si="29"/>
        <v>-129758.96349999914</v>
      </c>
    </row>
    <row r="17" spans="1:141" ht="14.4" x14ac:dyDescent="0.3">
      <c r="A17" s="24">
        <f t="shared" si="30"/>
        <v>12</v>
      </c>
      <c r="B17" s="26">
        <v>2035</v>
      </c>
      <c r="C17" s="40">
        <f t="shared" si="14"/>
        <v>6780682.0899999999</v>
      </c>
      <c r="D17" s="37">
        <f t="shared" si="15"/>
        <v>6780682.0899999999</v>
      </c>
      <c r="E17" s="72">
        <v>5592365.6500000004</v>
      </c>
      <c r="F17" s="72">
        <v>950060.76</v>
      </c>
      <c r="G17" s="72">
        <v>238255.68</v>
      </c>
      <c r="H17" s="72">
        <v>0</v>
      </c>
      <c r="I17" s="40">
        <f t="shared" si="16"/>
        <v>6193</v>
      </c>
      <c r="J17" s="81">
        <f>J12</f>
        <v>6193</v>
      </c>
      <c r="K17" s="73">
        <v>0</v>
      </c>
      <c r="L17" s="40">
        <f t="shared" si="17"/>
        <v>35897</v>
      </c>
      <c r="M17" s="82">
        <f>M12</f>
        <v>35897</v>
      </c>
      <c r="N17" s="74">
        <v>0</v>
      </c>
      <c r="O17" s="40">
        <f t="shared" si="18"/>
        <v>3006.9500000000003</v>
      </c>
      <c r="P17" s="75">
        <f>P12</f>
        <v>2998.38</v>
      </c>
      <c r="Q17" s="75">
        <f>Q12</f>
        <v>8.57</v>
      </c>
      <c r="R17" s="40">
        <f t="shared" si="19"/>
        <v>83622.84</v>
      </c>
      <c r="S17" s="60">
        <v>83398.66</v>
      </c>
      <c r="T17" s="60">
        <v>224.18</v>
      </c>
      <c r="U17" s="76">
        <v>0</v>
      </c>
      <c r="V17" s="76">
        <v>0</v>
      </c>
      <c r="W17" s="38">
        <f t="shared" si="20"/>
        <v>272722.04519999999</v>
      </c>
      <c r="X17" s="55">
        <v>268808.03399999999</v>
      </c>
      <c r="Y17" s="77">
        <v>3914.0111999999999</v>
      </c>
      <c r="Z17" s="55">
        <v>0</v>
      </c>
      <c r="AA17" s="77">
        <v>0</v>
      </c>
      <c r="AB17" s="77">
        <v>0</v>
      </c>
      <c r="AC17" s="39">
        <f t="shared" si="0"/>
        <v>487652.16</v>
      </c>
      <c r="AD17" s="57">
        <v>487652.16</v>
      </c>
      <c r="AE17" s="58">
        <v>0</v>
      </c>
      <c r="AF17" s="58">
        <v>0</v>
      </c>
      <c r="AG17" s="58">
        <v>0</v>
      </c>
      <c r="AH17" s="40">
        <f t="shared" si="21"/>
        <v>0</v>
      </c>
      <c r="AI17" s="36">
        <f t="shared" si="1"/>
        <v>0</v>
      </c>
      <c r="AJ17" s="78">
        <v>0</v>
      </c>
      <c r="AK17" s="78">
        <v>0</v>
      </c>
      <c r="AL17" s="78">
        <v>0</v>
      </c>
      <c r="AM17" s="78">
        <v>0</v>
      </c>
      <c r="AN17" s="78">
        <v>0</v>
      </c>
      <c r="AO17" s="78">
        <v>0</v>
      </c>
      <c r="AP17" s="78">
        <v>0</v>
      </c>
      <c r="AQ17" s="62">
        <v>0</v>
      </c>
      <c r="AR17" s="62">
        <v>0</v>
      </c>
      <c r="AS17" s="62">
        <v>0</v>
      </c>
      <c r="AT17" s="37">
        <f t="shared" si="22"/>
        <v>7669776.0851999996</v>
      </c>
      <c r="AU17" s="40">
        <f t="shared" si="2"/>
        <v>-1184816.4318999993</v>
      </c>
      <c r="AV17" s="40">
        <f t="shared" si="23"/>
        <v>3457528.1500000008</v>
      </c>
      <c r="AW17" s="37">
        <f t="shared" si="24"/>
        <v>3443433.2400000007</v>
      </c>
      <c r="AX17" s="72">
        <v>2483999.7200000002</v>
      </c>
      <c r="AY17" s="72">
        <v>768307.05</v>
      </c>
      <c r="AZ17" s="72">
        <v>191126.47</v>
      </c>
      <c r="BA17" s="72">
        <v>14094.91</v>
      </c>
      <c r="BB17" s="40">
        <f t="shared" si="25"/>
        <v>0</v>
      </c>
      <c r="BC17" s="73">
        <v>0</v>
      </c>
      <c r="BD17" s="73">
        <v>0</v>
      </c>
      <c r="BE17" s="40">
        <f t="shared" si="3"/>
        <v>0</v>
      </c>
      <c r="BF17" s="74">
        <v>0</v>
      </c>
      <c r="BG17" s="74">
        <v>0</v>
      </c>
      <c r="BH17" s="40">
        <f t="shared" si="4"/>
        <v>2762.84</v>
      </c>
      <c r="BI17" s="79">
        <v>2751.33</v>
      </c>
      <c r="BJ17" s="79">
        <v>11.51</v>
      </c>
      <c r="BK17" s="40">
        <f t="shared" si="5"/>
        <v>75973.59</v>
      </c>
      <c r="BL17" s="60">
        <v>75673.22</v>
      </c>
      <c r="BM17" s="60">
        <v>300.37</v>
      </c>
      <c r="BN17" s="76">
        <v>0</v>
      </c>
      <c r="BO17" s="76">
        <v>0</v>
      </c>
      <c r="BP17" s="38">
        <f t="shared" si="6"/>
        <v>362681.29809999996</v>
      </c>
      <c r="BQ17" s="55">
        <v>0</v>
      </c>
      <c r="BR17" s="77">
        <v>0</v>
      </c>
      <c r="BS17" s="77">
        <f>(28701.12*8*1.21)+(17325.6*4*1.21)</f>
        <v>361682.74559999997</v>
      </c>
      <c r="BT17" s="77">
        <f t="shared" si="31"/>
        <v>998.55250000000001</v>
      </c>
      <c r="BU17" s="54">
        <v>0</v>
      </c>
      <c r="BV17" s="39">
        <f t="shared" si="7"/>
        <v>2221162.9699999997</v>
      </c>
      <c r="BW17" s="57">
        <v>0</v>
      </c>
      <c r="BX17" s="57">
        <v>2215040.0699999998</v>
      </c>
      <c r="BY17" s="57">
        <v>6122.9</v>
      </c>
      <c r="BZ17" s="56">
        <v>0</v>
      </c>
      <c r="CA17" s="40">
        <f t="shared" si="8"/>
        <v>364850.80519999994</v>
      </c>
      <c r="CB17" s="36">
        <f t="shared" si="26"/>
        <v>363471.80519999994</v>
      </c>
      <c r="CC17" s="62">
        <f t="shared" si="32"/>
        <v>130928.87279999998</v>
      </c>
      <c r="CD17" s="62">
        <f t="shared" si="33"/>
        <v>119788.54799999998</v>
      </c>
      <c r="CE17" s="62">
        <f t="shared" si="37"/>
        <v>41690.404799999997</v>
      </c>
      <c r="CF17" s="62">
        <f t="shared" si="34"/>
        <v>9293.9616000000005</v>
      </c>
      <c r="CG17" s="62">
        <f t="shared" si="35"/>
        <v>2790.018</v>
      </c>
      <c r="CH17" s="86">
        <f t="shared" si="38"/>
        <v>58980</v>
      </c>
      <c r="CI17" s="86">
        <v>1379</v>
      </c>
      <c r="CJ17" s="62">
        <v>0</v>
      </c>
      <c r="CK17" s="62">
        <v>0</v>
      </c>
      <c r="CL17" s="62">
        <v>0</v>
      </c>
      <c r="CM17" s="37">
        <f t="shared" si="27"/>
        <v>6484959.6533000004</v>
      </c>
      <c r="CN17" s="4"/>
      <c r="CO17" s="45">
        <f t="shared" si="10"/>
        <v>-3323153.939999999</v>
      </c>
      <c r="CP17" s="46">
        <f t="shared" si="10"/>
        <v>-3337248.8499999992</v>
      </c>
      <c r="CQ17" s="46">
        <f t="shared" si="10"/>
        <v>-3108365.93</v>
      </c>
      <c r="CR17" s="46">
        <f t="shared" si="10"/>
        <v>-181753.70999999996</v>
      </c>
      <c r="CS17" s="46">
        <f t="shared" si="10"/>
        <v>-47129.209999999992</v>
      </c>
      <c r="CT17" s="46">
        <f t="shared" si="10"/>
        <v>14094.91</v>
      </c>
      <c r="CU17" s="45">
        <f t="shared" si="10"/>
        <v>-6193</v>
      </c>
      <c r="CV17" s="46">
        <f t="shared" si="10"/>
        <v>-6193</v>
      </c>
      <c r="CW17" s="46">
        <f t="shared" si="10"/>
        <v>0</v>
      </c>
      <c r="CX17" s="45">
        <f t="shared" si="10"/>
        <v>-35897</v>
      </c>
      <c r="CY17" s="46">
        <f t="shared" si="10"/>
        <v>-35897</v>
      </c>
      <c r="CZ17" s="46">
        <f t="shared" si="10"/>
        <v>0</v>
      </c>
      <c r="DA17" s="45">
        <f t="shared" si="10"/>
        <v>-244.11000000000013</v>
      </c>
      <c r="DB17" s="46">
        <f t="shared" si="10"/>
        <v>-247.05000000000018</v>
      </c>
      <c r="DC17" s="46">
        <f t="shared" si="10"/>
        <v>2.9399999999999995</v>
      </c>
      <c r="DD17" s="45">
        <f t="shared" si="10"/>
        <v>-7649.25</v>
      </c>
      <c r="DE17" s="47">
        <f t="shared" si="11"/>
        <v>-7725.4400000000023</v>
      </c>
      <c r="DF17" s="47">
        <f t="shared" si="11"/>
        <v>76.19</v>
      </c>
      <c r="DG17" s="48">
        <f t="shared" si="11"/>
        <v>0</v>
      </c>
      <c r="DH17" s="46">
        <f t="shared" si="11"/>
        <v>0</v>
      </c>
      <c r="DI17" s="49">
        <f t="shared" si="11"/>
        <v>89959.252899999963</v>
      </c>
      <c r="DJ17" s="47">
        <f t="shared" si="11"/>
        <v>-268808.03399999999</v>
      </c>
      <c r="DK17" s="46">
        <f t="shared" si="11"/>
        <v>-3914.0111999999999</v>
      </c>
      <c r="DL17" s="46">
        <f t="shared" si="11"/>
        <v>361682.74559999997</v>
      </c>
      <c r="DM17" s="46">
        <f t="shared" si="11"/>
        <v>998.55250000000001</v>
      </c>
      <c r="DN17" s="46">
        <f t="shared" si="11"/>
        <v>0</v>
      </c>
      <c r="DO17" s="50">
        <f t="shared" si="11"/>
        <v>1733510.8099999998</v>
      </c>
      <c r="DP17" s="47">
        <f t="shared" si="11"/>
        <v>-487652.16</v>
      </c>
      <c r="DQ17" s="47">
        <f t="shared" si="11"/>
        <v>2215040.0699999998</v>
      </c>
      <c r="DR17" s="46">
        <f t="shared" si="11"/>
        <v>6122.9</v>
      </c>
      <c r="DS17" s="46">
        <f t="shared" si="11"/>
        <v>0</v>
      </c>
      <c r="DT17" s="45">
        <f t="shared" si="11"/>
        <v>364850.80519999994</v>
      </c>
      <c r="DU17" s="47">
        <f t="shared" si="12"/>
        <v>363471.80519999994</v>
      </c>
      <c r="DV17" s="47">
        <f t="shared" si="12"/>
        <v>130928.87279999998</v>
      </c>
      <c r="DW17" s="47">
        <f t="shared" si="12"/>
        <v>119788.54799999998</v>
      </c>
      <c r="DX17" s="47">
        <f t="shared" si="12"/>
        <v>41690.404799999997</v>
      </c>
      <c r="DY17" s="47">
        <f t="shared" si="12"/>
        <v>9293.9616000000005</v>
      </c>
      <c r="DZ17" s="47">
        <f t="shared" si="12"/>
        <v>2790.018</v>
      </c>
      <c r="EA17" s="47">
        <f t="shared" si="12"/>
        <v>58980</v>
      </c>
      <c r="EB17" s="47">
        <f t="shared" si="12"/>
        <v>1379</v>
      </c>
      <c r="EC17" s="47">
        <f t="shared" si="12"/>
        <v>0</v>
      </c>
      <c r="ED17" s="47">
        <f t="shared" si="12"/>
        <v>0</v>
      </c>
      <c r="EE17" s="47">
        <f t="shared" si="12"/>
        <v>0</v>
      </c>
      <c r="EF17" s="46">
        <f t="shared" si="28"/>
        <v>-1184816.4318999993</v>
      </c>
      <c r="EH17" s="46">
        <v>771271.91</v>
      </c>
      <c r="EI17" s="46">
        <f t="shared" si="13"/>
        <v>-413544.52189999924</v>
      </c>
      <c r="EJ17" s="87">
        <v>1000000</v>
      </c>
      <c r="EK17" s="46">
        <f t="shared" si="29"/>
        <v>-184816.43189999927</v>
      </c>
    </row>
    <row r="18" spans="1:141" ht="14.4" x14ac:dyDescent="0.3">
      <c r="A18" s="24">
        <f t="shared" si="30"/>
        <v>13</v>
      </c>
      <c r="B18" s="26">
        <v>2036</v>
      </c>
      <c r="C18" s="40">
        <f t="shared" si="14"/>
        <v>6780682.0899999999</v>
      </c>
      <c r="D18" s="37">
        <f t="shared" si="15"/>
        <v>6780682.0899999999</v>
      </c>
      <c r="E18" s="72">
        <v>5592365.6500000004</v>
      </c>
      <c r="F18" s="72">
        <v>950060.76</v>
      </c>
      <c r="G18" s="72">
        <v>238255.68</v>
      </c>
      <c r="H18" s="72">
        <v>0</v>
      </c>
      <c r="I18" s="40">
        <f t="shared" si="16"/>
        <v>6193</v>
      </c>
      <c r="J18" s="81">
        <f t="shared" ref="J18:J25" si="40">J13</f>
        <v>6193</v>
      </c>
      <c r="K18" s="73">
        <v>0</v>
      </c>
      <c r="L18" s="40">
        <f t="shared" si="17"/>
        <v>35897</v>
      </c>
      <c r="M18" s="82">
        <f t="shared" ref="M18:M25" si="41">M13</f>
        <v>35897</v>
      </c>
      <c r="N18" s="74">
        <v>0</v>
      </c>
      <c r="O18" s="40">
        <f t="shared" si="18"/>
        <v>3006.9500000000003</v>
      </c>
      <c r="P18" s="75">
        <f t="shared" ref="P18:Q25" si="42">P13</f>
        <v>2998.38</v>
      </c>
      <c r="Q18" s="75">
        <f t="shared" si="42"/>
        <v>8.57</v>
      </c>
      <c r="R18" s="40">
        <f t="shared" si="19"/>
        <v>83622.84</v>
      </c>
      <c r="S18" s="60">
        <v>83398.66</v>
      </c>
      <c r="T18" s="60">
        <v>224.18</v>
      </c>
      <c r="U18" s="76">
        <v>0</v>
      </c>
      <c r="V18" s="76">
        <v>0</v>
      </c>
      <c r="W18" s="38">
        <f t="shared" si="20"/>
        <v>272722.04519999999</v>
      </c>
      <c r="X18" s="55">
        <v>268808.03399999999</v>
      </c>
      <c r="Y18" s="77">
        <v>3914.0111999999999</v>
      </c>
      <c r="Z18" s="55">
        <v>0</v>
      </c>
      <c r="AA18" s="77">
        <v>0</v>
      </c>
      <c r="AB18" s="77">
        <v>0</v>
      </c>
      <c r="AC18" s="39">
        <f t="shared" si="0"/>
        <v>487652.16</v>
      </c>
      <c r="AD18" s="57">
        <v>487652.16</v>
      </c>
      <c r="AE18" s="58">
        <v>0</v>
      </c>
      <c r="AF18" s="58">
        <v>0</v>
      </c>
      <c r="AG18" s="58">
        <v>0</v>
      </c>
      <c r="AH18" s="40">
        <f t="shared" si="21"/>
        <v>0</v>
      </c>
      <c r="AI18" s="36">
        <f t="shared" si="1"/>
        <v>0</v>
      </c>
      <c r="AJ18" s="78">
        <v>0</v>
      </c>
      <c r="AK18" s="78">
        <v>0</v>
      </c>
      <c r="AL18" s="78">
        <v>0</v>
      </c>
      <c r="AM18" s="78">
        <v>0</v>
      </c>
      <c r="AN18" s="78">
        <v>0</v>
      </c>
      <c r="AO18" s="78">
        <v>0</v>
      </c>
      <c r="AP18" s="78">
        <v>0</v>
      </c>
      <c r="AQ18" s="62">
        <v>0</v>
      </c>
      <c r="AR18" s="62">
        <v>0</v>
      </c>
      <c r="AS18" s="62">
        <v>0</v>
      </c>
      <c r="AT18" s="37">
        <f t="shared" si="22"/>
        <v>7669776.0851999996</v>
      </c>
      <c r="AU18" s="40">
        <f t="shared" si="2"/>
        <v>-1294931.4412999991</v>
      </c>
      <c r="AV18" s="40">
        <f t="shared" si="23"/>
        <v>3457528.1500000008</v>
      </c>
      <c r="AW18" s="37">
        <f t="shared" si="24"/>
        <v>3443433.2400000007</v>
      </c>
      <c r="AX18" s="72">
        <v>2483999.7200000002</v>
      </c>
      <c r="AY18" s="72">
        <v>768307.05</v>
      </c>
      <c r="AZ18" s="72">
        <v>191126.47</v>
      </c>
      <c r="BA18" s="72">
        <v>14094.91</v>
      </c>
      <c r="BB18" s="40">
        <f t="shared" si="25"/>
        <v>0</v>
      </c>
      <c r="BC18" s="73">
        <v>0</v>
      </c>
      <c r="BD18" s="73">
        <v>0</v>
      </c>
      <c r="BE18" s="40">
        <f t="shared" si="3"/>
        <v>0</v>
      </c>
      <c r="BF18" s="74">
        <v>0</v>
      </c>
      <c r="BG18" s="74">
        <v>0</v>
      </c>
      <c r="BH18" s="40">
        <f t="shared" si="4"/>
        <v>2762.84</v>
      </c>
      <c r="BI18" s="79">
        <v>2751.33</v>
      </c>
      <c r="BJ18" s="79">
        <v>11.51</v>
      </c>
      <c r="BK18" s="40">
        <f t="shared" si="5"/>
        <v>75973.59</v>
      </c>
      <c r="BL18" s="60">
        <v>75673.22</v>
      </c>
      <c r="BM18" s="60">
        <v>300.37</v>
      </c>
      <c r="BN18" s="76">
        <v>0</v>
      </c>
      <c r="BO18" s="76">
        <v>0</v>
      </c>
      <c r="BP18" s="38">
        <f t="shared" si="6"/>
        <v>252566.28869999998</v>
      </c>
      <c r="BQ18" s="55">
        <v>0</v>
      </c>
      <c r="BR18" s="77">
        <v>0</v>
      </c>
      <c r="BS18" s="77">
        <f>207907.22*1.21</f>
        <v>251567.73619999998</v>
      </c>
      <c r="BT18" s="77">
        <f t="shared" si="31"/>
        <v>998.55250000000001</v>
      </c>
      <c r="BU18" s="54">
        <v>0</v>
      </c>
      <c r="BV18" s="39">
        <f t="shared" si="7"/>
        <v>2221162.9699999997</v>
      </c>
      <c r="BW18" s="57">
        <v>0</v>
      </c>
      <c r="BX18" s="57">
        <v>2215040.0699999998</v>
      </c>
      <c r="BY18" s="57">
        <v>6122.9</v>
      </c>
      <c r="BZ18" s="56">
        <v>0</v>
      </c>
      <c r="CA18" s="40">
        <f t="shared" si="8"/>
        <v>364850.80519999994</v>
      </c>
      <c r="CB18" s="36">
        <f t="shared" si="26"/>
        <v>363471.80519999994</v>
      </c>
      <c r="CC18" s="62">
        <f t="shared" si="32"/>
        <v>130928.87279999998</v>
      </c>
      <c r="CD18" s="62">
        <f t="shared" si="33"/>
        <v>119788.54799999998</v>
      </c>
      <c r="CE18" s="62">
        <f t="shared" si="37"/>
        <v>41690.404799999997</v>
      </c>
      <c r="CF18" s="62">
        <f t="shared" si="34"/>
        <v>9293.9616000000005</v>
      </c>
      <c r="CG18" s="62">
        <f t="shared" si="35"/>
        <v>2790.018</v>
      </c>
      <c r="CH18" s="86">
        <f t="shared" si="38"/>
        <v>58980</v>
      </c>
      <c r="CI18" s="86">
        <v>1379</v>
      </c>
      <c r="CJ18" s="62">
        <v>0</v>
      </c>
      <c r="CK18" s="62">
        <v>0</v>
      </c>
      <c r="CL18" s="62">
        <v>0</v>
      </c>
      <c r="CM18" s="37">
        <f t="shared" si="27"/>
        <v>6374844.6439000005</v>
      </c>
      <c r="CN18" s="4"/>
      <c r="CO18" s="45">
        <f t="shared" si="10"/>
        <v>-3323153.939999999</v>
      </c>
      <c r="CP18" s="46">
        <f t="shared" si="10"/>
        <v>-3337248.8499999992</v>
      </c>
      <c r="CQ18" s="46">
        <f t="shared" si="10"/>
        <v>-3108365.93</v>
      </c>
      <c r="CR18" s="46">
        <f t="shared" si="10"/>
        <v>-181753.70999999996</v>
      </c>
      <c r="CS18" s="46">
        <f t="shared" si="10"/>
        <v>-47129.209999999992</v>
      </c>
      <c r="CT18" s="46">
        <f t="shared" si="10"/>
        <v>14094.91</v>
      </c>
      <c r="CU18" s="45">
        <f t="shared" si="10"/>
        <v>-6193</v>
      </c>
      <c r="CV18" s="46">
        <f t="shared" si="10"/>
        <v>-6193</v>
      </c>
      <c r="CW18" s="46">
        <f t="shared" si="10"/>
        <v>0</v>
      </c>
      <c r="CX18" s="45">
        <f t="shared" si="10"/>
        <v>-35897</v>
      </c>
      <c r="CY18" s="46">
        <f t="shared" si="10"/>
        <v>-35897</v>
      </c>
      <c r="CZ18" s="46">
        <f t="shared" si="10"/>
        <v>0</v>
      </c>
      <c r="DA18" s="45">
        <f t="shared" si="10"/>
        <v>-244.11000000000013</v>
      </c>
      <c r="DB18" s="46">
        <f t="shared" si="10"/>
        <v>-247.05000000000018</v>
      </c>
      <c r="DC18" s="46">
        <f t="shared" si="10"/>
        <v>2.9399999999999995</v>
      </c>
      <c r="DD18" s="45">
        <f t="shared" si="10"/>
        <v>-7649.25</v>
      </c>
      <c r="DE18" s="47">
        <f t="shared" si="11"/>
        <v>-7725.4400000000023</v>
      </c>
      <c r="DF18" s="47">
        <f t="shared" si="11"/>
        <v>76.19</v>
      </c>
      <c r="DG18" s="48">
        <f t="shared" si="11"/>
        <v>0</v>
      </c>
      <c r="DH18" s="46">
        <f t="shared" si="11"/>
        <v>0</v>
      </c>
      <c r="DI18" s="49">
        <f t="shared" si="11"/>
        <v>-20155.756500000018</v>
      </c>
      <c r="DJ18" s="47">
        <f t="shared" si="11"/>
        <v>-268808.03399999999</v>
      </c>
      <c r="DK18" s="46">
        <f t="shared" si="11"/>
        <v>-3914.0111999999999</v>
      </c>
      <c r="DL18" s="46">
        <f t="shared" si="11"/>
        <v>251567.73619999998</v>
      </c>
      <c r="DM18" s="46">
        <f t="shared" si="11"/>
        <v>998.55250000000001</v>
      </c>
      <c r="DN18" s="46">
        <f t="shared" si="11"/>
        <v>0</v>
      </c>
      <c r="DO18" s="50">
        <f t="shared" si="11"/>
        <v>1733510.8099999998</v>
      </c>
      <c r="DP18" s="47">
        <f t="shared" si="11"/>
        <v>-487652.16</v>
      </c>
      <c r="DQ18" s="47">
        <f t="shared" si="11"/>
        <v>2215040.0699999998</v>
      </c>
      <c r="DR18" s="46">
        <f t="shared" si="11"/>
        <v>6122.9</v>
      </c>
      <c r="DS18" s="46">
        <f t="shared" si="11"/>
        <v>0</v>
      </c>
      <c r="DT18" s="45">
        <f t="shared" si="11"/>
        <v>364850.80519999994</v>
      </c>
      <c r="DU18" s="47">
        <f t="shared" si="12"/>
        <v>363471.80519999994</v>
      </c>
      <c r="DV18" s="47">
        <f t="shared" si="12"/>
        <v>130928.87279999998</v>
      </c>
      <c r="DW18" s="47">
        <f t="shared" si="12"/>
        <v>119788.54799999998</v>
      </c>
      <c r="DX18" s="47">
        <f t="shared" si="12"/>
        <v>41690.404799999997</v>
      </c>
      <c r="DY18" s="47">
        <f t="shared" si="12"/>
        <v>9293.9616000000005</v>
      </c>
      <c r="DZ18" s="47">
        <f t="shared" si="12"/>
        <v>2790.018</v>
      </c>
      <c r="EA18" s="47">
        <f t="shared" si="12"/>
        <v>58980</v>
      </c>
      <c r="EB18" s="47">
        <f t="shared" si="12"/>
        <v>1379</v>
      </c>
      <c r="EC18" s="47">
        <f t="shared" si="12"/>
        <v>0</v>
      </c>
      <c r="ED18" s="47">
        <f t="shared" si="12"/>
        <v>0</v>
      </c>
      <c r="EE18" s="47">
        <f t="shared" si="12"/>
        <v>0</v>
      </c>
      <c r="EF18" s="46">
        <f t="shared" si="28"/>
        <v>-1294931.4412999991</v>
      </c>
      <c r="EH18" s="46">
        <v>771271.91</v>
      </c>
      <c r="EI18" s="46">
        <f t="shared" si="13"/>
        <v>-523659.5312999991</v>
      </c>
      <c r="EJ18" s="87">
        <v>1000000</v>
      </c>
      <c r="EK18" s="46">
        <f t="shared" si="29"/>
        <v>-294931.44129999913</v>
      </c>
    </row>
    <row r="19" spans="1:141" ht="14.4" x14ac:dyDescent="0.3">
      <c r="A19" s="24">
        <f t="shared" si="30"/>
        <v>14</v>
      </c>
      <c r="B19" s="26">
        <v>2037</v>
      </c>
      <c r="C19" s="40">
        <f t="shared" si="14"/>
        <v>6780682.0899999999</v>
      </c>
      <c r="D19" s="37">
        <f t="shared" si="15"/>
        <v>6780682.0899999999</v>
      </c>
      <c r="E19" s="72">
        <v>5592365.6500000004</v>
      </c>
      <c r="F19" s="72">
        <v>950060.76</v>
      </c>
      <c r="G19" s="72">
        <v>238255.68</v>
      </c>
      <c r="H19" s="72">
        <v>0</v>
      </c>
      <c r="I19" s="40">
        <f t="shared" si="16"/>
        <v>6193</v>
      </c>
      <c r="J19" s="81">
        <f t="shared" si="40"/>
        <v>6193</v>
      </c>
      <c r="K19" s="73">
        <v>0</v>
      </c>
      <c r="L19" s="40">
        <f t="shared" si="17"/>
        <v>35897</v>
      </c>
      <c r="M19" s="82">
        <f t="shared" si="41"/>
        <v>35897</v>
      </c>
      <c r="N19" s="74">
        <v>0</v>
      </c>
      <c r="O19" s="40">
        <f t="shared" si="18"/>
        <v>3006.9500000000003</v>
      </c>
      <c r="P19" s="75">
        <f t="shared" si="42"/>
        <v>2998.38</v>
      </c>
      <c r="Q19" s="75">
        <f t="shared" si="42"/>
        <v>8.57</v>
      </c>
      <c r="R19" s="40">
        <f t="shared" si="19"/>
        <v>83622.84</v>
      </c>
      <c r="S19" s="60">
        <v>83398.66</v>
      </c>
      <c r="T19" s="60">
        <v>224.18</v>
      </c>
      <c r="U19" s="76">
        <v>0</v>
      </c>
      <c r="V19" s="76">
        <v>0</v>
      </c>
      <c r="W19" s="38">
        <f t="shared" si="20"/>
        <v>272722.04519999999</v>
      </c>
      <c r="X19" s="55">
        <v>268808.03399999999</v>
      </c>
      <c r="Y19" s="77">
        <v>3914.0111999999999</v>
      </c>
      <c r="Z19" s="55">
        <v>0</v>
      </c>
      <c r="AA19" s="77">
        <v>0</v>
      </c>
      <c r="AB19" s="77">
        <v>0</v>
      </c>
      <c r="AC19" s="39">
        <f t="shared" si="0"/>
        <v>487652.16</v>
      </c>
      <c r="AD19" s="57">
        <v>487652.16</v>
      </c>
      <c r="AE19" s="58">
        <v>0</v>
      </c>
      <c r="AF19" s="58">
        <v>0</v>
      </c>
      <c r="AG19" s="58">
        <v>0</v>
      </c>
      <c r="AH19" s="40">
        <f t="shared" si="21"/>
        <v>0</v>
      </c>
      <c r="AI19" s="36">
        <f t="shared" si="1"/>
        <v>0</v>
      </c>
      <c r="AJ19" s="78">
        <v>0</v>
      </c>
      <c r="AK19" s="78">
        <v>0</v>
      </c>
      <c r="AL19" s="78">
        <v>0</v>
      </c>
      <c r="AM19" s="78">
        <v>0</v>
      </c>
      <c r="AN19" s="78">
        <v>0</v>
      </c>
      <c r="AO19" s="78">
        <v>0</v>
      </c>
      <c r="AP19" s="78">
        <v>0</v>
      </c>
      <c r="AQ19" s="62">
        <v>0</v>
      </c>
      <c r="AR19" s="62">
        <v>0</v>
      </c>
      <c r="AS19" s="62">
        <v>0</v>
      </c>
      <c r="AT19" s="37">
        <f t="shared" si="22"/>
        <v>7669776.0851999996</v>
      </c>
      <c r="AU19" s="40">
        <f t="shared" si="2"/>
        <v>-1294931.4412999991</v>
      </c>
      <c r="AV19" s="40">
        <f t="shared" si="23"/>
        <v>3457528.1500000008</v>
      </c>
      <c r="AW19" s="37">
        <f t="shared" si="24"/>
        <v>3443433.2400000007</v>
      </c>
      <c r="AX19" s="72">
        <v>2483999.7200000002</v>
      </c>
      <c r="AY19" s="72">
        <v>768307.05</v>
      </c>
      <c r="AZ19" s="72">
        <v>191126.47</v>
      </c>
      <c r="BA19" s="72">
        <v>14094.91</v>
      </c>
      <c r="BB19" s="40">
        <f t="shared" si="25"/>
        <v>0</v>
      </c>
      <c r="BC19" s="73">
        <v>0</v>
      </c>
      <c r="BD19" s="73">
        <v>0</v>
      </c>
      <c r="BE19" s="40">
        <f t="shared" si="3"/>
        <v>0</v>
      </c>
      <c r="BF19" s="74">
        <v>0</v>
      </c>
      <c r="BG19" s="74">
        <v>0</v>
      </c>
      <c r="BH19" s="40">
        <f t="shared" si="4"/>
        <v>2762.84</v>
      </c>
      <c r="BI19" s="79">
        <v>2751.33</v>
      </c>
      <c r="BJ19" s="79">
        <v>11.51</v>
      </c>
      <c r="BK19" s="40">
        <f t="shared" si="5"/>
        <v>75973.59</v>
      </c>
      <c r="BL19" s="60">
        <v>75673.22</v>
      </c>
      <c r="BM19" s="60">
        <v>300.37</v>
      </c>
      <c r="BN19" s="76">
        <v>0</v>
      </c>
      <c r="BO19" s="76">
        <v>0</v>
      </c>
      <c r="BP19" s="38">
        <f t="shared" si="6"/>
        <v>252566.28869999998</v>
      </c>
      <c r="BQ19" s="55">
        <v>0</v>
      </c>
      <c r="BR19" s="77">
        <v>0</v>
      </c>
      <c r="BS19" s="77">
        <f t="shared" ref="BS19:BS25" si="43">207907.22*1.21</f>
        <v>251567.73619999998</v>
      </c>
      <c r="BT19" s="77">
        <f t="shared" si="31"/>
        <v>998.55250000000001</v>
      </c>
      <c r="BU19" s="54">
        <v>0</v>
      </c>
      <c r="BV19" s="39">
        <f t="shared" si="7"/>
        <v>2221162.9699999997</v>
      </c>
      <c r="BW19" s="57">
        <v>0</v>
      </c>
      <c r="BX19" s="57">
        <v>2215040.0699999998</v>
      </c>
      <c r="BY19" s="57">
        <v>6122.9</v>
      </c>
      <c r="BZ19" s="56">
        <v>0</v>
      </c>
      <c r="CA19" s="40">
        <f t="shared" si="8"/>
        <v>364850.80519999994</v>
      </c>
      <c r="CB19" s="36">
        <f t="shared" si="26"/>
        <v>363471.80519999994</v>
      </c>
      <c r="CC19" s="62">
        <f t="shared" si="32"/>
        <v>130928.87279999998</v>
      </c>
      <c r="CD19" s="62">
        <f t="shared" si="33"/>
        <v>119788.54799999998</v>
      </c>
      <c r="CE19" s="62">
        <f t="shared" si="37"/>
        <v>41690.404799999997</v>
      </c>
      <c r="CF19" s="62">
        <f t="shared" si="34"/>
        <v>9293.9616000000005</v>
      </c>
      <c r="CG19" s="62">
        <f t="shared" si="35"/>
        <v>2790.018</v>
      </c>
      <c r="CH19" s="86">
        <f t="shared" si="38"/>
        <v>58980</v>
      </c>
      <c r="CI19" s="86">
        <v>1379</v>
      </c>
      <c r="CJ19" s="62">
        <v>0</v>
      </c>
      <c r="CK19" s="62">
        <v>0</v>
      </c>
      <c r="CL19" s="62">
        <v>0</v>
      </c>
      <c r="CM19" s="37">
        <f t="shared" si="27"/>
        <v>6374844.6439000005</v>
      </c>
      <c r="CN19" s="4"/>
      <c r="CO19" s="45">
        <f t="shared" si="10"/>
        <v>-3323153.939999999</v>
      </c>
      <c r="CP19" s="46">
        <f t="shared" si="10"/>
        <v>-3337248.8499999992</v>
      </c>
      <c r="CQ19" s="46">
        <f t="shared" si="10"/>
        <v>-3108365.93</v>
      </c>
      <c r="CR19" s="46">
        <f t="shared" si="10"/>
        <v>-181753.70999999996</v>
      </c>
      <c r="CS19" s="46">
        <f t="shared" si="10"/>
        <v>-47129.209999999992</v>
      </c>
      <c r="CT19" s="46">
        <f t="shared" si="10"/>
        <v>14094.91</v>
      </c>
      <c r="CU19" s="45">
        <f t="shared" si="10"/>
        <v>-6193</v>
      </c>
      <c r="CV19" s="46">
        <f t="shared" si="10"/>
        <v>-6193</v>
      </c>
      <c r="CW19" s="46">
        <f t="shared" si="10"/>
        <v>0</v>
      </c>
      <c r="CX19" s="45">
        <f t="shared" si="10"/>
        <v>-35897</v>
      </c>
      <c r="CY19" s="46">
        <f t="shared" si="10"/>
        <v>-35897</v>
      </c>
      <c r="CZ19" s="46">
        <f t="shared" si="10"/>
        <v>0</v>
      </c>
      <c r="DA19" s="45">
        <f t="shared" si="10"/>
        <v>-244.11000000000013</v>
      </c>
      <c r="DB19" s="46">
        <f t="shared" si="10"/>
        <v>-247.05000000000018</v>
      </c>
      <c r="DC19" s="46">
        <f t="shared" si="10"/>
        <v>2.9399999999999995</v>
      </c>
      <c r="DD19" s="45">
        <f t="shared" si="10"/>
        <v>-7649.25</v>
      </c>
      <c r="DE19" s="47">
        <f t="shared" si="11"/>
        <v>-7725.4400000000023</v>
      </c>
      <c r="DF19" s="47">
        <f t="shared" si="11"/>
        <v>76.19</v>
      </c>
      <c r="DG19" s="48">
        <f t="shared" si="11"/>
        <v>0</v>
      </c>
      <c r="DH19" s="46">
        <f t="shared" si="11"/>
        <v>0</v>
      </c>
      <c r="DI19" s="49">
        <f t="shared" si="11"/>
        <v>-20155.756500000018</v>
      </c>
      <c r="DJ19" s="47">
        <f t="shared" si="11"/>
        <v>-268808.03399999999</v>
      </c>
      <c r="DK19" s="46">
        <f t="shared" si="11"/>
        <v>-3914.0111999999999</v>
      </c>
      <c r="DL19" s="46">
        <f t="shared" si="11"/>
        <v>251567.73619999998</v>
      </c>
      <c r="DM19" s="46">
        <f t="shared" si="11"/>
        <v>998.55250000000001</v>
      </c>
      <c r="DN19" s="46">
        <f t="shared" si="11"/>
        <v>0</v>
      </c>
      <c r="DO19" s="50">
        <f t="shared" si="11"/>
        <v>1733510.8099999998</v>
      </c>
      <c r="DP19" s="47">
        <f t="shared" si="11"/>
        <v>-487652.16</v>
      </c>
      <c r="DQ19" s="47">
        <f t="shared" si="11"/>
        <v>2215040.0699999998</v>
      </c>
      <c r="DR19" s="46">
        <f t="shared" si="11"/>
        <v>6122.9</v>
      </c>
      <c r="DS19" s="46">
        <f t="shared" si="11"/>
        <v>0</v>
      </c>
      <c r="DT19" s="45">
        <f t="shared" si="11"/>
        <v>364850.80519999994</v>
      </c>
      <c r="DU19" s="47">
        <f t="shared" si="12"/>
        <v>363471.80519999994</v>
      </c>
      <c r="DV19" s="47">
        <f t="shared" si="12"/>
        <v>130928.87279999998</v>
      </c>
      <c r="DW19" s="47">
        <f t="shared" si="12"/>
        <v>119788.54799999998</v>
      </c>
      <c r="DX19" s="47">
        <f t="shared" si="12"/>
        <v>41690.404799999997</v>
      </c>
      <c r="DY19" s="47">
        <f t="shared" si="12"/>
        <v>9293.9616000000005</v>
      </c>
      <c r="DZ19" s="47">
        <f t="shared" si="12"/>
        <v>2790.018</v>
      </c>
      <c r="EA19" s="47">
        <f t="shared" si="12"/>
        <v>58980</v>
      </c>
      <c r="EB19" s="47">
        <f t="shared" si="12"/>
        <v>1379</v>
      </c>
      <c r="EC19" s="47">
        <f t="shared" si="12"/>
        <v>0</v>
      </c>
      <c r="ED19" s="47">
        <f t="shared" si="12"/>
        <v>0</v>
      </c>
      <c r="EE19" s="47">
        <f t="shared" si="12"/>
        <v>0</v>
      </c>
      <c r="EF19" s="46">
        <f t="shared" si="28"/>
        <v>-1294931.4412999991</v>
      </c>
      <c r="EH19" s="46">
        <v>771271.91</v>
      </c>
      <c r="EI19" s="46">
        <f t="shared" si="13"/>
        <v>-523659.5312999991</v>
      </c>
      <c r="EJ19" s="87">
        <v>1000000</v>
      </c>
      <c r="EK19" s="46">
        <f t="shared" si="29"/>
        <v>-294931.44129999913</v>
      </c>
    </row>
    <row r="20" spans="1:141" ht="14.4" x14ac:dyDescent="0.3">
      <c r="A20" s="24">
        <f t="shared" si="30"/>
        <v>15</v>
      </c>
      <c r="B20" s="26">
        <v>2038</v>
      </c>
      <c r="C20" s="40">
        <f t="shared" si="14"/>
        <v>6780682.0899999999</v>
      </c>
      <c r="D20" s="37">
        <f t="shared" si="15"/>
        <v>6780682.0899999999</v>
      </c>
      <c r="E20" s="72">
        <v>5592365.6500000004</v>
      </c>
      <c r="F20" s="72">
        <v>950060.76</v>
      </c>
      <c r="G20" s="72">
        <v>238255.68</v>
      </c>
      <c r="H20" s="72">
        <v>0</v>
      </c>
      <c r="I20" s="40">
        <f t="shared" si="16"/>
        <v>6193</v>
      </c>
      <c r="J20" s="81">
        <f t="shared" si="40"/>
        <v>6193</v>
      </c>
      <c r="K20" s="73">
        <v>0</v>
      </c>
      <c r="L20" s="40">
        <f t="shared" si="17"/>
        <v>35897</v>
      </c>
      <c r="M20" s="82">
        <f t="shared" si="41"/>
        <v>35897</v>
      </c>
      <c r="N20" s="74">
        <v>0</v>
      </c>
      <c r="O20" s="40">
        <f t="shared" si="18"/>
        <v>3006.9500000000003</v>
      </c>
      <c r="P20" s="75">
        <f t="shared" si="42"/>
        <v>2998.38</v>
      </c>
      <c r="Q20" s="75">
        <f t="shared" si="42"/>
        <v>8.57</v>
      </c>
      <c r="R20" s="40">
        <f t="shared" si="19"/>
        <v>83622.84</v>
      </c>
      <c r="S20" s="60">
        <v>83398.66</v>
      </c>
      <c r="T20" s="60">
        <v>224.18</v>
      </c>
      <c r="U20" s="76">
        <v>0</v>
      </c>
      <c r="V20" s="76">
        <v>0</v>
      </c>
      <c r="W20" s="38">
        <f t="shared" si="20"/>
        <v>272722.04519999999</v>
      </c>
      <c r="X20" s="55">
        <v>268808.03399999999</v>
      </c>
      <c r="Y20" s="77">
        <v>3914.0111999999999</v>
      </c>
      <c r="Z20" s="55">
        <v>0</v>
      </c>
      <c r="AA20" s="77">
        <v>0</v>
      </c>
      <c r="AB20" s="77">
        <v>0</v>
      </c>
      <c r="AC20" s="39">
        <f t="shared" si="0"/>
        <v>487652.16</v>
      </c>
      <c r="AD20" s="57">
        <v>487652.16</v>
      </c>
      <c r="AE20" s="58">
        <v>0</v>
      </c>
      <c r="AF20" s="58">
        <v>0</v>
      </c>
      <c r="AG20" s="58">
        <v>0</v>
      </c>
      <c r="AH20" s="40">
        <f t="shared" si="21"/>
        <v>0</v>
      </c>
      <c r="AI20" s="36">
        <f t="shared" si="1"/>
        <v>0</v>
      </c>
      <c r="AJ20" s="78">
        <v>0</v>
      </c>
      <c r="AK20" s="78">
        <v>0</v>
      </c>
      <c r="AL20" s="78">
        <v>0</v>
      </c>
      <c r="AM20" s="78">
        <v>0</v>
      </c>
      <c r="AN20" s="78">
        <v>0</v>
      </c>
      <c r="AO20" s="78">
        <v>0</v>
      </c>
      <c r="AP20" s="78">
        <v>0</v>
      </c>
      <c r="AQ20" s="62">
        <v>0</v>
      </c>
      <c r="AR20" s="62">
        <v>0</v>
      </c>
      <c r="AS20" s="62">
        <v>0</v>
      </c>
      <c r="AT20" s="37">
        <f t="shared" si="22"/>
        <v>7669776.0851999996</v>
      </c>
      <c r="AU20" s="40">
        <f t="shared" si="2"/>
        <v>-1294931.4412999991</v>
      </c>
      <c r="AV20" s="40">
        <f t="shared" si="23"/>
        <v>3457528.1500000008</v>
      </c>
      <c r="AW20" s="37">
        <f t="shared" si="24"/>
        <v>3443433.2400000007</v>
      </c>
      <c r="AX20" s="72">
        <v>2483999.7200000002</v>
      </c>
      <c r="AY20" s="72">
        <v>768307.05</v>
      </c>
      <c r="AZ20" s="72">
        <v>191126.47</v>
      </c>
      <c r="BA20" s="72">
        <v>14094.91</v>
      </c>
      <c r="BB20" s="40">
        <f t="shared" si="25"/>
        <v>0</v>
      </c>
      <c r="BC20" s="73">
        <v>0</v>
      </c>
      <c r="BD20" s="73">
        <v>0</v>
      </c>
      <c r="BE20" s="40">
        <f t="shared" si="3"/>
        <v>0</v>
      </c>
      <c r="BF20" s="74">
        <v>0</v>
      </c>
      <c r="BG20" s="74">
        <v>0</v>
      </c>
      <c r="BH20" s="40">
        <f t="shared" si="4"/>
        <v>2762.84</v>
      </c>
      <c r="BI20" s="79">
        <v>2751.33</v>
      </c>
      <c r="BJ20" s="79">
        <v>11.51</v>
      </c>
      <c r="BK20" s="40">
        <f t="shared" si="5"/>
        <v>75973.59</v>
      </c>
      <c r="BL20" s="60">
        <v>75673.22</v>
      </c>
      <c r="BM20" s="60">
        <v>300.37</v>
      </c>
      <c r="BN20" s="76">
        <v>0</v>
      </c>
      <c r="BO20" s="76">
        <v>0</v>
      </c>
      <c r="BP20" s="38">
        <f t="shared" si="6"/>
        <v>252566.28869999998</v>
      </c>
      <c r="BQ20" s="55">
        <v>0</v>
      </c>
      <c r="BR20" s="77">
        <v>0</v>
      </c>
      <c r="BS20" s="77">
        <f t="shared" si="43"/>
        <v>251567.73619999998</v>
      </c>
      <c r="BT20" s="77">
        <f t="shared" si="31"/>
        <v>998.55250000000001</v>
      </c>
      <c r="BU20" s="54">
        <v>0</v>
      </c>
      <c r="BV20" s="39">
        <f t="shared" si="7"/>
        <v>2221162.9699999997</v>
      </c>
      <c r="BW20" s="57">
        <v>0</v>
      </c>
      <c r="BX20" s="57">
        <v>2215040.0699999998</v>
      </c>
      <c r="BY20" s="57">
        <v>6122.9</v>
      </c>
      <c r="BZ20" s="56">
        <v>0</v>
      </c>
      <c r="CA20" s="40">
        <f t="shared" si="8"/>
        <v>364850.80519999994</v>
      </c>
      <c r="CB20" s="36">
        <f t="shared" si="26"/>
        <v>363471.80519999994</v>
      </c>
      <c r="CC20" s="62">
        <f t="shared" si="32"/>
        <v>130928.87279999998</v>
      </c>
      <c r="CD20" s="62">
        <f t="shared" si="33"/>
        <v>119788.54799999998</v>
      </c>
      <c r="CE20" s="62">
        <f t="shared" si="37"/>
        <v>41690.404799999997</v>
      </c>
      <c r="CF20" s="62">
        <f t="shared" si="34"/>
        <v>9293.9616000000005</v>
      </c>
      <c r="CG20" s="62">
        <f t="shared" si="35"/>
        <v>2790.018</v>
      </c>
      <c r="CH20" s="86">
        <f t="shared" si="38"/>
        <v>58980</v>
      </c>
      <c r="CI20" s="86">
        <v>1379</v>
      </c>
      <c r="CJ20" s="62">
        <v>0</v>
      </c>
      <c r="CK20" s="62">
        <v>0</v>
      </c>
      <c r="CL20" s="62">
        <v>0</v>
      </c>
      <c r="CM20" s="37">
        <f t="shared" si="27"/>
        <v>6374844.6439000005</v>
      </c>
      <c r="CN20" s="4"/>
      <c r="CO20" s="45">
        <f t="shared" si="10"/>
        <v>-3323153.939999999</v>
      </c>
      <c r="CP20" s="46">
        <f t="shared" si="10"/>
        <v>-3337248.8499999992</v>
      </c>
      <c r="CQ20" s="46">
        <f t="shared" si="10"/>
        <v>-3108365.93</v>
      </c>
      <c r="CR20" s="46">
        <f t="shared" si="10"/>
        <v>-181753.70999999996</v>
      </c>
      <c r="CS20" s="46">
        <f t="shared" si="10"/>
        <v>-47129.209999999992</v>
      </c>
      <c r="CT20" s="46">
        <f t="shared" si="10"/>
        <v>14094.91</v>
      </c>
      <c r="CU20" s="45">
        <f t="shared" si="10"/>
        <v>-6193</v>
      </c>
      <c r="CV20" s="46">
        <f t="shared" si="10"/>
        <v>-6193</v>
      </c>
      <c r="CW20" s="46">
        <f t="shared" si="10"/>
        <v>0</v>
      </c>
      <c r="CX20" s="45">
        <f t="shared" si="10"/>
        <v>-35897</v>
      </c>
      <c r="CY20" s="46">
        <f t="shared" si="10"/>
        <v>-35897</v>
      </c>
      <c r="CZ20" s="46">
        <f t="shared" si="10"/>
        <v>0</v>
      </c>
      <c r="DA20" s="45">
        <f t="shared" si="10"/>
        <v>-244.11000000000013</v>
      </c>
      <c r="DB20" s="46">
        <f t="shared" si="10"/>
        <v>-247.05000000000018</v>
      </c>
      <c r="DC20" s="46">
        <f t="shared" si="10"/>
        <v>2.9399999999999995</v>
      </c>
      <c r="DD20" s="45">
        <f t="shared" si="10"/>
        <v>-7649.25</v>
      </c>
      <c r="DE20" s="47">
        <f t="shared" si="11"/>
        <v>-7725.4400000000023</v>
      </c>
      <c r="DF20" s="47">
        <f t="shared" si="11"/>
        <v>76.19</v>
      </c>
      <c r="DG20" s="48">
        <f t="shared" si="11"/>
        <v>0</v>
      </c>
      <c r="DH20" s="46">
        <f t="shared" si="11"/>
        <v>0</v>
      </c>
      <c r="DI20" s="49">
        <f t="shared" si="11"/>
        <v>-20155.756500000018</v>
      </c>
      <c r="DJ20" s="47">
        <f t="shared" si="11"/>
        <v>-268808.03399999999</v>
      </c>
      <c r="DK20" s="46">
        <f t="shared" si="11"/>
        <v>-3914.0111999999999</v>
      </c>
      <c r="DL20" s="46">
        <f t="shared" si="11"/>
        <v>251567.73619999998</v>
      </c>
      <c r="DM20" s="46">
        <f t="shared" si="11"/>
        <v>998.55250000000001</v>
      </c>
      <c r="DN20" s="46">
        <f t="shared" si="11"/>
        <v>0</v>
      </c>
      <c r="DO20" s="50">
        <f t="shared" si="11"/>
        <v>1733510.8099999998</v>
      </c>
      <c r="DP20" s="47">
        <f t="shared" si="11"/>
        <v>-487652.16</v>
      </c>
      <c r="DQ20" s="47">
        <f t="shared" si="11"/>
        <v>2215040.0699999998</v>
      </c>
      <c r="DR20" s="46">
        <f t="shared" si="11"/>
        <v>6122.9</v>
      </c>
      <c r="DS20" s="46">
        <f t="shared" si="11"/>
        <v>0</v>
      </c>
      <c r="DT20" s="45">
        <f t="shared" si="11"/>
        <v>364850.80519999994</v>
      </c>
      <c r="DU20" s="47">
        <f t="shared" si="12"/>
        <v>363471.80519999994</v>
      </c>
      <c r="DV20" s="47">
        <f t="shared" si="12"/>
        <v>130928.87279999998</v>
      </c>
      <c r="DW20" s="47">
        <f t="shared" si="12"/>
        <v>119788.54799999998</v>
      </c>
      <c r="DX20" s="47">
        <f t="shared" si="12"/>
        <v>41690.404799999997</v>
      </c>
      <c r="DY20" s="47">
        <f t="shared" si="12"/>
        <v>9293.9616000000005</v>
      </c>
      <c r="DZ20" s="47">
        <f t="shared" si="12"/>
        <v>2790.018</v>
      </c>
      <c r="EA20" s="47">
        <f t="shared" si="12"/>
        <v>58980</v>
      </c>
      <c r="EB20" s="47">
        <f t="shared" si="12"/>
        <v>1379</v>
      </c>
      <c r="EC20" s="47">
        <f t="shared" si="12"/>
        <v>0</v>
      </c>
      <c r="ED20" s="47">
        <f t="shared" si="12"/>
        <v>0</v>
      </c>
      <c r="EE20" s="47">
        <f t="shared" si="12"/>
        <v>0</v>
      </c>
      <c r="EF20" s="46">
        <f t="shared" si="28"/>
        <v>-1294931.4412999991</v>
      </c>
      <c r="EH20" s="46">
        <v>771271.91</v>
      </c>
      <c r="EI20" s="46">
        <f t="shared" si="13"/>
        <v>-523659.5312999991</v>
      </c>
      <c r="EJ20" s="87">
        <v>1000000</v>
      </c>
      <c r="EK20" s="46">
        <f t="shared" si="29"/>
        <v>-294931.44129999913</v>
      </c>
    </row>
    <row r="21" spans="1:141" ht="14.4" x14ac:dyDescent="0.3">
      <c r="A21" s="24">
        <f t="shared" si="30"/>
        <v>16</v>
      </c>
      <c r="B21" s="26">
        <v>2039</v>
      </c>
      <c r="C21" s="40">
        <f t="shared" si="14"/>
        <v>6780682.0899999999</v>
      </c>
      <c r="D21" s="37">
        <f t="shared" si="15"/>
        <v>6780682.0899999999</v>
      </c>
      <c r="E21" s="72">
        <v>5592365.6500000004</v>
      </c>
      <c r="F21" s="72">
        <v>950060.76</v>
      </c>
      <c r="G21" s="72">
        <v>238255.68</v>
      </c>
      <c r="H21" s="72">
        <v>0</v>
      </c>
      <c r="I21" s="40">
        <f t="shared" si="16"/>
        <v>6193</v>
      </c>
      <c r="J21" s="81">
        <f t="shared" si="40"/>
        <v>6193</v>
      </c>
      <c r="K21" s="73">
        <v>0</v>
      </c>
      <c r="L21" s="40">
        <f t="shared" si="17"/>
        <v>35897</v>
      </c>
      <c r="M21" s="82">
        <f t="shared" si="41"/>
        <v>35897</v>
      </c>
      <c r="N21" s="74">
        <v>0</v>
      </c>
      <c r="O21" s="40">
        <f t="shared" si="18"/>
        <v>3006.9500000000003</v>
      </c>
      <c r="P21" s="75">
        <f t="shared" si="42"/>
        <v>2998.38</v>
      </c>
      <c r="Q21" s="75">
        <f t="shared" si="42"/>
        <v>8.57</v>
      </c>
      <c r="R21" s="40">
        <f t="shared" si="19"/>
        <v>83622.84</v>
      </c>
      <c r="S21" s="60">
        <v>83398.66</v>
      </c>
      <c r="T21" s="60">
        <v>224.18</v>
      </c>
      <c r="U21" s="76">
        <v>0</v>
      </c>
      <c r="V21" s="76">
        <v>0</v>
      </c>
      <c r="W21" s="38">
        <f t="shared" si="20"/>
        <v>272722.04519999999</v>
      </c>
      <c r="X21" s="55">
        <v>268808.03399999999</v>
      </c>
      <c r="Y21" s="77">
        <v>3914.0111999999999</v>
      </c>
      <c r="Z21" s="55">
        <v>0</v>
      </c>
      <c r="AA21" s="77">
        <v>0</v>
      </c>
      <c r="AB21" s="77">
        <v>0</v>
      </c>
      <c r="AC21" s="39">
        <f t="shared" si="0"/>
        <v>487652.16</v>
      </c>
      <c r="AD21" s="57">
        <v>487652.16</v>
      </c>
      <c r="AE21" s="58">
        <v>0</v>
      </c>
      <c r="AF21" s="58">
        <v>0</v>
      </c>
      <c r="AG21" s="58">
        <v>0</v>
      </c>
      <c r="AH21" s="40">
        <f t="shared" si="21"/>
        <v>0</v>
      </c>
      <c r="AI21" s="36">
        <f t="shared" si="1"/>
        <v>0</v>
      </c>
      <c r="AJ21" s="78">
        <v>0</v>
      </c>
      <c r="AK21" s="78">
        <v>0</v>
      </c>
      <c r="AL21" s="78">
        <v>0</v>
      </c>
      <c r="AM21" s="78">
        <v>0</v>
      </c>
      <c r="AN21" s="78">
        <v>0</v>
      </c>
      <c r="AO21" s="78">
        <v>0</v>
      </c>
      <c r="AP21" s="78">
        <v>0</v>
      </c>
      <c r="AQ21" s="62">
        <v>0</v>
      </c>
      <c r="AR21" s="62">
        <v>0</v>
      </c>
      <c r="AS21" s="62">
        <v>0</v>
      </c>
      <c r="AT21" s="37">
        <f t="shared" si="22"/>
        <v>7669776.0851999996</v>
      </c>
      <c r="AU21" s="40">
        <f t="shared" si="2"/>
        <v>-1294931.4412999991</v>
      </c>
      <c r="AV21" s="40">
        <f t="shared" si="23"/>
        <v>3457528.1500000008</v>
      </c>
      <c r="AW21" s="37">
        <f t="shared" si="24"/>
        <v>3443433.2400000007</v>
      </c>
      <c r="AX21" s="72">
        <v>2483999.7200000002</v>
      </c>
      <c r="AY21" s="72">
        <v>768307.05</v>
      </c>
      <c r="AZ21" s="72">
        <v>191126.47</v>
      </c>
      <c r="BA21" s="72">
        <v>14094.91</v>
      </c>
      <c r="BB21" s="40">
        <f t="shared" si="25"/>
        <v>0</v>
      </c>
      <c r="BC21" s="73">
        <v>0</v>
      </c>
      <c r="BD21" s="73">
        <v>0</v>
      </c>
      <c r="BE21" s="40">
        <f t="shared" si="3"/>
        <v>0</v>
      </c>
      <c r="BF21" s="74">
        <v>0</v>
      </c>
      <c r="BG21" s="74">
        <v>0</v>
      </c>
      <c r="BH21" s="40">
        <f t="shared" si="4"/>
        <v>2762.84</v>
      </c>
      <c r="BI21" s="79">
        <v>2751.33</v>
      </c>
      <c r="BJ21" s="79">
        <v>11.51</v>
      </c>
      <c r="BK21" s="40">
        <f t="shared" si="5"/>
        <v>75973.59</v>
      </c>
      <c r="BL21" s="60">
        <v>75673.22</v>
      </c>
      <c r="BM21" s="60">
        <v>300.37</v>
      </c>
      <c r="BN21" s="76">
        <v>0</v>
      </c>
      <c r="BO21" s="76">
        <v>0</v>
      </c>
      <c r="BP21" s="38">
        <f t="shared" si="6"/>
        <v>252566.28869999998</v>
      </c>
      <c r="BQ21" s="55">
        <v>0</v>
      </c>
      <c r="BR21" s="77">
        <v>0</v>
      </c>
      <c r="BS21" s="77">
        <f t="shared" si="43"/>
        <v>251567.73619999998</v>
      </c>
      <c r="BT21" s="77">
        <f t="shared" si="31"/>
        <v>998.55250000000001</v>
      </c>
      <c r="BU21" s="54">
        <v>0</v>
      </c>
      <c r="BV21" s="39">
        <f t="shared" si="7"/>
        <v>2221162.9699999997</v>
      </c>
      <c r="BW21" s="57">
        <v>0</v>
      </c>
      <c r="BX21" s="57">
        <v>2215040.0699999998</v>
      </c>
      <c r="BY21" s="57">
        <v>6122.9</v>
      </c>
      <c r="BZ21" s="56">
        <v>0</v>
      </c>
      <c r="CA21" s="40">
        <f t="shared" si="8"/>
        <v>364850.80519999994</v>
      </c>
      <c r="CB21" s="36">
        <f t="shared" si="26"/>
        <v>363471.80519999994</v>
      </c>
      <c r="CC21" s="62">
        <f t="shared" si="32"/>
        <v>130928.87279999998</v>
      </c>
      <c r="CD21" s="62">
        <f t="shared" si="33"/>
        <v>119788.54799999998</v>
      </c>
      <c r="CE21" s="62">
        <f t="shared" si="37"/>
        <v>41690.404799999997</v>
      </c>
      <c r="CF21" s="62">
        <f t="shared" si="34"/>
        <v>9293.9616000000005</v>
      </c>
      <c r="CG21" s="62">
        <f t="shared" si="35"/>
        <v>2790.018</v>
      </c>
      <c r="CH21" s="86">
        <f t="shared" si="38"/>
        <v>58980</v>
      </c>
      <c r="CI21" s="86">
        <v>1379</v>
      </c>
      <c r="CJ21" s="62">
        <v>0</v>
      </c>
      <c r="CK21" s="62">
        <v>0</v>
      </c>
      <c r="CL21" s="62">
        <v>0</v>
      </c>
      <c r="CM21" s="37">
        <f t="shared" si="27"/>
        <v>6374844.6439000005</v>
      </c>
      <c r="CN21" s="4"/>
      <c r="CO21" s="45">
        <f t="shared" si="10"/>
        <v>-3323153.939999999</v>
      </c>
      <c r="CP21" s="46">
        <f t="shared" si="10"/>
        <v>-3337248.8499999992</v>
      </c>
      <c r="CQ21" s="46">
        <f t="shared" si="10"/>
        <v>-3108365.93</v>
      </c>
      <c r="CR21" s="46">
        <f t="shared" si="10"/>
        <v>-181753.70999999996</v>
      </c>
      <c r="CS21" s="46">
        <f t="shared" si="10"/>
        <v>-47129.209999999992</v>
      </c>
      <c r="CT21" s="46">
        <f t="shared" si="10"/>
        <v>14094.91</v>
      </c>
      <c r="CU21" s="45">
        <f t="shared" si="10"/>
        <v>-6193</v>
      </c>
      <c r="CV21" s="46">
        <f t="shared" si="10"/>
        <v>-6193</v>
      </c>
      <c r="CW21" s="46">
        <f t="shared" si="10"/>
        <v>0</v>
      </c>
      <c r="CX21" s="45">
        <f t="shared" si="10"/>
        <v>-35897</v>
      </c>
      <c r="CY21" s="46">
        <f t="shared" si="10"/>
        <v>-35897</v>
      </c>
      <c r="CZ21" s="46">
        <f t="shared" si="10"/>
        <v>0</v>
      </c>
      <c r="DA21" s="45">
        <f t="shared" si="10"/>
        <v>-244.11000000000013</v>
      </c>
      <c r="DB21" s="46">
        <f t="shared" si="10"/>
        <v>-247.05000000000018</v>
      </c>
      <c r="DC21" s="46">
        <f t="shared" si="10"/>
        <v>2.9399999999999995</v>
      </c>
      <c r="DD21" s="45">
        <f t="shared" ref="DD21:DS26" si="44">BK21-R21</f>
        <v>-7649.25</v>
      </c>
      <c r="DE21" s="47">
        <f t="shared" si="11"/>
        <v>-7725.4400000000023</v>
      </c>
      <c r="DF21" s="47">
        <f t="shared" si="11"/>
        <v>76.19</v>
      </c>
      <c r="DG21" s="48">
        <f t="shared" si="11"/>
        <v>0</v>
      </c>
      <c r="DH21" s="46">
        <f t="shared" si="11"/>
        <v>0</v>
      </c>
      <c r="DI21" s="49">
        <f t="shared" si="11"/>
        <v>-20155.756500000018</v>
      </c>
      <c r="DJ21" s="47">
        <f t="shared" si="11"/>
        <v>-268808.03399999999</v>
      </c>
      <c r="DK21" s="46">
        <f t="shared" si="11"/>
        <v>-3914.0111999999999</v>
      </c>
      <c r="DL21" s="46">
        <f t="shared" si="11"/>
        <v>251567.73619999998</v>
      </c>
      <c r="DM21" s="46">
        <f t="shared" si="11"/>
        <v>998.55250000000001</v>
      </c>
      <c r="DN21" s="46">
        <f t="shared" si="11"/>
        <v>0</v>
      </c>
      <c r="DO21" s="50">
        <f t="shared" si="11"/>
        <v>1733510.8099999998</v>
      </c>
      <c r="DP21" s="47">
        <f t="shared" si="11"/>
        <v>-487652.16</v>
      </c>
      <c r="DQ21" s="47">
        <f t="shared" si="11"/>
        <v>2215040.0699999998</v>
      </c>
      <c r="DR21" s="46">
        <f t="shared" si="11"/>
        <v>6122.9</v>
      </c>
      <c r="DS21" s="46">
        <f t="shared" si="11"/>
        <v>0</v>
      </c>
      <c r="DT21" s="45">
        <f t="shared" ref="DT21:DT26" si="45">CA21-AH21</f>
        <v>364850.80519999994</v>
      </c>
      <c r="DU21" s="47">
        <f t="shared" si="12"/>
        <v>363471.80519999994</v>
      </c>
      <c r="DV21" s="47">
        <f t="shared" si="12"/>
        <v>130928.87279999998</v>
      </c>
      <c r="DW21" s="47">
        <f t="shared" si="12"/>
        <v>119788.54799999998</v>
      </c>
      <c r="DX21" s="47">
        <f t="shared" si="12"/>
        <v>41690.404799999997</v>
      </c>
      <c r="DY21" s="47">
        <f t="shared" si="12"/>
        <v>9293.9616000000005</v>
      </c>
      <c r="DZ21" s="47">
        <f t="shared" si="12"/>
        <v>2790.018</v>
      </c>
      <c r="EA21" s="47">
        <f t="shared" si="12"/>
        <v>58980</v>
      </c>
      <c r="EB21" s="47">
        <f t="shared" si="12"/>
        <v>1379</v>
      </c>
      <c r="EC21" s="47">
        <f t="shared" si="12"/>
        <v>0</v>
      </c>
      <c r="ED21" s="47">
        <f t="shared" si="12"/>
        <v>0</v>
      </c>
      <c r="EE21" s="47">
        <f t="shared" si="12"/>
        <v>0</v>
      </c>
      <c r="EF21" s="46">
        <f t="shared" si="28"/>
        <v>-1294931.4412999991</v>
      </c>
      <c r="EH21" s="46">
        <v>771271.91</v>
      </c>
      <c r="EI21" s="46">
        <f t="shared" si="13"/>
        <v>-523659.5312999991</v>
      </c>
      <c r="EJ21" s="87">
        <v>1000000</v>
      </c>
      <c r="EK21" s="46">
        <f t="shared" si="29"/>
        <v>-294931.44129999913</v>
      </c>
    </row>
    <row r="22" spans="1:141" ht="14.4" x14ac:dyDescent="0.3">
      <c r="A22" s="24">
        <f t="shared" si="30"/>
        <v>17</v>
      </c>
      <c r="B22" s="26">
        <v>2040</v>
      </c>
      <c r="C22" s="40">
        <f t="shared" si="14"/>
        <v>6780682.0899999999</v>
      </c>
      <c r="D22" s="37">
        <f t="shared" si="15"/>
        <v>6780682.0899999999</v>
      </c>
      <c r="E22" s="72">
        <v>5592365.6500000004</v>
      </c>
      <c r="F22" s="72">
        <v>950060.76</v>
      </c>
      <c r="G22" s="72">
        <v>238255.68</v>
      </c>
      <c r="H22" s="72">
        <v>0</v>
      </c>
      <c r="I22" s="40">
        <f t="shared" si="16"/>
        <v>6193</v>
      </c>
      <c r="J22" s="81">
        <f t="shared" si="40"/>
        <v>6193</v>
      </c>
      <c r="K22" s="73">
        <v>0</v>
      </c>
      <c r="L22" s="40">
        <f t="shared" si="17"/>
        <v>35897</v>
      </c>
      <c r="M22" s="82">
        <f t="shared" si="41"/>
        <v>35897</v>
      </c>
      <c r="N22" s="74">
        <v>0</v>
      </c>
      <c r="O22" s="40">
        <f t="shared" si="18"/>
        <v>3006.9500000000003</v>
      </c>
      <c r="P22" s="75">
        <f t="shared" si="42"/>
        <v>2998.38</v>
      </c>
      <c r="Q22" s="75">
        <f t="shared" si="42"/>
        <v>8.57</v>
      </c>
      <c r="R22" s="40">
        <f t="shared" si="19"/>
        <v>83622.84</v>
      </c>
      <c r="S22" s="60">
        <v>83398.66</v>
      </c>
      <c r="T22" s="60">
        <v>224.18</v>
      </c>
      <c r="U22" s="76">
        <v>0</v>
      </c>
      <c r="V22" s="76">
        <v>0</v>
      </c>
      <c r="W22" s="38">
        <f t="shared" si="20"/>
        <v>272722.04519999999</v>
      </c>
      <c r="X22" s="55">
        <v>268808.03399999999</v>
      </c>
      <c r="Y22" s="77">
        <v>3914.0111999999999</v>
      </c>
      <c r="Z22" s="55">
        <v>0</v>
      </c>
      <c r="AA22" s="77">
        <v>0</v>
      </c>
      <c r="AB22" s="77">
        <v>0</v>
      </c>
      <c r="AC22" s="39">
        <f t="shared" si="0"/>
        <v>487652.16</v>
      </c>
      <c r="AD22" s="57">
        <v>487652.16</v>
      </c>
      <c r="AE22" s="58">
        <v>0</v>
      </c>
      <c r="AF22" s="58">
        <v>0</v>
      </c>
      <c r="AG22" s="58">
        <v>0</v>
      </c>
      <c r="AH22" s="40">
        <f t="shared" si="21"/>
        <v>0</v>
      </c>
      <c r="AI22" s="36">
        <f t="shared" si="1"/>
        <v>0</v>
      </c>
      <c r="AJ22" s="78">
        <v>0</v>
      </c>
      <c r="AK22" s="78">
        <v>0</v>
      </c>
      <c r="AL22" s="78">
        <v>0</v>
      </c>
      <c r="AM22" s="78">
        <v>0</v>
      </c>
      <c r="AN22" s="78">
        <v>0</v>
      </c>
      <c r="AO22" s="78">
        <v>0</v>
      </c>
      <c r="AP22" s="78">
        <v>0</v>
      </c>
      <c r="AQ22" s="62">
        <v>0</v>
      </c>
      <c r="AR22" s="62">
        <v>0</v>
      </c>
      <c r="AS22" s="62">
        <v>0</v>
      </c>
      <c r="AT22" s="37">
        <f t="shared" si="22"/>
        <v>7669776.0851999996</v>
      </c>
      <c r="AU22" s="40">
        <f t="shared" si="2"/>
        <v>-1294931.4412999991</v>
      </c>
      <c r="AV22" s="40">
        <f t="shared" si="23"/>
        <v>3457528.1500000008</v>
      </c>
      <c r="AW22" s="37">
        <f t="shared" si="24"/>
        <v>3443433.2400000007</v>
      </c>
      <c r="AX22" s="72">
        <v>2483999.7200000002</v>
      </c>
      <c r="AY22" s="72">
        <v>768307.05</v>
      </c>
      <c r="AZ22" s="72">
        <v>191126.47</v>
      </c>
      <c r="BA22" s="72">
        <v>14094.91</v>
      </c>
      <c r="BB22" s="40">
        <f t="shared" si="25"/>
        <v>0</v>
      </c>
      <c r="BC22" s="73">
        <v>0</v>
      </c>
      <c r="BD22" s="73">
        <v>0</v>
      </c>
      <c r="BE22" s="40">
        <f t="shared" si="3"/>
        <v>0</v>
      </c>
      <c r="BF22" s="74">
        <v>0</v>
      </c>
      <c r="BG22" s="74">
        <v>0</v>
      </c>
      <c r="BH22" s="40">
        <f t="shared" si="4"/>
        <v>2762.84</v>
      </c>
      <c r="BI22" s="79">
        <v>2751.33</v>
      </c>
      <c r="BJ22" s="79">
        <v>11.51</v>
      </c>
      <c r="BK22" s="40">
        <f t="shared" si="5"/>
        <v>75973.59</v>
      </c>
      <c r="BL22" s="60">
        <v>75673.22</v>
      </c>
      <c r="BM22" s="60">
        <v>300.37</v>
      </c>
      <c r="BN22" s="76">
        <v>0</v>
      </c>
      <c r="BO22" s="76">
        <v>0</v>
      </c>
      <c r="BP22" s="38">
        <f t="shared" si="6"/>
        <v>252566.28869999998</v>
      </c>
      <c r="BQ22" s="55">
        <v>0</v>
      </c>
      <c r="BR22" s="77">
        <v>0</v>
      </c>
      <c r="BS22" s="77">
        <f t="shared" si="43"/>
        <v>251567.73619999998</v>
      </c>
      <c r="BT22" s="77">
        <f t="shared" si="31"/>
        <v>998.55250000000001</v>
      </c>
      <c r="BU22" s="54">
        <v>0</v>
      </c>
      <c r="BV22" s="39">
        <f t="shared" si="7"/>
        <v>2221162.9699999997</v>
      </c>
      <c r="BW22" s="57">
        <v>0</v>
      </c>
      <c r="BX22" s="57">
        <v>2215040.0699999998</v>
      </c>
      <c r="BY22" s="57">
        <v>6122.9</v>
      </c>
      <c r="BZ22" s="56">
        <v>0</v>
      </c>
      <c r="CA22" s="40">
        <f t="shared" si="8"/>
        <v>364850.80519999994</v>
      </c>
      <c r="CB22" s="36">
        <f t="shared" si="26"/>
        <v>363471.80519999994</v>
      </c>
      <c r="CC22" s="62">
        <f t="shared" si="32"/>
        <v>130928.87279999998</v>
      </c>
      <c r="CD22" s="62">
        <f t="shared" si="33"/>
        <v>119788.54799999998</v>
      </c>
      <c r="CE22" s="62">
        <f t="shared" si="37"/>
        <v>41690.404799999997</v>
      </c>
      <c r="CF22" s="62">
        <f t="shared" si="34"/>
        <v>9293.9616000000005</v>
      </c>
      <c r="CG22" s="62">
        <f t="shared" si="35"/>
        <v>2790.018</v>
      </c>
      <c r="CH22" s="86">
        <f t="shared" si="38"/>
        <v>58980</v>
      </c>
      <c r="CI22" s="86">
        <v>1379</v>
      </c>
      <c r="CJ22" s="62">
        <v>0</v>
      </c>
      <c r="CK22" s="62">
        <v>0</v>
      </c>
      <c r="CL22" s="62">
        <v>0</v>
      </c>
      <c r="CM22" s="37">
        <f t="shared" si="27"/>
        <v>6374844.6439000005</v>
      </c>
      <c r="CN22" s="4"/>
      <c r="CO22" s="45">
        <f t="shared" ref="CO22:DC26" si="46">AV22-C22</f>
        <v>-3323153.939999999</v>
      </c>
      <c r="CP22" s="46">
        <f t="shared" si="46"/>
        <v>-3337248.8499999992</v>
      </c>
      <c r="CQ22" s="46">
        <f t="shared" si="46"/>
        <v>-3108365.93</v>
      </c>
      <c r="CR22" s="46">
        <f t="shared" si="46"/>
        <v>-181753.70999999996</v>
      </c>
      <c r="CS22" s="46">
        <f t="shared" si="46"/>
        <v>-47129.209999999992</v>
      </c>
      <c r="CT22" s="46">
        <f t="shared" si="46"/>
        <v>14094.91</v>
      </c>
      <c r="CU22" s="45">
        <f t="shared" si="46"/>
        <v>-6193</v>
      </c>
      <c r="CV22" s="46">
        <f t="shared" si="46"/>
        <v>-6193</v>
      </c>
      <c r="CW22" s="46">
        <f t="shared" si="46"/>
        <v>0</v>
      </c>
      <c r="CX22" s="45">
        <f t="shared" si="46"/>
        <v>-35897</v>
      </c>
      <c r="CY22" s="46">
        <f t="shared" si="46"/>
        <v>-35897</v>
      </c>
      <c r="CZ22" s="46">
        <f t="shared" si="46"/>
        <v>0</v>
      </c>
      <c r="DA22" s="45">
        <f t="shared" si="46"/>
        <v>-244.11000000000013</v>
      </c>
      <c r="DB22" s="46">
        <f t="shared" si="46"/>
        <v>-247.05000000000018</v>
      </c>
      <c r="DC22" s="46">
        <f t="shared" si="46"/>
        <v>2.9399999999999995</v>
      </c>
      <c r="DD22" s="45">
        <f t="shared" si="44"/>
        <v>-7649.25</v>
      </c>
      <c r="DE22" s="47">
        <f t="shared" si="44"/>
        <v>-7725.4400000000023</v>
      </c>
      <c r="DF22" s="47">
        <f t="shared" si="44"/>
        <v>76.19</v>
      </c>
      <c r="DG22" s="48">
        <f t="shared" si="44"/>
        <v>0</v>
      </c>
      <c r="DH22" s="46">
        <f t="shared" si="44"/>
        <v>0</v>
      </c>
      <c r="DI22" s="49">
        <f t="shared" si="44"/>
        <v>-20155.756500000018</v>
      </c>
      <c r="DJ22" s="47">
        <f t="shared" si="44"/>
        <v>-268808.03399999999</v>
      </c>
      <c r="DK22" s="46">
        <f t="shared" si="44"/>
        <v>-3914.0111999999999</v>
      </c>
      <c r="DL22" s="46">
        <f t="shared" si="44"/>
        <v>251567.73619999998</v>
      </c>
      <c r="DM22" s="46">
        <f t="shared" si="44"/>
        <v>998.55250000000001</v>
      </c>
      <c r="DN22" s="46">
        <f t="shared" si="44"/>
        <v>0</v>
      </c>
      <c r="DO22" s="50">
        <f t="shared" si="44"/>
        <v>1733510.8099999998</v>
      </c>
      <c r="DP22" s="47">
        <f t="shared" si="44"/>
        <v>-487652.16</v>
      </c>
      <c r="DQ22" s="47">
        <f t="shared" si="44"/>
        <v>2215040.0699999998</v>
      </c>
      <c r="DR22" s="46">
        <f t="shared" si="44"/>
        <v>6122.9</v>
      </c>
      <c r="DS22" s="46">
        <f t="shared" si="44"/>
        <v>0</v>
      </c>
      <c r="DT22" s="45">
        <f t="shared" si="45"/>
        <v>364850.80519999994</v>
      </c>
      <c r="DU22" s="47">
        <f t="shared" si="12"/>
        <v>363471.80519999994</v>
      </c>
      <c r="DV22" s="47">
        <f t="shared" si="12"/>
        <v>130928.87279999998</v>
      </c>
      <c r="DW22" s="47">
        <f t="shared" si="12"/>
        <v>119788.54799999998</v>
      </c>
      <c r="DX22" s="47">
        <f t="shared" si="12"/>
        <v>41690.404799999997</v>
      </c>
      <c r="DY22" s="47">
        <f t="shared" si="12"/>
        <v>9293.9616000000005</v>
      </c>
      <c r="DZ22" s="47">
        <f t="shared" si="12"/>
        <v>2790.018</v>
      </c>
      <c r="EA22" s="47">
        <f t="shared" si="12"/>
        <v>58980</v>
      </c>
      <c r="EB22" s="47">
        <f t="shared" si="12"/>
        <v>1379</v>
      </c>
      <c r="EC22" s="47">
        <f t="shared" si="12"/>
        <v>0</v>
      </c>
      <c r="ED22" s="47">
        <f t="shared" si="12"/>
        <v>0</v>
      </c>
      <c r="EE22" s="47">
        <f t="shared" si="12"/>
        <v>0</v>
      </c>
      <c r="EF22" s="46">
        <f t="shared" si="28"/>
        <v>-1294931.4412999991</v>
      </c>
      <c r="EH22" s="46">
        <v>771271.91</v>
      </c>
      <c r="EI22" s="46">
        <f t="shared" si="13"/>
        <v>-523659.5312999991</v>
      </c>
      <c r="EJ22" s="87">
        <v>1000000</v>
      </c>
      <c r="EK22" s="46">
        <f t="shared" si="29"/>
        <v>-294931.44129999913</v>
      </c>
    </row>
    <row r="23" spans="1:141" ht="14.4" x14ac:dyDescent="0.3">
      <c r="A23" s="24">
        <f t="shared" si="30"/>
        <v>18</v>
      </c>
      <c r="B23" s="26">
        <v>2041</v>
      </c>
      <c r="C23" s="40">
        <f t="shared" si="14"/>
        <v>6780682.0899999999</v>
      </c>
      <c r="D23" s="37">
        <f t="shared" si="15"/>
        <v>6780682.0899999999</v>
      </c>
      <c r="E23" s="72">
        <v>5592365.6500000004</v>
      </c>
      <c r="F23" s="72">
        <v>950060.76</v>
      </c>
      <c r="G23" s="72">
        <v>238255.68</v>
      </c>
      <c r="H23" s="72">
        <v>0</v>
      </c>
      <c r="I23" s="40">
        <f t="shared" si="16"/>
        <v>6193</v>
      </c>
      <c r="J23" s="81">
        <f t="shared" si="40"/>
        <v>6193</v>
      </c>
      <c r="K23" s="73">
        <v>0</v>
      </c>
      <c r="L23" s="40">
        <f t="shared" si="17"/>
        <v>35897</v>
      </c>
      <c r="M23" s="82">
        <f t="shared" si="41"/>
        <v>35897</v>
      </c>
      <c r="N23" s="74">
        <v>0</v>
      </c>
      <c r="O23" s="40">
        <f t="shared" si="18"/>
        <v>3006.9500000000003</v>
      </c>
      <c r="P23" s="75">
        <f t="shared" si="42"/>
        <v>2998.38</v>
      </c>
      <c r="Q23" s="75">
        <f t="shared" si="42"/>
        <v>8.57</v>
      </c>
      <c r="R23" s="40">
        <f t="shared" si="19"/>
        <v>83622.84</v>
      </c>
      <c r="S23" s="60">
        <v>83398.66</v>
      </c>
      <c r="T23" s="60">
        <v>224.18</v>
      </c>
      <c r="U23" s="76">
        <v>0</v>
      </c>
      <c r="V23" s="76">
        <v>0</v>
      </c>
      <c r="W23" s="38">
        <f t="shared" si="20"/>
        <v>272722.04519999999</v>
      </c>
      <c r="X23" s="55">
        <v>268808.03399999999</v>
      </c>
      <c r="Y23" s="77">
        <v>3914.0111999999999</v>
      </c>
      <c r="Z23" s="55">
        <v>0</v>
      </c>
      <c r="AA23" s="77">
        <v>0</v>
      </c>
      <c r="AB23" s="77">
        <v>0</v>
      </c>
      <c r="AC23" s="39">
        <f t="shared" si="0"/>
        <v>487652.16</v>
      </c>
      <c r="AD23" s="57">
        <v>487652.16</v>
      </c>
      <c r="AE23" s="58">
        <v>0</v>
      </c>
      <c r="AF23" s="58">
        <v>0</v>
      </c>
      <c r="AG23" s="58">
        <v>0</v>
      </c>
      <c r="AH23" s="40">
        <f t="shared" si="21"/>
        <v>0</v>
      </c>
      <c r="AI23" s="36">
        <f t="shared" si="1"/>
        <v>0</v>
      </c>
      <c r="AJ23" s="78">
        <v>0</v>
      </c>
      <c r="AK23" s="78">
        <v>0</v>
      </c>
      <c r="AL23" s="78">
        <v>0</v>
      </c>
      <c r="AM23" s="78">
        <v>0</v>
      </c>
      <c r="AN23" s="78">
        <v>0</v>
      </c>
      <c r="AO23" s="78">
        <v>0</v>
      </c>
      <c r="AP23" s="78">
        <v>0</v>
      </c>
      <c r="AQ23" s="62">
        <v>0</v>
      </c>
      <c r="AR23" s="62">
        <v>0</v>
      </c>
      <c r="AS23" s="62">
        <v>0</v>
      </c>
      <c r="AT23" s="37">
        <f t="shared" si="22"/>
        <v>7669776.0851999996</v>
      </c>
      <c r="AU23" s="40">
        <f t="shared" si="2"/>
        <v>-1294931.4412999991</v>
      </c>
      <c r="AV23" s="40">
        <f t="shared" si="23"/>
        <v>3457528.1500000008</v>
      </c>
      <c r="AW23" s="37">
        <f t="shared" si="24"/>
        <v>3443433.2400000007</v>
      </c>
      <c r="AX23" s="72">
        <v>2483999.7200000002</v>
      </c>
      <c r="AY23" s="72">
        <v>768307.05</v>
      </c>
      <c r="AZ23" s="72">
        <v>191126.47</v>
      </c>
      <c r="BA23" s="72">
        <v>14094.91</v>
      </c>
      <c r="BB23" s="40">
        <f t="shared" si="25"/>
        <v>0</v>
      </c>
      <c r="BC23" s="73">
        <v>0</v>
      </c>
      <c r="BD23" s="73">
        <v>0</v>
      </c>
      <c r="BE23" s="40">
        <f t="shared" si="3"/>
        <v>0</v>
      </c>
      <c r="BF23" s="74">
        <v>0</v>
      </c>
      <c r="BG23" s="74">
        <v>0</v>
      </c>
      <c r="BH23" s="40">
        <f t="shared" si="4"/>
        <v>2762.84</v>
      </c>
      <c r="BI23" s="79">
        <v>2751.33</v>
      </c>
      <c r="BJ23" s="79">
        <v>11.51</v>
      </c>
      <c r="BK23" s="40">
        <f t="shared" si="5"/>
        <v>75973.59</v>
      </c>
      <c r="BL23" s="60">
        <v>75673.22</v>
      </c>
      <c r="BM23" s="60">
        <v>300.37</v>
      </c>
      <c r="BN23" s="76">
        <v>0</v>
      </c>
      <c r="BO23" s="76">
        <v>0</v>
      </c>
      <c r="BP23" s="38">
        <f t="shared" si="6"/>
        <v>252566.28869999998</v>
      </c>
      <c r="BQ23" s="55">
        <v>0</v>
      </c>
      <c r="BR23" s="77">
        <v>0</v>
      </c>
      <c r="BS23" s="77">
        <f t="shared" si="43"/>
        <v>251567.73619999998</v>
      </c>
      <c r="BT23" s="77">
        <f t="shared" si="31"/>
        <v>998.55250000000001</v>
      </c>
      <c r="BU23" s="54">
        <v>0</v>
      </c>
      <c r="BV23" s="39">
        <f t="shared" si="7"/>
        <v>2221162.9699999997</v>
      </c>
      <c r="BW23" s="57">
        <v>0</v>
      </c>
      <c r="BX23" s="57">
        <v>2215040.0699999998</v>
      </c>
      <c r="BY23" s="57">
        <v>6122.9</v>
      </c>
      <c r="BZ23" s="56">
        <v>0</v>
      </c>
      <c r="CA23" s="40">
        <f t="shared" si="8"/>
        <v>364850.80519999994</v>
      </c>
      <c r="CB23" s="36">
        <f t="shared" si="26"/>
        <v>363471.80519999994</v>
      </c>
      <c r="CC23" s="62">
        <f t="shared" si="32"/>
        <v>130928.87279999998</v>
      </c>
      <c r="CD23" s="62">
        <f t="shared" si="33"/>
        <v>119788.54799999998</v>
      </c>
      <c r="CE23" s="62">
        <f t="shared" si="37"/>
        <v>41690.404799999997</v>
      </c>
      <c r="CF23" s="62">
        <f t="shared" si="34"/>
        <v>9293.9616000000005</v>
      </c>
      <c r="CG23" s="62">
        <f t="shared" si="35"/>
        <v>2790.018</v>
      </c>
      <c r="CH23" s="86">
        <f t="shared" si="38"/>
        <v>58980</v>
      </c>
      <c r="CI23" s="86">
        <v>1379</v>
      </c>
      <c r="CJ23" s="62">
        <v>0</v>
      </c>
      <c r="CK23" s="62">
        <v>0</v>
      </c>
      <c r="CL23" s="62">
        <v>0</v>
      </c>
      <c r="CM23" s="37">
        <f t="shared" si="27"/>
        <v>6374844.6439000005</v>
      </c>
      <c r="CN23" s="4"/>
      <c r="CO23" s="45">
        <f t="shared" si="46"/>
        <v>-3323153.939999999</v>
      </c>
      <c r="CP23" s="46">
        <f t="shared" si="46"/>
        <v>-3337248.8499999992</v>
      </c>
      <c r="CQ23" s="46">
        <f t="shared" si="46"/>
        <v>-3108365.93</v>
      </c>
      <c r="CR23" s="46">
        <f t="shared" si="46"/>
        <v>-181753.70999999996</v>
      </c>
      <c r="CS23" s="46">
        <f t="shared" si="46"/>
        <v>-47129.209999999992</v>
      </c>
      <c r="CT23" s="46">
        <f t="shared" si="46"/>
        <v>14094.91</v>
      </c>
      <c r="CU23" s="45">
        <f t="shared" si="46"/>
        <v>-6193</v>
      </c>
      <c r="CV23" s="46">
        <f t="shared" si="46"/>
        <v>-6193</v>
      </c>
      <c r="CW23" s="46">
        <f t="shared" si="46"/>
        <v>0</v>
      </c>
      <c r="CX23" s="45">
        <f t="shared" si="46"/>
        <v>-35897</v>
      </c>
      <c r="CY23" s="46">
        <f t="shared" si="46"/>
        <v>-35897</v>
      </c>
      <c r="CZ23" s="46">
        <f t="shared" si="46"/>
        <v>0</v>
      </c>
      <c r="DA23" s="45">
        <f t="shared" si="46"/>
        <v>-244.11000000000013</v>
      </c>
      <c r="DB23" s="46">
        <f t="shared" si="46"/>
        <v>-247.05000000000018</v>
      </c>
      <c r="DC23" s="46">
        <f t="shared" si="46"/>
        <v>2.9399999999999995</v>
      </c>
      <c r="DD23" s="45">
        <f t="shared" si="44"/>
        <v>-7649.25</v>
      </c>
      <c r="DE23" s="47">
        <f t="shared" si="44"/>
        <v>-7725.4400000000023</v>
      </c>
      <c r="DF23" s="47">
        <f t="shared" si="44"/>
        <v>76.19</v>
      </c>
      <c r="DG23" s="48">
        <f t="shared" si="44"/>
        <v>0</v>
      </c>
      <c r="DH23" s="46">
        <f t="shared" si="44"/>
        <v>0</v>
      </c>
      <c r="DI23" s="49">
        <f t="shared" si="44"/>
        <v>-20155.756500000018</v>
      </c>
      <c r="DJ23" s="47">
        <f t="shared" si="44"/>
        <v>-268808.03399999999</v>
      </c>
      <c r="DK23" s="46">
        <f t="shared" si="44"/>
        <v>-3914.0111999999999</v>
      </c>
      <c r="DL23" s="46">
        <f t="shared" si="44"/>
        <v>251567.73619999998</v>
      </c>
      <c r="DM23" s="46">
        <f t="shared" si="44"/>
        <v>998.55250000000001</v>
      </c>
      <c r="DN23" s="46">
        <f t="shared" si="44"/>
        <v>0</v>
      </c>
      <c r="DO23" s="50">
        <f t="shared" si="44"/>
        <v>1733510.8099999998</v>
      </c>
      <c r="DP23" s="47">
        <f t="shared" si="44"/>
        <v>-487652.16</v>
      </c>
      <c r="DQ23" s="47">
        <f t="shared" si="44"/>
        <v>2215040.0699999998</v>
      </c>
      <c r="DR23" s="46">
        <f t="shared" si="44"/>
        <v>6122.9</v>
      </c>
      <c r="DS23" s="46">
        <f t="shared" si="44"/>
        <v>0</v>
      </c>
      <c r="DT23" s="45">
        <f t="shared" si="45"/>
        <v>364850.80519999994</v>
      </c>
      <c r="DU23" s="47">
        <f t="shared" si="12"/>
        <v>363471.80519999994</v>
      </c>
      <c r="DV23" s="47">
        <f t="shared" si="12"/>
        <v>130928.87279999998</v>
      </c>
      <c r="DW23" s="47">
        <f t="shared" si="12"/>
        <v>119788.54799999998</v>
      </c>
      <c r="DX23" s="47">
        <f t="shared" si="12"/>
        <v>41690.404799999997</v>
      </c>
      <c r="DY23" s="47">
        <f t="shared" si="12"/>
        <v>9293.9616000000005</v>
      </c>
      <c r="DZ23" s="47">
        <f t="shared" si="12"/>
        <v>2790.018</v>
      </c>
      <c r="EA23" s="47">
        <f t="shared" si="12"/>
        <v>58980</v>
      </c>
      <c r="EB23" s="47">
        <f t="shared" si="12"/>
        <v>1379</v>
      </c>
      <c r="EC23" s="47">
        <f t="shared" si="12"/>
        <v>0</v>
      </c>
      <c r="ED23" s="47">
        <f t="shared" si="12"/>
        <v>0</v>
      </c>
      <c r="EE23" s="47">
        <f t="shared" si="12"/>
        <v>0</v>
      </c>
      <c r="EF23" s="46">
        <f t="shared" si="28"/>
        <v>-1294931.4412999991</v>
      </c>
      <c r="EH23" s="46">
        <v>771271.91</v>
      </c>
      <c r="EI23" s="46">
        <f t="shared" si="13"/>
        <v>-523659.5312999991</v>
      </c>
      <c r="EJ23" s="87">
        <v>1000000</v>
      </c>
      <c r="EK23" s="46">
        <f t="shared" si="29"/>
        <v>-294931.44129999913</v>
      </c>
    </row>
    <row r="24" spans="1:141" ht="14.4" x14ac:dyDescent="0.3">
      <c r="A24" s="24">
        <f t="shared" si="30"/>
        <v>19</v>
      </c>
      <c r="B24" s="26">
        <v>2042</v>
      </c>
      <c r="C24" s="40">
        <f t="shared" si="14"/>
        <v>6780682.0899999999</v>
      </c>
      <c r="D24" s="37">
        <f t="shared" si="15"/>
        <v>6780682.0899999999</v>
      </c>
      <c r="E24" s="72">
        <v>5592365.6500000004</v>
      </c>
      <c r="F24" s="72">
        <v>950060.76</v>
      </c>
      <c r="G24" s="72">
        <v>238255.68</v>
      </c>
      <c r="H24" s="72">
        <v>0</v>
      </c>
      <c r="I24" s="40">
        <f t="shared" si="16"/>
        <v>6193</v>
      </c>
      <c r="J24" s="81">
        <f t="shared" si="40"/>
        <v>6193</v>
      </c>
      <c r="K24" s="73">
        <v>0</v>
      </c>
      <c r="L24" s="40">
        <f t="shared" si="17"/>
        <v>35897</v>
      </c>
      <c r="M24" s="82">
        <f t="shared" si="41"/>
        <v>35897</v>
      </c>
      <c r="N24" s="74">
        <v>0</v>
      </c>
      <c r="O24" s="40">
        <f t="shared" si="18"/>
        <v>3006.9500000000003</v>
      </c>
      <c r="P24" s="75">
        <f t="shared" si="42"/>
        <v>2998.38</v>
      </c>
      <c r="Q24" s="75">
        <f t="shared" si="42"/>
        <v>8.57</v>
      </c>
      <c r="R24" s="40">
        <f t="shared" si="19"/>
        <v>83622.84</v>
      </c>
      <c r="S24" s="60">
        <v>83398.66</v>
      </c>
      <c r="T24" s="60">
        <v>224.18</v>
      </c>
      <c r="U24" s="76">
        <v>0</v>
      </c>
      <c r="V24" s="76">
        <v>0</v>
      </c>
      <c r="W24" s="38">
        <f t="shared" si="20"/>
        <v>272722.04519999999</v>
      </c>
      <c r="X24" s="55">
        <v>268808.03399999999</v>
      </c>
      <c r="Y24" s="77">
        <v>3914.0111999999999</v>
      </c>
      <c r="Z24" s="55">
        <v>0</v>
      </c>
      <c r="AA24" s="77">
        <v>0</v>
      </c>
      <c r="AB24" s="77">
        <v>0</v>
      </c>
      <c r="AC24" s="39">
        <f t="shared" si="0"/>
        <v>487652.16</v>
      </c>
      <c r="AD24" s="57">
        <v>487652.16</v>
      </c>
      <c r="AE24" s="58">
        <v>0</v>
      </c>
      <c r="AF24" s="58">
        <v>0</v>
      </c>
      <c r="AG24" s="58">
        <v>0</v>
      </c>
      <c r="AH24" s="40">
        <f t="shared" si="21"/>
        <v>0</v>
      </c>
      <c r="AI24" s="36">
        <f t="shared" si="1"/>
        <v>0</v>
      </c>
      <c r="AJ24" s="78">
        <v>0</v>
      </c>
      <c r="AK24" s="78">
        <v>0</v>
      </c>
      <c r="AL24" s="78">
        <v>0</v>
      </c>
      <c r="AM24" s="78">
        <v>0</v>
      </c>
      <c r="AN24" s="78">
        <v>0</v>
      </c>
      <c r="AO24" s="78">
        <v>0</v>
      </c>
      <c r="AP24" s="78">
        <v>0</v>
      </c>
      <c r="AQ24" s="62">
        <v>0</v>
      </c>
      <c r="AR24" s="62">
        <v>0</v>
      </c>
      <c r="AS24" s="62">
        <v>0</v>
      </c>
      <c r="AT24" s="37">
        <f t="shared" si="22"/>
        <v>7669776.0851999996</v>
      </c>
      <c r="AU24" s="40">
        <f t="shared" si="2"/>
        <v>-1294931.4412999991</v>
      </c>
      <c r="AV24" s="40">
        <f t="shared" si="23"/>
        <v>3457528.1500000008</v>
      </c>
      <c r="AW24" s="37">
        <f t="shared" si="24"/>
        <v>3443433.2400000007</v>
      </c>
      <c r="AX24" s="72">
        <v>2483999.7200000002</v>
      </c>
      <c r="AY24" s="72">
        <v>768307.05</v>
      </c>
      <c r="AZ24" s="72">
        <v>191126.47</v>
      </c>
      <c r="BA24" s="72">
        <v>14094.91</v>
      </c>
      <c r="BB24" s="40">
        <f t="shared" si="25"/>
        <v>0</v>
      </c>
      <c r="BC24" s="73">
        <v>0</v>
      </c>
      <c r="BD24" s="73">
        <v>0</v>
      </c>
      <c r="BE24" s="40">
        <f t="shared" si="3"/>
        <v>0</v>
      </c>
      <c r="BF24" s="74">
        <v>0</v>
      </c>
      <c r="BG24" s="74">
        <v>0</v>
      </c>
      <c r="BH24" s="40">
        <f t="shared" si="4"/>
        <v>2762.84</v>
      </c>
      <c r="BI24" s="79">
        <v>2751.33</v>
      </c>
      <c r="BJ24" s="79">
        <v>11.51</v>
      </c>
      <c r="BK24" s="40">
        <f t="shared" si="5"/>
        <v>75973.59</v>
      </c>
      <c r="BL24" s="60">
        <v>75673.22</v>
      </c>
      <c r="BM24" s="60">
        <v>300.37</v>
      </c>
      <c r="BN24" s="76">
        <v>0</v>
      </c>
      <c r="BO24" s="76">
        <v>0</v>
      </c>
      <c r="BP24" s="38">
        <f t="shared" si="6"/>
        <v>252566.28869999998</v>
      </c>
      <c r="BQ24" s="55">
        <v>0</v>
      </c>
      <c r="BR24" s="77">
        <v>0</v>
      </c>
      <c r="BS24" s="77">
        <f t="shared" si="43"/>
        <v>251567.73619999998</v>
      </c>
      <c r="BT24" s="77">
        <f t="shared" si="31"/>
        <v>998.55250000000001</v>
      </c>
      <c r="BU24" s="54">
        <v>0</v>
      </c>
      <c r="BV24" s="39">
        <f t="shared" si="7"/>
        <v>2221162.9699999997</v>
      </c>
      <c r="BW24" s="57">
        <v>0</v>
      </c>
      <c r="BX24" s="57">
        <v>2215040.0699999998</v>
      </c>
      <c r="BY24" s="57">
        <v>6122.9</v>
      </c>
      <c r="BZ24" s="56">
        <v>0</v>
      </c>
      <c r="CA24" s="40">
        <f t="shared" si="8"/>
        <v>364850.80519999994</v>
      </c>
      <c r="CB24" s="36">
        <f t="shared" si="26"/>
        <v>363471.80519999994</v>
      </c>
      <c r="CC24" s="62">
        <f t="shared" si="32"/>
        <v>130928.87279999998</v>
      </c>
      <c r="CD24" s="62">
        <f t="shared" si="33"/>
        <v>119788.54799999998</v>
      </c>
      <c r="CE24" s="62">
        <f t="shared" si="37"/>
        <v>41690.404799999997</v>
      </c>
      <c r="CF24" s="62">
        <f t="shared" si="34"/>
        <v>9293.9616000000005</v>
      </c>
      <c r="CG24" s="62">
        <f t="shared" si="35"/>
        <v>2790.018</v>
      </c>
      <c r="CH24" s="86">
        <f t="shared" si="38"/>
        <v>58980</v>
      </c>
      <c r="CI24" s="86">
        <v>1379</v>
      </c>
      <c r="CJ24" s="62">
        <v>0</v>
      </c>
      <c r="CK24" s="62">
        <v>0</v>
      </c>
      <c r="CL24" s="62">
        <v>0</v>
      </c>
      <c r="CM24" s="37">
        <f t="shared" si="27"/>
        <v>6374844.6439000005</v>
      </c>
      <c r="CN24" s="4"/>
      <c r="CO24" s="45">
        <f t="shared" si="46"/>
        <v>-3323153.939999999</v>
      </c>
      <c r="CP24" s="46">
        <f t="shared" si="46"/>
        <v>-3337248.8499999992</v>
      </c>
      <c r="CQ24" s="46">
        <f t="shared" si="46"/>
        <v>-3108365.93</v>
      </c>
      <c r="CR24" s="46">
        <f t="shared" si="46"/>
        <v>-181753.70999999996</v>
      </c>
      <c r="CS24" s="46">
        <f t="shared" si="46"/>
        <v>-47129.209999999992</v>
      </c>
      <c r="CT24" s="46">
        <f t="shared" si="46"/>
        <v>14094.91</v>
      </c>
      <c r="CU24" s="45">
        <f t="shared" si="46"/>
        <v>-6193</v>
      </c>
      <c r="CV24" s="46">
        <f t="shared" si="46"/>
        <v>-6193</v>
      </c>
      <c r="CW24" s="46">
        <f t="shared" si="46"/>
        <v>0</v>
      </c>
      <c r="CX24" s="45">
        <f t="shared" si="46"/>
        <v>-35897</v>
      </c>
      <c r="CY24" s="46">
        <f t="shared" si="46"/>
        <v>-35897</v>
      </c>
      <c r="CZ24" s="46">
        <f t="shared" si="46"/>
        <v>0</v>
      </c>
      <c r="DA24" s="45">
        <f t="shared" si="46"/>
        <v>-244.11000000000013</v>
      </c>
      <c r="DB24" s="46">
        <f t="shared" si="46"/>
        <v>-247.05000000000018</v>
      </c>
      <c r="DC24" s="46">
        <f t="shared" si="46"/>
        <v>2.9399999999999995</v>
      </c>
      <c r="DD24" s="45">
        <f t="shared" si="44"/>
        <v>-7649.25</v>
      </c>
      <c r="DE24" s="47">
        <f t="shared" si="44"/>
        <v>-7725.4400000000023</v>
      </c>
      <c r="DF24" s="47">
        <f t="shared" si="44"/>
        <v>76.19</v>
      </c>
      <c r="DG24" s="48">
        <f t="shared" si="44"/>
        <v>0</v>
      </c>
      <c r="DH24" s="46">
        <f t="shared" si="44"/>
        <v>0</v>
      </c>
      <c r="DI24" s="49">
        <f t="shared" si="44"/>
        <v>-20155.756500000018</v>
      </c>
      <c r="DJ24" s="47">
        <f t="shared" si="44"/>
        <v>-268808.03399999999</v>
      </c>
      <c r="DK24" s="46">
        <f t="shared" si="44"/>
        <v>-3914.0111999999999</v>
      </c>
      <c r="DL24" s="46">
        <f t="shared" si="44"/>
        <v>251567.73619999998</v>
      </c>
      <c r="DM24" s="46">
        <f t="shared" si="44"/>
        <v>998.55250000000001</v>
      </c>
      <c r="DN24" s="46">
        <f t="shared" si="44"/>
        <v>0</v>
      </c>
      <c r="DO24" s="50">
        <f t="shared" si="44"/>
        <v>1733510.8099999998</v>
      </c>
      <c r="DP24" s="47">
        <f t="shared" si="44"/>
        <v>-487652.16</v>
      </c>
      <c r="DQ24" s="47">
        <f t="shared" si="44"/>
        <v>2215040.0699999998</v>
      </c>
      <c r="DR24" s="46">
        <f t="shared" si="44"/>
        <v>6122.9</v>
      </c>
      <c r="DS24" s="46">
        <f t="shared" si="44"/>
        <v>0</v>
      </c>
      <c r="DT24" s="45">
        <f t="shared" si="45"/>
        <v>364850.80519999994</v>
      </c>
      <c r="DU24" s="47">
        <f t="shared" si="12"/>
        <v>363471.80519999994</v>
      </c>
      <c r="DV24" s="47">
        <f t="shared" si="12"/>
        <v>130928.87279999998</v>
      </c>
      <c r="DW24" s="47">
        <f t="shared" si="12"/>
        <v>119788.54799999998</v>
      </c>
      <c r="DX24" s="47">
        <f t="shared" si="12"/>
        <v>41690.404799999997</v>
      </c>
      <c r="DY24" s="47">
        <f t="shared" si="12"/>
        <v>9293.9616000000005</v>
      </c>
      <c r="DZ24" s="47">
        <f t="shared" si="12"/>
        <v>2790.018</v>
      </c>
      <c r="EA24" s="47">
        <f t="shared" si="12"/>
        <v>58980</v>
      </c>
      <c r="EB24" s="47">
        <f t="shared" si="12"/>
        <v>1379</v>
      </c>
      <c r="EC24" s="47">
        <f t="shared" si="12"/>
        <v>0</v>
      </c>
      <c r="ED24" s="47">
        <f t="shared" si="12"/>
        <v>0</v>
      </c>
      <c r="EE24" s="47">
        <f t="shared" si="12"/>
        <v>0</v>
      </c>
      <c r="EF24" s="46">
        <f t="shared" si="28"/>
        <v>-1294931.4412999991</v>
      </c>
      <c r="EH24" s="46">
        <v>771271.91</v>
      </c>
      <c r="EI24" s="46">
        <f t="shared" si="13"/>
        <v>-523659.5312999991</v>
      </c>
      <c r="EJ24" s="87">
        <v>1000000</v>
      </c>
      <c r="EK24" s="46">
        <f t="shared" si="29"/>
        <v>-294931.44129999913</v>
      </c>
    </row>
    <row r="25" spans="1:141" ht="14.4" x14ac:dyDescent="0.3">
      <c r="A25" s="24">
        <f t="shared" si="30"/>
        <v>20</v>
      </c>
      <c r="B25" s="26">
        <v>2043</v>
      </c>
      <c r="C25" s="40">
        <f t="shared" si="14"/>
        <v>6780682.0899999999</v>
      </c>
      <c r="D25" s="37">
        <f t="shared" si="15"/>
        <v>6780682.0899999999</v>
      </c>
      <c r="E25" s="72">
        <v>5592365.6500000004</v>
      </c>
      <c r="F25" s="72">
        <v>950060.76</v>
      </c>
      <c r="G25" s="72">
        <v>238255.68</v>
      </c>
      <c r="H25" s="72">
        <v>0</v>
      </c>
      <c r="I25" s="40">
        <f t="shared" si="16"/>
        <v>6193</v>
      </c>
      <c r="J25" s="81">
        <f t="shared" si="40"/>
        <v>6193</v>
      </c>
      <c r="K25" s="73">
        <v>0</v>
      </c>
      <c r="L25" s="40">
        <f t="shared" si="17"/>
        <v>35897</v>
      </c>
      <c r="M25" s="82">
        <f t="shared" si="41"/>
        <v>35897</v>
      </c>
      <c r="N25" s="74">
        <v>0</v>
      </c>
      <c r="O25" s="40">
        <f t="shared" si="18"/>
        <v>3006.9500000000003</v>
      </c>
      <c r="P25" s="75">
        <f t="shared" si="42"/>
        <v>2998.38</v>
      </c>
      <c r="Q25" s="75">
        <f t="shared" si="42"/>
        <v>8.57</v>
      </c>
      <c r="R25" s="40">
        <f t="shared" si="19"/>
        <v>83622.84</v>
      </c>
      <c r="S25" s="60">
        <v>83398.66</v>
      </c>
      <c r="T25" s="60">
        <v>224.18</v>
      </c>
      <c r="U25" s="76">
        <v>0</v>
      </c>
      <c r="V25" s="76">
        <v>0</v>
      </c>
      <c r="W25" s="38">
        <f t="shared" si="20"/>
        <v>272722.04519999999</v>
      </c>
      <c r="X25" s="55">
        <v>268808.03399999999</v>
      </c>
      <c r="Y25" s="77">
        <v>3914.0111999999999</v>
      </c>
      <c r="Z25" s="55">
        <v>0</v>
      </c>
      <c r="AA25" s="77">
        <v>0</v>
      </c>
      <c r="AB25" s="77">
        <v>0</v>
      </c>
      <c r="AC25" s="39">
        <f t="shared" si="0"/>
        <v>487652.16</v>
      </c>
      <c r="AD25" s="57">
        <v>487652.16</v>
      </c>
      <c r="AE25" s="58">
        <v>0</v>
      </c>
      <c r="AF25" s="58">
        <v>0</v>
      </c>
      <c r="AG25" s="58">
        <v>0</v>
      </c>
      <c r="AH25" s="40">
        <f t="shared" si="21"/>
        <v>0</v>
      </c>
      <c r="AI25" s="36">
        <f t="shared" si="1"/>
        <v>0</v>
      </c>
      <c r="AJ25" s="78">
        <v>0</v>
      </c>
      <c r="AK25" s="78">
        <v>0</v>
      </c>
      <c r="AL25" s="78">
        <v>0</v>
      </c>
      <c r="AM25" s="78">
        <v>0</v>
      </c>
      <c r="AN25" s="78">
        <v>0</v>
      </c>
      <c r="AO25" s="78">
        <v>0</v>
      </c>
      <c r="AP25" s="78">
        <v>0</v>
      </c>
      <c r="AQ25" s="62">
        <v>0</v>
      </c>
      <c r="AR25" s="62">
        <v>0</v>
      </c>
      <c r="AS25" s="62">
        <v>0</v>
      </c>
      <c r="AT25" s="37">
        <f t="shared" si="22"/>
        <v>7669776.0851999996</v>
      </c>
      <c r="AU25" s="40">
        <f t="shared" si="2"/>
        <v>-1294931.4412999991</v>
      </c>
      <c r="AV25" s="40">
        <f t="shared" si="23"/>
        <v>3457528.1500000008</v>
      </c>
      <c r="AW25" s="37">
        <f t="shared" si="24"/>
        <v>3443433.2400000007</v>
      </c>
      <c r="AX25" s="72">
        <v>2483999.7200000002</v>
      </c>
      <c r="AY25" s="72">
        <v>768307.05</v>
      </c>
      <c r="AZ25" s="72">
        <v>191126.47</v>
      </c>
      <c r="BA25" s="72">
        <v>14094.91</v>
      </c>
      <c r="BB25" s="40">
        <f t="shared" si="25"/>
        <v>0</v>
      </c>
      <c r="BC25" s="73">
        <v>0</v>
      </c>
      <c r="BD25" s="73">
        <v>0</v>
      </c>
      <c r="BE25" s="40">
        <f t="shared" si="3"/>
        <v>0</v>
      </c>
      <c r="BF25" s="74">
        <v>0</v>
      </c>
      <c r="BG25" s="74">
        <v>0</v>
      </c>
      <c r="BH25" s="40">
        <f t="shared" si="4"/>
        <v>2762.84</v>
      </c>
      <c r="BI25" s="79">
        <v>2751.33</v>
      </c>
      <c r="BJ25" s="79">
        <v>11.51</v>
      </c>
      <c r="BK25" s="40">
        <f t="shared" si="5"/>
        <v>75973.59</v>
      </c>
      <c r="BL25" s="60">
        <v>75673.22</v>
      </c>
      <c r="BM25" s="60">
        <v>300.37</v>
      </c>
      <c r="BN25" s="76">
        <v>0</v>
      </c>
      <c r="BO25" s="76">
        <v>0</v>
      </c>
      <c r="BP25" s="38">
        <f t="shared" si="6"/>
        <v>252566.28869999998</v>
      </c>
      <c r="BQ25" s="55">
        <v>0</v>
      </c>
      <c r="BR25" s="77">
        <v>0</v>
      </c>
      <c r="BS25" s="77">
        <f t="shared" si="43"/>
        <v>251567.73619999998</v>
      </c>
      <c r="BT25" s="77">
        <f t="shared" si="31"/>
        <v>998.55250000000001</v>
      </c>
      <c r="BU25" s="54">
        <v>0</v>
      </c>
      <c r="BV25" s="39">
        <f t="shared" si="7"/>
        <v>2221162.9699999997</v>
      </c>
      <c r="BW25" s="57">
        <v>0</v>
      </c>
      <c r="BX25" s="57">
        <v>2215040.0699999998</v>
      </c>
      <c r="BY25" s="57">
        <v>6122.9</v>
      </c>
      <c r="BZ25" s="56">
        <v>0</v>
      </c>
      <c r="CA25" s="40">
        <f t="shared" si="8"/>
        <v>364850.80519999994</v>
      </c>
      <c r="CB25" s="36">
        <f t="shared" si="26"/>
        <v>363471.80519999994</v>
      </c>
      <c r="CC25" s="62">
        <f t="shared" si="32"/>
        <v>130928.87279999998</v>
      </c>
      <c r="CD25" s="62">
        <f t="shared" si="33"/>
        <v>119788.54799999998</v>
      </c>
      <c r="CE25" s="62">
        <f t="shared" si="37"/>
        <v>41690.404799999997</v>
      </c>
      <c r="CF25" s="62">
        <f t="shared" si="34"/>
        <v>9293.9616000000005</v>
      </c>
      <c r="CG25" s="62">
        <f t="shared" si="35"/>
        <v>2790.018</v>
      </c>
      <c r="CH25" s="86">
        <f t="shared" si="38"/>
        <v>58980</v>
      </c>
      <c r="CI25" s="86">
        <v>1379</v>
      </c>
      <c r="CJ25" s="62">
        <v>0</v>
      </c>
      <c r="CK25" s="62">
        <v>0</v>
      </c>
      <c r="CL25" s="62">
        <v>0</v>
      </c>
      <c r="CM25" s="37">
        <f t="shared" si="27"/>
        <v>6374844.6439000005</v>
      </c>
      <c r="CN25" s="4"/>
      <c r="CO25" s="45">
        <f t="shared" si="46"/>
        <v>-3323153.939999999</v>
      </c>
      <c r="CP25" s="46">
        <f t="shared" si="46"/>
        <v>-3337248.8499999992</v>
      </c>
      <c r="CQ25" s="46">
        <f t="shared" si="46"/>
        <v>-3108365.93</v>
      </c>
      <c r="CR25" s="46">
        <f t="shared" si="46"/>
        <v>-181753.70999999996</v>
      </c>
      <c r="CS25" s="46">
        <f t="shared" si="46"/>
        <v>-47129.209999999992</v>
      </c>
      <c r="CT25" s="46">
        <f t="shared" si="46"/>
        <v>14094.91</v>
      </c>
      <c r="CU25" s="45">
        <f t="shared" si="46"/>
        <v>-6193</v>
      </c>
      <c r="CV25" s="46">
        <f t="shared" si="46"/>
        <v>-6193</v>
      </c>
      <c r="CW25" s="46">
        <f t="shared" si="46"/>
        <v>0</v>
      </c>
      <c r="CX25" s="45">
        <f t="shared" si="46"/>
        <v>-35897</v>
      </c>
      <c r="CY25" s="46">
        <f t="shared" si="46"/>
        <v>-35897</v>
      </c>
      <c r="CZ25" s="46">
        <f t="shared" si="46"/>
        <v>0</v>
      </c>
      <c r="DA25" s="45">
        <f t="shared" si="46"/>
        <v>-244.11000000000013</v>
      </c>
      <c r="DB25" s="46">
        <f t="shared" si="46"/>
        <v>-247.05000000000018</v>
      </c>
      <c r="DC25" s="46">
        <f t="shared" si="46"/>
        <v>2.9399999999999995</v>
      </c>
      <c r="DD25" s="45">
        <f t="shared" si="44"/>
        <v>-7649.25</v>
      </c>
      <c r="DE25" s="47">
        <f t="shared" si="44"/>
        <v>-7725.4400000000023</v>
      </c>
      <c r="DF25" s="47">
        <f t="shared" si="44"/>
        <v>76.19</v>
      </c>
      <c r="DG25" s="48">
        <f t="shared" si="44"/>
        <v>0</v>
      </c>
      <c r="DH25" s="46">
        <f t="shared" si="44"/>
        <v>0</v>
      </c>
      <c r="DI25" s="49">
        <f t="shared" si="44"/>
        <v>-20155.756500000018</v>
      </c>
      <c r="DJ25" s="47">
        <f t="shared" si="44"/>
        <v>-268808.03399999999</v>
      </c>
      <c r="DK25" s="46">
        <f t="shared" si="44"/>
        <v>-3914.0111999999999</v>
      </c>
      <c r="DL25" s="46">
        <f t="shared" si="44"/>
        <v>251567.73619999998</v>
      </c>
      <c r="DM25" s="46">
        <f t="shared" si="44"/>
        <v>998.55250000000001</v>
      </c>
      <c r="DN25" s="46">
        <f t="shared" si="44"/>
        <v>0</v>
      </c>
      <c r="DO25" s="50">
        <f t="shared" si="44"/>
        <v>1733510.8099999998</v>
      </c>
      <c r="DP25" s="47">
        <f t="shared" si="44"/>
        <v>-487652.16</v>
      </c>
      <c r="DQ25" s="47">
        <f t="shared" si="44"/>
        <v>2215040.0699999998</v>
      </c>
      <c r="DR25" s="46">
        <f t="shared" si="44"/>
        <v>6122.9</v>
      </c>
      <c r="DS25" s="46">
        <f t="shared" si="44"/>
        <v>0</v>
      </c>
      <c r="DT25" s="45">
        <f t="shared" si="45"/>
        <v>364850.80519999994</v>
      </c>
      <c r="DU25" s="47">
        <f t="shared" si="12"/>
        <v>363471.80519999994</v>
      </c>
      <c r="DV25" s="47">
        <f t="shared" si="12"/>
        <v>130928.87279999998</v>
      </c>
      <c r="DW25" s="47">
        <f t="shared" si="12"/>
        <v>119788.54799999998</v>
      </c>
      <c r="DX25" s="47">
        <f t="shared" si="12"/>
        <v>41690.404799999997</v>
      </c>
      <c r="DY25" s="47">
        <f t="shared" si="12"/>
        <v>9293.9616000000005</v>
      </c>
      <c r="DZ25" s="47">
        <f t="shared" si="12"/>
        <v>2790.018</v>
      </c>
      <c r="EA25" s="47">
        <f t="shared" si="12"/>
        <v>58980</v>
      </c>
      <c r="EB25" s="47">
        <f t="shared" si="12"/>
        <v>1379</v>
      </c>
      <c r="EC25" s="47">
        <f t="shared" si="12"/>
        <v>0</v>
      </c>
      <c r="ED25" s="47">
        <f t="shared" si="12"/>
        <v>0</v>
      </c>
      <c r="EE25" s="47">
        <f t="shared" si="12"/>
        <v>0</v>
      </c>
      <c r="EF25" s="46">
        <f t="shared" si="28"/>
        <v>-1294931.4412999991</v>
      </c>
      <c r="EH25" s="46">
        <v>771271.91</v>
      </c>
      <c r="EI25" s="46">
        <f t="shared" si="13"/>
        <v>-523659.5312999991</v>
      </c>
      <c r="EJ25" s="87">
        <v>1000000</v>
      </c>
      <c r="EK25" s="46">
        <f t="shared" si="29"/>
        <v>-294931.44129999913</v>
      </c>
    </row>
    <row r="26" spans="1:141" ht="14.4" x14ac:dyDescent="0.3">
      <c r="A26" s="24">
        <f t="shared" si="30"/>
        <v>21</v>
      </c>
      <c r="B26" s="25" t="s">
        <v>30</v>
      </c>
      <c r="C26" s="40">
        <f t="shared" si="14"/>
        <v>1676335.04</v>
      </c>
      <c r="D26" s="37">
        <f t="shared" si="15"/>
        <v>1676335.04</v>
      </c>
      <c r="E26" s="72">
        <v>1382556.79</v>
      </c>
      <c r="F26" s="72">
        <v>234876.16</v>
      </c>
      <c r="G26" s="72">
        <v>58902.09</v>
      </c>
      <c r="H26" s="72">
        <v>0</v>
      </c>
      <c r="I26" s="40">
        <f t="shared" si="16"/>
        <v>1548.25</v>
      </c>
      <c r="J26" s="81">
        <f>J17/12*3</f>
        <v>1548.25</v>
      </c>
      <c r="K26" s="73">
        <v>0</v>
      </c>
      <c r="L26" s="40">
        <f t="shared" si="17"/>
        <v>8974.25</v>
      </c>
      <c r="M26" s="82">
        <f>M17/12*3</f>
        <v>8974.25</v>
      </c>
      <c r="N26" s="74">
        <v>0</v>
      </c>
      <c r="O26" s="40">
        <f t="shared" si="18"/>
        <v>751.74</v>
      </c>
      <c r="P26" s="75">
        <v>749.6</v>
      </c>
      <c r="Q26" s="75">
        <v>2.14</v>
      </c>
      <c r="R26" s="40">
        <f t="shared" si="19"/>
        <v>20907</v>
      </c>
      <c r="S26" s="60">
        <f>ROUNDUP(S12/12*3,0)</f>
        <v>20850</v>
      </c>
      <c r="T26" s="60">
        <f>ROUNDUP(T12/12*3,0)</f>
        <v>57</v>
      </c>
      <c r="U26" s="76">
        <v>0</v>
      </c>
      <c r="V26" s="76">
        <v>0</v>
      </c>
      <c r="W26" s="38">
        <f t="shared" si="20"/>
        <v>90907.348400000003</v>
      </c>
      <c r="X26" s="55">
        <f>X17/3</f>
        <v>89602.678</v>
      </c>
      <c r="Y26" s="77">
        <f>Y17/3</f>
        <v>1304.6704</v>
      </c>
      <c r="Z26" s="55">
        <v>0</v>
      </c>
      <c r="AA26" s="77">
        <v>0</v>
      </c>
      <c r="AB26" s="77">
        <v>0</v>
      </c>
      <c r="AC26" s="39">
        <f t="shared" si="0"/>
        <v>162550.72</v>
      </c>
      <c r="AD26" s="57">
        <f>(AD25/12)*4</f>
        <v>162550.72</v>
      </c>
      <c r="AE26" s="58">
        <v>0</v>
      </c>
      <c r="AF26" s="58">
        <v>0</v>
      </c>
      <c r="AG26" s="58">
        <v>0</v>
      </c>
      <c r="AH26" s="40">
        <f t="shared" si="21"/>
        <v>0</v>
      </c>
      <c r="AI26" s="36">
        <f t="shared" si="1"/>
        <v>0</v>
      </c>
      <c r="AJ26" s="62">
        <v>0</v>
      </c>
      <c r="AK26" s="62">
        <v>0</v>
      </c>
      <c r="AL26" s="62">
        <v>0</v>
      </c>
      <c r="AM26" s="62">
        <v>0</v>
      </c>
      <c r="AN26" s="62">
        <v>0</v>
      </c>
      <c r="AO26" s="62">
        <v>0</v>
      </c>
      <c r="AP26" s="78">
        <v>0</v>
      </c>
      <c r="AQ26" s="62">
        <v>0</v>
      </c>
      <c r="AR26" s="62">
        <v>0</v>
      </c>
      <c r="AS26" s="62">
        <v>0</v>
      </c>
      <c r="AT26" s="37">
        <f t="shared" si="22"/>
        <v>1961974.3484</v>
      </c>
      <c r="AU26" s="49">
        <f t="shared" si="2"/>
        <v>162975.69746666681</v>
      </c>
      <c r="AV26" s="40">
        <f t="shared" si="23"/>
        <v>1152509.4100000001</v>
      </c>
      <c r="AW26" s="37">
        <f t="shared" si="24"/>
        <v>1147811.08</v>
      </c>
      <c r="AX26" s="72">
        <v>827999.9</v>
      </c>
      <c r="AY26" s="72">
        <v>256102.36</v>
      </c>
      <c r="AZ26" s="72">
        <v>63708.82</v>
      </c>
      <c r="BA26" s="72">
        <v>4698.33</v>
      </c>
      <c r="BB26" s="40">
        <f t="shared" si="25"/>
        <v>0</v>
      </c>
      <c r="BC26" s="73">
        <v>0</v>
      </c>
      <c r="BD26" s="73">
        <v>0</v>
      </c>
      <c r="BE26" s="40">
        <f t="shared" si="3"/>
        <v>0</v>
      </c>
      <c r="BF26" s="74">
        <v>0</v>
      </c>
      <c r="BG26" s="74">
        <v>0</v>
      </c>
      <c r="BH26" s="40">
        <f t="shared" si="4"/>
        <v>920.95</v>
      </c>
      <c r="BI26" s="79">
        <v>917.13</v>
      </c>
      <c r="BJ26" s="79">
        <v>3.82</v>
      </c>
      <c r="BK26" s="40">
        <f t="shared" si="5"/>
        <v>25326</v>
      </c>
      <c r="BL26" s="60">
        <f>ROUNDUP(BL12/12*4,0)</f>
        <v>25225</v>
      </c>
      <c r="BM26" s="60">
        <f>ROUNDUP(BM12/12*4,0)</f>
        <v>101</v>
      </c>
      <c r="BN26" s="76">
        <v>0</v>
      </c>
      <c r="BO26" s="76">
        <v>0</v>
      </c>
      <c r="BP26" s="38">
        <f t="shared" si="6"/>
        <v>84188.750799999994</v>
      </c>
      <c r="BQ26" s="55">
        <v>0</v>
      </c>
      <c r="BR26" s="77">
        <v>0</v>
      </c>
      <c r="BS26" s="77">
        <f>17325.6*4*1.21</f>
        <v>83855.903999999995</v>
      </c>
      <c r="BT26" s="77">
        <f>68.77*4*1.21</f>
        <v>332.84679999999997</v>
      </c>
      <c r="BU26" s="54">
        <v>0</v>
      </c>
      <c r="BV26" s="39">
        <f t="shared" si="7"/>
        <v>740388</v>
      </c>
      <c r="BW26" s="57">
        <v>0</v>
      </c>
      <c r="BX26" s="57">
        <f>ROUNDUP(BX17/12*4,0)</f>
        <v>738347</v>
      </c>
      <c r="BY26" s="57">
        <f>ROUNDUP(BY17/12*4,0)</f>
        <v>2041</v>
      </c>
      <c r="BZ26" s="56">
        <v>0</v>
      </c>
      <c r="CA26" s="40">
        <f t="shared" si="8"/>
        <v>121616.93506666667</v>
      </c>
      <c r="CB26" s="36">
        <f t="shared" si="26"/>
        <v>121157.2684</v>
      </c>
      <c r="CC26" s="62">
        <f>CC25/12*4</f>
        <v>43642.957599999994</v>
      </c>
      <c r="CD26" s="62">
        <f>CD25/12*4</f>
        <v>39929.515999999996</v>
      </c>
      <c r="CE26" s="62">
        <f>2871.24*1.21*4</f>
        <v>13896.801599999999</v>
      </c>
      <c r="CF26" s="62">
        <f t="shared" ref="CF26:CL26" si="47">CF25/12*4</f>
        <v>3097.9872</v>
      </c>
      <c r="CG26" s="62">
        <f t="shared" si="47"/>
        <v>930.00599999999997</v>
      </c>
      <c r="CH26" s="86">
        <f>4915*4</f>
        <v>19660</v>
      </c>
      <c r="CI26" s="62">
        <f t="shared" si="47"/>
        <v>459.66666666666669</v>
      </c>
      <c r="CJ26" s="62">
        <f t="shared" si="47"/>
        <v>0</v>
      </c>
      <c r="CK26" s="62">
        <f t="shared" si="47"/>
        <v>0</v>
      </c>
      <c r="CL26" s="62">
        <f t="shared" si="47"/>
        <v>0</v>
      </c>
      <c r="CM26" s="37">
        <f t="shared" si="27"/>
        <v>2124950.0458666668</v>
      </c>
      <c r="CN26" s="4"/>
      <c r="CO26" s="45">
        <f t="shared" si="46"/>
        <v>-523825.62999999989</v>
      </c>
      <c r="CP26" s="46">
        <f t="shared" si="46"/>
        <v>-528523.96</v>
      </c>
      <c r="CQ26" s="46">
        <f t="shared" si="46"/>
        <v>-554556.89</v>
      </c>
      <c r="CR26" s="46">
        <f t="shared" si="46"/>
        <v>21226.199999999983</v>
      </c>
      <c r="CS26" s="46">
        <f t="shared" si="46"/>
        <v>4806.7300000000032</v>
      </c>
      <c r="CT26" s="46">
        <f t="shared" si="46"/>
        <v>4698.33</v>
      </c>
      <c r="CU26" s="45">
        <f t="shared" si="46"/>
        <v>-1548.25</v>
      </c>
      <c r="CV26" s="46">
        <f t="shared" si="46"/>
        <v>-1548.25</v>
      </c>
      <c r="CW26" s="46">
        <f t="shared" si="46"/>
        <v>0</v>
      </c>
      <c r="CX26" s="45">
        <f t="shared" si="46"/>
        <v>-8974.25</v>
      </c>
      <c r="CY26" s="46">
        <f t="shared" si="46"/>
        <v>-8974.25</v>
      </c>
      <c r="CZ26" s="46">
        <f t="shared" si="46"/>
        <v>0</v>
      </c>
      <c r="DA26" s="45">
        <f t="shared" si="46"/>
        <v>169.21000000000004</v>
      </c>
      <c r="DB26" s="46">
        <f t="shared" si="46"/>
        <v>167.52999999999997</v>
      </c>
      <c r="DC26" s="46">
        <f t="shared" si="46"/>
        <v>1.6799999999999997</v>
      </c>
      <c r="DD26" s="45">
        <f t="shared" si="44"/>
        <v>4419</v>
      </c>
      <c r="DE26" s="47">
        <f t="shared" si="44"/>
        <v>4375</v>
      </c>
      <c r="DF26" s="47">
        <f t="shared" si="44"/>
        <v>44</v>
      </c>
      <c r="DG26" s="48">
        <f t="shared" si="44"/>
        <v>0</v>
      </c>
      <c r="DH26" s="46">
        <f t="shared" si="44"/>
        <v>0</v>
      </c>
      <c r="DI26" s="49">
        <f t="shared" si="44"/>
        <v>-6718.5976000000082</v>
      </c>
      <c r="DJ26" s="47">
        <f t="shared" si="44"/>
        <v>-89602.678</v>
      </c>
      <c r="DK26" s="46">
        <f t="shared" si="44"/>
        <v>-1304.6704</v>
      </c>
      <c r="DL26" s="46">
        <f t="shared" si="44"/>
        <v>83855.903999999995</v>
      </c>
      <c r="DM26" s="46">
        <f t="shared" si="44"/>
        <v>332.84679999999997</v>
      </c>
      <c r="DN26" s="46">
        <f t="shared" si="44"/>
        <v>0</v>
      </c>
      <c r="DO26" s="50">
        <f t="shared" si="44"/>
        <v>577837.28</v>
      </c>
      <c r="DP26" s="47">
        <f t="shared" si="44"/>
        <v>-162550.72</v>
      </c>
      <c r="DQ26" s="47">
        <f t="shared" si="44"/>
        <v>738347</v>
      </c>
      <c r="DR26" s="46">
        <f t="shared" si="44"/>
        <v>2041</v>
      </c>
      <c r="DS26" s="46">
        <f t="shared" si="44"/>
        <v>0</v>
      </c>
      <c r="DT26" s="45">
        <f t="shared" si="45"/>
        <v>121616.93506666667</v>
      </c>
      <c r="DU26" s="47">
        <f t="shared" si="12"/>
        <v>121157.2684</v>
      </c>
      <c r="DV26" s="47">
        <f t="shared" si="12"/>
        <v>43642.957599999994</v>
      </c>
      <c r="DW26" s="47">
        <f t="shared" si="12"/>
        <v>39929.515999999996</v>
      </c>
      <c r="DX26" s="47">
        <f t="shared" si="12"/>
        <v>13896.801599999999</v>
      </c>
      <c r="DY26" s="47">
        <f t="shared" si="12"/>
        <v>3097.9872</v>
      </c>
      <c r="DZ26" s="47">
        <f t="shared" si="12"/>
        <v>930.00599999999997</v>
      </c>
      <c r="EA26" s="47">
        <f t="shared" si="12"/>
        <v>19660</v>
      </c>
      <c r="EB26" s="47">
        <f t="shared" si="12"/>
        <v>459.66666666666669</v>
      </c>
      <c r="EC26" s="47">
        <f t="shared" si="12"/>
        <v>0</v>
      </c>
      <c r="ED26" s="47">
        <f t="shared" si="12"/>
        <v>0</v>
      </c>
      <c r="EE26" s="47">
        <f t="shared" si="12"/>
        <v>0</v>
      </c>
      <c r="EF26" s="46">
        <f t="shared" si="28"/>
        <v>162975.69746666681</v>
      </c>
      <c r="EH26" s="46">
        <v>0</v>
      </c>
      <c r="EI26" s="46">
        <f t="shared" si="13"/>
        <v>162975.69746666681</v>
      </c>
      <c r="EJ26" s="87">
        <v>0</v>
      </c>
      <c r="EK26" s="46">
        <f t="shared" si="29"/>
        <v>162975.69746666681</v>
      </c>
    </row>
    <row r="27" spans="1:141" ht="24" customHeight="1" x14ac:dyDescent="0.3">
      <c r="A27" s="193" t="s">
        <v>13</v>
      </c>
      <c r="B27" s="193"/>
      <c r="C27" s="34">
        <f t="shared" ref="C27:AH27" si="48">SUM(C6:C26)</f>
        <v>136464096.84000003</v>
      </c>
      <c r="D27" s="34">
        <f t="shared" si="48"/>
        <v>136464096.84000003</v>
      </c>
      <c r="E27" s="34">
        <f t="shared" si="48"/>
        <v>112403989.79000004</v>
      </c>
      <c r="F27" s="34">
        <f t="shared" si="48"/>
        <v>19236091.360000003</v>
      </c>
      <c r="G27" s="34">
        <f t="shared" si="48"/>
        <v>4824015.6900000004</v>
      </c>
      <c r="H27" s="34">
        <f t="shared" si="48"/>
        <v>0</v>
      </c>
      <c r="I27" s="34">
        <f t="shared" si="48"/>
        <v>125408.25</v>
      </c>
      <c r="J27" s="34">
        <f t="shared" si="48"/>
        <v>125408.25</v>
      </c>
      <c r="K27" s="34">
        <f t="shared" si="48"/>
        <v>0</v>
      </c>
      <c r="L27" s="34">
        <f t="shared" si="48"/>
        <v>726914.25</v>
      </c>
      <c r="M27" s="34">
        <f t="shared" si="48"/>
        <v>726914.25</v>
      </c>
      <c r="N27" s="34">
        <f t="shared" si="48"/>
        <v>0</v>
      </c>
      <c r="O27" s="34">
        <f t="shared" si="48"/>
        <v>60890.739999999976</v>
      </c>
      <c r="P27" s="34">
        <f t="shared" si="48"/>
        <v>60717.199999999983</v>
      </c>
      <c r="Q27" s="34">
        <f t="shared" si="48"/>
        <v>173.53999999999991</v>
      </c>
      <c r="R27" s="35">
        <f t="shared" si="48"/>
        <v>2981608.7999999989</v>
      </c>
      <c r="S27" s="34">
        <f t="shared" si="48"/>
        <v>1688823.1999999997</v>
      </c>
      <c r="T27" s="34">
        <f t="shared" si="48"/>
        <v>4540.5999999999995</v>
      </c>
      <c r="U27" s="34">
        <f t="shared" si="48"/>
        <v>1288245</v>
      </c>
      <c r="V27" s="34">
        <f t="shared" si="48"/>
        <v>0</v>
      </c>
      <c r="W27" s="34">
        <f t="shared" si="48"/>
        <v>5545348.2523999978</v>
      </c>
      <c r="X27" s="34">
        <f t="shared" si="48"/>
        <v>5465763.358</v>
      </c>
      <c r="Y27" s="34">
        <f t="shared" si="48"/>
        <v>79584.89439999999</v>
      </c>
      <c r="Z27" s="34">
        <f t="shared" si="48"/>
        <v>0</v>
      </c>
      <c r="AA27" s="34">
        <f t="shared" si="48"/>
        <v>0</v>
      </c>
      <c r="AB27" s="34">
        <f t="shared" si="48"/>
        <v>0</v>
      </c>
      <c r="AC27" s="34">
        <f t="shared" si="48"/>
        <v>9915593.9200000018</v>
      </c>
      <c r="AD27" s="34">
        <f t="shared" si="48"/>
        <v>9915593.9200000018</v>
      </c>
      <c r="AE27" s="34">
        <f t="shared" si="48"/>
        <v>0</v>
      </c>
      <c r="AF27" s="34">
        <f t="shared" si="48"/>
        <v>0</v>
      </c>
      <c r="AG27" s="34">
        <f t="shared" si="48"/>
        <v>0</v>
      </c>
      <c r="AH27" s="34">
        <f t="shared" si="48"/>
        <v>38396346.563000001</v>
      </c>
      <c r="AI27" s="34">
        <f t="shared" ref="AI27:CM27" si="49">SUM(AI6:AI26)</f>
        <v>0</v>
      </c>
      <c r="AJ27" s="34">
        <f t="shared" si="49"/>
        <v>0</v>
      </c>
      <c r="AK27" s="34">
        <f t="shared" si="49"/>
        <v>0</v>
      </c>
      <c r="AL27" s="34">
        <f t="shared" si="49"/>
        <v>0</v>
      </c>
      <c r="AM27" s="34">
        <f t="shared" si="49"/>
        <v>0</v>
      </c>
      <c r="AN27" s="34">
        <f t="shared" si="49"/>
        <v>0</v>
      </c>
      <c r="AO27" s="34">
        <f t="shared" si="49"/>
        <v>0</v>
      </c>
      <c r="AP27" s="34">
        <f t="shared" si="49"/>
        <v>0</v>
      </c>
      <c r="AQ27" s="34">
        <f t="shared" si="49"/>
        <v>970396.45900000003</v>
      </c>
      <c r="AR27" s="34">
        <f t="shared" si="49"/>
        <v>37342312</v>
      </c>
      <c r="AS27" s="34">
        <f t="shared" si="49"/>
        <v>83638.103999999992</v>
      </c>
      <c r="AT27" s="51">
        <f t="shared" si="49"/>
        <v>194216207.61540008</v>
      </c>
      <c r="AU27" s="52">
        <f t="shared" si="49"/>
        <v>-18099059.397897836</v>
      </c>
      <c r="AV27" s="34">
        <f t="shared" si="49"/>
        <v>74668996.560000002</v>
      </c>
      <c r="AW27" s="34">
        <f t="shared" si="49"/>
        <v>74382068.800000027</v>
      </c>
      <c r="AX27" s="34">
        <f t="shared" si="49"/>
        <v>54050210.659999982</v>
      </c>
      <c r="AY27" s="34">
        <f t="shared" si="49"/>
        <v>16275268.930000005</v>
      </c>
      <c r="AZ27" s="34">
        <f t="shared" si="49"/>
        <v>4056589.2100000018</v>
      </c>
      <c r="BA27" s="34">
        <f t="shared" si="49"/>
        <v>286927.76</v>
      </c>
      <c r="BB27" s="34">
        <f t="shared" si="49"/>
        <v>0</v>
      </c>
      <c r="BC27" s="34">
        <f t="shared" si="49"/>
        <v>0</v>
      </c>
      <c r="BD27" s="34">
        <f t="shared" si="49"/>
        <v>0</v>
      </c>
      <c r="BE27" s="34">
        <f t="shared" si="49"/>
        <v>0</v>
      </c>
      <c r="BF27" s="34">
        <f t="shared" si="49"/>
        <v>0</v>
      </c>
      <c r="BG27" s="34">
        <f t="shared" si="49"/>
        <v>0</v>
      </c>
      <c r="BH27" s="34">
        <f t="shared" si="49"/>
        <v>58116.339999999967</v>
      </c>
      <c r="BI27" s="34">
        <f t="shared" si="49"/>
        <v>57884.300000000017</v>
      </c>
      <c r="BJ27" s="34">
        <f t="shared" si="49"/>
        <v>232.03999999999994</v>
      </c>
      <c r="BK27" s="35">
        <f t="shared" si="49"/>
        <v>2950096.1798999989</v>
      </c>
      <c r="BL27" s="34">
        <f t="shared" si="49"/>
        <v>1591103.3599999996</v>
      </c>
      <c r="BM27" s="34">
        <f t="shared" si="49"/>
        <v>6108.3999999999987</v>
      </c>
      <c r="BN27" s="34">
        <f t="shared" si="49"/>
        <v>1349397.8201000001</v>
      </c>
      <c r="BO27" s="34">
        <f t="shared" si="49"/>
        <v>3486.5998</v>
      </c>
      <c r="BP27" s="34">
        <f t="shared" si="49"/>
        <v>7677616.5442000022</v>
      </c>
      <c r="BQ27" s="34">
        <f t="shared" si="49"/>
        <v>448013.39</v>
      </c>
      <c r="BR27" s="34">
        <f t="shared" si="49"/>
        <v>6523.351999999999</v>
      </c>
      <c r="BS27" s="34">
        <f t="shared" si="49"/>
        <v>7168875.6260000011</v>
      </c>
      <c r="BT27" s="34">
        <f t="shared" si="49"/>
        <v>19204.176200000002</v>
      </c>
      <c r="BU27" s="34">
        <f t="shared" si="49"/>
        <v>35000</v>
      </c>
      <c r="BV27" s="34">
        <f t="shared" si="49"/>
        <v>46069244.207499988</v>
      </c>
      <c r="BW27" s="34">
        <f t="shared" si="49"/>
        <v>975304.32</v>
      </c>
      <c r="BX27" s="34">
        <f t="shared" si="49"/>
        <v>44738999.927500002</v>
      </c>
      <c r="BY27" s="34">
        <f t="shared" si="49"/>
        <v>114939.95999999996</v>
      </c>
      <c r="BZ27" s="34">
        <f t="shared" si="49"/>
        <v>240000</v>
      </c>
      <c r="CA27" s="34">
        <f t="shared" si="49"/>
        <v>44693078.385902204</v>
      </c>
      <c r="CB27" s="34">
        <f t="shared" si="49"/>
        <v>7380378.2602354856</v>
      </c>
      <c r="CC27" s="34">
        <f t="shared" si="49"/>
        <v>2644521.2111999998</v>
      </c>
      <c r="CD27" s="34">
        <f t="shared" si="49"/>
        <v>2381588.3200999992</v>
      </c>
      <c r="CE27" s="34">
        <f t="shared" si="49"/>
        <v>937381.56514838734</v>
      </c>
      <c r="CF27" s="34">
        <f t="shared" si="49"/>
        <v>194855.82152903231</v>
      </c>
      <c r="CG27" s="34">
        <f t="shared" si="49"/>
        <v>58495.342258064491</v>
      </c>
      <c r="CH27" s="34">
        <f t="shared" si="49"/>
        <v>1163536</v>
      </c>
      <c r="CI27" s="34">
        <f t="shared" si="49"/>
        <v>27069.666666666668</v>
      </c>
      <c r="CJ27" s="34">
        <f t="shared" si="49"/>
        <v>970396.45900000003</v>
      </c>
      <c r="CK27" s="34">
        <f t="shared" si="49"/>
        <v>36179150</v>
      </c>
      <c r="CL27" s="34">
        <f t="shared" si="49"/>
        <v>136084</v>
      </c>
      <c r="CM27" s="34">
        <f t="shared" si="49"/>
        <v>176117148.21750221</v>
      </c>
      <c r="CN27" s="5"/>
      <c r="CO27" s="41">
        <f t="shared" ref="CO27:EE27" si="50">SUM(CO6:CO26)</f>
        <v>-61795100.279999971</v>
      </c>
      <c r="CP27" s="41">
        <f t="shared" si="50"/>
        <v>-62082028.039999999</v>
      </c>
      <c r="CQ27" s="41">
        <f t="shared" si="50"/>
        <v>-58353779.130000003</v>
      </c>
      <c r="CR27" s="41">
        <f t="shared" si="50"/>
        <v>-2960822.4299999992</v>
      </c>
      <c r="CS27" s="41">
        <f t="shared" si="50"/>
        <v>-767426.47999999963</v>
      </c>
      <c r="CT27" s="41">
        <f t="shared" si="50"/>
        <v>286927.76</v>
      </c>
      <c r="CU27" s="41">
        <f t="shared" si="50"/>
        <v>-125408.25</v>
      </c>
      <c r="CV27" s="41">
        <f t="shared" si="50"/>
        <v>-125408.25</v>
      </c>
      <c r="CW27" s="41">
        <f t="shared" si="50"/>
        <v>0</v>
      </c>
      <c r="CX27" s="41">
        <f t="shared" si="50"/>
        <v>-726914.25</v>
      </c>
      <c r="CY27" s="41">
        <f t="shared" si="50"/>
        <v>-726914.25</v>
      </c>
      <c r="CZ27" s="41">
        <f t="shared" si="50"/>
        <v>0</v>
      </c>
      <c r="DA27" s="41">
        <f t="shared" si="50"/>
        <v>-2774.4000000000024</v>
      </c>
      <c r="DB27" s="41">
        <f t="shared" si="50"/>
        <v>-2832.9000000000033</v>
      </c>
      <c r="DC27" s="41">
        <f t="shared" si="50"/>
        <v>58.499999999999964</v>
      </c>
      <c r="DD27" s="42">
        <f t="shared" si="50"/>
        <v>-31512.620100000058</v>
      </c>
      <c r="DE27" s="41">
        <f t="shared" si="50"/>
        <v>-97719.840000000055</v>
      </c>
      <c r="DF27" s="41">
        <f t="shared" si="50"/>
        <v>1567.8000000000006</v>
      </c>
      <c r="DG27" s="41">
        <f t="shared" si="50"/>
        <v>61152.820099999983</v>
      </c>
      <c r="DH27" s="41">
        <f t="shared" si="50"/>
        <v>3486.5998</v>
      </c>
      <c r="DI27" s="41">
        <f t="shared" si="50"/>
        <v>2132268.2917999988</v>
      </c>
      <c r="DJ27" s="41">
        <f t="shared" si="50"/>
        <v>-5017749.9679999994</v>
      </c>
      <c r="DK27" s="41">
        <f t="shared" si="50"/>
        <v>-73061.542400000006</v>
      </c>
      <c r="DL27" s="41">
        <f t="shared" si="50"/>
        <v>7168875.6260000011</v>
      </c>
      <c r="DM27" s="41">
        <f t="shared" si="50"/>
        <v>19204.176200000002</v>
      </c>
      <c r="DN27" s="41">
        <f t="shared" si="50"/>
        <v>35000</v>
      </c>
      <c r="DO27" s="41">
        <f t="shared" si="50"/>
        <v>36153650.287499994</v>
      </c>
      <c r="DP27" s="41">
        <f t="shared" si="50"/>
        <v>-8940289.6000000015</v>
      </c>
      <c r="DQ27" s="41">
        <f t="shared" si="50"/>
        <v>44738999.927500002</v>
      </c>
      <c r="DR27" s="41">
        <f t="shared" si="50"/>
        <v>114939.95999999996</v>
      </c>
      <c r="DS27" s="41">
        <f t="shared" si="50"/>
        <v>240000</v>
      </c>
      <c r="DT27" s="41">
        <f t="shared" si="50"/>
        <v>6296731.8229021477</v>
      </c>
      <c r="DU27" s="41">
        <f t="shared" si="50"/>
        <v>7380378.2602354856</v>
      </c>
      <c r="DV27" s="41">
        <f t="shared" si="50"/>
        <v>2644521.2111999998</v>
      </c>
      <c r="DW27" s="41">
        <f t="shared" si="50"/>
        <v>2381588.3200999992</v>
      </c>
      <c r="DX27" s="41">
        <f t="shared" si="50"/>
        <v>937381.56514838734</v>
      </c>
      <c r="DY27" s="41">
        <f t="shared" si="50"/>
        <v>194855.82152903231</v>
      </c>
      <c r="DZ27" s="41">
        <f t="shared" si="50"/>
        <v>58495.342258064491</v>
      </c>
      <c r="EA27" s="41">
        <f t="shared" si="50"/>
        <v>1163536</v>
      </c>
      <c r="EB27" s="41">
        <f t="shared" si="50"/>
        <v>27069.666666666668</v>
      </c>
      <c r="EC27" s="41">
        <f t="shared" si="50"/>
        <v>0</v>
      </c>
      <c r="ED27" s="41">
        <f t="shared" si="50"/>
        <v>-1163162</v>
      </c>
      <c r="EE27" s="41">
        <f t="shared" si="50"/>
        <v>52445.896000000008</v>
      </c>
      <c r="EF27" s="41">
        <f t="shared" si="28"/>
        <v>-18099059.397897828</v>
      </c>
      <c r="EH27" s="41">
        <f>SUM(EH6:EH26)</f>
        <v>13376005.010000002</v>
      </c>
      <c r="EI27" s="88">
        <f>SUM(EI6:EI26)</f>
        <v>-4723054.387897837</v>
      </c>
      <c r="EJ27" s="41">
        <f>SUM(EJ6:EJ26)</f>
        <v>16265965</v>
      </c>
      <c r="EK27" s="88">
        <f>SUM(EK6:EK26)</f>
        <v>-1833094.3978978386</v>
      </c>
    </row>
    <row r="28" spans="1:141" ht="14.4" x14ac:dyDescent="0.3">
      <c r="A28" s="66"/>
      <c r="B28" s="67"/>
      <c r="C28" s="67"/>
      <c r="AV28" s="67"/>
    </row>
    <row r="29" spans="1:141" ht="14.4" x14ac:dyDescent="0.3">
      <c r="B29" s="68"/>
      <c r="C29" s="68"/>
      <c r="D29" s="69"/>
      <c r="E29" s="69"/>
      <c r="F29" s="69"/>
      <c r="G29" s="69"/>
      <c r="H29" s="69"/>
      <c r="I29" s="69"/>
      <c r="J29" s="69"/>
      <c r="K29" s="69"/>
      <c r="L29" s="69"/>
      <c r="M29" s="69"/>
      <c r="N29" s="69"/>
      <c r="AD29" s="94">
        <v>796734</v>
      </c>
      <c r="AT29" s="7"/>
      <c r="AV29" s="68"/>
      <c r="AW29" s="69"/>
      <c r="AX29" s="69"/>
      <c r="AY29" s="69"/>
      <c r="AZ29" s="69"/>
      <c r="BA29" s="69"/>
      <c r="BB29" s="69"/>
      <c r="BC29" s="69"/>
      <c r="BD29" s="69"/>
      <c r="BE29" s="69"/>
      <c r="BF29" s="69"/>
      <c r="BG29" s="69"/>
      <c r="CM29" s="7"/>
      <c r="CU29" s="83">
        <f>SUM(CO6,CU6,CX6)</f>
        <v>-806246.12999999989</v>
      </c>
    </row>
    <row r="30" spans="1:141" ht="14.4" x14ac:dyDescent="0.3">
      <c r="B30" s="8"/>
      <c r="C30" s="8"/>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V30" s="8"/>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71"/>
      <c r="CD30" s="1"/>
      <c r="CE30" s="1"/>
      <c r="CF30" s="1"/>
      <c r="CG30" s="1"/>
      <c r="CH30" s="1"/>
      <c r="CI30" s="71"/>
      <c r="CJ30" s="1"/>
      <c r="CK30" s="1"/>
      <c r="CL30" s="1"/>
      <c r="EH30" s="83"/>
    </row>
    <row r="31" spans="1:141" ht="14.4" x14ac:dyDescent="0.3">
      <c r="B31" s="8"/>
      <c r="C31" s="8"/>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V31" s="8"/>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EH31" s="83"/>
    </row>
    <row r="32" spans="1:141" ht="14.4" x14ac:dyDescent="0.3">
      <c r="B32" s="8"/>
      <c r="C32" s="8"/>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V32" s="8"/>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EH32" s="83"/>
    </row>
    <row r="33" spans="2:90" ht="14.4" x14ac:dyDescent="0.3">
      <c r="B33" s="8"/>
      <c r="C33" s="8"/>
      <c r="D33" s="1"/>
      <c r="E33" s="1"/>
      <c r="F33" s="1"/>
      <c r="G33" s="7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V33" s="8"/>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row>
    <row r="34" spans="2:90" ht="14.4" x14ac:dyDescent="0.3">
      <c r="B34" s="8"/>
      <c r="C34" s="8"/>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V34" s="8"/>
      <c r="AW34" s="1"/>
      <c r="AX34" s="71"/>
      <c r="AY34" s="71"/>
      <c r="AZ34" s="71"/>
      <c r="BA34" s="71"/>
      <c r="BB34" s="7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row>
    <row r="35" spans="2:90" ht="14.4" x14ac:dyDescent="0.3">
      <c r="B35" s="8"/>
      <c r="C35" s="8"/>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V35" s="91"/>
      <c r="AW35" s="9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row>
    <row r="36" spans="2:90" ht="14.4" x14ac:dyDescent="0.3">
      <c r="B36" s="8"/>
      <c r="C36" s="8"/>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V36" s="91"/>
      <c r="AW36" s="9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row>
    <row r="37" spans="2:90" ht="14.4" x14ac:dyDescent="0.3">
      <c r="B37" s="8"/>
      <c r="C37" s="8"/>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V37" s="91"/>
      <c r="AW37" s="91"/>
      <c r="AX37" s="1"/>
      <c r="AY37" s="1"/>
      <c r="AZ37" s="1"/>
      <c r="BA37" s="1"/>
      <c r="BB37" s="1"/>
      <c r="BC37" s="1"/>
      <c r="BD37" s="1"/>
      <c r="BE37" s="1"/>
      <c r="BF37" s="1"/>
      <c r="BG37" s="1"/>
      <c r="BH37" s="7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row>
  </sheetData>
  <mergeCells count="9">
    <mergeCell ref="CO3:EF3"/>
    <mergeCell ref="A27:B27"/>
    <mergeCell ref="D2:AS2"/>
    <mergeCell ref="AW2:CL2"/>
    <mergeCell ref="A3:A4"/>
    <mergeCell ref="B3:B4"/>
    <mergeCell ref="C3:AT3"/>
    <mergeCell ref="AU3:AU4"/>
    <mergeCell ref="AV3:CM3"/>
  </mergeCells>
  <conditionalFormatting sqref="AU6:AU27 CO6:EF27 EH6:EK27">
    <cfRule type="cellIs" dxfId="7" priority="5" operator="lessThan">
      <formula>0</formula>
    </cfRule>
    <cfRule type="cellIs" dxfId="6" priority="6" operator="greaterThan">
      <formula>0</formula>
    </cfRule>
  </conditionalFormatting>
  <printOptions horizontalCentered="1"/>
  <pageMargins left="0.25" right="0.25" top="0.75" bottom="0.75" header="0.3" footer="0.3"/>
  <pageSetup paperSize="9" scale="80"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K63"/>
  <sheetViews>
    <sheetView zoomScaleNormal="100" workbookViewId="0">
      <pane xSplit="2" topLeftCell="DP1" activePane="topRight" state="frozen"/>
      <selection pane="topRight" activeCell="EF27" sqref="EF27"/>
    </sheetView>
  </sheetViews>
  <sheetFormatPr defaultRowHeight="15" customHeight="1" outlineLevelCol="3" x14ac:dyDescent="0.3"/>
  <cols>
    <col min="1" max="1" width="9.109375" customWidth="1"/>
    <col min="2" max="2" width="13" customWidth="1"/>
    <col min="3" max="3" width="9.109375" customWidth="1" outlineLevel="1"/>
    <col min="4" max="4" width="10.6640625" customWidth="1" outlineLevel="2"/>
    <col min="5" max="7" width="10.6640625" customWidth="1" outlineLevel="3"/>
    <col min="8" max="8" width="10.6640625" customWidth="1" outlineLevel="2"/>
    <col min="9" max="9" width="9.109375" customWidth="1" outlineLevel="1"/>
    <col min="10" max="11" width="10.6640625" customWidth="1" outlineLevel="2"/>
    <col min="12" max="12" width="9.109375" customWidth="1" outlineLevel="1"/>
    <col min="13" max="14" width="10.6640625" customWidth="1" outlineLevel="2"/>
    <col min="15" max="15" width="9.109375" customWidth="1" outlineLevel="1"/>
    <col min="16" max="17" width="10.6640625" customWidth="1" outlineLevel="2"/>
    <col min="18" max="18" width="9.109375" customWidth="1" outlineLevel="1"/>
    <col min="19" max="22" width="10.6640625" customWidth="1" outlineLevel="2"/>
    <col min="23" max="23" width="9.109375" customWidth="1" outlineLevel="1"/>
    <col min="24" max="28" width="10.6640625" customWidth="1" outlineLevel="2"/>
    <col min="29" max="29" width="9.109375" customWidth="1" outlineLevel="1"/>
    <col min="30" max="33" width="10.6640625" customWidth="1" outlineLevel="2"/>
    <col min="34" max="34" width="9.109375" customWidth="1" outlineLevel="1"/>
    <col min="35" max="35" width="10.6640625" customWidth="1" outlineLevel="2"/>
    <col min="36" max="41" width="10.6640625" customWidth="1" outlineLevel="3"/>
    <col min="42" max="45" width="10.6640625" customWidth="1" outlineLevel="2"/>
    <col min="46" max="47" width="9.109375" customWidth="1"/>
    <col min="48" max="48" width="9.109375" customWidth="1" outlineLevel="1"/>
    <col min="49" max="49" width="10.6640625" customWidth="1" outlineLevel="2"/>
    <col min="50" max="52" width="10.6640625" customWidth="1" outlineLevel="3"/>
    <col min="53" max="53" width="10.6640625" customWidth="1" outlineLevel="2"/>
    <col min="54" max="54" width="9.109375" customWidth="1" outlineLevel="1"/>
    <col min="55" max="56" width="10.6640625" customWidth="1" outlineLevel="2"/>
    <col min="57" max="57" width="9.109375" customWidth="1" outlineLevel="1"/>
    <col min="58" max="59" width="10.6640625" customWidth="1" outlineLevel="2"/>
    <col min="60" max="60" width="9.109375" customWidth="1" outlineLevel="1"/>
    <col min="61" max="62" width="10.6640625" customWidth="1" outlineLevel="2"/>
    <col min="63" max="63" width="9.109375" customWidth="1" outlineLevel="1"/>
    <col min="64" max="67" width="10.6640625" customWidth="1" outlineLevel="2"/>
    <col min="68" max="68" width="9.109375" customWidth="1" outlineLevel="1"/>
    <col min="69" max="73" width="10.6640625" customWidth="1" outlineLevel="2"/>
    <col min="74" max="74" width="9.109375" customWidth="1" outlineLevel="1"/>
    <col min="75" max="78" width="10.6640625" customWidth="1" outlineLevel="2"/>
    <col min="79" max="79" width="9.109375" customWidth="1" outlineLevel="1"/>
    <col min="80" max="80" width="10.6640625" customWidth="1" outlineLevel="2"/>
    <col min="81" max="86" width="10.6640625" customWidth="1" outlineLevel="3"/>
    <col min="87" max="90" width="10.6640625" customWidth="1" outlineLevel="2"/>
    <col min="91" max="92" width="9.109375" customWidth="1"/>
    <col min="93" max="93" width="9.109375" customWidth="1" outlineLevel="1"/>
    <col min="94" max="94" width="10.6640625" customWidth="1" outlineLevel="2"/>
    <col min="95" max="97" width="10.6640625" customWidth="1" outlineLevel="3"/>
    <col min="98" max="98" width="10.6640625" customWidth="1" outlineLevel="2"/>
    <col min="99" max="99" width="9.109375" customWidth="1" outlineLevel="1"/>
    <col min="100" max="101" width="10.6640625" customWidth="1" outlineLevel="2"/>
    <col min="102" max="102" width="9.109375" customWidth="1" outlineLevel="1"/>
    <col min="103" max="104" width="10.6640625" customWidth="1" outlineLevel="2"/>
    <col min="105" max="105" width="9.109375" customWidth="1" outlineLevel="1"/>
    <col min="106" max="107" width="10.6640625" customWidth="1" outlineLevel="2"/>
    <col min="108" max="108" width="9.109375" customWidth="1" outlineLevel="1"/>
    <col min="109" max="112" width="10.6640625" customWidth="1" outlineLevel="2"/>
    <col min="113" max="113" width="9.109375" customWidth="1" outlineLevel="1"/>
    <col min="114" max="118" width="10.6640625" customWidth="1" outlineLevel="2"/>
    <col min="119" max="119" width="9.109375" customWidth="1" outlineLevel="1"/>
    <col min="120" max="123" width="10.6640625" customWidth="1" outlineLevel="2"/>
    <col min="124" max="124" width="9.109375" customWidth="1" outlineLevel="1"/>
    <col min="125" max="125" width="10.6640625" customWidth="1" outlineLevel="2"/>
    <col min="126" max="131" width="10.6640625" customWidth="1" outlineLevel="3"/>
    <col min="132" max="135" width="10.6640625" customWidth="1" outlineLevel="2"/>
    <col min="136" max="136" width="9.109375" customWidth="1"/>
    <col min="138" max="138" width="11.33203125" customWidth="1" outlineLevel="2"/>
    <col min="139" max="141" width="10.6640625" customWidth="1" outlineLevel="3"/>
  </cols>
  <sheetData>
    <row r="1" spans="1:141" ht="14.4" x14ac:dyDescent="0.3">
      <c r="A1" s="9"/>
      <c r="D1" s="9" t="s">
        <v>161</v>
      </c>
      <c r="E1" s="9"/>
      <c r="F1" s="9"/>
      <c r="G1" s="9"/>
      <c r="H1" s="9"/>
      <c r="AW1" s="9" t="s">
        <v>161</v>
      </c>
      <c r="AX1" s="9"/>
      <c r="AY1" s="9"/>
      <c r="AZ1" s="9"/>
      <c r="BA1" s="9"/>
    </row>
    <row r="2" spans="1:141" ht="14.4" x14ac:dyDescent="0.3">
      <c r="A2" s="8" t="s">
        <v>14</v>
      </c>
      <c r="D2" s="171" t="s">
        <v>162</v>
      </c>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row>
    <row r="3" spans="1:141" ht="22.5" customHeight="1" x14ac:dyDescent="0.3">
      <c r="A3" s="164" t="s">
        <v>0</v>
      </c>
      <c r="B3" s="164" t="s">
        <v>1</v>
      </c>
      <c r="C3" s="168" t="s">
        <v>15</v>
      </c>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70"/>
      <c r="AU3" s="172" t="s">
        <v>16</v>
      </c>
      <c r="AV3" s="168" t="s">
        <v>17</v>
      </c>
      <c r="AW3" s="169"/>
      <c r="AX3" s="169"/>
      <c r="AY3" s="169"/>
      <c r="AZ3" s="169"/>
      <c r="BA3" s="169"/>
      <c r="BB3" s="169"/>
      <c r="BC3" s="169"/>
      <c r="BD3" s="169"/>
      <c r="BE3" s="169"/>
      <c r="BF3" s="169"/>
      <c r="BG3" s="169"/>
      <c r="BH3" s="169"/>
      <c r="BI3" s="169"/>
      <c r="BJ3" s="169"/>
      <c r="BK3" s="169"/>
      <c r="BL3" s="169"/>
      <c r="BM3" s="169"/>
      <c r="BN3" s="169"/>
      <c r="BO3" s="169"/>
      <c r="BP3" s="169"/>
      <c r="BQ3" s="169"/>
      <c r="BR3" s="169"/>
      <c r="BS3" s="169"/>
      <c r="BT3" s="169"/>
      <c r="BU3" s="169"/>
      <c r="BV3" s="169"/>
      <c r="BW3" s="169"/>
      <c r="BX3" s="169"/>
      <c r="BY3" s="169"/>
      <c r="BZ3" s="169"/>
      <c r="CA3" s="169"/>
      <c r="CB3" s="169"/>
      <c r="CC3" s="169"/>
      <c r="CD3" s="169"/>
      <c r="CE3" s="169"/>
      <c r="CF3" s="169"/>
      <c r="CG3" s="169"/>
      <c r="CH3" s="169"/>
      <c r="CI3" s="169"/>
      <c r="CJ3" s="169"/>
      <c r="CK3" s="169"/>
      <c r="CL3" s="169"/>
      <c r="CM3" s="170"/>
      <c r="CN3" s="2"/>
      <c r="CO3" s="163" t="s">
        <v>18</v>
      </c>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row>
    <row r="4" spans="1:141" ht="52.5" customHeight="1" x14ac:dyDescent="0.3">
      <c r="A4" s="164"/>
      <c r="B4" s="164"/>
      <c r="C4" s="11" t="s">
        <v>19</v>
      </c>
      <c r="D4" s="12" t="s">
        <v>163</v>
      </c>
      <c r="E4" s="53" t="s">
        <v>164</v>
      </c>
      <c r="F4" s="13" t="s">
        <v>165</v>
      </c>
      <c r="G4" s="13" t="s">
        <v>166</v>
      </c>
      <c r="H4" s="12" t="s">
        <v>167</v>
      </c>
      <c r="I4" s="28" t="s">
        <v>21</v>
      </c>
      <c r="J4" s="63" t="s">
        <v>168</v>
      </c>
      <c r="K4" s="14" t="s">
        <v>169</v>
      </c>
      <c r="L4" s="29" t="s">
        <v>22</v>
      </c>
      <c r="M4" s="64" t="s">
        <v>170</v>
      </c>
      <c r="N4" s="15" t="s">
        <v>171</v>
      </c>
      <c r="O4" s="30" t="s">
        <v>23</v>
      </c>
      <c r="P4" s="65" t="s">
        <v>172</v>
      </c>
      <c r="Q4" s="16" t="s">
        <v>173</v>
      </c>
      <c r="R4" s="27" t="s">
        <v>24</v>
      </c>
      <c r="S4" s="17" t="s">
        <v>174</v>
      </c>
      <c r="T4" s="17" t="s">
        <v>175</v>
      </c>
      <c r="U4" s="17" t="s">
        <v>176</v>
      </c>
      <c r="V4" s="17" t="s">
        <v>175</v>
      </c>
      <c r="W4" s="31" t="s">
        <v>25</v>
      </c>
      <c r="X4" s="54" t="s">
        <v>177</v>
      </c>
      <c r="Y4" s="21" t="s">
        <v>178</v>
      </c>
      <c r="Z4" s="21" t="s">
        <v>179</v>
      </c>
      <c r="AA4" s="21" t="s">
        <v>180</v>
      </c>
      <c r="AB4" s="21" t="s">
        <v>43</v>
      </c>
      <c r="AC4" s="32" t="s">
        <v>26</v>
      </c>
      <c r="AD4" s="56" t="s">
        <v>44</v>
      </c>
      <c r="AE4" s="22" t="s">
        <v>181</v>
      </c>
      <c r="AF4" s="22" t="s">
        <v>182</v>
      </c>
      <c r="AG4" s="22" t="s">
        <v>46</v>
      </c>
      <c r="AH4" s="44" t="s">
        <v>27</v>
      </c>
      <c r="AI4" s="18" t="s">
        <v>183</v>
      </c>
      <c r="AJ4" s="19" t="s">
        <v>184</v>
      </c>
      <c r="AK4" s="19" t="s">
        <v>185</v>
      </c>
      <c r="AL4" s="61" t="s">
        <v>186</v>
      </c>
      <c r="AM4" s="19" t="s">
        <v>187</v>
      </c>
      <c r="AN4" s="19" t="s">
        <v>188</v>
      </c>
      <c r="AO4" s="19" t="s">
        <v>189</v>
      </c>
      <c r="AP4" s="20" t="s">
        <v>190</v>
      </c>
      <c r="AQ4" s="43" t="s">
        <v>48</v>
      </c>
      <c r="AR4" s="43" t="s">
        <v>191</v>
      </c>
      <c r="AS4" s="43" t="s">
        <v>192</v>
      </c>
      <c r="AT4" s="10" t="s">
        <v>12</v>
      </c>
      <c r="AU4" s="172"/>
      <c r="AV4" s="11" t="s">
        <v>19</v>
      </c>
      <c r="AW4" s="12" t="s">
        <v>163</v>
      </c>
      <c r="AX4" s="13" t="s">
        <v>164</v>
      </c>
      <c r="AY4" s="13" t="s">
        <v>165</v>
      </c>
      <c r="AZ4" s="13" t="s">
        <v>166</v>
      </c>
      <c r="BA4" s="12" t="s">
        <v>167</v>
      </c>
      <c r="BB4" s="28" t="s">
        <v>21</v>
      </c>
      <c r="BC4" s="14" t="s">
        <v>168</v>
      </c>
      <c r="BD4" s="14" t="s">
        <v>169</v>
      </c>
      <c r="BE4" s="29" t="s">
        <v>22</v>
      </c>
      <c r="BF4" s="64" t="s">
        <v>170</v>
      </c>
      <c r="BG4" s="15" t="s">
        <v>171</v>
      </c>
      <c r="BH4" s="30" t="s">
        <v>23</v>
      </c>
      <c r="BI4" s="16" t="s">
        <v>172</v>
      </c>
      <c r="BJ4" s="16" t="s">
        <v>173</v>
      </c>
      <c r="BK4" s="27" t="s">
        <v>24</v>
      </c>
      <c r="BL4" s="59" t="s">
        <v>174</v>
      </c>
      <c r="BM4" s="17" t="s">
        <v>175</v>
      </c>
      <c r="BN4" s="17" t="s">
        <v>176</v>
      </c>
      <c r="BO4" s="17" t="s">
        <v>175</v>
      </c>
      <c r="BP4" s="31" t="s">
        <v>25</v>
      </c>
      <c r="BQ4" s="21" t="s">
        <v>177</v>
      </c>
      <c r="BR4" s="21" t="s">
        <v>178</v>
      </c>
      <c r="BS4" s="21" t="s">
        <v>179</v>
      </c>
      <c r="BT4" s="21" t="s">
        <v>180</v>
      </c>
      <c r="BU4" s="21" t="s">
        <v>43</v>
      </c>
      <c r="BV4" s="32" t="s">
        <v>26</v>
      </c>
      <c r="BW4" s="56" t="s">
        <v>44</v>
      </c>
      <c r="BX4" s="22" t="s">
        <v>181</v>
      </c>
      <c r="BY4" s="22" t="s">
        <v>182</v>
      </c>
      <c r="BZ4" s="22" t="s">
        <v>46</v>
      </c>
      <c r="CA4" s="44" t="s">
        <v>27</v>
      </c>
      <c r="CB4" s="18" t="s">
        <v>183</v>
      </c>
      <c r="CC4" s="19" t="s">
        <v>184</v>
      </c>
      <c r="CD4" s="19" t="s">
        <v>185</v>
      </c>
      <c r="CE4" s="61" t="s">
        <v>186</v>
      </c>
      <c r="CF4" s="19" t="s">
        <v>187</v>
      </c>
      <c r="CG4" s="19" t="s">
        <v>188</v>
      </c>
      <c r="CH4" s="19" t="s">
        <v>189</v>
      </c>
      <c r="CI4" s="20" t="s">
        <v>190</v>
      </c>
      <c r="CJ4" s="43" t="s">
        <v>48</v>
      </c>
      <c r="CK4" s="43" t="s">
        <v>191</v>
      </c>
      <c r="CL4" s="43" t="s">
        <v>192</v>
      </c>
      <c r="CM4" s="10" t="s">
        <v>12</v>
      </c>
      <c r="CN4" s="6"/>
      <c r="CO4" s="11" t="s">
        <v>19</v>
      </c>
      <c r="CP4" s="12" t="s">
        <v>163</v>
      </c>
      <c r="CQ4" s="13" t="s">
        <v>164</v>
      </c>
      <c r="CR4" s="13" t="s">
        <v>165</v>
      </c>
      <c r="CS4" s="13" t="s">
        <v>166</v>
      </c>
      <c r="CT4" s="12" t="s">
        <v>167</v>
      </c>
      <c r="CU4" s="28" t="s">
        <v>21</v>
      </c>
      <c r="CV4" s="14" t="s">
        <v>168</v>
      </c>
      <c r="CW4" s="14" t="s">
        <v>169</v>
      </c>
      <c r="CX4" s="29" t="s">
        <v>22</v>
      </c>
      <c r="CY4" s="15" t="s">
        <v>170</v>
      </c>
      <c r="CZ4" s="15" t="s">
        <v>171</v>
      </c>
      <c r="DA4" s="30" t="s">
        <v>23</v>
      </c>
      <c r="DB4" s="16" t="s">
        <v>193</v>
      </c>
      <c r="DC4" s="16" t="s">
        <v>194</v>
      </c>
      <c r="DD4" s="27" t="s">
        <v>24</v>
      </c>
      <c r="DE4" s="17" t="s">
        <v>174</v>
      </c>
      <c r="DF4" s="17" t="s">
        <v>175</v>
      </c>
      <c r="DG4" s="17" t="s">
        <v>176</v>
      </c>
      <c r="DH4" s="17" t="s">
        <v>175</v>
      </c>
      <c r="DI4" s="31" t="s">
        <v>25</v>
      </c>
      <c r="DJ4" s="21" t="s">
        <v>177</v>
      </c>
      <c r="DK4" s="21" t="s">
        <v>178</v>
      </c>
      <c r="DL4" s="21" t="s">
        <v>179</v>
      </c>
      <c r="DM4" s="21" t="s">
        <v>180</v>
      </c>
      <c r="DN4" s="21" t="s">
        <v>43</v>
      </c>
      <c r="DO4" s="32" t="s">
        <v>26</v>
      </c>
      <c r="DP4" s="56" t="s">
        <v>44</v>
      </c>
      <c r="DQ4" s="22" t="s">
        <v>181</v>
      </c>
      <c r="DR4" s="22" t="s">
        <v>182</v>
      </c>
      <c r="DS4" s="22" t="s">
        <v>46</v>
      </c>
      <c r="DT4" s="44" t="s">
        <v>27</v>
      </c>
      <c r="DU4" s="18" t="s">
        <v>183</v>
      </c>
      <c r="DV4" s="19" t="s">
        <v>184</v>
      </c>
      <c r="DW4" s="19" t="s">
        <v>185</v>
      </c>
      <c r="DX4" s="61" t="s">
        <v>186</v>
      </c>
      <c r="DY4" s="19" t="s">
        <v>187</v>
      </c>
      <c r="DZ4" s="19" t="s">
        <v>188</v>
      </c>
      <c r="EA4" s="19" t="s">
        <v>189</v>
      </c>
      <c r="EB4" s="20" t="s">
        <v>190</v>
      </c>
      <c r="EC4" s="43" t="s">
        <v>48</v>
      </c>
      <c r="ED4" s="43" t="s">
        <v>191</v>
      </c>
      <c r="EE4" s="43" t="s">
        <v>192</v>
      </c>
      <c r="EF4" s="10" t="s">
        <v>12</v>
      </c>
      <c r="EH4" s="12" t="s">
        <v>195</v>
      </c>
      <c r="EI4" s="84" t="s">
        <v>196</v>
      </c>
      <c r="EJ4" s="13" t="s">
        <v>195</v>
      </c>
      <c r="EK4" s="84" t="s">
        <v>196</v>
      </c>
    </row>
    <row r="5" spans="1:141" ht="14.4" x14ac:dyDescent="0.3">
      <c r="A5" s="23" t="s">
        <v>28</v>
      </c>
      <c r="B5" s="23" t="s">
        <v>29</v>
      </c>
      <c r="C5" s="33"/>
      <c r="D5" s="23"/>
      <c r="E5" s="23"/>
      <c r="F5" s="23"/>
      <c r="G5" s="23"/>
      <c r="H5" s="23"/>
      <c r="I5" s="33"/>
      <c r="J5" s="23"/>
      <c r="K5" s="23"/>
      <c r="L5" s="33"/>
      <c r="M5" s="23"/>
      <c r="N5" s="23"/>
      <c r="O5" s="33"/>
      <c r="P5" s="23"/>
      <c r="Q5" s="23"/>
      <c r="R5" s="33"/>
      <c r="S5" s="23"/>
      <c r="T5" s="23"/>
      <c r="U5" s="23"/>
      <c r="V5" s="23"/>
      <c r="W5" s="33"/>
      <c r="X5" s="23"/>
      <c r="Y5" s="23"/>
      <c r="Z5" s="23"/>
      <c r="AA5" s="23"/>
      <c r="AB5" s="23"/>
      <c r="AC5" s="33"/>
      <c r="AD5" s="23"/>
      <c r="AE5" s="23"/>
      <c r="AF5" s="23"/>
      <c r="AG5" s="23"/>
      <c r="AH5" s="23"/>
      <c r="AI5" s="23"/>
      <c r="AJ5" s="23"/>
      <c r="AK5" s="23"/>
      <c r="AL5" s="23"/>
      <c r="AM5" s="23"/>
      <c r="AN5" s="23"/>
      <c r="AO5" s="23"/>
      <c r="AP5" s="23"/>
      <c r="AQ5" s="23"/>
      <c r="AR5" s="23"/>
      <c r="AS5" s="23"/>
      <c r="AT5" s="23"/>
      <c r="AU5" s="33"/>
      <c r="AV5" s="3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3"/>
      <c r="CO5" s="3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H5" s="23"/>
      <c r="EI5" s="23"/>
      <c r="EJ5" s="23"/>
      <c r="EK5" s="23"/>
    </row>
    <row r="6" spans="1:141" ht="14.4" x14ac:dyDescent="0.3">
      <c r="A6" s="24">
        <v>1</v>
      </c>
      <c r="B6" s="25">
        <v>2024</v>
      </c>
      <c r="C6" s="40">
        <f>SUM(D6,H6)</f>
        <v>6780682.0899999999</v>
      </c>
      <c r="D6" s="37">
        <f>SUM(E6:G6)</f>
        <v>6780682.0899999999</v>
      </c>
      <c r="E6" s="72">
        <f>5592364.44+1.21</f>
        <v>5592365.6500000004</v>
      </c>
      <c r="F6" s="72">
        <v>950060.76</v>
      </c>
      <c r="G6" s="72">
        <v>238255.68</v>
      </c>
      <c r="H6" s="72">
        <v>0</v>
      </c>
      <c r="I6" s="40">
        <f>SUM(J6:K6)</f>
        <v>6193</v>
      </c>
      <c r="J6" s="73">
        <v>6193</v>
      </c>
      <c r="K6" s="73">
        <v>0</v>
      </c>
      <c r="L6" s="40">
        <f>SUM(M6:N6)</f>
        <v>35897</v>
      </c>
      <c r="M6" s="74">
        <v>35897</v>
      </c>
      <c r="N6" s="74">
        <v>0</v>
      </c>
      <c r="O6" s="40">
        <f>SUM(P6:Q6)</f>
        <v>3006.9500000000003</v>
      </c>
      <c r="P6" s="75">
        <v>2998.38</v>
      </c>
      <c r="Q6" s="75">
        <v>8.57</v>
      </c>
      <c r="R6" s="40">
        <f>SUM(S6:V6)</f>
        <v>238212.84</v>
      </c>
      <c r="S6" s="60">
        <v>83398.66</v>
      </c>
      <c r="T6" s="60">
        <v>224.18</v>
      </c>
      <c r="U6" s="60">
        <v>154590</v>
      </c>
      <c r="V6" s="76">
        <v>0</v>
      </c>
      <c r="W6" s="38">
        <f>SUM(X6:AB6)</f>
        <v>272722.04519999999</v>
      </c>
      <c r="X6" s="55">
        <v>268808.03399999999</v>
      </c>
      <c r="Y6" s="77">
        <v>3914.0111999999999</v>
      </c>
      <c r="Z6" s="55">
        <v>0</v>
      </c>
      <c r="AA6" s="77">
        <v>0</v>
      </c>
      <c r="AB6" s="77">
        <v>0</v>
      </c>
      <c r="AC6" s="39">
        <f t="shared" ref="AC6:AC26" si="0">SUM(AD6:AG6)</f>
        <v>796734</v>
      </c>
      <c r="AD6" s="57">
        <v>796734</v>
      </c>
      <c r="AE6" s="58">
        <v>0</v>
      </c>
      <c r="AF6" s="58">
        <v>0</v>
      </c>
      <c r="AG6" s="58">
        <v>0</v>
      </c>
      <c r="AH6" s="40">
        <f>SUM(AI6,AP6:AS6)</f>
        <v>9752862.5260000005</v>
      </c>
      <c r="AI6" s="36">
        <f t="shared" ref="AI6:AI26" si="1">SUM(AJ6:AO6)</f>
        <v>0</v>
      </c>
      <c r="AJ6" s="78">
        <v>0</v>
      </c>
      <c r="AK6" s="78">
        <v>0</v>
      </c>
      <c r="AL6" s="78">
        <v>0</v>
      </c>
      <c r="AM6" s="78">
        <v>0</v>
      </c>
      <c r="AN6" s="78">
        <v>0</v>
      </c>
      <c r="AO6" s="78">
        <v>0</v>
      </c>
      <c r="AP6" s="78">
        <v>0</v>
      </c>
      <c r="AQ6" s="62">
        <v>396375</v>
      </c>
      <c r="AR6" s="62">
        <f>ROUNDUP(9335577.6624,0)</f>
        <v>9335578</v>
      </c>
      <c r="AS6" s="62">
        <v>20909.525999999998</v>
      </c>
      <c r="AT6" s="37">
        <f>SUM(C6,I6,L6,O6,R6,W6,AC6,AH6)</f>
        <v>17886310.451200001</v>
      </c>
      <c r="AU6" s="40">
        <f t="shared" ref="AU6:AU26" si="2">CM6-AT6</f>
        <v>-366536.63846451789</v>
      </c>
      <c r="AV6" s="40">
        <f>SUM(AW6,BA6)</f>
        <v>6016525.96</v>
      </c>
      <c r="AW6" s="37">
        <f>SUM(AX6:AZ6)</f>
        <v>6002099.8200000003</v>
      </c>
      <c r="AX6" s="72">
        <v>4780556.28</v>
      </c>
      <c r="AY6" s="72">
        <v>976217.22</v>
      </c>
      <c r="AZ6" s="72">
        <v>245326.32</v>
      </c>
      <c r="BA6" s="80">
        <v>14426.14</v>
      </c>
      <c r="BB6" s="40">
        <f>SUM(BC6:BD6)</f>
        <v>0</v>
      </c>
      <c r="BC6" s="73">
        <v>0</v>
      </c>
      <c r="BD6" s="73">
        <v>0</v>
      </c>
      <c r="BE6" s="40">
        <f t="shared" ref="BE6:BE26" si="3">SUM(BF6:BG6)</f>
        <v>0</v>
      </c>
      <c r="BF6" s="74">
        <v>0</v>
      </c>
      <c r="BG6" s="74">
        <v>0</v>
      </c>
      <c r="BH6" s="40">
        <f t="shared" ref="BH6:BH26" si="4">SUM(BI6:BJ6)</f>
        <v>3247.1000000000004</v>
      </c>
      <c r="BI6" s="79">
        <v>3237.57</v>
      </c>
      <c r="BJ6" s="79">
        <v>9.5299999999999994</v>
      </c>
      <c r="BK6" s="40">
        <f t="shared" ref="BK6:BK26" si="5">SUM(BL6:BO6)</f>
        <v>257902.7078</v>
      </c>
      <c r="BL6" s="60">
        <v>93965.35</v>
      </c>
      <c r="BM6" s="60">
        <v>300.37</v>
      </c>
      <c r="BN6" s="60">
        <v>163218.59400000001</v>
      </c>
      <c r="BO6" s="70">
        <v>418.3938</v>
      </c>
      <c r="BP6" s="38">
        <f t="shared" ref="BP6:BP26" si="6">SUM(BQ6:BU6)</f>
        <v>355906.88319999998</v>
      </c>
      <c r="BQ6" s="55">
        <f>222155.4*1.21</f>
        <v>268808.03399999999</v>
      </c>
      <c r="BR6" s="77">
        <f>3234.72*1.21</f>
        <v>3914.0111999999995</v>
      </c>
      <c r="BS6" s="77">
        <f>17148.07*4*1.21</f>
        <v>82996.65879999999</v>
      </c>
      <c r="BT6" s="77">
        <f>38.88*4*1.21</f>
        <v>188.17920000000001</v>
      </c>
      <c r="BU6" s="54">
        <v>0</v>
      </c>
      <c r="BV6" s="39">
        <f t="shared" ref="BV6:BV26" si="7">SUM(BW6:BZ6)</f>
        <v>1214771.4000000001</v>
      </c>
      <c r="BW6" s="57">
        <v>796734</v>
      </c>
      <c r="BX6" s="57">
        <f>(104272.96*4)</f>
        <v>417091.84000000003</v>
      </c>
      <c r="BY6" s="57">
        <f>(236.39*4)</f>
        <v>945.56</v>
      </c>
      <c r="BZ6" s="56">
        <v>0</v>
      </c>
      <c r="CA6" s="40">
        <f t="shared" ref="CA6:CA26" si="8">SUM(CB6,CI6:CL6)</f>
        <v>9671419.761735484</v>
      </c>
      <c r="CB6" s="36">
        <f t="shared" ref="CB6" si="9">SUM(CC6:CH6)</f>
        <v>170220.76173548389</v>
      </c>
      <c r="CC6" s="62">
        <f>11196.8*1.21*4</f>
        <v>54192.511999999995</v>
      </c>
      <c r="CD6" s="62">
        <f>7708.62*1.21*4</f>
        <v>37309.720799999996</v>
      </c>
      <c r="CE6" s="62">
        <f>4663.66*1.21*(11+13/31)</f>
        <v>64439.745948387099</v>
      </c>
      <c r="CF6" s="62">
        <f>794.79*1.21*(11+13/31)</f>
        <v>10981.946729032257</v>
      </c>
      <c r="CG6" s="62">
        <f>238.6*1.21*(11+13/31)</f>
        <v>3296.8362580645157</v>
      </c>
      <c r="CH6" s="85">
        <v>0</v>
      </c>
      <c r="CI6" s="85">
        <v>457</v>
      </c>
      <c r="CJ6" s="62">
        <v>396375</v>
      </c>
      <c r="CK6" s="62">
        <v>9078866</v>
      </c>
      <c r="CL6" s="62">
        <v>25501</v>
      </c>
      <c r="CM6" s="37">
        <f>SUM(AV6,BB6,BE6,BH6,BK6,BP6,BV6,CA6)</f>
        <v>17519773.812735483</v>
      </c>
      <c r="CN6" s="4"/>
      <c r="CO6" s="45">
        <f t="shared" ref="CO6:CO26" si="10">AV6-C6</f>
        <v>-764156.12999999989</v>
      </c>
      <c r="CP6" s="46">
        <f t="shared" ref="CP6:CP26" si="11">AW6-D6</f>
        <v>-778582.26999999955</v>
      </c>
      <c r="CQ6" s="46">
        <f t="shared" ref="CQ6:CQ26" si="12">AX6-E6</f>
        <v>-811809.37000000011</v>
      </c>
      <c r="CR6" s="46">
        <f t="shared" ref="CR6:CR26" si="13">AY6-F6</f>
        <v>26156.459999999963</v>
      </c>
      <c r="CS6" s="46">
        <f t="shared" ref="CS6:CS26" si="14">AZ6-G6</f>
        <v>7070.640000000014</v>
      </c>
      <c r="CT6" s="46">
        <f t="shared" ref="CT6:CT26" si="15">BA6-H6</f>
        <v>14426.14</v>
      </c>
      <c r="CU6" s="45">
        <f t="shared" ref="CU6:CU26" si="16">BB6-I6</f>
        <v>-6193</v>
      </c>
      <c r="CV6" s="46">
        <f t="shared" ref="CV6:CV26" si="17">BC6-J6</f>
        <v>-6193</v>
      </c>
      <c r="CW6" s="46">
        <f t="shared" ref="CW6:CW26" si="18">BD6-K6</f>
        <v>0</v>
      </c>
      <c r="CX6" s="45">
        <f t="shared" ref="CX6:CX26" si="19">BE6-L6</f>
        <v>-35897</v>
      </c>
      <c r="CY6" s="46">
        <f t="shared" ref="CY6:CY26" si="20">BF6-M6</f>
        <v>-35897</v>
      </c>
      <c r="CZ6" s="46">
        <f t="shared" ref="CZ6:CZ26" si="21">BG6-N6</f>
        <v>0</v>
      </c>
      <c r="DA6" s="45">
        <f t="shared" ref="DA6:DA26" si="22">BH6-O6</f>
        <v>240.15000000000009</v>
      </c>
      <c r="DB6" s="46">
        <f t="shared" ref="DB6:DB26" si="23">BI6-P6</f>
        <v>239.19000000000005</v>
      </c>
      <c r="DC6" s="46">
        <f t="shared" ref="DC6:DC26" si="24">BJ6-Q6</f>
        <v>0.95999999999999908</v>
      </c>
      <c r="DD6" s="45">
        <f t="shared" ref="DD6:DD26" si="25">BK6-R6</f>
        <v>19689.867800000007</v>
      </c>
      <c r="DE6" s="47">
        <f t="shared" ref="DE6:DE26" si="26">BL6-S6</f>
        <v>10566.690000000002</v>
      </c>
      <c r="DF6" s="47">
        <f t="shared" ref="DF6:DF26" si="27">BM6-T6</f>
        <v>76.19</v>
      </c>
      <c r="DG6" s="48">
        <f t="shared" ref="DG6:DG26" si="28">BN6-U6</f>
        <v>8628.5940000000119</v>
      </c>
      <c r="DH6" s="46">
        <f t="shared" ref="DH6:DH26" si="29">BO6-V6</f>
        <v>418.3938</v>
      </c>
      <c r="DI6" s="49">
        <f t="shared" ref="DI6:DI26" si="30">BP6-W6</f>
        <v>83184.837999999989</v>
      </c>
      <c r="DJ6" s="47">
        <f t="shared" ref="DJ6:DJ26" si="31">BQ6-X6</f>
        <v>0</v>
      </c>
      <c r="DK6" s="46">
        <f t="shared" ref="DK6:DK26" si="32">BR6-Y6</f>
        <v>0</v>
      </c>
      <c r="DL6" s="46">
        <f t="shared" ref="DL6:DL26" si="33">BS6-Z6</f>
        <v>82996.65879999999</v>
      </c>
      <c r="DM6" s="46">
        <f t="shared" ref="DM6:DM26" si="34">BT6-AA6</f>
        <v>188.17920000000001</v>
      </c>
      <c r="DN6" s="46">
        <f t="shared" ref="DN6:DN26" si="35">BU6-AB6</f>
        <v>0</v>
      </c>
      <c r="DO6" s="50">
        <f t="shared" ref="DO6:DO26" si="36">BV6-AC6</f>
        <v>418037.40000000014</v>
      </c>
      <c r="DP6" s="47">
        <f t="shared" ref="DP6:DP26" si="37">BW6-AD6</f>
        <v>0</v>
      </c>
      <c r="DQ6" s="47">
        <f t="shared" ref="DQ6:DQ26" si="38">BX6-AE6</f>
        <v>417091.84000000003</v>
      </c>
      <c r="DR6" s="46">
        <f t="shared" ref="DR6:DR26" si="39">BY6-AF6</f>
        <v>945.56</v>
      </c>
      <c r="DS6" s="46">
        <f t="shared" ref="DS6:DS26" si="40">BZ6-AG6</f>
        <v>0</v>
      </c>
      <c r="DT6" s="45">
        <f t="shared" ref="DT6:DT26" si="41">CA6-AH6</f>
        <v>-81442.764264516532</v>
      </c>
      <c r="DU6" s="47">
        <f t="shared" ref="DU6:DU26" si="42">CB6-AI6</f>
        <v>170220.76173548389</v>
      </c>
      <c r="DV6" s="47">
        <f t="shared" ref="DV6:DV26" si="43">CC6-AJ6</f>
        <v>54192.511999999995</v>
      </c>
      <c r="DW6" s="47">
        <f t="shared" ref="DW6:DW26" si="44">CD6-AK6</f>
        <v>37309.720799999996</v>
      </c>
      <c r="DX6" s="47">
        <f t="shared" ref="DX6:DX26" si="45">CE6-AL6</f>
        <v>64439.745948387099</v>
      </c>
      <c r="DY6" s="47">
        <f t="shared" ref="DY6:DY26" si="46">CF6-AM6</f>
        <v>10981.946729032257</v>
      </c>
      <c r="DZ6" s="47">
        <f t="shared" ref="DZ6:DZ26" si="47">CG6-AN6</f>
        <v>3296.8362580645157</v>
      </c>
      <c r="EA6" s="47">
        <f t="shared" ref="EA6:EA26" si="48">CH6-AO6</f>
        <v>0</v>
      </c>
      <c r="EB6" s="47">
        <f t="shared" ref="EB6:EB26" si="49">CI6-AP6</f>
        <v>457</v>
      </c>
      <c r="EC6" s="47">
        <f t="shared" ref="EC6:EC26" si="50">CJ6-AQ6</f>
        <v>0</v>
      </c>
      <c r="ED6" s="47">
        <f t="shared" ref="ED6:ED26" si="51">CK6-AR6</f>
        <v>-256712</v>
      </c>
      <c r="EE6" s="47">
        <f t="shared" ref="EE6:EE26" si="52">CL6-AS6</f>
        <v>4591.474000000002</v>
      </c>
      <c r="EF6" s="46">
        <f>SUM(CO6,CU6,CX6,DA6,DD6,DI6,DO6,DT6,)</f>
        <v>-366536.63846451626</v>
      </c>
      <c r="EH6" s="46">
        <v>0</v>
      </c>
      <c r="EI6" s="46">
        <f t="shared" ref="EI6:EI26" si="53">EH6+EF6</f>
        <v>-366536.63846451626</v>
      </c>
      <c r="EJ6" s="46">
        <v>0</v>
      </c>
      <c r="EK6" s="46">
        <f>EF6+EJ6</f>
        <v>-366536.63846451626</v>
      </c>
    </row>
    <row r="7" spans="1:141" ht="14.4" x14ac:dyDescent="0.3">
      <c r="A7" s="24">
        <f>A6+1</f>
        <v>2</v>
      </c>
      <c r="B7" s="25">
        <v>2025</v>
      </c>
      <c r="C7" s="40">
        <f t="shared" ref="C7:C26" si="54">SUM(D7,H7)</f>
        <v>6367742.0899999999</v>
      </c>
      <c r="D7" s="37">
        <f t="shared" ref="D7:D26" si="55">SUM(E7:G7)</f>
        <v>6367742.0899999999</v>
      </c>
      <c r="E7" s="80">
        <v>5179425.6500000004</v>
      </c>
      <c r="F7" s="72">
        <v>950060.76</v>
      </c>
      <c r="G7" s="72">
        <v>238255.68</v>
      </c>
      <c r="H7" s="80">
        <v>0</v>
      </c>
      <c r="I7" s="40">
        <f t="shared" ref="I7:I26" si="56">SUM(J7:K7)</f>
        <v>6193</v>
      </c>
      <c r="J7" s="73">
        <v>6193</v>
      </c>
      <c r="K7" s="73">
        <v>0</v>
      </c>
      <c r="L7" s="40">
        <f t="shared" ref="L7:L26" si="57">SUM(M7:N7)</f>
        <v>35897</v>
      </c>
      <c r="M7" s="74">
        <v>35897</v>
      </c>
      <c r="N7" s="74">
        <v>0</v>
      </c>
      <c r="O7" s="40">
        <f t="shared" ref="O7:O26" si="58">SUM(P7:Q7)</f>
        <v>3006.9500000000003</v>
      </c>
      <c r="P7" s="75">
        <v>2998.38</v>
      </c>
      <c r="Q7" s="75">
        <v>8.57</v>
      </c>
      <c r="R7" s="40">
        <f t="shared" ref="R7:R26" si="59">SUM(S7:V7)</f>
        <v>701979.84</v>
      </c>
      <c r="S7" s="60">
        <v>83398.66</v>
      </c>
      <c r="T7" s="60">
        <v>224.18</v>
      </c>
      <c r="U7" s="60">
        <v>618357</v>
      </c>
      <c r="V7" s="76">
        <v>0</v>
      </c>
      <c r="W7" s="38">
        <f t="shared" ref="W7:W26" si="60">SUM(X7:AB7)</f>
        <v>272722.04519999999</v>
      </c>
      <c r="X7" s="55">
        <v>268808.03399999999</v>
      </c>
      <c r="Y7" s="77">
        <v>3914.0111999999999</v>
      </c>
      <c r="Z7" s="55">
        <v>0</v>
      </c>
      <c r="AA7" s="77">
        <v>0</v>
      </c>
      <c r="AB7" s="77">
        <v>0</v>
      </c>
      <c r="AC7" s="39">
        <f t="shared" si="0"/>
        <v>796734</v>
      </c>
      <c r="AD7" s="57">
        <v>796734</v>
      </c>
      <c r="AE7" s="58">
        <v>0</v>
      </c>
      <c r="AF7" s="58">
        <v>0</v>
      </c>
      <c r="AG7" s="58">
        <v>0</v>
      </c>
      <c r="AH7" s="40">
        <f t="shared" ref="AH7:AH26" si="61">SUM(AI7,AP7:AS7)</f>
        <v>9930508.9850000013</v>
      </c>
      <c r="AI7" s="36">
        <f t="shared" si="1"/>
        <v>0</v>
      </c>
      <c r="AJ7" s="78">
        <v>0</v>
      </c>
      <c r="AK7" s="78">
        <v>0</v>
      </c>
      <c r="AL7" s="78">
        <v>0</v>
      </c>
      <c r="AM7" s="78">
        <v>0</v>
      </c>
      <c r="AN7" s="78">
        <v>0</v>
      </c>
      <c r="AO7" s="78">
        <v>0</v>
      </c>
      <c r="AP7" s="78">
        <v>0</v>
      </c>
      <c r="AQ7" s="62">
        <v>574021.45900000003</v>
      </c>
      <c r="AR7" s="62">
        <f>ROUNDUP(9335577.6624,0)</f>
        <v>9335578</v>
      </c>
      <c r="AS7" s="62">
        <v>20909.525999999998</v>
      </c>
      <c r="AT7" s="37">
        <f t="shared" ref="AT7:AT26" si="62">SUM(C7,I7,L7,O7,R7,W7,AC7,AH7)</f>
        <v>18114783.9102</v>
      </c>
      <c r="AU7" s="40">
        <f t="shared" si="2"/>
        <v>-144718.38399999961</v>
      </c>
      <c r="AV7" s="40">
        <f t="shared" ref="AV7:AV26" si="63">SUM(AW7,BA7)</f>
        <v>4493182.59</v>
      </c>
      <c r="AW7" s="37">
        <f t="shared" ref="AW7:AW26" si="64">SUM(AX7:AZ7)</f>
        <v>4479087.68</v>
      </c>
      <c r="AX7" s="72">
        <v>3181871.32</v>
      </c>
      <c r="AY7" s="72">
        <v>1036025.81</v>
      </c>
      <c r="AZ7" s="72">
        <v>261190.55</v>
      </c>
      <c r="BA7" s="72">
        <v>14094.91</v>
      </c>
      <c r="BB7" s="40">
        <f t="shared" ref="BB7:BB26" si="65">SUM(BC7:BD7)</f>
        <v>0</v>
      </c>
      <c r="BC7" s="73">
        <v>0</v>
      </c>
      <c r="BD7" s="73">
        <v>0</v>
      </c>
      <c r="BE7" s="40">
        <f t="shared" si="3"/>
        <v>0</v>
      </c>
      <c r="BF7" s="74">
        <v>0</v>
      </c>
      <c r="BG7" s="74">
        <v>0</v>
      </c>
      <c r="BH7" s="40">
        <f t="shared" si="4"/>
        <v>3638.69</v>
      </c>
      <c r="BI7" s="79">
        <v>3627.18</v>
      </c>
      <c r="BJ7" s="79">
        <v>11.51</v>
      </c>
      <c r="BK7" s="40">
        <f t="shared" si="5"/>
        <v>753596.48109999998</v>
      </c>
      <c r="BL7" s="60">
        <v>94693.09</v>
      </c>
      <c r="BM7" s="60">
        <v>300.37</v>
      </c>
      <c r="BN7" s="60">
        <v>656929.46109999996</v>
      </c>
      <c r="BO7" s="60">
        <v>1673.56</v>
      </c>
      <c r="BP7" s="38">
        <f t="shared" si="6"/>
        <v>576903.67879999999</v>
      </c>
      <c r="BQ7" s="55">
        <f>18512.95*8*1.21</f>
        <v>179205.356</v>
      </c>
      <c r="BR7" s="77">
        <f>269.56*8*1.21</f>
        <v>2609.3407999999999</v>
      </c>
      <c r="BS7" s="77">
        <f>(17148.07*8*1.21)+(39955.88*4*1.21)</f>
        <v>359379.77679999999</v>
      </c>
      <c r="BT7" s="77">
        <f>(38.88*8*1.21)+(68.77*4*1.21)</f>
        <v>709.20519999999999</v>
      </c>
      <c r="BU7" s="54">
        <v>35000</v>
      </c>
      <c r="BV7" s="39">
        <f t="shared" si="7"/>
        <v>2050846</v>
      </c>
      <c r="BW7" s="57">
        <v>796734</v>
      </c>
      <c r="BX7" s="57">
        <v>1251275.3799999999</v>
      </c>
      <c r="BY7" s="57">
        <v>2836.62</v>
      </c>
      <c r="BZ7" s="56">
        <v>0</v>
      </c>
      <c r="CA7" s="40">
        <f t="shared" si="8"/>
        <v>10091898.086300001</v>
      </c>
      <c r="CB7" s="36">
        <f t="shared" ref="CB7:CB26" si="66">SUM(CC7:CH7)</f>
        <v>446256.62729999999</v>
      </c>
      <c r="CC7" s="62">
        <f>11283.53*1.21*12</f>
        <v>163836.85560000001</v>
      </c>
      <c r="CD7" s="62">
        <f>7708.62*1.21*3+9672.27*1.21*9</f>
        <v>133313.31090000001</v>
      </c>
      <c r="CE7" s="62">
        <f>4690.58*1.21*12</f>
        <v>68107.22159999999</v>
      </c>
      <c r="CF7" s="62">
        <f>800.95*1.21*12</f>
        <v>11629.794</v>
      </c>
      <c r="CG7" s="62">
        <f>240.45*1.21*12</f>
        <v>3491.3339999999998</v>
      </c>
      <c r="CH7" s="86">
        <f>4537.06*1.21*12</f>
        <v>65878.111199999999</v>
      </c>
      <c r="CI7" s="86">
        <v>1331</v>
      </c>
      <c r="CJ7" s="62">
        <v>574021.45900000003</v>
      </c>
      <c r="CK7" s="62">
        <v>9033428</v>
      </c>
      <c r="CL7" s="62">
        <v>36861</v>
      </c>
      <c r="CM7" s="37">
        <f t="shared" ref="CM7:CM26" si="67">SUM(AV7,BB7,BE7,BH7,BK7,BP7,BV7,CA7)</f>
        <v>17970065.5262</v>
      </c>
      <c r="CN7" s="4"/>
      <c r="CO7" s="45">
        <f t="shared" si="10"/>
        <v>-1874559.5</v>
      </c>
      <c r="CP7" s="46">
        <f t="shared" si="11"/>
        <v>-1888654.4100000001</v>
      </c>
      <c r="CQ7" s="46">
        <f t="shared" si="12"/>
        <v>-1997554.3300000005</v>
      </c>
      <c r="CR7" s="46">
        <f t="shared" si="13"/>
        <v>85965.050000000047</v>
      </c>
      <c r="CS7" s="46">
        <f t="shared" si="14"/>
        <v>22934.869999999995</v>
      </c>
      <c r="CT7" s="46">
        <f t="shared" si="15"/>
        <v>14094.91</v>
      </c>
      <c r="CU7" s="45">
        <f t="shared" si="16"/>
        <v>-6193</v>
      </c>
      <c r="CV7" s="46">
        <f t="shared" si="17"/>
        <v>-6193</v>
      </c>
      <c r="CW7" s="46">
        <f t="shared" si="18"/>
        <v>0</v>
      </c>
      <c r="CX7" s="45">
        <f t="shared" si="19"/>
        <v>-35897</v>
      </c>
      <c r="CY7" s="46">
        <f t="shared" si="20"/>
        <v>-35897</v>
      </c>
      <c r="CZ7" s="46">
        <f t="shared" si="21"/>
        <v>0</v>
      </c>
      <c r="DA7" s="45">
        <f t="shared" si="22"/>
        <v>631.73999999999978</v>
      </c>
      <c r="DB7" s="46">
        <f t="shared" si="23"/>
        <v>628.79999999999973</v>
      </c>
      <c r="DC7" s="46">
        <f t="shared" si="24"/>
        <v>2.9399999999999995</v>
      </c>
      <c r="DD7" s="45">
        <f t="shared" si="25"/>
        <v>51616.641100000008</v>
      </c>
      <c r="DE7" s="47">
        <f t="shared" si="26"/>
        <v>11294.429999999993</v>
      </c>
      <c r="DF7" s="47">
        <f t="shared" si="27"/>
        <v>76.19</v>
      </c>
      <c r="DG7" s="48">
        <f t="shared" si="28"/>
        <v>38572.461099999957</v>
      </c>
      <c r="DH7" s="46">
        <f t="shared" si="29"/>
        <v>1673.56</v>
      </c>
      <c r="DI7" s="49">
        <f t="shared" si="30"/>
        <v>304181.6336</v>
      </c>
      <c r="DJ7" s="47">
        <f t="shared" si="31"/>
        <v>-89602.677999999985</v>
      </c>
      <c r="DK7" s="46">
        <f t="shared" si="32"/>
        <v>-1304.6704</v>
      </c>
      <c r="DL7" s="46">
        <f t="shared" si="33"/>
        <v>359379.77679999999</v>
      </c>
      <c r="DM7" s="46">
        <f t="shared" si="34"/>
        <v>709.20519999999999</v>
      </c>
      <c r="DN7" s="46">
        <f t="shared" si="35"/>
        <v>35000</v>
      </c>
      <c r="DO7" s="50">
        <f t="shared" si="36"/>
        <v>1254112</v>
      </c>
      <c r="DP7" s="47">
        <f t="shared" si="37"/>
        <v>0</v>
      </c>
      <c r="DQ7" s="47">
        <f t="shared" si="38"/>
        <v>1251275.3799999999</v>
      </c>
      <c r="DR7" s="46">
        <f t="shared" si="39"/>
        <v>2836.62</v>
      </c>
      <c r="DS7" s="46">
        <f t="shared" si="40"/>
        <v>0</v>
      </c>
      <c r="DT7" s="45">
        <f t="shared" si="41"/>
        <v>161389.10129999928</v>
      </c>
      <c r="DU7" s="47">
        <f t="shared" si="42"/>
        <v>446256.62729999999</v>
      </c>
      <c r="DV7" s="47">
        <f t="shared" si="43"/>
        <v>163836.85560000001</v>
      </c>
      <c r="DW7" s="47">
        <f t="shared" si="44"/>
        <v>133313.31090000001</v>
      </c>
      <c r="DX7" s="47">
        <f t="shared" si="45"/>
        <v>68107.22159999999</v>
      </c>
      <c r="DY7" s="47">
        <f t="shared" si="46"/>
        <v>11629.794</v>
      </c>
      <c r="DZ7" s="47">
        <f t="shared" si="47"/>
        <v>3491.3339999999998</v>
      </c>
      <c r="EA7" s="47">
        <f t="shared" si="48"/>
        <v>65878.111199999999</v>
      </c>
      <c r="EB7" s="47">
        <f t="shared" si="49"/>
        <v>1331</v>
      </c>
      <c r="EC7" s="47">
        <f t="shared" si="50"/>
        <v>0</v>
      </c>
      <c r="ED7" s="47">
        <f t="shared" si="51"/>
        <v>-302150</v>
      </c>
      <c r="EE7" s="47">
        <f t="shared" si="52"/>
        <v>15951.474000000002</v>
      </c>
      <c r="EF7" s="46">
        <f t="shared" ref="EF7:EF27" si="68">SUM(CO7,CU7,CX7,DA7,DD7,DI7,DO7,DT7,)</f>
        <v>-144718.38400000078</v>
      </c>
      <c r="EH7" s="46">
        <v>0</v>
      </c>
      <c r="EI7" s="46">
        <f t="shared" si="53"/>
        <v>-144718.38400000078</v>
      </c>
      <c r="EJ7" s="46">
        <v>0</v>
      </c>
      <c r="EK7" s="46">
        <f t="shared" ref="EK7:EK26" si="69">EF7+EJ7</f>
        <v>-144718.38400000078</v>
      </c>
    </row>
    <row r="8" spans="1:141" ht="14.4" x14ac:dyDescent="0.3">
      <c r="A8" s="24">
        <f t="shared" ref="A8:A26" si="70">A7+1</f>
        <v>3</v>
      </c>
      <c r="B8" s="25">
        <v>2026</v>
      </c>
      <c r="C8" s="40">
        <f t="shared" si="54"/>
        <v>6367742.0899999999</v>
      </c>
      <c r="D8" s="37">
        <f t="shared" si="55"/>
        <v>6367742.0899999999</v>
      </c>
      <c r="E8" s="80">
        <v>5179425.6500000004</v>
      </c>
      <c r="F8" s="72">
        <v>950060.76</v>
      </c>
      <c r="G8" s="72">
        <v>238255.68</v>
      </c>
      <c r="H8" s="80">
        <v>0</v>
      </c>
      <c r="I8" s="40">
        <f t="shared" si="56"/>
        <v>6193</v>
      </c>
      <c r="J8" s="73">
        <v>6193</v>
      </c>
      <c r="K8" s="73">
        <v>0</v>
      </c>
      <c r="L8" s="40">
        <f t="shared" si="57"/>
        <v>35897</v>
      </c>
      <c r="M8" s="74">
        <v>35897</v>
      </c>
      <c r="N8" s="74">
        <v>0</v>
      </c>
      <c r="O8" s="40">
        <f t="shared" si="58"/>
        <v>3006.9500000000003</v>
      </c>
      <c r="P8" s="75">
        <v>2998.38</v>
      </c>
      <c r="Q8" s="75">
        <v>8.57</v>
      </c>
      <c r="R8" s="40">
        <f t="shared" si="59"/>
        <v>598920.84</v>
      </c>
      <c r="S8" s="60">
        <v>83398.66</v>
      </c>
      <c r="T8" s="60">
        <v>224.18</v>
      </c>
      <c r="U8" s="60">
        <v>515298</v>
      </c>
      <c r="V8" s="76">
        <v>0</v>
      </c>
      <c r="W8" s="38">
        <f t="shared" si="60"/>
        <v>272722.04519999999</v>
      </c>
      <c r="X8" s="55">
        <v>268808.03399999999</v>
      </c>
      <c r="Y8" s="77">
        <v>3914.0111999999999</v>
      </c>
      <c r="Z8" s="55">
        <v>0</v>
      </c>
      <c r="AA8" s="77">
        <v>0</v>
      </c>
      <c r="AB8" s="77">
        <v>0</v>
      </c>
      <c r="AC8" s="39">
        <f t="shared" si="0"/>
        <v>796734</v>
      </c>
      <c r="AD8" s="57">
        <v>796734</v>
      </c>
      <c r="AE8" s="58">
        <v>0</v>
      </c>
      <c r="AF8" s="58">
        <v>0</v>
      </c>
      <c r="AG8" s="58">
        <v>0</v>
      </c>
      <c r="AH8" s="40">
        <f t="shared" si="61"/>
        <v>9356487.5260000005</v>
      </c>
      <c r="AI8" s="36">
        <f t="shared" si="1"/>
        <v>0</v>
      </c>
      <c r="AJ8" s="78">
        <v>0</v>
      </c>
      <c r="AK8" s="78">
        <v>0</v>
      </c>
      <c r="AL8" s="78">
        <v>0</v>
      </c>
      <c r="AM8" s="78">
        <v>0</v>
      </c>
      <c r="AN8" s="78">
        <v>0</v>
      </c>
      <c r="AO8" s="78">
        <v>0</v>
      </c>
      <c r="AP8" s="78">
        <v>0</v>
      </c>
      <c r="AQ8" s="62">
        <v>0</v>
      </c>
      <c r="AR8" s="62">
        <f>ROUNDUP(9335577.6624,0)</f>
        <v>9335578</v>
      </c>
      <c r="AS8" s="62">
        <v>20909.525999999998</v>
      </c>
      <c r="AT8" s="37">
        <f t="shared" si="62"/>
        <v>17437703.451200001</v>
      </c>
      <c r="AU8" s="40">
        <f t="shared" si="2"/>
        <v>-612896.3104000017</v>
      </c>
      <c r="AV8" s="40">
        <f t="shared" si="63"/>
        <v>4228800.05</v>
      </c>
      <c r="AW8" s="37">
        <f t="shared" si="64"/>
        <v>4214705.1399999997</v>
      </c>
      <c r="AX8" s="72">
        <v>3031787.92</v>
      </c>
      <c r="AY8" s="72">
        <v>945703.69</v>
      </c>
      <c r="AZ8" s="72">
        <v>237213.53</v>
      </c>
      <c r="BA8" s="72">
        <v>14094.91</v>
      </c>
      <c r="BB8" s="40">
        <f t="shared" si="65"/>
        <v>0</v>
      </c>
      <c r="BC8" s="73">
        <v>0</v>
      </c>
      <c r="BD8" s="73">
        <v>0</v>
      </c>
      <c r="BE8" s="40">
        <f t="shared" si="3"/>
        <v>0</v>
      </c>
      <c r="BF8" s="74">
        <v>0</v>
      </c>
      <c r="BG8" s="74">
        <v>0</v>
      </c>
      <c r="BH8" s="40">
        <f t="shared" si="4"/>
        <v>3341.32</v>
      </c>
      <c r="BI8" s="79">
        <v>3329.81</v>
      </c>
      <c r="BJ8" s="79">
        <v>11.51</v>
      </c>
      <c r="BK8" s="40">
        <f t="shared" si="5"/>
        <v>621719.96099999989</v>
      </c>
      <c r="BL8" s="60">
        <v>90775.18</v>
      </c>
      <c r="BM8" s="60">
        <v>300.37</v>
      </c>
      <c r="BN8" s="60">
        <v>529249.76500000001</v>
      </c>
      <c r="BO8" s="60">
        <v>1394.646</v>
      </c>
      <c r="BP8" s="38">
        <f t="shared" si="6"/>
        <v>568133.01819999993</v>
      </c>
      <c r="BQ8" s="55">
        <v>0</v>
      </c>
      <c r="BR8" s="77">
        <v>0</v>
      </c>
      <c r="BS8" s="77">
        <f>468706.17*1.21</f>
        <v>567134.46569999994</v>
      </c>
      <c r="BT8" s="77">
        <f>825.25*1.21</f>
        <v>998.55250000000001</v>
      </c>
      <c r="BU8" s="54">
        <v>0</v>
      </c>
      <c r="BV8" s="39">
        <f t="shared" si="7"/>
        <v>1895728.76</v>
      </c>
      <c r="BW8" s="57">
        <v>0</v>
      </c>
      <c r="BX8" s="57">
        <f>(104272.95*4)+(154201.185*8)</f>
        <v>1650701.28</v>
      </c>
      <c r="BY8" s="57">
        <f>(236.39*4)+(510.24*8)</f>
        <v>5027.4799999999996</v>
      </c>
      <c r="BZ8" s="58">
        <v>240000</v>
      </c>
      <c r="CA8" s="40">
        <f t="shared" si="8"/>
        <v>9507084.0316000003</v>
      </c>
      <c r="CB8" s="36">
        <f t="shared" si="66"/>
        <v>435416.03159999999</v>
      </c>
      <c r="CC8" s="62">
        <f>10816.67*1.21*12</f>
        <v>157058.0484</v>
      </c>
      <c r="CD8" s="62">
        <f>9272.07*1.21*12</f>
        <v>134630.45639999997</v>
      </c>
      <c r="CE8" s="62">
        <f>4545.61*1.21*12</f>
        <v>66002.257199999993</v>
      </c>
      <c r="CF8" s="62">
        <f>767.82*1.21*12</f>
        <v>11148.7464</v>
      </c>
      <c r="CG8" s="62">
        <f>230.5*1.21*12</f>
        <v>3346.8599999999997</v>
      </c>
      <c r="CH8" s="86">
        <f>4354.66*1.21*12</f>
        <v>63229.663199999995</v>
      </c>
      <c r="CI8" s="86">
        <v>1379</v>
      </c>
      <c r="CJ8" s="62">
        <v>0</v>
      </c>
      <c r="CK8" s="62">
        <v>9033428</v>
      </c>
      <c r="CL8" s="62">
        <v>36861</v>
      </c>
      <c r="CM8" s="37">
        <f t="shared" si="67"/>
        <v>16824807.140799999</v>
      </c>
      <c r="CN8" s="4"/>
      <c r="CO8" s="45">
        <f t="shared" si="10"/>
        <v>-2138942.04</v>
      </c>
      <c r="CP8" s="46">
        <f t="shared" si="11"/>
        <v>-2153036.9500000002</v>
      </c>
      <c r="CQ8" s="46">
        <f t="shared" si="12"/>
        <v>-2147637.7300000004</v>
      </c>
      <c r="CR8" s="46">
        <f t="shared" si="13"/>
        <v>-4357.0700000000652</v>
      </c>
      <c r="CS8" s="46">
        <f t="shared" si="14"/>
        <v>-1042.1499999999942</v>
      </c>
      <c r="CT8" s="46">
        <f t="shared" si="15"/>
        <v>14094.91</v>
      </c>
      <c r="CU8" s="45">
        <f t="shared" si="16"/>
        <v>-6193</v>
      </c>
      <c r="CV8" s="46">
        <f t="shared" si="17"/>
        <v>-6193</v>
      </c>
      <c r="CW8" s="46">
        <f t="shared" si="18"/>
        <v>0</v>
      </c>
      <c r="CX8" s="45">
        <f t="shared" si="19"/>
        <v>-35897</v>
      </c>
      <c r="CY8" s="46">
        <f t="shared" si="20"/>
        <v>-35897</v>
      </c>
      <c r="CZ8" s="46">
        <f t="shared" si="21"/>
        <v>0</v>
      </c>
      <c r="DA8" s="45">
        <f t="shared" si="22"/>
        <v>334.36999999999989</v>
      </c>
      <c r="DB8" s="46">
        <f t="shared" si="23"/>
        <v>331.42999999999984</v>
      </c>
      <c r="DC8" s="46">
        <f t="shared" si="24"/>
        <v>2.9399999999999995</v>
      </c>
      <c r="DD8" s="45">
        <f t="shared" si="25"/>
        <v>22799.120999999926</v>
      </c>
      <c r="DE8" s="47">
        <f t="shared" si="26"/>
        <v>7376.5199999999895</v>
      </c>
      <c r="DF8" s="47">
        <f t="shared" si="27"/>
        <v>76.19</v>
      </c>
      <c r="DG8" s="48">
        <f t="shared" si="28"/>
        <v>13951.765000000014</v>
      </c>
      <c r="DH8" s="46">
        <f t="shared" si="29"/>
        <v>1394.646</v>
      </c>
      <c r="DI8" s="49">
        <f t="shared" si="30"/>
        <v>295410.97299999994</v>
      </c>
      <c r="DJ8" s="47">
        <f t="shared" si="31"/>
        <v>-268808.03399999999</v>
      </c>
      <c r="DK8" s="46">
        <f t="shared" si="32"/>
        <v>-3914.0111999999999</v>
      </c>
      <c r="DL8" s="46">
        <f t="shared" si="33"/>
        <v>567134.46569999994</v>
      </c>
      <c r="DM8" s="46">
        <f t="shared" si="34"/>
        <v>998.55250000000001</v>
      </c>
      <c r="DN8" s="46">
        <f t="shared" si="35"/>
        <v>0</v>
      </c>
      <c r="DO8" s="50">
        <f t="shared" si="36"/>
        <v>1098994.76</v>
      </c>
      <c r="DP8" s="47">
        <f t="shared" si="37"/>
        <v>-796734</v>
      </c>
      <c r="DQ8" s="47">
        <f t="shared" si="38"/>
        <v>1650701.28</v>
      </c>
      <c r="DR8" s="46">
        <f t="shared" si="39"/>
        <v>5027.4799999999996</v>
      </c>
      <c r="DS8" s="46">
        <f t="shared" si="40"/>
        <v>240000</v>
      </c>
      <c r="DT8" s="45">
        <f t="shared" si="41"/>
        <v>150596.5055999998</v>
      </c>
      <c r="DU8" s="47">
        <f t="shared" si="42"/>
        <v>435416.03159999999</v>
      </c>
      <c r="DV8" s="47">
        <f t="shared" si="43"/>
        <v>157058.0484</v>
      </c>
      <c r="DW8" s="47">
        <f t="shared" si="44"/>
        <v>134630.45639999997</v>
      </c>
      <c r="DX8" s="47">
        <f t="shared" si="45"/>
        <v>66002.257199999993</v>
      </c>
      <c r="DY8" s="47">
        <f t="shared" si="46"/>
        <v>11148.7464</v>
      </c>
      <c r="DZ8" s="47">
        <f t="shared" si="47"/>
        <v>3346.8599999999997</v>
      </c>
      <c r="EA8" s="47">
        <f t="shared" si="48"/>
        <v>63229.663199999995</v>
      </c>
      <c r="EB8" s="47">
        <f t="shared" si="49"/>
        <v>1379</v>
      </c>
      <c r="EC8" s="47">
        <f t="shared" si="50"/>
        <v>0</v>
      </c>
      <c r="ED8" s="47">
        <f t="shared" si="51"/>
        <v>-302150</v>
      </c>
      <c r="EE8" s="47">
        <f t="shared" si="52"/>
        <v>15951.474000000002</v>
      </c>
      <c r="EF8" s="46">
        <f t="shared" si="68"/>
        <v>-612896.31040000031</v>
      </c>
      <c r="EH8" s="46">
        <v>264382.53999999998</v>
      </c>
      <c r="EI8" s="46">
        <f t="shared" si="53"/>
        <v>-348513.77040000033</v>
      </c>
      <c r="EJ8" s="87">
        <v>639697</v>
      </c>
      <c r="EK8" s="46">
        <f t="shared" si="69"/>
        <v>26800.689599999692</v>
      </c>
    </row>
    <row r="9" spans="1:141" ht="14.4" x14ac:dyDescent="0.3">
      <c r="A9" s="24">
        <f t="shared" si="70"/>
        <v>4</v>
      </c>
      <c r="B9" s="25">
        <v>2027</v>
      </c>
      <c r="C9" s="40">
        <f t="shared" si="54"/>
        <v>6780682.0899999999</v>
      </c>
      <c r="D9" s="37">
        <f t="shared" si="55"/>
        <v>6780682.0899999999</v>
      </c>
      <c r="E9" s="72">
        <v>5592365.6500000004</v>
      </c>
      <c r="F9" s="72">
        <v>950060.76</v>
      </c>
      <c r="G9" s="72">
        <v>238255.68</v>
      </c>
      <c r="H9" s="72">
        <v>0</v>
      </c>
      <c r="I9" s="40">
        <f t="shared" si="56"/>
        <v>6193</v>
      </c>
      <c r="J9" s="81">
        <v>6193</v>
      </c>
      <c r="K9" s="73">
        <v>0</v>
      </c>
      <c r="L9" s="40">
        <f t="shared" si="57"/>
        <v>35897</v>
      </c>
      <c r="M9" s="82">
        <v>35897</v>
      </c>
      <c r="N9" s="74">
        <v>0</v>
      </c>
      <c r="O9" s="40">
        <f t="shared" si="58"/>
        <v>3006.9500000000003</v>
      </c>
      <c r="P9" s="75">
        <v>2998.38</v>
      </c>
      <c r="Q9" s="75">
        <v>8.57</v>
      </c>
      <c r="R9" s="40">
        <f t="shared" si="59"/>
        <v>83622.84</v>
      </c>
      <c r="S9" s="60">
        <v>83398.66</v>
      </c>
      <c r="T9" s="60">
        <v>224.18</v>
      </c>
      <c r="U9" s="76">
        <v>0</v>
      </c>
      <c r="V9" s="76">
        <v>0</v>
      </c>
      <c r="W9" s="38">
        <f t="shared" si="60"/>
        <v>272722.04519999999</v>
      </c>
      <c r="X9" s="55">
        <v>268808.03399999999</v>
      </c>
      <c r="Y9" s="77">
        <v>3914.0111999999999</v>
      </c>
      <c r="Z9" s="55">
        <v>0</v>
      </c>
      <c r="AA9" s="77">
        <v>0</v>
      </c>
      <c r="AB9" s="77">
        <v>0</v>
      </c>
      <c r="AC9" s="39">
        <f t="shared" si="0"/>
        <v>796734</v>
      </c>
      <c r="AD9" s="57">
        <v>796734</v>
      </c>
      <c r="AE9" s="58">
        <v>0</v>
      </c>
      <c r="AF9" s="58">
        <v>0</v>
      </c>
      <c r="AG9" s="58">
        <v>0</v>
      </c>
      <c r="AH9" s="40">
        <f t="shared" si="61"/>
        <v>9356487.5260000005</v>
      </c>
      <c r="AI9" s="36">
        <f t="shared" si="1"/>
        <v>0</v>
      </c>
      <c r="AJ9" s="78">
        <v>0</v>
      </c>
      <c r="AK9" s="78">
        <v>0</v>
      </c>
      <c r="AL9" s="78">
        <v>0</v>
      </c>
      <c r="AM9" s="78">
        <v>0</v>
      </c>
      <c r="AN9" s="78">
        <v>0</v>
      </c>
      <c r="AO9" s="78">
        <v>0</v>
      </c>
      <c r="AP9" s="78">
        <v>0</v>
      </c>
      <c r="AQ9" s="62">
        <v>0</v>
      </c>
      <c r="AR9" s="62">
        <f>ROUNDUP(9335577.6624,0)</f>
        <v>9335578</v>
      </c>
      <c r="AS9" s="62">
        <v>20909.525999999998</v>
      </c>
      <c r="AT9" s="37">
        <f t="shared" si="62"/>
        <v>17335345.451200001</v>
      </c>
      <c r="AU9" s="40">
        <f t="shared" si="2"/>
        <v>-1009524.7250999995</v>
      </c>
      <c r="AV9" s="40">
        <f t="shared" si="63"/>
        <v>3457528.1500000008</v>
      </c>
      <c r="AW9" s="37">
        <f t="shared" si="64"/>
        <v>3443433.2400000007</v>
      </c>
      <c r="AX9" s="72">
        <v>2483999.7200000002</v>
      </c>
      <c r="AY9" s="72">
        <v>768307.05</v>
      </c>
      <c r="AZ9" s="72">
        <v>191126.47</v>
      </c>
      <c r="BA9" s="72">
        <v>14094.91</v>
      </c>
      <c r="BB9" s="40">
        <f t="shared" si="65"/>
        <v>0</v>
      </c>
      <c r="BC9" s="73">
        <v>0</v>
      </c>
      <c r="BD9" s="73">
        <v>0</v>
      </c>
      <c r="BE9" s="40">
        <f t="shared" si="3"/>
        <v>0</v>
      </c>
      <c r="BF9" s="74">
        <v>0</v>
      </c>
      <c r="BG9" s="74">
        <v>0</v>
      </c>
      <c r="BH9" s="40">
        <f t="shared" si="4"/>
        <v>2762.84</v>
      </c>
      <c r="BI9" s="79">
        <v>2751.33</v>
      </c>
      <c r="BJ9" s="79">
        <v>11.51</v>
      </c>
      <c r="BK9" s="40">
        <f t="shared" si="5"/>
        <v>75973.59</v>
      </c>
      <c r="BL9" s="60">
        <v>75673.22</v>
      </c>
      <c r="BM9" s="60">
        <v>300.37</v>
      </c>
      <c r="BN9" s="60">
        <v>0</v>
      </c>
      <c r="BO9" s="60">
        <v>0</v>
      </c>
      <c r="BP9" s="38">
        <f t="shared" si="6"/>
        <v>517928.52099999995</v>
      </c>
      <c r="BQ9" s="55">
        <v>0</v>
      </c>
      <c r="BR9" s="77">
        <v>0</v>
      </c>
      <c r="BS9" s="77">
        <f>427214.85*1.21</f>
        <v>516929.96849999996</v>
      </c>
      <c r="BT9" s="77">
        <f t="shared" ref="BT9:BT25" si="71">825.25*1.21</f>
        <v>998.55250000000001</v>
      </c>
      <c r="BU9" s="54">
        <v>0</v>
      </c>
      <c r="BV9" s="39">
        <f t="shared" si="7"/>
        <v>2826343.6174999997</v>
      </c>
      <c r="BW9" s="57">
        <v>0</v>
      </c>
      <c r="BX9" s="57">
        <v>2820220.7174999998</v>
      </c>
      <c r="BY9" s="57">
        <v>6122.9</v>
      </c>
      <c r="BZ9" s="56">
        <v>0</v>
      </c>
      <c r="CA9" s="40">
        <f t="shared" si="8"/>
        <v>9445284.0076000001</v>
      </c>
      <c r="CB9" s="36">
        <f t="shared" si="66"/>
        <v>373616.0075999999</v>
      </c>
      <c r="CC9" s="62">
        <f t="shared" ref="CC9:CC25" si="72">9017.14*1.21*12</f>
        <v>130928.87279999998</v>
      </c>
      <c r="CD9" s="62">
        <f t="shared" ref="CD9:CD25" si="73">8249.9*1.21*12</f>
        <v>119788.54799999998</v>
      </c>
      <c r="CE9" s="62">
        <f>3986.85*1.21*12</f>
        <v>57889.061999999998</v>
      </c>
      <c r="CF9" s="62">
        <f t="shared" ref="CF9:CF25" si="74">640.08*1.21*12</f>
        <v>9293.9616000000005</v>
      </c>
      <c r="CG9" s="62">
        <f t="shared" ref="CG9:CG25" si="75">192.15*1.21*12</f>
        <v>2790.018</v>
      </c>
      <c r="CH9" s="86">
        <f t="shared" ref="CH9:CH25" si="76">3645.01*1.21*12</f>
        <v>52925.545199999993</v>
      </c>
      <c r="CI9" s="86">
        <v>1379</v>
      </c>
      <c r="CJ9" s="62">
        <v>0</v>
      </c>
      <c r="CK9" s="62">
        <v>9033428</v>
      </c>
      <c r="CL9" s="62">
        <v>36861</v>
      </c>
      <c r="CM9" s="37">
        <f t="shared" si="67"/>
        <v>16325820.726100001</v>
      </c>
      <c r="CN9" s="4"/>
      <c r="CO9" s="45">
        <f t="shared" si="10"/>
        <v>-3323153.939999999</v>
      </c>
      <c r="CP9" s="46">
        <f t="shared" si="11"/>
        <v>-3337248.8499999992</v>
      </c>
      <c r="CQ9" s="46">
        <f t="shared" si="12"/>
        <v>-3108365.93</v>
      </c>
      <c r="CR9" s="46">
        <f t="shared" si="13"/>
        <v>-181753.70999999996</v>
      </c>
      <c r="CS9" s="46">
        <f t="shared" si="14"/>
        <v>-47129.209999999992</v>
      </c>
      <c r="CT9" s="46">
        <f t="shared" si="15"/>
        <v>14094.91</v>
      </c>
      <c r="CU9" s="45">
        <f t="shared" si="16"/>
        <v>-6193</v>
      </c>
      <c r="CV9" s="46">
        <f t="shared" si="17"/>
        <v>-6193</v>
      </c>
      <c r="CW9" s="46">
        <f t="shared" si="18"/>
        <v>0</v>
      </c>
      <c r="CX9" s="45">
        <f t="shared" si="19"/>
        <v>-35897</v>
      </c>
      <c r="CY9" s="46">
        <f t="shared" si="20"/>
        <v>-35897</v>
      </c>
      <c r="CZ9" s="46">
        <f t="shared" si="21"/>
        <v>0</v>
      </c>
      <c r="DA9" s="45">
        <f t="shared" si="22"/>
        <v>-244.11000000000013</v>
      </c>
      <c r="DB9" s="46">
        <f t="shared" si="23"/>
        <v>-247.05000000000018</v>
      </c>
      <c r="DC9" s="46">
        <f t="shared" si="24"/>
        <v>2.9399999999999995</v>
      </c>
      <c r="DD9" s="45">
        <f t="shared" si="25"/>
        <v>-7649.25</v>
      </c>
      <c r="DE9" s="47">
        <f t="shared" si="26"/>
        <v>-7725.4400000000023</v>
      </c>
      <c r="DF9" s="47">
        <f t="shared" si="27"/>
        <v>76.19</v>
      </c>
      <c r="DG9" s="48">
        <f t="shared" si="28"/>
        <v>0</v>
      </c>
      <c r="DH9" s="46">
        <f t="shared" si="29"/>
        <v>0</v>
      </c>
      <c r="DI9" s="49">
        <f t="shared" si="30"/>
        <v>245206.47579999996</v>
      </c>
      <c r="DJ9" s="47">
        <f t="shared" si="31"/>
        <v>-268808.03399999999</v>
      </c>
      <c r="DK9" s="46">
        <f t="shared" si="32"/>
        <v>-3914.0111999999999</v>
      </c>
      <c r="DL9" s="46">
        <f t="shared" si="33"/>
        <v>516929.96849999996</v>
      </c>
      <c r="DM9" s="46">
        <f t="shared" si="34"/>
        <v>998.55250000000001</v>
      </c>
      <c r="DN9" s="46">
        <f t="shared" si="35"/>
        <v>0</v>
      </c>
      <c r="DO9" s="50">
        <f t="shared" si="36"/>
        <v>2029609.6174999997</v>
      </c>
      <c r="DP9" s="47">
        <f t="shared" si="37"/>
        <v>-796734</v>
      </c>
      <c r="DQ9" s="47">
        <f t="shared" si="38"/>
        <v>2820220.7174999998</v>
      </c>
      <c r="DR9" s="46">
        <f t="shared" si="39"/>
        <v>6122.9</v>
      </c>
      <c r="DS9" s="46">
        <f t="shared" si="40"/>
        <v>0</v>
      </c>
      <c r="DT9" s="45">
        <f t="shared" si="41"/>
        <v>88796.481599999592</v>
      </c>
      <c r="DU9" s="47">
        <f t="shared" si="42"/>
        <v>373616.0075999999</v>
      </c>
      <c r="DV9" s="47">
        <f t="shared" si="43"/>
        <v>130928.87279999998</v>
      </c>
      <c r="DW9" s="47">
        <f t="shared" si="44"/>
        <v>119788.54799999998</v>
      </c>
      <c r="DX9" s="47">
        <f t="shared" si="45"/>
        <v>57889.061999999998</v>
      </c>
      <c r="DY9" s="47">
        <f t="shared" si="46"/>
        <v>9293.9616000000005</v>
      </c>
      <c r="DZ9" s="47">
        <f t="shared" si="47"/>
        <v>2790.018</v>
      </c>
      <c r="EA9" s="47">
        <f t="shared" si="48"/>
        <v>52925.545199999993</v>
      </c>
      <c r="EB9" s="47">
        <f t="shared" si="49"/>
        <v>1379</v>
      </c>
      <c r="EC9" s="47">
        <f t="shared" si="50"/>
        <v>0</v>
      </c>
      <c r="ED9" s="47">
        <f t="shared" si="51"/>
        <v>-302150</v>
      </c>
      <c r="EE9" s="47">
        <f t="shared" si="52"/>
        <v>15951.474000000002</v>
      </c>
      <c r="EF9" s="46">
        <f t="shared" si="68"/>
        <v>-1009524.7250999995</v>
      </c>
      <c r="EH9" s="46">
        <v>771271.91</v>
      </c>
      <c r="EI9" s="89">
        <f t="shared" si="53"/>
        <v>-238252.81509999943</v>
      </c>
      <c r="EJ9" s="87">
        <v>602612</v>
      </c>
      <c r="EK9" s="46">
        <f t="shared" si="69"/>
        <v>-406912.72509999946</v>
      </c>
    </row>
    <row r="10" spans="1:141" ht="14.4" x14ac:dyDescent="0.3">
      <c r="A10" s="24">
        <f t="shared" si="70"/>
        <v>5</v>
      </c>
      <c r="B10" s="25">
        <v>2028</v>
      </c>
      <c r="C10" s="40">
        <f t="shared" si="54"/>
        <v>6780682.0899999999</v>
      </c>
      <c r="D10" s="37">
        <f t="shared" si="55"/>
        <v>6780682.0899999999</v>
      </c>
      <c r="E10" s="72">
        <v>5592365.6500000004</v>
      </c>
      <c r="F10" s="72">
        <v>950060.76</v>
      </c>
      <c r="G10" s="72">
        <v>238255.68</v>
      </c>
      <c r="H10" s="72">
        <v>0</v>
      </c>
      <c r="I10" s="40">
        <f t="shared" si="56"/>
        <v>6193</v>
      </c>
      <c r="J10" s="81">
        <v>6193</v>
      </c>
      <c r="K10" s="73">
        <v>0</v>
      </c>
      <c r="L10" s="40">
        <f t="shared" si="57"/>
        <v>35897</v>
      </c>
      <c r="M10" s="82">
        <v>35897</v>
      </c>
      <c r="N10" s="74">
        <v>0</v>
      </c>
      <c r="O10" s="40">
        <f t="shared" si="58"/>
        <v>3006.9500000000003</v>
      </c>
      <c r="P10" s="75">
        <v>2998.38</v>
      </c>
      <c r="Q10" s="75">
        <v>8.57</v>
      </c>
      <c r="R10" s="40">
        <f t="shared" si="59"/>
        <v>83622.84</v>
      </c>
      <c r="S10" s="60">
        <v>83398.66</v>
      </c>
      <c r="T10" s="60">
        <v>224.18</v>
      </c>
      <c r="U10" s="76">
        <v>0</v>
      </c>
      <c r="V10" s="76">
        <v>0</v>
      </c>
      <c r="W10" s="38">
        <f t="shared" si="60"/>
        <v>272722.04519999999</v>
      </c>
      <c r="X10" s="55">
        <v>268808.03399999999</v>
      </c>
      <c r="Y10" s="77">
        <v>3914.0111999999999</v>
      </c>
      <c r="Z10" s="55">
        <v>0</v>
      </c>
      <c r="AA10" s="77">
        <v>0</v>
      </c>
      <c r="AB10" s="77">
        <v>0</v>
      </c>
      <c r="AC10" s="39">
        <f t="shared" si="0"/>
        <v>796734</v>
      </c>
      <c r="AD10" s="57">
        <v>796734</v>
      </c>
      <c r="AE10" s="58">
        <v>0</v>
      </c>
      <c r="AF10" s="58">
        <v>0</v>
      </c>
      <c r="AG10" s="58">
        <v>0</v>
      </c>
      <c r="AH10" s="40">
        <f t="shared" si="61"/>
        <v>0</v>
      </c>
      <c r="AI10" s="36">
        <f t="shared" si="1"/>
        <v>0</v>
      </c>
      <c r="AJ10" s="78">
        <v>0</v>
      </c>
      <c r="AK10" s="78">
        <v>0</v>
      </c>
      <c r="AL10" s="78">
        <v>0</v>
      </c>
      <c r="AM10" s="78">
        <v>0</v>
      </c>
      <c r="AN10" s="78">
        <v>0</v>
      </c>
      <c r="AO10" s="78">
        <v>0</v>
      </c>
      <c r="AP10" s="78">
        <v>0</v>
      </c>
      <c r="AQ10" s="62">
        <v>0</v>
      </c>
      <c r="AR10" s="62">
        <v>0</v>
      </c>
      <c r="AS10" s="62">
        <v>0</v>
      </c>
      <c r="AT10" s="37">
        <f t="shared" si="62"/>
        <v>7978857.9251999995</v>
      </c>
      <c r="AU10" s="40">
        <f t="shared" si="2"/>
        <v>-739524.85629999917</v>
      </c>
      <c r="AV10" s="40">
        <f t="shared" si="63"/>
        <v>3457528.1500000008</v>
      </c>
      <c r="AW10" s="37">
        <f t="shared" si="64"/>
        <v>3443433.2400000007</v>
      </c>
      <c r="AX10" s="72">
        <v>2483999.7200000002</v>
      </c>
      <c r="AY10" s="72">
        <v>768307.05</v>
      </c>
      <c r="AZ10" s="72">
        <v>191126.47</v>
      </c>
      <c r="BA10" s="72">
        <v>14094.91</v>
      </c>
      <c r="BB10" s="40">
        <f t="shared" si="65"/>
        <v>0</v>
      </c>
      <c r="BC10" s="73">
        <v>0</v>
      </c>
      <c r="BD10" s="73">
        <v>0</v>
      </c>
      <c r="BE10" s="40">
        <f t="shared" si="3"/>
        <v>0</v>
      </c>
      <c r="BF10" s="74">
        <v>0</v>
      </c>
      <c r="BG10" s="74">
        <v>0</v>
      </c>
      <c r="BH10" s="40">
        <f t="shared" si="4"/>
        <v>2762.84</v>
      </c>
      <c r="BI10" s="79">
        <v>2751.33</v>
      </c>
      <c r="BJ10" s="79">
        <v>11.51</v>
      </c>
      <c r="BK10" s="40">
        <f t="shared" si="5"/>
        <v>75973.59</v>
      </c>
      <c r="BL10" s="60">
        <v>75673.22</v>
      </c>
      <c r="BM10" s="60">
        <v>300.37</v>
      </c>
      <c r="BN10" s="76">
        <v>0</v>
      </c>
      <c r="BO10" s="76">
        <v>0</v>
      </c>
      <c r="BP10" s="38">
        <f t="shared" si="6"/>
        <v>517928.52099999995</v>
      </c>
      <c r="BQ10" s="55">
        <v>0</v>
      </c>
      <c r="BR10" s="77">
        <v>0</v>
      </c>
      <c r="BS10" s="77">
        <f t="shared" ref="BS10:BS11" si="77">427214.85*1.21</f>
        <v>516929.96849999996</v>
      </c>
      <c r="BT10" s="77">
        <f t="shared" si="71"/>
        <v>998.55250000000001</v>
      </c>
      <c r="BU10" s="54">
        <v>0</v>
      </c>
      <c r="BV10" s="39">
        <f t="shared" si="7"/>
        <v>2826343.6174999997</v>
      </c>
      <c r="BW10" s="57">
        <v>0</v>
      </c>
      <c r="BX10" s="57">
        <v>2820220.7174999998</v>
      </c>
      <c r="BY10" s="57">
        <v>6122.9</v>
      </c>
      <c r="BZ10" s="56">
        <v>0</v>
      </c>
      <c r="CA10" s="40">
        <f t="shared" si="8"/>
        <v>358796.35039999994</v>
      </c>
      <c r="CB10" s="36">
        <f t="shared" si="66"/>
        <v>357417.35039999994</v>
      </c>
      <c r="CC10" s="62">
        <f t="shared" si="72"/>
        <v>130928.87279999998</v>
      </c>
      <c r="CD10" s="62">
        <f t="shared" si="73"/>
        <v>119788.54799999998</v>
      </c>
      <c r="CE10" s="62">
        <f t="shared" ref="CE10:CE25" si="78">2871.24*1.21*12</f>
        <v>41690.404799999997</v>
      </c>
      <c r="CF10" s="62">
        <f t="shared" si="74"/>
        <v>9293.9616000000005</v>
      </c>
      <c r="CG10" s="62">
        <f t="shared" si="75"/>
        <v>2790.018</v>
      </c>
      <c r="CH10" s="86">
        <f t="shared" si="76"/>
        <v>52925.545199999993</v>
      </c>
      <c r="CI10" s="86">
        <v>1379</v>
      </c>
      <c r="CJ10" s="62">
        <v>0</v>
      </c>
      <c r="CK10" s="62">
        <v>0</v>
      </c>
      <c r="CL10" s="62">
        <v>0</v>
      </c>
      <c r="CM10" s="37">
        <f t="shared" si="67"/>
        <v>7239333.0689000003</v>
      </c>
      <c r="CN10" s="4"/>
      <c r="CO10" s="45">
        <f t="shared" si="10"/>
        <v>-3323153.939999999</v>
      </c>
      <c r="CP10" s="46">
        <f t="shared" si="11"/>
        <v>-3337248.8499999992</v>
      </c>
      <c r="CQ10" s="46">
        <f t="shared" si="12"/>
        <v>-3108365.93</v>
      </c>
      <c r="CR10" s="46">
        <f t="shared" si="13"/>
        <v>-181753.70999999996</v>
      </c>
      <c r="CS10" s="46">
        <f t="shared" si="14"/>
        <v>-47129.209999999992</v>
      </c>
      <c r="CT10" s="46">
        <f t="shared" si="15"/>
        <v>14094.91</v>
      </c>
      <c r="CU10" s="45">
        <f t="shared" si="16"/>
        <v>-6193</v>
      </c>
      <c r="CV10" s="46">
        <f t="shared" si="17"/>
        <v>-6193</v>
      </c>
      <c r="CW10" s="46">
        <f t="shared" si="18"/>
        <v>0</v>
      </c>
      <c r="CX10" s="45">
        <f t="shared" si="19"/>
        <v>-35897</v>
      </c>
      <c r="CY10" s="46">
        <f t="shared" si="20"/>
        <v>-35897</v>
      </c>
      <c r="CZ10" s="46">
        <f t="shared" si="21"/>
        <v>0</v>
      </c>
      <c r="DA10" s="45">
        <f t="shared" si="22"/>
        <v>-244.11000000000013</v>
      </c>
      <c r="DB10" s="46">
        <f t="shared" si="23"/>
        <v>-247.05000000000018</v>
      </c>
      <c r="DC10" s="46">
        <f t="shared" si="24"/>
        <v>2.9399999999999995</v>
      </c>
      <c r="DD10" s="45">
        <f t="shared" si="25"/>
        <v>-7649.25</v>
      </c>
      <c r="DE10" s="47">
        <f t="shared" si="26"/>
        <v>-7725.4400000000023</v>
      </c>
      <c r="DF10" s="47">
        <f t="shared" si="27"/>
        <v>76.19</v>
      </c>
      <c r="DG10" s="48">
        <f t="shared" si="28"/>
        <v>0</v>
      </c>
      <c r="DH10" s="46">
        <f t="shared" si="29"/>
        <v>0</v>
      </c>
      <c r="DI10" s="49">
        <f t="shared" si="30"/>
        <v>245206.47579999996</v>
      </c>
      <c r="DJ10" s="47">
        <f t="shared" si="31"/>
        <v>-268808.03399999999</v>
      </c>
      <c r="DK10" s="46">
        <f t="shared" si="32"/>
        <v>-3914.0111999999999</v>
      </c>
      <c r="DL10" s="46">
        <f t="shared" si="33"/>
        <v>516929.96849999996</v>
      </c>
      <c r="DM10" s="46">
        <f t="shared" si="34"/>
        <v>998.55250000000001</v>
      </c>
      <c r="DN10" s="46">
        <f t="shared" si="35"/>
        <v>0</v>
      </c>
      <c r="DO10" s="50">
        <f t="shared" si="36"/>
        <v>2029609.6174999997</v>
      </c>
      <c r="DP10" s="47">
        <f t="shared" si="37"/>
        <v>-796734</v>
      </c>
      <c r="DQ10" s="47">
        <f t="shared" si="38"/>
        <v>2820220.7174999998</v>
      </c>
      <c r="DR10" s="46">
        <f t="shared" si="39"/>
        <v>6122.9</v>
      </c>
      <c r="DS10" s="46">
        <f t="shared" si="40"/>
        <v>0</v>
      </c>
      <c r="DT10" s="45">
        <f t="shared" si="41"/>
        <v>358796.35039999994</v>
      </c>
      <c r="DU10" s="47">
        <f t="shared" si="42"/>
        <v>357417.35039999994</v>
      </c>
      <c r="DV10" s="47">
        <f t="shared" si="43"/>
        <v>130928.87279999998</v>
      </c>
      <c r="DW10" s="47">
        <f t="shared" si="44"/>
        <v>119788.54799999998</v>
      </c>
      <c r="DX10" s="47">
        <f t="shared" si="45"/>
        <v>41690.404799999997</v>
      </c>
      <c r="DY10" s="47">
        <f t="shared" si="46"/>
        <v>9293.9616000000005</v>
      </c>
      <c r="DZ10" s="47">
        <f t="shared" si="47"/>
        <v>2790.018</v>
      </c>
      <c r="EA10" s="47">
        <f t="shared" si="48"/>
        <v>52925.545199999993</v>
      </c>
      <c r="EB10" s="47">
        <f t="shared" si="49"/>
        <v>1379</v>
      </c>
      <c r="EC10" s="47">
        <f t="shared" si="50"/>
        <v>0</v>
      </c>
      <c r="ED10" s="47">
        <f t="shared" si="51"/>
        <v>0</v>
      </c>
      <c r="EE10" s="47">
        <f t="shared" si="52"/>
        <v>0</v>
      </c>
      <c r="EF10" s="46">
        <f t="shared" si="68"/>
        <v>-739524.85629999917</v>
      </c>
      <c r="EH10" s="46">
        <v>771271.91</v>
      </c>
      <c r="EI10" s="89">
        <f t="shared" si="53"/>
        <v>31747.053700000863</v>
      </c>
      <c r="EJ10" s="87">
        <v>755914</v>
      </c>
      <c r="EK10" s="46">
        <f t="shared" si="69"/>
        <v>16389.14370000083</v>
      </c>
    </row>
    <row r="11" spans="1:141" ht="14.4" x14ac:dyDescent="0.3">
      <c r="A11" s="24">
        <f t="shared" si="70"/>
        <v>6</v>
      </c>
      <c r="B11" s="26">
        <v>2029</v>
      </c>
      <c r="C11" s="40">
        <f t="shared" si="54"/>
        <v>6780682.0899999999</v>
      </c>
      <c r="D11" s="37">
        <f t="shared" si="55"/>
        <v>6780682.0899999999</v>
      </c>
      <c r="E11" s="72">
        <v>5592365.6500000004</v>
      </c>
      <c r="F11" s="72">
        <v>950060.76</v>
      </c>
      <c r="G11" s="72">
        <v>238255.68</v>
      </c>
      <c r="H11" s="72">
        <v>0</v>
      </c>
      <c r="I11" s="40">
        <f t="shared" si="56"/>
        <v>6193</v>
      </c>
      <c r="J11" s="81">
        <v>6193</v>
      </c>
      <c r="K11" s="73">
        <v>0</v>
      </c>
      <c r="L11" s="40">
        <f t="shared" si="57"/>
        <v>35897</v>
      </c>
      <c r="M11" s="82">
        <v>35897</v>
      </c>
      <c r="N11" s="74">
        <v>0</v>
      </c>
      <c r="O11" s="40">
        <f t="shared" si="58"/>
        <v>3006.9500000000003</v>
      </c>
      <c r="P11" s="75">
        <v>2998.38</v>
      </c>
      <c r="Q11" s="75">
        <v>8.57</v>
      </c>
      <c r="R11" s="40">
        <f t="shared" si="59"/>
        <v>83622.84</v>
      </c>
      <c r="S11" s="60">
        <v>83398.66</v>
      </c>
      <c r="T11" s="60">
        <v>224.18</v>
      </c>
      <c r="U11" s="76">
        <v>0</v>
      </c>
      <c r="V11" s="76">
        <v>0</v>
      </c>
      <c r="W11" s="38">
        <f t="shared" si="60"/>
        <v>272722.04519999999</v>
      </c>
      <c r="X11" s="55">
        <v>268808.03399999999</v>
      </c>
      <c r="Y11" s="77">
        <v>3914.0111999999999</v>
      </c>
      <c r="Z11" s="55">
        <v>0</v>
      </c>
      <c r="AA11" s="77">
        <v>0</v>
      </c>
      <c r="AB11" s="77">
        <v>0</v>
      </c>
      <c r="AC11" s="39">
        <f t="shared" si="0"/>
        <v>796734</v>
      </c>
      <c r="AD11" s="57">
        <v>796734</v>
      </c>
      <c r="AE11" s="58">
        <v>0</v>
      </c>
      <c r="AF11" s="58">
        <v>0</v>
      </c>
      <c r="AG11" s="58">
        <v>0</v>
      </c>
      <c r="AH11" s="40">
        <f t="shared" si="61"/>
        <v>0</v>
      </c>
      <c r="AI11" s="36">
        <f t="shared" si="1"/>
        <v>0</v>
      </c>
      <c r="AJ11" s="78">
        <v>0</v>
      </c>
      <c r="AK11" s="78">
        <v>0</v>
      </c>
      <c r="AL11" s="78">
        <v>0</v>
      </c>
      <c r="AM11" s="78">
        <v>0</v>
      </c>
      <c r="AN11" s="78">
        <v>0</v>
      </c>
      <c r="AO11" s="78">
        <v>0</v>
      </c>
      <c r="AP11" s="78">
        <v>0</v>
      </c>
      <c r="AQ11" s="62">
        <v>0</v>
      </c>
      <c r="AR11" s="62">
        <v>0</v>
      </c>
      <c r="AS11" s="62">
        <v>0</v>
      </c>
      <c r="AT11" s="37">
        <f t="shared" si="62"/>
        <v>7978857.9251999995</v>
      </c>
      <c r="AU11" s="40">
        <f t="shared" si="2"/>
        <v>-739524.85629999917</v>
      </c>
      <c r="AV11" s="40">
        <f t="shared" si="63"/>
        <v>3457528.1500000008</v>
      </c>
      <c r="AW11" s="37">
        <f t="shared" si="64"/>
        <v>3443433.2400000007</v>
      </c>
      <c r="AX11" s="72">
        <v>2483999.7200000002</v>
      </c>
      <c r="AY11" s="72">
        <v>768307.05</v>
      </c>
      <c r="AZ11" s="72">
        <v>191126.47</v>
      </c>
      <c r="BA11" s="72">
        <v>14094.91</v>
      </c>
      <c r="BB11" s="40">
        <f t="shared" si="65"/>
        <v>0</v>
      </c>
      <c r="BC11" s="73">
        <v>0</v>
      </c>
      <c r="BD11" s="73">
        <v>0</v>
      </c>
      <c r="BE11" s="40">
        <f t="shared" si="3"/>
        <v>0</v>
      </c>
      <c r="BF11" s="74">
        <v>0</v>
      </c>
      <c r="BG11" s="74">
        <v>0</v>
      </c>
      <c r="BH11" s="40">
        <f t="shared" si="4"/>
        <v>2762.84</v>
      </c>
      <c r="BI11" s="79">
        <v>2751.33</v>
      </c>
      <c r="BJ11" s="79">
        <v>11.51</v>
      </c>
      <c r="BK11" s="40">
        <f t="shared" si="5"/>
        <v>75973.59</v>
      </c>
      <c r="BL11" s="60">
        <v>75673.22</v>
      </c>
      <c r="BM11" s="60">
        <v>300.37</v>
      </c>
      <c r="BN11" s="76">
        <v>0</v>
      </c>
      <c r="BO11" s="76">
        <v>0</v>
      </c>
      <c r="BP11" s="38">
        <f t="shared" si="6"/>
        <v>517928.52099999995</v>
      </c>
      <c r="BQ11" s="55">
        <v>0</v>
      </c>
      <c r="BR11" s="77">
        <v>0</v>
      </c>
      <c r="BS11" s="77">
        <f t="shared" si="77"/>
        <v>516929.96849999996</v>
      </c>
      <c r="BT11" s="77">
        <f t="shared" si="71"/>
        <v>998.55250000000001</v>
      </c>
      <c r="BU11" s="54">
        <v>0</v>
      </c>
      <c r="BV11" s="39">
        <f t="shared" si="7"/>
        <v>2826343.6174999997</v>
      </c>
      <c r="BW11" s="57">
        <v>0</v>
      </c>
      <c r="BX11" s="57">
        <v>2820220.7174999998</v>
      </c>
      <c r="BY11" s="57">
        <v>6122.9</v>
      </c>
      <c r="BZ11" s="56">
        <v>0</v>
      </c>
      <c r="CA11" s="40">
        <f t="shared" si="8"/>
        <v>358796.35039999994</v>
      </c>
      <c r="CB11" s="36">
        <f t="shared" si="66"/>
        <v>357417.35039999994</v>
      </c>
      <c r="CC11" s="62">
        <f t="shared" si="72"/>
        <v>130928.87279999998</v>
      </c>
      <c r="CD11" s="62">
        <f t="shared" si="73"/>
        <v>119788.54799999998</v>
      </c>
      <c r="CE11" s="62">
        <f t="shared" si="78"/>
        <v>41690.404799999997</v>
      </c>
      <c r="CF11" s="62">
        <f t="shared" si="74"/>
        <v>9293.9616000000005</v>
      </c>
      <c r="CG11" s="62">
        <f t="shared" si="75"/>
        <v>2790.018</v>
      </c>
      <c r="CH11" s="86">
        <f t="shared" si="76"/>
        <v>52925.545199999993</v>
      </c>
      <c r="CI11" s="86">
        <v>1379</v>
      </c>
      <c r="CJ11" s="62">
        <v>0</v>
      </c>
      <c r="CK11" s="62">
        <v>0</v>
      </c>
      <c r="CL11" s="62">
        <v>0</v>
      </c>
      <c r="CM11" s="37">
        <f t="shared" si="67"/>
        <v>7239333.0689000003</v>
      </c>
      <c r="CN11" s="4"/>
      <c r="CO11" s="45">
        <f t="shared" si="10"/>
        <v>-3323153.939999999</v>
      </c>
      <c r="CP11" s="46">
        <f t="shared" si="11"/>
        <v>-3337248.8499999992</v>
      </c>
      <c r="CQ11" s="46">
        <f t="shared" si="12"/>
        <v>-3108365.93</v>
      </c>
      <c r="CR11" s="46">
        <f t="shared" si="13"/>
        <v>-181753.70999999996</v>
      </c>
      <c r="CS11" s="46">
        <f t="shared" si="14"/>
        <v>-47129.209999999992</v>
      </c>
      <c r="CT11" s="46">
        <f t="shared" si="15"/>
        <v>14094.91</v>
      </c>
      <c r="CU11" s="45">
        <f t="shared" si="16"/>
        <v>-6193</v>
      </c>
      <c r="CV11" s="46">
        <f t="shared" si="17"/>
        <v>-6193</v>
      </c>
      <c r="CW11" s="46">
        <f t="shared" si="18"/>
        <v>0</v>
      </c>
      <c r="CX11" s="45">
        <f t="shared" si="19"/>
        <v>-35897</v>
      </c>
      <c r="CY11" s="46">
        <f t="shared" si="20"/>
        <v>-35897</v>
      </c>
      <c r="CZ11" s="46">
        <f t="shared" si="21"/>
        <v>0</v>
      </c>
      <c r="DA11" s="45">
        <f t="shared" si="22"/>
        <v>-244.11000000000013</v>
      </c>
      <c r="DB11" s="46">
        <f t="shared" si="23"/>
        <v>-247.05000000000018</v>
      </c>
      <c r="DC11" s="46">
        <f t="shared" si="24"/>
        <v>2.9399999999999995</v>
      </c>
      <c r="DD11" s="45">
        <f t="shared" si="25"/>
        <v>-7649.25</v>
      </c>
      <c r="DE11" s="47">
        <f t="shared" si="26"/>
        <v>-7725.4400000000023</v>
      </c>
      <c r="DF11" s="47">
        <f t="shared" si="27"/>
        <v>76.19</v>
      </c>
      <c r="DG11" s="48">
        <f t="shared" si="28"/>
        <v>0</v>
      </c>
      <c r="DH11" s="46">
        <f t="shared" si="29"/>
        <v>0</v>
      </c>
      <c r="DI11" s="49">
        <f t="shared" si="30"/>
        <v>245206.47579999996</v>
      </c>
      <c r="DJ11" s="47">
        <f t="shared" si="31"/>
        <v>-268808.03399999999</v>
      </c>
      <c r="DK11" s="46">
        <f t="shared" si="32"/>
        <v>-3914.0111999999999</v>
      </c>
      <c r="DL11" s="46">
        <f t="shared" si="33"/>
        <v>516929.96849999996</v>
      </c>
      <c r="DM11" s="46">
        <f t="shared" si="34"/>
        <v>998.55250000000001</v>
      </c>
      <c r="DN11" s="46">
        <f t="shared" si="35"/>
        <v>0</v>
      </c>
      <c r="DO11" s="50">
        <f t="shared" si="36"/>
        <v>2029609.6174999997</v>
      </c>
      <c r="DP11" s="47">
        <f t="shared" si="37"/>
        <v>-796734</v>
      </c>
      <c r="DQ11" s="47">
        <f t="shared" si="38"/>
        <v>2820220.7174999998</v>
      </c>
      <c r="DR11" s="46">
        <f t="shared" si="39"/>
        <v>6122.9</v>
      </c>
      <c r="DS11" s="46">
        <f t="shared" si="40"/>
        <v>0</v>
      </c>
      <c r="DT11" s="45">
        <f t="shared" si="41"/>
        <v>358796.35039999994</v>
      </c>
      <c r="DU11" s="47">
        <f t="shared" si="42"/>
        <v>357417.35039999994</v>
      </c>
      <c r="DV11" s="47">
        <f t="shared" si="43"/>
        <v>130928.87279999998</v>
      </c>
      <c r="DW11" s="47">
        <f t="shared" si="44"/>
        <v>119788.54799999998</v>
      </c>
      <c r="DX11" s="47">
        <f t="shared" si="45"/>
        <v>41690.404799999997</v>
      </c>
      <c r="DY11" s="47">
        <f t="shared" si="46"/>
        <v>9293.9616000000005</v>
      </c>
      <c r="DZ11" s="47">
        <f t="shared" si="47"/>
        <v>2790.018</v>
      </c>
      <c r="EA11" s="47">
        <f t="shared" si="48"/>
        <v>52925.545199999993</v>
      </c>
      <c r="EB11" s="47">
        <f t="shared" si="49"/>
        <v>1379</v>
      </c>
      <c r="EC11" s="47">
        <f t="shared" si="50"/>
        <v>0</v>
      </c>
      <c r="ED11" s="47">
        <f t="shared" si="51"/>
        <v>0</v>
      </c>
      <c r="EE11" s="47">
        <f t="shared" si="52"/>
        <v>0</v>
      </c>
      <c r="EF11" s="46">
        <f t="shared" si="68"/>
        <v>-739524.85629999917</v>
      </c>
      <c r="EH11" s="46">
        <v>771271.91</v>
      </c>
      <c r="EI11" s="89">
        <f t="shared" si="53"/>
        <v>31747.053700000863</v>
      </c>
      <c r="EJ11" s="87">
        <v>755914</v>
      </c>
      <c r="EK11" s="46">
        <f t="shared" si="69"/>
        <v>16389.14370000083</v>
      </c>
    </row>
    <row r="12" spans="1:141" ht="14.4" x14ac:dyDescent="0.3">
      <c r="A12" s="24">
        <f t="shared" si="70"/>
        <v>7</v>
      </c>
      <c r="B12" s="26">
        <v>2030</v>
      </c>
      <c r="C12" s="40">
        <f t="shared" si="54"/>
        <v>6780682.0899999999</v>
      </c>
      <c r="D12" s="37">
        <f t="shared" si="55"/>
        <v>6780682.0899999999</v>
      </c>
      <c r="E12" s="72">
        <v>5592365.6500000004</v>
      </c>
      <c r="F12" s="72">
        <v>950060.76</v>
      </c>
      <c r="G12" s="72">
        <v>238255.68</v>
      </c>
      <c r="H12" s="72">
        <v>0</v>
      </c>
      <c r="I12" s="40">
        <f t="shared" si="56"/>
        <v>6193</v>
      </c>
      <c r="J12" s="81">
        <v>6193</v>
      </c>
      <c r="K12" s="73">
        <v>0</v>
      </c>
      <c r="L12" s="40">
        <f t="shared" si="57"/>
        <v>35897</v>
      </c>
      <c r="M12" s="82">
        <v>35897</v>
      </c>
      <c r="N12" s="74">
        <v>0</v>
      </c>
      <c r="O12" s="40">
        <f t="shared" si="58"/>
        <v>3006.9500000000003</v>
      </c>
      <c r="P12" s="75">
        <v>2998.38</v>
      </c>
      <c r="Q12" s="75">
        <v>8.57</v>
      </c>
      <c r="R12" s="40">
        <f t="shared" si="59"/>
        <v>83622.84</v>
      </c>
      <c r="S12" s="60">
        <v>83398.66</v>
      </c>
      <c r="T12" s="60">
        <v>224.18</v>
      </c>
      <c r="U12" s="76">
        <v>0</v>
      </c>
      <c r="V12" s="76">
        <v>0</v>
      </c>
      <c r="W12" s="38">
        <f t="shared" si="60"/>
        <v>272722.04519999999</v>
      </c>
      <c r="X12" s="55">
        <v>268808.03399999999</v>
      </c>
      <c r="Y12" s="77">
        <v>3914.0111999999999</v>
      </c>
      <c r="Z12" s="55">
        <v>0</v>
      </c>
      <c r="AA12" s="77">
        <v>0</v>
      </c>
      <c r="AB12" s="77">
        <v>0</v>
      </c>
      <c r="AC12" s="39">
        <f t="shared" si="0"/>
        <v>796734</v>
      </c>
      <c r="AD12" s="57">
        <v>796734</v>
      </c>
      <c r="AE12" s="58">
        <v>0</v>
      </c>
      <c r="AF12" s="58">
        <v>0</v>
      </c>
      <c r="AG12" s="58">
        <v>0</v>
      </c>
      <c r="AH12" s="40">
        <f t="shared" si="61"/>
        <v>0</v>
      </c>
      <c r="AI12" s="36">
        <f t="shared" si="1"/>
        <v>0</v>
      </c>
      <c r="AJ12" s="78">
        <v>0</v>
      </c>
      <c r="AK12" s="78">
        <v>0</v>
      </c>
      <c r="AL12" s="78">
        <v>0</v>
      </c>
      <c r="AM12" s="78">
        <v>0</v>
      </c>
      <c r="AN12" s="78">
        <v>0</v>
      </c>
      <c r="AO12" s="78">
        <v>0</v>
      </c>
      <c r="AP12" s="78">
        <v>0</v>
      </c>
      <c r="AQ12" s="62">
        <v>0</v>
      </c>
      <c r="AR12" s="62">
        <v>0</v>
      </c>
      <c r="AS12" s="62">
        <v>0</v>
      </c>
      <c r="AT12" s="37">
        <f t="shared" si="62"/>
        <v>7978857.9251999995</v>
      </c>
      <c r="AU12" s="40">
        <f t="shared" si="2"/>
        <v>-772921.40079999901</v>
      </c>
      <c r="AV12" s="40">
        <f t="shared" si="63"/>
        <v>3457528.1500000008</v>
      </c>
      <c r="AW12" s="37">
        <f t="shared" si="64"/>
        <v>3443433.2400000007</v>
      </c>
      <c r="AX12" s="72">
        <v>2483999.7200000002</v>
      </c>
      <c r="AY12" s="72">
        <v>768307.05</v>
      </c>
      <c r="AZ12" s="72">
        <v>191126.47</v>
      </c>
      <c r="BA12" s="72">
        <v>14094.91</v>
      </c>
      <c r="BB12" s="40">
        <f t="shared" si="65"/>
        <v>0</v>
      </c>
      <c r="BC12" s="73">
        <v>0</v>
      </c>
      <c r="BD12" s="73">
        <v>0</v>
      </c>
      <c r="BE12" s="40">
        <f t="shared" si="3"/>
        <v>0</v>
      </c>
      <c r="BF12" s="74">
        <v>0</v>
      </c>
      <c r="BG12" s="74">
        <v>0</v>
      </c>
      <c r="BH12" s="40">
        <f t="shared" si="4"/>
        <v>2762.84</v>
      </c>
      <c r="BI12" s="79">
        <v>2751.33</v>
      </c>
      <c r="BJ12" s="79">
        <v>11.51</v>
      </c>
      <c r="BK12" s="40">
        <f t="shared" si="5"/>
        <v>75973.59</v>
      </c>
      <c r="BL12" s="60">
        <v>75673.22</v>
      </c>
      <c r="BM12" s="60">
        <v>300.37</v>
      </c>
      <c r="BN12" s="76">
        <v>0</v>
      </c>
      <c r="BO12" s="76">
        <v>0</v>
      </c>
      <c r="BP12" s="38">
        <f t="shared" si="6"/>
        <v>484531.97649999999</v>
      </c>
      <c r="BQ12" s="55">
        <v>0</v>
      </c>
      <c r="BR12" s="77">
        <v>0</v>
      </c>
      <c r="BS12" s="77">
        <f>(35601.24*8*1.21)+(28701.12*4*1.21)</f>
        <v>483533.424</v>
      </c>
      <c r="BT12" s="77">
        <f t="shared" si="71"/>
        <v>998.55250000000001</v>
      </c>
      <c r="BU12" s="54">
        <v>0</v>
      </c>
      <c r="BV12" s="39">
        <f t="shared" si="7"/>
        <v>2826343.6174999997</v>
      </c>
      <c r="BW12" s="57">
        <v>0</v>
      </c>
      <c r="BX12" s="57">
        <v>2820220.7174999998</v>
      </c>
      <c r="BY12" s="57">
        <v>6122.9</v>
      </c>
      <c r="BZ12" s="56">
        <v>0</v>
      </c>
      <c r="CA12" s="40">
        <f t="shared" si="8"/>
        <v>358796.35039999994</v>
      </c>
      <c r="CB12" s="36">
        <f t="shared" si="66"/>
        <v>357417.35039999994</v>
      </c>
      <c r="CC12" s="62">
        <f t="shared" si="72"/>
        <v>130928.87279999998</v>
      </c>
      <c r="CD12" s="62">
        <f t="shared" si="73"/>
        <v>119788.54799999998</v>
      </c>
      <c r="CE12" s="62">
        <f t="shared" si="78"/>
        <v>41690.404799999997</v>
      </c>
      <c r="CF12" s="62">
        <f t="shared" si="74"/>
        <v>9293.9616000000005</v>
      </c>
      <c r="CG12" s="62">
        <f t="shared" si="75"/>
        <v>2790.018</v>
      </c>
      <c r="CH12" s="86">
        <f t="shared" si="76"/>
        <v>52925.545199999993</v>
      </c>
      <c r="CI12" s="86">
        <v>1379</v>
      </c>
      <c r="CJ12" s="62">
        <v>0</v>
      </c>
      <c r="CK12" s="62">
        <v>0</v>
      </c>
      <c r="CL12" s="62">
        <v>0</v>
      </c>
      <c r="CM12" s="37">
        <f t="shared" si="67"/>
        <v>7205936.5244000005</v>
      </c>
      <c r="CN12" s="4"/>
      <c r="CO12" s="45">
        <f t="shared" si="10"/>
        <v>-3323153.939999999</v>
      </c>
      <c r="CP12" s="46">
        <f t="shared" si="11"/>
        <v>-3337248.8499999992</v>
      </c>
      <c r="CQ12" s="46">
        <f t="shared" si="12"/>
        <v>-3108365.93</v>
      </c>
      <c r="CR12" s="46">
        <f t="shared" si="13"/>
        <v>-181753.70999999996</v>
      </c>
      <c r="CS12" s="46">
        <f t="shared" si="14"/>
        <v>-47129.209999999992</v>
      </c>
      <c r="CT12" s="46">
        <f t="shared" si="15"/>
        <v>14094.91</v>
      </c>
      <c r="CU12" s="45">
        <f t="shared" si="16"/>
        <v>-6193</v>
      </c>
      <c r="CV12" s="46">
        <f t="shared" si="17"/>
        <v>-6193</v>
      </c>
      <c r="CW12" s="46">
        <f t="shared" si="18"/>
        <v>0</v>
      </c>
      <c r="CX12" s="45">
        <f t="shared" si="19"/>
        <v>-35897</v>
      </c>
      <c r="CY12" s="46">
        <f t="shared" si="20"/>
        <v>-35897</v>
      </c>
      <c r="CZ12" s="46">
        <f t="shared" si="21"/>
        <v>0</v>
      </c>
      <c r="DA12" s="45">
        <f t="shared" si="22"/>
        <v>-244.11000000000013</v>
      </c>
      <c r="DB12" s="46">
        <f t="shared" si="23"/>
        <v>-247.05000000000018</v>
      </c>
      <c r="DC12" s="46">
        <f t="shared" si="24"/>
        <v>2.9399999999999995</v>
      </c>
      <c r="DD12" s="45">
        <f t="shared" si="25"/>
        <v>-7649.25</v>
      </c>
      <c r="DE12" s="47">
        <f t="shared" si="26"/>
        <v>-7725.4400000000023</v>
      </c>
      <c r="DF12" s="47">
        <f t="shared" si="27"/>
        <v>76.19</v>
      </c>
      <c r="DG12" s="48">
        <f t="shared" si="28"/>
        <v>0</v>
      </c>
      <c r="DH12" s="46">
        <f t="shared" si="29"/>
        <v>0</v>
      </c>
      <c r="DI12" s="49">
        <f t="shared" si="30"/>
        <v>211809.9313</v>
      </c>
      <c r="DJ12" s="47">
        <f t="shared" si="31"/>
        <v>-268808.03399999999</v>
      </c>
      <c r="DK12" s="46">
        <f t="shared" si="32"/>
        <v>-3914.0111999999999</v>
      </c>
      <c r="DL12" s="46">
        <f t="shared" si="33"/>
        <v>483533.424</v>
      </c>
      <c r="DM12" s="46">
        <f t="shared" si="34"/>
        <v>998.55250000000001</v>
      </c>
      <c r="DN12" s="46">
        <f t="shared" si="35"/>
        <v>0</v>
      </c>
      <c r="DO12" s="50">
        <f t="shared" si="36"/>
        <v>2029609.6174999997</v>
      </c>
      <c r="DP12" s="47">
        <f t="shared" si="37"/>
        <v>-796734</v>
      </c>
      <c r="DQ12" s="47">
        <f t="shared" si="38"/>
        <v>2820220.7174999998</v>
      </c>
      <c r="DR12" s="46">
        <f t="shared" si="39"/>
        <v>6122.9</v>
      </c>
      <c r="DS12" s="46">
        <f t="shared" si="40"/>
        <v>0</v>
      </c>
      <c r="DT12" s="45">
        <f t="shared" si="41"/>
        <v>358796.35039999994</v>
      </c>
      <c r="DU12" s="47">
        <f t="shared" si="42"/>
        <v>357417.35039999994</v>
      </c>
      <c r="DV12" s="47">
        <f t="shared" si="43"/>
        <v>130928.87279999998</v>
      </c>
      <c r="DW12" s="47">
        <f t="shared" si="44"/>
        <v>119788.54799999998</v>
      </c>
      <c r="DX12" s="47">
        <f t="shared" si="45"/>
        <v>41690.404799999997</v>
      </c>
      <c r="DY12" s="47">
        <f t="shared" si="46"/>
        <v>9293.9616000000005</v>
      </c>
      <c r="DZ12" s="47">
        <f t="shared" si="47"/>
        <v>2790.018</v>
      </c>
      <c r="EA12" s="47">
        <f t="shared" si="48"/>
        <v>52925.545199999993</v>
      </c>
      <c r="EB12" s="47">
        <f t="shared" si="49"/>
        <v>1379</v>
      </c>
      <c r="EC12" s="47">
        <f t="shared" si="50"/>
        <v>0</v>
      </c>
      <c r="ED12" s="47">
        <f t="shared" si="51"/>
        <v>0</v>
      </c>
      <c r="EE12" s="47">
        <f t="shared" si="52"/>
        <v>0</v>
      </c>
      <c r="EF12" s="46">
        <f t="shared" si="68"/>
        <v>-772921.40079999948</v>
      </c>
      <c r="EH12" s="46">
        <v>771271.91</v>
      </c>
      <c r="EI12" s="89">
        <f t="shared" si="53"/>
        <v>-1649.4907999994466</v>
      </c>
      <c r="EJ12" s="87">
        <v>755914</v>
      </c>
      <c r="EK12" s="46">
        <f t="shared" si="69"/>
        <v>-17007.400799999479</v>
      </c>
    </row>
    <row r="13" spans="1:141" ht="14.4" x14ac:dyDescent="0.3">
      <c r="A13" s="24">
        <f t="shared" si="70"/>
        <v>8</v>
      </c>
      <c r="B13" s="26">
        <v>2031</v>
      </c>
      <c r="C13" s="40">
        <f t="shared" si="54"/>
        <v>6780682.0899999999</v>
      </c>
      <c r="D13" s="37">
        <f t="shared" si="55"/>
        <v>6780682.0899999999</v>
      </c>
      <c r="E13" s="72">
        <v>5592365.6500000004</v>
      </c>
      <c r="F13" s="72">
        <v>950060.76</v>
      </c>
      <c r="G13" s="72">
        <v>238255.68</v>
      </c>
      <c r="H13" s="72">
        <v>0</v>
      </c>
      <c r="I13" s="40">
        <f t="shared" si="56"/>
        <v>6193</v>
      </c>
      <c r="J13" s="81">
        <v>6193</v>
      </c>
      <c r="K13" s="73">
        <v>0</v>
      </c>
      <c r="L13" s="40">
        <f t="shared" si="57"/>
        <v>35897</v>
      </c>
      <c r="M13" s="82">
        <v>35897</v>
      </c>
      <c r="N13" s="74">
        <v>0</v>
      </c>
      <c r="O13" s="40">
        <f t="shared" si="58"/>
        <v>3006.9500000000003</v>
      </c>
      <c r="P13" s="75">
        <v>2998.38</v>
      </c>
      <c r="Q13" s="75">
        <v>8.57</v>
      </c>
      <c r="R13" s="40">
        <f t="shared" si="59"/>
        <v>83622.84</v>
      </c>
      <c r="S13" s="60">
        <v>83398.66</v>
      </c>
      <c r="T13" s="60">
        <v>224.18</v>
      </c>
      <c r="U13" s="76">
        <v>0</v>
      </c>
      <c r="V13" s="76">
        <v>0</v>
      </c>
      <c r="W13" s="38">
        <f t="shared" si="60"/>
        <v>272722.04519999999</v>
      </c>
      <c r="X13" s="55">
        <v>268808.03399999999</v>
      </c>
      <c r="Y13" s="77">
        <v>3914.0111999999999</v>
      </c>
      <c r="Z13" s="55">
        <v>0</v>
      </c>
      <c r="AA13" s="77">
        <v>0</v>
      </c>
      <c r="AB13" s="77">
        <v>0</v>
      </c>
      <c r="AC13" s="39">
        <f t="shared" si="0"/>
        <v>796734</v>
      </c>
      <c r="AD13" s="57">
        <v>796734</v>
      </c>
      <c r="AE13" s="58">
        <v>0</v>
      </c>
      <c r="AF13" s="58">
        <v>0</v>
      </c>
      <c r="AG13" s="58">
        <v>0</v>
      </c>
      <c r="AH13" s="40">
        <f t="shared" si="61"/>
        <v>0</v>
      </c>
      <c r="AI13" s="36">
        <f t="shared" si="1"/>
        <v>0</v>
      </c>
      <c r="AJ13" s="78">
        <v>0</v>
      </c>
      <c r="AK13" s="78">
        <v>0</v>
      </c>
      <c r="AL13" s="78">
        <v>0</v>
      </c>
      <c r="AM13" s="78">
        <v>0</v>
      </c>
      <c r="AN13" s="78">
        <v>0</v>
      </c>
      <c r="AO13" s="78">
        <v>0</v>
      </c>
      <c r="AP13" s="78">
        <v>0</v>
      </c>
      <c r="AQ13" s="62">
        <v>0</v>
      </c>
      <c r="AR13" s="62">
        <v>0</v>
      </c>
      <c r="AS13" s="62">
        <v>0</v>
      </c>
      <c r="AT13" s="37">
        <f t="shared" si="62"/>
        <v>7978857.9251999995</v>
      </c>
      <c r="AU13" s="40">
        <f t="shared" si="2"/>
        <v>-839714.61079999991</v>
      </c>
      <c r="AV13" s="40">
        <f t="shared" si="63"/>
        <v>3457528.1500000008</v>
      </c>
      <c r="AW13" s="37">
        <f t="shared" si="64"/>
        <v>3443433.2400000007</v>
      </c>
      <c r="AX13" s="72">
        <v>2483999.7200000002</v>
      </c>
      <c r="AY13" s="72">
        <v>768307.05</v>
      </c>
      <c r="AZ13" s="72">
        <v>191126.47</v>
      </c>
      <c r="BA13" s="72">
        <v>14094.91</v>
      </c>
      <c r="BB13" s="40">
        <f t="shared" si="65"/>
        <v>0</v>
      </c>
      <c r="BC13" s="73">
        <v>0</v>
      </c>
      <c r="BD13" s="73">
        <v>0</v>
      </c>
      <c r="BE13" s="40">
        <f t="shared" si="3"/>
        <v>0</v>
      </c>
      <c r="BF13" s="74">
        <v>0</v>
      </c>
      <c r="BG13" s="74">
        <v>0</v>
      </c>
      <c r="BH13" s="40">
        <f t="shared" si="4"/>
        <v>2762.84</v>
      </c>
      <c r="BI13" s="79">
        <v>2751.33</v>
      </c>
      <c r="BJ13" s="79">
        <v>11.51</v>
      </c>
      <c r="BK13" s="40">
        <f t="shared" si="5"/>
        <v>75973.59</v>
      </c>
      <c r="BL13" s="60">
        <v>75673.22</v>
      </c>
      <c r="BM13" s="60">
        <v>300.37</v>
      </c>
      <c r="BN13" s="76">
        <v>0</v>
      </c>
      <c r="BO13" s="76">
        <v>0</v>
      </c>
      <c r="BP13" s="38">
        <f t="shared" si="6"/>
        <v>417738.76650000003</v>
      </c>
      <c r="BQ13" s="55">
        <v>0</v>
      </c>
      <c r="BR13" s="77">
        <v>0</v>
      </c>
      <c r="BS13" s="77">
        <f>344413.4*1.21</f>
        <v>416740.21400000004</v>
      </c>
      <c r="BT13" s="77">
        <f t="shared" si="71"/>
        <v>998.55250000000001</v>
      </c>
      <c r="BU13" s="54">
        <v>0</v>
      </c>
      <c r="BV13" s="39">
        <f t="shared" si="7"/>
        <v>2826343.6174999997</v>
      </c>
      <c r="BW13" s="57">
        <v>0</v>
      </c>
      <c r="BX13" s="57">
        <v>2820220.7174999998</v>
      </c>
      <c r="BY13" s="57">
        <v>6122.9</v>
      </c>
      <c r="BZ13" s="56">
        <v>0</v>
      </c>
      <c r="CA13" s="40">
        <f t="shared" si="8"/>
        <v>358796.35039999994</v>
      </c>
      <c r="CB13" s="36">
        <f t="shared" si="66"/>
        <v>357417.35039999994</v>
      </c>
      <c r="CC13" s="62">
        <f t="shared" si="72"/>
        <v>130928.87279999998</v>
      </c>
      <c r="CD13" s="62">
        <f t="shared" si="73"/>
        <v>119788.54799999998</v>
      </c>
      <c r="CE13" s="62">
        <f t="shared" si="78"/>
        <v>41690.404799999997</v>
      </c>
      <c r="CF13" s="62">
        <f t="shared" si="74"/>
        <v>9293.9616000000005</v>
      </c>
      <c r="CG13" s="62">
        <f t="shared" si="75"/>
        <v>2790.018</v>
      </c>
      <c r="CH13" s="86">
        <f t="shared" si="76"/>
        <v>52925.545199999993</v>
      </c>
      <c r="CI13" s="86">
        <v>1379</v>
      </c>
      <c r="CJ13" s="62">
        <v>0</v>
      </c>
      <c r="CK13" s="62">
        <v>0</v>
      </c>
      <c r="CL13" s="62">
        <v>0</v>
      </c>
      <c r="CM13" s="37">
        <f t="shared" si="67"/>
        <v>7139143.3143999996</v>
      </c>
      <c r="CN13" s="4"/>
      <c r="CO13" s="45">
        <f t="shared" si="10"/>
        <v>-3323153.939999999</v>
      </c>
      <c r="CP13" s="46">
        <f t="shared" si="11"/>
        <v>-3337248.8499999992</v>
      </c>
      <c r="CQ13" s="46">
        <f t="shared" si="12"/>
        <v>-3108365.93</v>
      </c>
      <c r="CR13" s="46">
        <f t="shared" si="13"/>
        <v>-181753.70999999996</v>
      </c>
      <c r="CS13" s="46">
        <f t="shared" si="14"/>
        <v>-47129.209999999992</v>
      </c>
      <c r="CT13" s="46">
        <f t="shared" si="15"/>
        <v>14094.91</v>
      </c>
      <c r="CU13" s="45">
        <f t="shared" si="16"/>
        <v>-6193</v>
      </c>
      <c r="CV13" s="46">
        <f t="shared" si="17"/>
        <v>-6193</v>
      </c>
      <c r="CW13" s="46">
        <f t="shared" si="18"/>
        <v>0</v>
      </c>
      <c r="CX13" s="45">
        <f t="shared" si="19"/>
        <v>-35897</v>
      </c>
      <c r="CY13" s="46">
        <f t="shared" si="20"/>
        <v>-35897</v>
      </c>
      <c r="CZ13" s="46">
        <f t="shared" si="21"/>
        <v>0</v>
      </c>
      <c r="DA13" s="45">
        <f t="shared" si="22"/>
        <v>-244.11000000000013</v>
      </c>
      <c r="DB13" s="46">
        <f t="shared" si="23"/>
        <v>-247.05000000000018</v>
      </c>
      <c r="DC13" s="46">
        <f t="shared" si="24"/>
        <v>2.9399999999999995</v>
      </c>
      <c r="DD13" s="45">
        <f t="shared" si="25"/>
        <v>-7649.25</v>
      </c>
      <c r="DE13" s="47">
        <f t="shared" si="26"/>
        <v>-7725.4400000000023</v>
      </c>
      <c r="DF13" s="47">
        <f t="shared" si="27"/>
        <v>76.19</v>
      </c>
      <c r="DG13" s="48">
        <f t="shared" si="28"/>
        <v>0</v>
      </c>
      <c r="DH13" s="46">
        <f t="shared" si="29"/>
        <v>0</v>
      </c>
      <c r="DI13" s="49">
        <f t="shared" si="30"/>
        <v>145016.72130000003</v>
      </c>
      <c r="DJ13" s="47">
        <f t="shared" si="31"/>
        <v>-268808.03399999999</v>
      </c>
      <c r="DK13" s="46">
        <f t="shared" si="32"/>
        <v>-3914.0111999999999</v>
      </c>
      <c r="DL13" s="46">
        <f t="shared" si="33"/>
        <v>416740.21400000004</v>
      </c>
      <c r="DM13" s="46">
        <f t="shared" si="34"/>
        <v>998.55250000000001</v>
      </c>
      <c r="DN13" s="46">
        <f t="shared" si="35"/>
        <v>0</v>
      </c>
      <c r="DO13" s="50">
        <f t="shared" si="36"/>
        <v>2029609.6174999997</v>
      </c>
      <c r="DP13" s="47">
        <f t="shared" si="37"/>
        <v>-796734</v>
      </c>
      <c r="DQ13" s="47">
        <f t="shared" si="38"/>
        <v>2820220.7174999998</v>
      </c>
      <c r="DR13" s="46">
        <f t="shared" si="39"/>
        <v>6122.9</v>
      </c>
      <c r="DS13" s="46">
        <f t="shared" si="40"/>
        <v>0</v>
      </c>
      <c r="DT13" s="45">
        <f t="shared" si="41"/>
        <v>358796.35039999994</v>
      </c>
      <c r="DU13" s="47">
        <f t="shared" si="42"/>
        <v>357417.35039999994</v>
      </c>
      <c r="DV13" s="47">
        <f t="shared" si="43"/>
        <v>130928.87279999998</v>
      </c>
      <c r="DW13" s="47">
        <f t="shared" si="44"/>
        <v>119788.54799999998</v>
      </c>
      <c r="DX13" s="47">
        <f t="shared" si="45"/>
        <v>41690.404799999997</v>
      </c>
      <c r="DY13" s="47">
        <f t="shared" si="46"/>
        <v>9293.9616000000005</v>
      </c>
      <c r="DZ13" s="47">
        <f t="shared" si="47"/>
        <v>2790.018</v>
      </c>
      <c r="EA13" s="47">
        <f t="shared" si="48"/>
        <v>52925.545199999993</v>
      </c>
      <c r="EB13" s="47">
        <f t="shared" si="49"/>
        <v>1379</v>
      </c>
      <c r="EC13" s="47">
        <f t="shared" si="50"/>
        <v>0</v>
      </c>
      <c r="ED13" s="47">
        <f t="shared" si="51"/>
        <v>0</v>
      </c>
      <c r="EE13" s="47">
        <f t="shared" si="52"/>
        <v>0</v>
      </c>
      <c r="EF13" s="46">
        <f t="shared" si="68"/>
        <v>-839714.61079999944</v>
      </c>
      <c r="EH13" s="46">
        <v>771271.91</v>
      </c>
      <c r="EI13" s="89">
        <f t="shared" si="53"/>
        <v>-68442.700799999409</v>
      </c>
      <c r="EJ13" s="87">
        <v>755914</v>
      </c>
      <c r="EK13" s="46">
        <f t="shared" si="69"/>
        <v>-83800.610799999442</v>
      </c>
    </row>
    <row r="14" spans="1:141" ht="14.4" x14ac:dyDescent="0.3">
      <c r="A14" s="24">
        <f t="shared" si="70"/>
        <v>9</v>
      </c>
      <c r="B14" s="26">
        <v>2032</v>
      </c>
      <c r="C14" s="40">
        <f t="shared" si="54"/>
        <v>6780682.0899999999</v>
      </c>
      <c r="D14" s="37">
        <f t="shared" si="55"/>
        <v>6780682.0899999999</v>
      </c>
      <c r="E14" s="72">
        <v>5592365.6500000004</v>
      </c>
      <c r="F14" s="72">
        <v>950060.76</v>
      </c>
      <c r="G14" s="72">
        <v>238255.68</v>
      </c>
      <c r="H14" s="72">
        <v>0</v>
      </c>
      <c r="I14" s="40">
        <f t="shared" si="56"/>
        <v>6193</v>
      </c>
      <c r="J14" s="81">
        <v>6193</v>
      </c>
      <c r="K14" s="73">
        <v>0</v>
      </c>
      <c r="L14" s="40">
        <f t="shared" si="57"/>
        <v>35897</v>
      </c>
      <c r="M14" s="82">
        <v>35897</v>
      </c>
      <c r="N14" s="74">
        <v>0</v>
      </c>
      <c r="O14" s="40">
        <f t="shared" si="58"/>
        <v>3006.9500000000003</v>
      </c>
      <c r="P14" s="75">
        <v>2998.38</v>
      </c>
      <c r="Q14" s="75">
        <v>8.57</v>
      </c>
      <c r="R14" s="40">
        <f t="shared" si="59"/>
        <v>83622.84</v>
      </c>
      <c r="S14" s="60">
        <v>83398.66</v>
      </c>
      <c r="T14" s="60">
        <v>224.18</v>
      </c>
      <c r="U14" s="76">
        <v>0</v>
      </c>
      <c r="V14" s="76">
        <v>0</v>
      </c>
      <c r="W14" s="38">
        <f t="shared" si="60"/>
        <v>272722.04519999999</v>
      </c>
      <c r="X14" s="55">
        <v>268808.03399999999</v>
      </c>
      <c r="Y14" s="77">
        <v>3914.0111999999999</v>
      </c>
      <c r="Z14" s="55">
        <v>0</v>
      </c>
      <c r="AA14" s="77">
        <v>0</v>
      </c>
      <c r="AB14" s="77">
        <v>0</v>
      </c>
      <c r="AC14" s="39">
        <f t="shared" si="0"/>
        <v>796734</v>
      </c>
      <c r="AD14" s="57">
        <v>796734</v>
      </c>
      <c r="AE14" s="58">
        <v>0</v>
      </c>
      <c r="AF14" s="58">
        <v>0</v>
      </c>
      <c r="AG14" s="58">
        <v>0</v>
      </c>
      <c r="AH14" s="40">
        <f t="shared" si="61"/>
        <v>0</v>
      </c>
      <c r="AI14" s="36">
        <f t="shared" si="1"/>
        <v>0</v>
      </c>
      <c r="AJ14" s="78">
        <v>0</v>
      </c>
      <c r="AK14" s="78">
        <v>0</v>
      </c>
      <c r="AL14" s="78">
        <v>0</v>
      </c>
      <c r="AM14" s="78">
        <v>0</v>
      </c>
      <c r="AN14" s="78">
        <v>0</v>
      </c>
      <c r="AO14" s="78">
        <v>0</v>
      </c>
      <c r="AP14" s="78">
        <v>0</v>
      </c>
      <c r="AQ14" s="62">
        <v>0</v>
      </c>
      <c r="AR14" s="62">
        <v>0</v>
      </c>
      <c r="AS14" s="62">
        <v>0</v>
      </c>
      <c r="AT14" s="37">
        <f t="shared" si="62"/>
        <v>7978857.9251999995</v>
      </c>
      <c r="AU14" s="40">
        <f t="shared" si="2"/>
        <v>-1444895.2582999989</v>
      </c>
      <c r="AV14" s="40">
        <f t="shared" si="63"/>
        <v>3457528.1500000008</v>
      </c>
      <c r="AW14" s="37">
        <f t="shared" si="64"/>
        <v>3443433.2400000007</v>
      </c>
      <c r="AX14" s="72">
        <v>2483999.7200000002</v>
      </c>
      <c r="AY14" s="72">
        <v>768307.05</v>
      </c>
      <c r="AZ14" s="72">
        <v>191126.47</v>
      </c>
      <c r="BA14" s="72">
        <v>14094.91</v>
      </c>
      <c r="BB14" s="40">
        <f t="shared" si="65"/>
        <v>0</v>
      </c>
      <c r="BC14" s="73">
        <v>0</v>
      </c>
      <c r="BD14" s="73">
        <v>0</v>
      </c>
      <c r="BE14" s="40">
        <f t="shared" si="3"/>
        <v>0</v>
      </c>
      <c r="BF14" s="74">
        <v>0</v>
      </c>
      <c r="BG14" s="74">
        <v>0</v>
      </c>
      <c r="BH14" s="40">
        <f t="shared" si="4"/>
        <v>2762.84</v>
      </c>
      <c r="BI14" s="79">
        <v>2751.33</v>
      </c>
      <c r="BJ14" s="79">
        <v>11.51</v>
      </c>
      <c r="BK14" s="40">
        <f t="shared" si="5"/>
        <v>75973.59</v>
      </c>
      <c r="BL14" s="60">
        <v>75673.22</v>
      </c>
      <c r="BM14" s="60">
        <v>300.37</v>
      </c>
      <c r="BN14" s="76">
        <v>0</v>
      </c>
      <c r="BO14" s="76">
        <v>0</v>
      </c>
      <c r="BP14" s="38">
        <f t="shared" si="6"/>
        <v>417738.76650000003</v>
      </c>
      <c r="BQ14" s="55">
        <v>0</v>
      </c>
      <c r="BR14" s="77">
        <v>0</v>
      </c>
      <c r="BS14" s="77">
        <f t="shared" ref="BS14:BS16" si="79">344413.4*1.21</f>
        <v>416740.21400000004</v>
      </c>
      <c r="BT14" s="77">
        <f t="shared" si="71"/>
        <v>998.55250000000001</v>
      </c>
      <c r="BU14" s="54">
        <v>0</v>
      </c>
      <c r="BV14" s="39">
        <f t="shared" si="7"/>
        <v>2221162.9699999997</v>
      </c>
      <c r="BW14" s="57">
        <v>0</v>
      </c>
      <c r="BX14" s="57">
        <v>2215040.0699999998</v>
      </c>
      <c r="BY14" s="57">
        <v>6122.9</v>
      </c>
      <c r="BZ14" s="56">
        <v>0</v>
      </c>
      <c r="CA14" s="40">
        <f t="shared" si="8"/>
        <v>358796.35039999994</v>
      </c>
      <c r="CB14" s="36">
        <f t="shared" si="66"/>
        <v>357417.35039999994</v>
      </c>
      <c r="CC14" s="62">
        <f t="shared" si="72"/>
        <v>130928.87279999998</v>
      </c>
      <c r="CD14" s="62">
        <f t="shared" si="73"/>
        <v>119788.54799999998</v>
      </c>
      <c r="CE14" s="62">
        <f t="shared" si="78"/>
        <v>41690.404799999997</v>
      </c>
      <c r="CF14" s="62">
        <f t="shared" si="74"/>
        <v>9293.9616000000005</v>
      </c>
      <c r="CG14" s="62">
        <f t="shared" si="75"/>
        <v>2790.018</v>
      </c>
      <c r="CH14" s="86">
        <f t="shared" si="76"/>
        <v>52925.545199999993</v>
      </c>
      <c r="CI14" s="86">
        <v>1379</v>
      </c>
      <c r="CJ14" s="62">
        <v>0</v>
      </c>
      <c r="CK14" s="62">
        <v>0</v>
      </c>
      <c r="CL14" s="62">
        <v>0</v>
      </c>
      <c r="CM14" s="37">
        <f t="shared" si="67"/>
        <v>6533962.6669000005</v>
      </c>
      <c r="CN14" s="4"/>
      <c r="CO14" s="45">
        <f t="shared" si="10"/>
        <v>-3323153.939999999</v>
      </c>
      <c r="CP14" s="46">
        <f t="shared" si="11"/>
        <v>-3337248.8499999992</v>
      </c>
      <c r="CQ14" s="46">
        <f t="shared" si="12"/>
        <v>-3108365.93</v>
      </c>
      <c r="CR14" s="46">
        <f t="shared" si="13"/>
        <v>-181753.70999999996</v>
      </c>
      <c r="CS14" s="46">
        <f t="shared" si="14"/>
        <v>-47129.209999999992</v>
      </c>
      <c r="CT14" s="46">
        <f t="shared" si="15"/>
        <v>14094.91</v>
      </c>
      <c r="CU14" s="45">
        <f t="shared" si="16"/>
        <v>-6193</v>
      </c>
      <c r="CV14" s="46">
        <f t="shared" si="17"/>
        <v>-6193</v>
      </c>
      <c r="CW14" s="46">
        <f t="shared" si="18"/>
        <v>0</v>
      </c>
      <c r="CX14" s="45">
        <f t="shared" si="19"/>
        <v>-35897</v>
      </c>
      <c r="CY14" s="46">
        <f t="shared" si="20"/>
        <v>-35897</v>
      </c>
      <c r="CZ14" s="46">
        <f t="shared" si="21"/>
        <v>0</v>
      </c>
      <c r="DA14" s="45">
        <f t="shared" si="22"/>
        <v>-244.11000000000013</v>
      </c>
      <c r="DB14" s="46">
        <f t="shared" si="23"/>
        <v>-247.05000000000018</v>
      </c>
      <c r="DC14" s="46">
        <f t="shared" si="24"/>
        <v>2.9399999999999995</v>
      </c>
      <c r="DD14" s="45">
        <f t="shared" si="25"/>
        <v>-7649.25</v>
      </c>
      <c r="DE14" s="47">
        <f t="shared" si="26"/>
        <v>-7725.4400000000023</v>
      </c>
      <c r="DF14" s="47">
        <f t="shared" si="27"/>
        <v>76.19</v>
      </c>
      <c r="DG14" s="48">
        <f t="shared" si="28"/>
        <v>0</v>
      </c>
      <c r="DH14" s="46">
        <f t="shared" si="29"/>
        <v>0</v>
      </c>
      <c r="DI14" s="49">
        <f t="shared" si="30"/>
        <v>145016.72130000003</v>
      </c>
      <c r="DJ14" s="47">
        <f t="shared" si="31"/>
        <v>-268808.03399999999</v>
      </c>
      <c r="DK14" s="46">
        <f t="shared" si="32"/>
        <v>-3914.0111999999999</v>
      </c>
      <c r="DL14" s="46">
        <f t="shared" si="33"/>
        <v>416740.21400000004</v>
      </c>
      <c r="DM14" s="46">
        <f t="shared" si="34"/>
        <v>998.55250000000001</v>
      </c>
      <c r="DN14" s="46">
        <f t="shared" si="35"/>
        <v>0</v>
      </c>
      <c r="DO14" s="50">
        <f t="shared" si="36"/>
        <v>1424428.9699999997</v>
      </c>
      <c r="DP14" s="47">
        <f t="shared" si="37"/>
        <v>-796734</v>
      </c>
      <c r="DQ14" s="47">
        <f t="shared" si="38"/>
        <v>2215040.0699999998</v>
      </c>
      <c r="DR14" s="46">
        <f t="shared" si="39"/>
        <v>6122.9</v>
      </c>
      <c r="DS14" s="46">
        <f t="shared" si="40"/>
        <v>0</v>
      </c>
      <c r="DT14" s="45">
        <f t="shared" si="41"/>
        <v>358796.35039999994</v>
      </c>
      <c r="DU14" s="47">
        <f t="shared" si="42"/>
        <v>357417.35039999994</v>
      </c>
      <c r="DV14" s="47">
        <f t="shared" si="43"/>
        <v>130928.87279999998</v>
      </c>
      <c r="DW14" s="47">
        <f t="shared" si="44"/>
        <v>119788.54799999998</v>
      </c>
      <c r="DX14" s="47">
        <f t="shared" si="45"/>
        <v>41690.404799999997</v>
      </c>
      <c r="DY14" s="47">
        <f t="shared" si="46"/>
        <v>9293.9616000000005</v>
      </c>
      <c r="DZ14" s="47">
        <f t="shared" si="47"/>
        <v>2790.018</v>
      </c>
      <c r="EA14" s="47">
        <f t="shared" si="48"/>
        <v>52925.545199999993</v>
      </c>
      <c r="EB14" s="47">
        <f t="shared" si="49"/>
        <v>1379</v>
      </c>
      <c r="EC14" s="47">
        <f t="shared" si="50"/>
        <v>0</v>
      </c>
      <c r="ED14" s="47">
        <f t="shared" si="51"/>
        <v>0</v>
      </c>
      <c r="EE14" s="47">
        <f t="shared" si="52"/>
        <v>0</v>
      </c>
      <c r="EF14" s="46">
        <f t="shared" si="68"/>
        <v>-1444895.2582999994</v>
      </c>
      <c r="EH14" s="46">
        <v>771271.91</v>
      </c>
      <c r="EI14" s="46">
        <f t="shared" si="53"/>
        <v>-673623.34829999937</v>
      </c>
      <c r="EJ14" s="87">
        <v>1000000</v>
      </c>
      <c r="EK14" s="46">
        <f t="shared" si="69"/>
        <v>-444895.2582999994</v>
      </c>
    </row>
    <row r="15" spans="1:141" ht="14.4" x14ac:dyDescent="0.3">
      <c r="A15" s="24">
        <f t="shared" si="70"/>
        <v>10</v>
      </c>
      <c r="B15" s="26">
        <v>2033</v>
      </c>
      <c r="C15" s="40">
        <f t="shared" si="54"/>
        <v>6780682.0899999999</v>
      </c>
      <c r="D15" s="37">
        <f t="shared" si="55"/>
        <v>6780682.0899999999</v>
      </c>
      <c r="E15" s="72">
        <v>5592365.6500000004</v>
      </c>
      <c r="F15" s="72">
        <v>950060.76</v>
      </c>
      <c r="G15" s="72">
        <v>238255.68</v>
      </c>
      <c r="H15" s="72">
        <v>0</v>
      </c>
      <c r="I15" s="40">
        <f t="shared" si="56"/>
        <v>6193</v>
      </c>
      <c r="J15" s="81">
        <v>6193</v>
      </c>
      <c r="K15" s="73">
        <v>0</v>
      </c>
      <c r="L15" s="40">
        <f t="shared" si="57"/>
        <v>35897</v>
      </c>
      <c r="M15" s="82">
        <v>35897</v>
      </c>
      <c r="N15" s="74">
        <v>0</v>
      </c>
      <c r="O15" s="40">
        <f t="shared" si="58"/>
        <v>3006.9500000000003</v>
      </c>
      <c r="P15" s="75">
        <v>2998.38</v>
      </c>
      <c r="Q15" s="75">
        <v>8.57</v>
      </c>
      <c r="R15" s="40">
        <f t="shared" si="59"/>
        <v>83622.84</v>
      </c>
      <c r="S15" s="60">
        <v>83398.66</v>
      </c>
      <c r="T15" s="60">
        <v>224.18</v>
      </c>
      <c r="U15" s="76">
        <v>0</v>
      </c>
      <c r="V15" s="76">
        <v>0</v>
      </c>
      <c r="W15" s="38">
        <f t="shared" si="60"/>
        <v>272722.04519999999</v>
      </c>
      <c r="X15" s="55">
        <v>268808.03399999999</v>
      </c>
      <c r="Y15" s="77">
        <v>3914.0111999999999</v>
      </c>
      <c r="Z15" s="55">
        <v>0</v>
      </c>
      <c r="AA15" s="77">
        <v>0</v>
      </c>
      <c r="AB15" s="77">
        <v>0</v>
      </c>
      <c r="AC15" s="39">
        <f t="shared" si="0"/>
        <v>796734</v>
      </c>
      <c r="AD15" s="57">
        <v>796734</v>
      </c>
      <c r="AE15" s="58">
        <v>0</v>
      </c>
      <c r="AF15" s="58">
        <v>0</v>
      </c>
      <c r="AG15" s="58">
        <v>0</v>
      </c>
      <c r="AH15" s="40">
        <f t="shared" si="61"/>
        <v>0</v>
      </c>
      <c r="AI15" s="36">
        <f t="shared" si="1"/>
        <v>0</v>
      </c>
      <c r="AJ15" s="78">
        <v>0</v>
      </c>
      <c r="AK15" s="78">
        <v>0</v>
      </c>
      <c r="AL15" s="78">
        <v>0</v>
      </c>
      <c r="AM15" s="78">
        <v>0</v>
      </c>
      <c r="AN15" s="78">
        <v>0</v>
      </c>
      <c r="AO15" s="78">
        <v>0</v>
      </c>
      <c r="AP15" s="78">
        <v>0</v>
      </c>
      <c r="AQ15" s="62">
        <v>0</v>
      </c>
      <c r="AR15" s="62">
        <v>0</v>
      </c>
      <c r="AS15" s="62">
        <v>0</v>
      </c>
      <c r="AT15" s="37">
        <f t="shared" si="62"/>
        <v>7978857.9251999995</v>
      </c>
      <c r="AU15" s="40">
        <f t="shared" si="2"/>
        <v>-1444895.2582999989</v>
      </c>
      <c r="AV15" s="40">
        <f t="shared" si="63"/>
        <v>3457528.1500000008</v>
      </c>
      <c r="AW15" s="37">
        <f t="shared" si="64"/>
        <v>3443433.2400000007</v>
      </c>
      <c r="AX15" s="72">
        <v>2483999.7200000002</v>
      </c>
      <c r="AY15" s="72">
        <v>768307.05</v>
      </c>
      <c r="AZ15" s="72">
        <v>191126.47</v>
      </c>
      <c r="BA15" s="72">
        <v>14094.91</v>
      </c>
      <c r="BB15" s="40">
        <f t="shared" si="65"/>
        <v>0</v>
      </c>
      <c r="BC15" s="73">
        <v>0</v>
      </c>
      <c r="BD15" s="73">
        <v>0</v>
      </c>
      <c r="BE15" s="40">
        <f t="shared" si="3"/>
        <v>0</v>
      </c>
      <c r="BF15" s="74">
        <v>0</v>
      </c>
      <c r="BG15" s="74">
        <v>0</v>
      </c>
      <c r="BH15" s="40">
        <f t="shared" si="4"/>
        <v>2762.84</v>
      </c>
      <c r="BI15" s="79">
        <v>2751.33</v>
      </c>
      <c r="BJ15" s="79">
        <v>11.51</v>
      </c>
      <c r="BK15" s="40">
        <f t="shared" si="5"/>
        <v>75973.59</v>
      </c>
      <c r="BL15" s="60">
        <v>75673.22</v>
      </c>
      <c r="BM15" s="60">
        <v>300.37</v>
      </c>
      <c r="BN15" s="76">
        <v>0</v>
      </c>
      <c r="BO15" s="76">
        <v>0</v>
      </c>
      <c r="BP15" s="38">
        <f t="shared" si="6"/>
        <v>417738.76650000003</v>
      </c>
      <c r="BQ15" s="55">
        <v>0</v>
      </c>
      <c r="BR15" s="77">
        <v>0</v>
      </c>
      <c r="BS15" s="77">
        <f t="shared" si="79"/>
        <v>416740.21400000004</v>
      </c>
      <c r="BT15" s="77">
        <f t="shared" si="71"/>
        <v>998.55250000000001</v>
      </c>
      <c r="BU15" s="54">
        <v>0</v>
      </c>
      <c r="BV15" s="39">
        <f t="shared" si="7"/>
        <v>2221162.9699999997</v>
      </c>
      <c r="BW15" s="57">
        <v>0</v>
      </c>
      <c r="BX15" s="57">
        <v>2215040.0699999998</v>
      </c>
      <c r="BY15" s="57">
        <v>6122.9</v>
      </c>
      <c r="BZ15" s="56">
        <v>0</v>
      </c>
      <c r="CA15" s="40">
        <f t="shared" si="8"/>
        <v>358796.35039999994</v>
      </c>
      <c r="CB15" s="36">
        <f t="shared" si="66"/>
        <v>357417.35039999994</v>
      </c>
      <c r="CC15" s="62">
        <f t="shared" si="72"/>
        <v>130928.87279999998</v>
      </c>
      <c r="CD15" s="62">
        <f t="shared" si="73"/>
        <v>119788.54799999998</v>
      </c>
      <c r="CE15" s="62">
        <f t="shared" si="78"/>
        <v>41690.404799999997</v>
      </c>
      <c r="CF15" s="62">
        <f t="shared" si="74"/>
        <v>9293.9616000000005</v>
      </c>
      <c r="CG15" s="62">
        <f t="shared" si="75"/>
        <v>2790.018</v>
      </c>
      <c r="CH15" s="86">
        <f t="shared" si="76"/>
        <v>52925.545199999993</v>
      </c>
      <c r="CI15" s="86">
        <v>1379</v>
      </c>
      <c r="CJ15" s="62">
        <v>0</v>
      </c>
      <c r="CK15" s="62">
        <v>0</v>
      </c>
      <c r="CL15" s="62">
        <v>0</v>
      </c>
      <c r="CM15" s="37">
        <f t="shared" si="67"/>
        <v>6533962.6669000005</v>
      </c>
      <c r="CN15" s="4"/>
      <c r="CO15" s="45">
        <f t="shared" si="10"/>
        <v>-3323153.939999999</v>
      </c>
      <c r="CP15" s="46">
        <f t="shared" si="11"/>
        <v>-3337248.8499999992</v>
      </c>
      <c r="CQ15" s="46">
        <f t="shared" si="12"/>
        <v>-3108365.93</v>
      </c>
      <c r="CR15" s="46">
        <f t="shared" si="13"/>
        <v>-181753.70999999996</v>
      </c>
      <c r="CS15" s="46">
        <f t="shared" si="14"/>
        <v>-47129.209999999992</v>
      </c>
      <c r="CT15" s="46">
        <f t="shared" si="15"/>
        <v>14094.91</v>
      </c>
      <c r="CU15" s="45">
        <f t="shared" si="16"/>
        <v>-6193</v>
      </c>
      <c r="CV15" s="46">
        <f t="shared" si="17"/>
        <v>-6193</v>
      </c>
      <c r="CW15" s="46">
        <f t="shared" si="18"/>
        <v>0</v>
      </c>
      <c r="CX15" s="45">
        <f t="shared" si="19"/>
        <v>-35897</v>
      </c>
      <c r="CY15" s="46">
        <f t="shared" si="20"/>
        <v>-35897</v>
      </c>
      <c r="CZ15" s="46">
        <f t="shared" si="21"/>
        <v>0</v>
      </c>
      <c r="DA15" s="45">
        <f t="shared" si="22"/>
        <v>-244.11000000000013</v>
      </c>
      <c r="DB15" s="46">
        <f t="shared" si="23"/>
        <v>-247.05000000000018</v>
      </c>
      <c r="DC15" s="46">
        <f t="shared" si="24"/>
        <v>2.9399999999999995</v>
      </c>
      <c r="DD15" s="45">
        <f t="shared" si="25"/>
        <v>-7649.25</v>
      </c>
      <c r="DE15" s="47">
        <f t="shared" si="26"/>
        <v>-7725.4400000000023</v>
      </c>
      <c r="DF15" s="47">
        <f t="shared" si="27"/>
        <v>76.19</v>
      </c>
      <c r="DG15" s="48">
        <f t="shared" si="28"/>
        <v>0</v>
      </c>
      <c r="DH15" s="46">
        <f t="shared" si="29"/>
        <v>0</v>
      </c>
      <c r="DI15" s="49">
        <f t="shared" si="30"/>
        <v>145016.72130000003</v>
      </c>
      <c r="DJ15" s="47">
        <f t="shared" si="31"/>
        <v>-268808.03399999999</v>
      </c>
      <c r="DK15" s="46">
        <f t="shared" si="32"/>
        <v>-3914.0111999999999</v>
      </c>
      <c r="DL15" s="46">
        <f t="shared" si="33"/>
        <v>416740.21400000004</v>
      </c>
      <c r="DM15" s="46">
        <f t="shared" si="34"/>
        <v>998.55250000000001</v>
      </c>
      <c r="DN15" s="46">
        <f t="shared" si="35"/>
        <v>0</v>
      </c>
      <c r="DO15" s="50">
        <f t="shared" si="36"/>
        <v>1424428.9699999997</v>
      </c>
      <c r="DP15" s="47">
        <f t="shared" si="37"/>
        <v>-796734</v>
      </c>
      <c r="DQ15" s="47">
        <f t="shared" si="38"/>
        <v>2215040.0699999998</v>
      </c>
      <c r="DR15" s="46">
        <f t="shared" si="39"/>
        <v>6122.9</v>
      </c>
      <c r="DS15" s="46">
        <f t="shared" si="40"/>
        <v>0</v>
      </c>
      <c r="DT15" s="45">
        <f t="shared" si="41"/>
        <v>358796.35039999994</v>
      </c>
      <c r="DU15" s="47">
        <f t="shared" si="42"/>
        <v>357417.35039999994</v>
      </c>
      <c r="DV15" s="47">
        <f t="shared" si="43"/>
        <v>130928.87279999998</v>
      </c>
      <c r="DW15" s="47">
        <f t="shared" si="44"/>
        <v>119788.54799999998</v>
      </c>
      <c r="DX15" s="47">
        <f t="shared" si="45"/>
        <v>41690.404799999997</v>
      </c>
      <c r="DY15" s="47">
        <f t="shared" si="46"/>
        <v>9293.9616000000005</v>
      </c>
      <c r="DZ15" s="47">
        <f t="shared" si="47"/>
        <v>2790.018</v>
      </c>
      <c r="EA15" s="47">
        <f t="shared" si="48"/>
        <v>52925.545199999993</v>
      </c>
      <c r="EB15" s="47">
        <f t="shared" si="49"/>
        <v>1379</v>
      </c>
      <c r="EC15" s="47">
        <f t="shared" si="50"/>
        <v>0</v>
      </c>
      <c r="ED15" s="47">
        <f t="shared" si="51"/>
        <v>0</v>
      </c>
      <c r="EE15" s="47">
        <f t="shared" si="52"/>
        <v>0</v>
      </c>
      <c r="EF15" s="46">
        <f t="shared" si="68"/>
        <v>-1444895.2582999994</v>
      </c>
      <c r="EH15" s="46">
        <v>771271.91</v>
      </c>
      <c r="EI15" s="46">
        <f t="shared" si="53"/>
        <v>-673623.34829999937</v>
      </c>
      <c r="EJ15" s="87">
        <v>1000000</v>
      </c>
      <c r="EK15" s="46">
        <f t="shared" si="69"/>
        <v>-444895.2582999994</v>
      </c>
    </row>
    <row r="16" spans="1:141" ht="14.4" x14ac:dyDescent="0.3">
      <c r="A16" s="24">
        <f t="shared" si="70"/>
        <v>11</v>
      </c>
      <c r="B16" s="26">
        <v>2034</v>
      </c>
      <c r="C16" s="40">
        <f t="shared" si="54"/>
        <v>6780682.0899999999</v>
      </c>
      <c r="D16" s="37">
        <f t="shared" si="55"/>
        <v>6780682.0899999999</v>
      </c>
      <c r="E16" s="72">
        <v>5592365.6500000004</v>
      </c>
      <c r="F16" s="72">
        <v>950060.76</v>
      </c>
      <c r="G16" s="72">
        <v>238255.68</v>
      </c>
      <c r="H16" s="72">
        <v>0</v>
      </c>
      <c r="I16" s="40">
        <f t="shared" si="56"/>
        <v>6193</v>
      </c>
      <c r="J16" s="81">
        <v>6193</v>
      </c>
      <c r="K16" s="73">
        <v>0</v>
      </c>
      <c r="L16" s="40">
        <f t="shared" si="57"/>
        <v>35897</v>
      </c>
      <c r="M16" s="82">
        <v>35897</v>
      </c>
      <c r="N16" s="74">
        <v>0</v>
      </c>
      <c r="O16" s="40">
        <f t="shared" si="58"/>
        <v>3006.9500000000003</v>
      </c>
      <c r="P16" s="75">
        <v>2998.38</v>
      </c>
      <c r="Q16" s="75">
        <v>8.57</v>
      </c>
      <c r="R16" s="40">
        <f t="shared" si="59"/>
        <v>83622.84</v>
      </c>
      <c r="S16" s="60">
        <v>83398.66</v>
      </c>
      <c r="T16" s="60">
        <v>224.18</v>
      </c>
      <c r="U16" s="76">
        <v>0</v>
      </c>
      <c r="V16" s="76">
        <v>0</v>
      </c>
      <c r="W16" s="38">
        <f t="shared" si="60"/>
        <v>272722.04519999999</v>
      </c>
      <c r="X16" s="55">
        <v>268808.03399999999</v>
      </c>
      <c r="Y16" s="77">
        <v>3914.0111999999999</v>
      </c>
      <c r="Z16" s="55">
        <v>0</v>
      </c>
      <c r="AA16" s="77">
        <v>0</v>
      </c>
      <c r="AB16" s="77">
        <v>0</v>
      </c>
      <c r="AC16" s="39">
        <f t="shared" si="0"/>
        <v>796734</v>
      </c>
      <c r="AD16" s="57">
        <v>796734</v>
      </c>
      <c r="AE16" s="58">
        <v>0</v>
      </c>
      <c r="AF16" s="58">
        <v>0</v>
      </c>
      <c r="AG16" s="58">
        <v>0</v>
      </c>
      <c r="AH16" s="40">
        <f t="shared" si="61"/>
        <v>0</v>
      </c>
      <c r="AI16" s="36">
        <f t="shared" si="1"/>
        <v>0</v>
      </c>
      <c r="AJ16" s="78">
        <v>0</v>
      </c>
      <c r="AK16" s="78">
        <v>0</v>
      </c>
      <c r="AL16" s="78">
        <v>0</v>
      </c>
      <c r="AM16" s="78">
        <v>0</v>
      </c>
      <c r="AN16" s="78">
        <v>0</v>
      </c>
      <c r="AO16" s="78">
        <v>0</v>
      </c>
      <c r="AP16" s="78">
        <v>0</v>
      </c>
      <c r="AQ16" s="62">
        <v>0</v>
      </c>
      <c r="AR16" s="62">
        <v>0</v>
      </c>
      <c r="AS16" s="62">
        <v>0</v>
      </c>
      <c r="AT16" s="37">
        <f t="shared" si="62"/>
        <v>7978857.9251999995</v>
      </c>
      <c r="AU16" s="40">
        <f t="shared" si="2"/>
        <v>-1444895.2582999989</v>
      </c>
      <c r="AV16" s="40">
        <f t="shared" si="63"/>
        <v>3457528.1500000008</v>
      </c>
      <c r="AW16" s="37">
        <f t="shared" si="64"/>
        <v>3443433.2400000007</v>
      </c>
      <c r="AX16" s="72">
        <v>2483999.7200000002</v>
      </c>
      <c r="AY16" s="72">
        <v>768307.05</v>
      </c>
      <c r="AZ16" s="72">
        <v>191126.47</v>
      </c>
      <c r="BA16" s="72">
        <v>14094.91</v>
      </c>
      <c r="BB16" s="40">
        <f t="shared" si="65"/>
        <v>0</v>
      </c>
      <c r="BC16" s="73">
        <v>0</v>
      </c>
      <c r="BD16" s="73">
        <v>0</v>
      </c>
      <c r="BE16" s="40">
        <f t="shared" si="3"/>
        <v>0</v>
      </c>
      <c r="BF16" s="74">
        <v>0</v>
      </c>
      <c r="BG16" s="74">
        <v>0</v>
      </c>
      <c r="BH16" s="40">
        <f t="shared" si="4"/>
        <v>2762.84</v>
      </c>
      <c r="BI16" s="79">
        <v>2751.33</v>
      </c>
      <c r="BJ16" s="79">
        <v>11.51</v>
      </c>
      <c r="BK16" s="40">
        <f t="shared" si="5"/>
        <v>75973.59</v>
      </c>
      <c r="BL16" s="60">
        <v>75673.22</v>
      </c>
      <c r="BM16" s="60">
        <v>300.37</v>
      </c>
      <c r="BN16" s="76">
        <v>0</v>
      </c>
      <c r="BO16" s="76">
        <v>0</v>
      </c>
      <c r="BP16" s="38">
        <f t="shared" si="6"/>
        <v>417738.76650000003</v>
      </c>
      <c r="BQ16" s="55">
        <v>0</v>
      </c>
      <c r="BR16" s="77">
        <v>0</v>
      </c>
      <c r="BS16" s="77">
        <f t="shared" si="79"/>
        <v>416740.21400000004</v>
      </c>
      <c r="BT16" s="77">
        <f t="shared" si="71"/>
        <v>998.55250000000001</v>
      </c>
      <c r="BU16" s="54">
        <v>0</v>
      </c>
      <c r="BV16" s="39">
        <f t="shared" si="7"/>
        <v>2221162.9699999997</v>
      </c>
      <c r="BW16" s="57">
        <v>0</v>
      </c>
      <c r="BX16" s="57">
        <v>2215040.0699999998</v>
      </c>
      <c r="BY16" s="57">
        <v>6122.9</v>
      </c>
      <c r="BZ16" s="56">
        <v>0</v>
      </c>
      <c r="CA16" s="40">
        <f t="shared" si="8"/>
        <v>358796.35039999994</v>
      </c>
      <c r="CB16" s="36">
        <f t="shared" si="66"/>
        <v>357417.35039999994</v>
      </c>
      <c r="CC16" s="62">
        <f t="shared" si="72"/>
        <v>130928.87279999998</v>
      </c>
      <c r="CD16" s="62">
        <f t="shared" si="73"/>
        <v>119788.54799999998</v>
      </c>
      <c r="CE16" s="62">
        <f t="shared" si="78"/>
        <v>41690.404799999997</v>
      </c>
      <c r="CF16" s="62">
        <f t="shared" si="74"/>
        <v>9293.9616000000005</v>
      </c>
      <c r="CG16" s="62">
        <f t="shared" si="75"/>
        <v>2790.018</v>
      </c>
      <c r="CH16" s="86">
        <f t="shared" si="76"/>
        <v>52925.545199999993</v>
      </c>
      <c r="CI16" s="86">
        <v>1379</v>
      </c>
      <c r="CJ16" s="62">
        <v>0</v>
      </c>
      <c r="CK16" s="62">
        <v>0</v>
      </c>
      <c r="CL16" s="62">
        <v>0</v>
      </c>
      <c r="CM16" s="37">
        <f t="shared" si="67"/>
        <v>6533962.6669000005</v>
      </c>
      <c r="CN16" s="4"/>
      <c r="CO16" s="45">
        <f t="shared" si="10"/>
        <v>-3323153.939999999</v>
      </c>
      <c r="CP16" s="46">
        <f t="shared" si="11"/>
        <v>-3337248.8499999992</v>
      </c>
      <c r="CQ16" s="46">
        <f t="shared" si="12"/>
        <v>-3108365.93</v>
      </c>
      <c r="CR16" s="46">
        <f t="shared" si="13"/>
        <v>-181753.70999999996</v>
      </c>
      <c r="CS16" s="46">
        <f t="shared" si="14"/>
        <v>-47129.209999999992</v>
      </c>
      <c r="CT16" s="46">
        <f t="shared" si="15"/>
        <v>14094.91</v>
      </c>
      <c r="CU16" s="45">
        <f t="shared" si="16"/>
        <v>-6193</v>
      </c>
      <c r="CV16" s="46">
        <f t="shared" si="17"/>
        <v>-6193</v>
      </c>
      <c r="CW16" s="46">
        <f t="shared" si="18"/>
        <v>0</v>
      </c>
      <c r="CX16" s="45">
        <f t="shared" si="19"/>
        <v>-35897</v>
      </c>
      <c r="CY16" s="46">
        <f t="shared" si="20"/>
        <v>-35897</v>
      </c>
      <c r="CZ16" s="46">
        <f t="shared" si="21"/>
        <v>0</v>
      </c>
      <c r="DA16" s="45">
        <f t="shared" si="22"/>
        <v>-244.11000000000013</v>
      </c>
      <c r="DB16" s="46">
        <f t="shared" si="23"/>
        <v>-247.05000000000018</v>
      </c>
      <c r="DC16" s="46">
        <f t="shared" si="24"/>
        <v>2.9399999999999995</v>
      </c>
      <c r="DD16" s="45">
        <f t="shared" si="25"/>
        <v>-7649.25</v>
      </c>
      <c r="DE16" s="47">
        <f t="shared" si="26"/>
        <v>-7725.4400000000023</v>
      </c>
      <c r="DF16" s="47">
        <f t="shared" si="27"/>
        <v>76.19</v>
      </c>
      <c r="DG16" s="48">
        <f t="shared" si="28"/>
        <v>0</v>
      </c>
      <c r="DH16" s="46">
        <f t="shared" si="29"/>
        <v>0</v>
      </c>
      <c r="DI16" s="49">
        <f t="shared" si="30"/>
        <v>145016.72130000003</v>
      </c>
      <c r="DJ16" s="47">
        <f t="shared" si="31"/>
        <v>-268808.03399999999</v>
      </c>
      <c r="DK16" s="46">
        <f t="shared" si="32"/>
        <v>-3914.0111999999999</v>
      </c>
      <c r="DL16" s="46">
        <f t="shared" si="33"/>
        <v>416740.21400000004</v>
      </c>
      <c r="DM16" s="46">
        <f t="shared" si="34"/>
        <v>998.55250000000001</v>
      </c>
      <c r="DN16" s="46">
        <f t="shared" si="35"/>
        <v>0</v>
      </c>
      <c r="DO16" s="50">
        <f t="shared" si="36"/>
        <v>1424428.9699999997</v>
      </c>
      <c r="DP16" s="47">
        <f t="shared" si="37"/>
        <v>-796734</v>
      </c>
      <c r="DQ16" s="47">
        <f t="shared" si="38"/>
        <v>2215040.0699999998</v>
      </c>
      <c r="DR16" s="46">
        <f t="shared" si="39"/>
        <v>6122.9</v>
      </c>
      <c r="DS16" s="46">
        <f t="shared" si="40"/>
        <v>0</v>
      </c>
      <c r="DT16" s="45">
        <f t="shared" si="41"/>
        <v>358796.35039999994</v>
      </c>
      <c r="DU16" s="47">
        <f t="shared" si="42"/>
        <v>357417.35039999994</v>
      </c>
      <c r="DV16" s="47">
        <f t="shared" si="43"/>
        <v>130928.87279999998</v>
      </c>
      <c r="DW16" s="47">
        <f t="shared" si="44"/>
        <v>119788.54799999998</v>
      </c>
      <c r="DX16" s="47">
        <f t="shared" si="45"/>
        <v>41690.404799999997</v>
      </c>
      <c r="DY16" s="47">
        <f t="shared" si="46"/>
        <v>9293.9616000000005</v>
      </c>
      <c r="DZ16" s="47">
        <f t="shared" si="47"/>
        <v>2790.018</v>
      </c>
      <c r="EA16" s="47">
        <f t="shared" si="48"/>
        <v>52925.545199999993</v>
      </c>
      <c r="EB16" s="47">
        <f t="shared" si="49"/>
        <v>1379</v>
      </c>
      <c r="EC16" s="47">
        <f t="shared" si="50"/>
        <v>0</v>
      </c>
      <c r="ED16" s="47">
        <f t="shared" si="51"/>
        <v>0</v>
      </c>
      <c r="EE16" s="47">
        <f t="shared" si="52"/>
        <v>0</v>
      </c>
      <c r="EF16" s="46">
        <f t="shared" si="68"/>
        <v>-1444895.2582999994</v>
      </c>
      <c r="EH16" s="46">
        <v>771271.91</v>
      </c>
      <c r="EI16" s="46">
        <f t="shared" si="53"/>
        <v>-673623.34829999937</v>
      </c>
      <c r="EJ16" s="87">
        <v>1000000</v>
      </c>
      <c r="EK16" s="46">
        <f t="shared" si="69"/>
        <v>-444895.2582999994</v>
      </c>
    </row>
    <row r="17" spans="1:141" ht="14.4" x14ac:dyDescent="0.3">
      <c r="A17" s="24">
        <f t="shared" si="70"/>
        <v>12</v>
      </c>
      <c r="B17" s="26">
        <v>2035</v>
      </c>
      <c r="C17" s="40">
        <f t="shared" si="54"/>
        <v>6780682.0899999999</v>
      </c>
      <c r="D17" s="37">
        <f t="shared" si="55"/>
        <v>6780682.0899999999</v>
      </c>
      <c r="E17" s="72">
        <v>5592365.6500000004</v>
      </c>
      <c r="F17" s="72">
        <v>950060.76</v>
      </c>
      <c r="G17" s="72">
        <v>238255.68</v>
      </c>
      <c r="H17" s="72">
        <v>0</v>
      </c>
      <c r="I17" s="40">
        <f t="shared" si="56"/>
        <v>6193</v>
      </c>
      <c r="J17" s="81">
        <f>J12</f>
        <v>6193</v>
      </c>
      <c r="K17" s="73">
        <v>0</v>
      </c>
      <c r="L17" s="40">
        <f t="shared" si="57"/>
        <v>35897</v>
      </c>
      <c r="M17" s="82">
        <f>M12</f>
        <v>35897</v>
      </c>
      <c r="N17" s="74">
        <v>0</v>
      </c>
      <c r="O17" s="40">
        <f t="shared" si="58"/>
        <v>3006.9500000000003</v>
      </c>
      <c r="P17" s="75">
        <f>P12</f>
        <v>2998.38</v>
      </c>
      <c r="Q17" s="75">
        <f>Q12</f>
        <v>8.57</v>
      </c>
      <c r="R17" s="40">
        <f t="shared" si="59"/>
        <v>83622.84</v>
      </c>
      <c r="S17" s="60">
        <v>83398.66</v>
      </c>
      <c r="T17" s="60">
        <v>224.18</v>
      </c>
      <c r="U17" s="76">
        <v>0</v>
      </c>
      <c r="V17" s="76">
        <v>0</v>
      </c>
      <c r="W17" s="38">
        <f t="shared" si="60"/>
        <v>272722.04519999999</v>
      </c>
      <c r="X17" s="55">
        <v>268808.03399999999</v>
      </c>
      <c r="Y17" s="77">
        <v>3914.0111999999999</v>
      </c>
      <c r="Z17" s="55">
        <v>0</v>
      </c>
      <c r="AA17" s="77">
        <v>0</v>
      </c>
      <c r="AB17" s="77">
        <v>0</v>
      </c>
      <c r="AC17" s="39">
        <f t="shared" si="0"/>
        <v>796734</v>
      </c>
      <c r="AD17" s="57">
        <v>796734</v>
      </c>
      <c r="AE17" s="58">
        <v>0</v>
      </c>
      <c r="AF17" s="58">
        <v>0</v>
      </c>
      <c r="AG17" s="58">
        <v>0</v>
      </c>
      <c r="AH17" s="40">
        <f t="shared" si="61"/>
        <v>0</v>
      </c>
      <c r="AI17" s="36">
        <f t="shared" si="1"/>
        <v>0</v>
      </c>
      <c r="AJ17" s="78">
        <v>0</v>
      </c>
      <c r="AK17" s="78">
        <v>0</v>
      </c>
      <c r="AL17" s="78">
        <v>0</v>
      </c>
      <c r="AM17" s="78">
        <v>0</v>
      </c>
      <c r="AN17" s="78">
        <v>0</v>
      </c>
      <c r="AO17" s="78">
        <v>0</v>
      </c>
      <c r="AP17" s="78">
        <v>0</v>
      </c>
      <c r="AQ17" s="62">
        <v>0</v>
      </c>
      <c r="AR17" s="62">
        <v>0</v>
      </c>
      <c r="AS17" s="62">
        <v>0</v>
      </c>
      <c r="AT17" s="37">
        <f t="shared" si="62"/>
        <v>7978857.9251999995</v>
      </c>
      <c r="AU17" s="40">
        <f t="shared" si="2"/>
        <v>-1499952.7266999995</v>
      </c>
      <c r="AV17" s="40">
        <f t="shared" si="63"/>
        <v>3457528.1500000008</v>
      </c>
      <c r="AW17" s="37">
        <f t="shared" si="64"/>
        <v>3443433.2400000007</v>
      </c>
      <c r="AX17" s="72">
        <v>2483999.7200000002</v>
      </c>
      <c r="AY17" s="72">
        <v>768307.05</v>
      </c>
      <c r="AZ17" s="72">
        <v>191126.47</v>
      </c>
      <c r="BA17" s="72">
        <v>14094.91</v>
      </c>
      <c r="BB17" s="40">
        <f t="shared" si="65"/>
        <v>0</v>
      </c>
      <c r="BC17" s="73">
        <v>0</v>
      </c>
      <c r="BD17" s="73">
        <v>0</v>
      </c>
      <c r="BE17" s="40">
        <f t="shared" si="3"/>
        <v>0</v>
      </c>
      <c r="BF17" s="74">
        <v>0</v>
      </c>
      <c r="BG17" s="74">
        <v>0</v>
      </c>
      <c r="BH17" s="40">
        <f t="shared" si="4"/>
        <v>2762.84</v>
      </c>
      <c r="BI17" s="79">
        <v>2751.33</v>
      </c>
      <c r="BJ17" s="79">
        <v>11.51</v>
      </c>
      <c r="BK17" s="40">
        <f t="shared" si="5"/>
        <v>75973.59</v>
      </c>
      <c r="BL17" s="60">
        <v>75673.22</v>
      </c>
      <c r="BM17" s="60">
        <v>300.37</v>
      </c>
      <c r="BN17" s="76">
        <v>0</v>
      </c>
      <c r="BO17" s="76">
        <v>0</v>
      </c>
      <c r="BP17" s="38">
        <f t="shared" si="6"/>
        <v>362681.29809999996</v>
      </c>
      <c r="BQ17" s="55">
        <v>0</v>
      </c>
      <c r="BR17" s="77">
        <v>0</v>
      </c>
      <c r="BS17" s="77">
        <f>(28701.12*8*1.21)+(17325.6*4*1.21)</f>
        <v>361682.74559999997</v>
      </c>
      <c r="BT17" s="77">
        <f t="shared" si="71"/>
        <v>998.55250000000001</v>
      </c>
      <c r="BU17" s="54">
        <v>0</v>
      </c>
      <c r="BV17" s="39">
        <f t="shared" si="7"/>
        <v>2221162.9699999997</v>
      </c>
      <c r="BW17" s="57">
        <v>0</v>
      </c>
      <c r="BX17" s="57">
        <v>2215040.0699999998</v>
      </c>
      <c r="BY17" s="57">
        <v>6122.9</v>
      </c>
      <c r="BZ17" s="56">
        <v>0</v>
      </c>
      <c r="CA17" s="40">
        <f t="shared" si="8"/>
        <v>358796.35039999994</v>
      </c>
      <c r="CB17" s="36">
        <f t="shared" si="66"/>
        <v>357417.35039999994</v>
      </c>
      <c r="CC17" s="62">
        <f t="shared" si="72"/>
        <v>130928.87279999998</v>
      </c>
      <c r="CD17" s="62">
        <f t="shared" si="73"/>
        <v>119788.54799999998</v>
      </c>
      <c r="CE17" s="62">
        <f t="shared" si="78"/>
        <v>41690.404799999997</v>
      </c>
      <c r="CF17" s="62">
        <f t="shared" si="74"/>
        <v>9293.9616000000005</v>
      </c>
      <c r="CG17" s="62">
        <f t="shared" si="75"/>
        <v>2790.018</v>
      </c>
      <c r="CH17" s="86">
        <f t="shared" si="76"/>
        <v>52925.545199999993</v>
      </c>
      <c r="CI17" s="86">
        <v>1379</v>
      </c>
      <c r="CJ17" s="62">
        <v>0</v>
      </c>
      <c r="CK17" s="62">
        <v>0</v>
      </c>
      <c r="CL17" s="62">
        <v>0</v>
      </c>
      <c r="CM17" s="37">
        <f t="shared" si="67"/>
        <v>6478905.1984999999</v>
      </c>
      <c r="CN17" s="4"/>
      <c r="CO17" s="45">
        <f t="shared" si="10"/>
        <v>-3323153.939999999</v>
      </c>
      <c r="CP17" s="46">
        <f t="shared" si="11"/>
        <v>-3337248.8499999992</v>
      </c>
      <c r="CQ17" s="46">
        <f t="shared" si="12"/>
        <v>-3108365.93</v>
      </c>
      <c r="CR17" s="46">
        <f t="shared" si="13"/>
        <v>-181753.70999999996</v>
      </c>
      <c r="CS17" s="46">
        <f t="shared" si="14"/>
        <v>-47129.209999999992</v>
      </c>
      <c r="CT17" s="46">
        <f t="shared" si="15"/>
        <v>14094.91</v>
      </c>
      <c r="CU17" s="45">
        <f t="shared" si="16"/>
        <v>-6193</v>
      </c>
      <c r="CV17" s="46">
        <f t="shared" si="17"/>
        <v>-6193</v>
      </c>
      <c r="CW17" s="46">
        <f t="shared" si="18"/>
        <v>0</v>
      </c>
      <c r="CX17" s="45">
        <f t="shared" si="19"/>
        <v>-35897</v>
      </c>
      <c r="CY17" s="46">
        <f t="shared" si="20"/>
        <v>-35897</v>
      </c>
      <c r="CZ17" s="46">
        <f t="shared" si="21"/>
        <v>0</v>
      </c>
      <c r="DA17" s="45">
        <f t="shared" si="22"/>
        <v>-244.11000000000013</v>
      </c>
      <c r="DB17" s="46">
        <f t="shared" si="23"/>
        <v>-247.05000000000018</v>
      </c>
      <c r="DC17" s="46">
        <f t="shared" si="24"/>
        <v>2.9399999999999995</v>
      </c>
      <c r="DD17" s="45">
        <f t="shared" si="25"/>
        <v>-7649.25</v>
      </c>
      <c r="DE17" s="47">
        <f t="shared" si="26"/>
        <v>-7725.4400000000023</v>
      </c>
      <c r="DF17" s="47">
        <f t="shared" si="27"/>
        <v>76.19</v>
      </c>
      <c r="DG17" s="48">
        <f t="shared" si="28"/>
        <v>0</v>
      </c>
      <c r="DH17" s="46">
        <f t="shared" si="29"/>
        <v>0</v>
      </c>
      <c r="DI17" s="49">
        <f t="shared" si="30"/>
        <v>89959.252899999963</v>
      </c>
      <c r="DJ17" s="47">
        <f t="shared" si="31"/>
        <v>-268808.03399999999</v>
      </c>
      <c r="DK17" s="46">
        <f t="shared" si="32"/>
        <v>-3914.0111999999999</v>
      </c>
      <c r="DL17" s="46">
        <f t="shared" si="33"/>
        <v>361682.74559999997</v>
      </c>
      <c r="DM17" s="46">
        <f t="shared" si="34"/>
        <v>998.55250000000001</v>
      </c>
      <c r="DN17" s="46">
        <f t="shared" si="35"/>
        <v>0</v>
      </c>
      <c r="DO17" s="50">
        <f t="shared" si="36"/>
        <v>1424428.9699999997</v>
      </c>
      <c r="DP17" s="47">
        <f t="shared" si="37"/>
        <v>-796734</v>
      </c>
      <c r="DQ17" s="47">
        <f t="shared" si="38"/>
        <v>2215040.0699999998</v>
      </c>
      <c r="DR17" s="46">
        <f t="shared" si="39"/>
        <v>6122.9</v>
      </c>
      <c r="DS17" s="46">
        <f t="shared" si="40"/>
        <v>0</v>
      </c>
      <c r="DT17" s="45">
        <f t="shared" si="41"/>
        <v>358796.35039999994</v>
      </c>
      <c r="DU17" s="47">
        <f t="shared" si="42"/>
        <v>357417.35039999994</v>
      </c>
      <c r="DV17" s="47">
        <f t="shared" si="43"/>
        <v>130928.87279999998</v>
      </c>
      <c r="DW17" s="47">
        <f t="shared" si="44"/>
        <v>119788.54799999998</v>
      </c>
      <c r="DX17" s="47">
        <f t="shared" si="45"/>
        <v>41690.404799999997</v>
      </c>
      <c r="DY17" s="47">
        <f t="shared" si="46"/>
        <v>9293.9616000000005</v>
      </c>
      <c r="DZ17" s="47">
        <f t="shared" si="47"/>
        <v>2790.018</v>
      </c>
      <c r="EA17" s="47">
        <f t="shared" si="48"/>
        <v>52925.545199999993</v>
      </c>
      <c r="EB17" s="47">
        <f t="shared" si="49"/>
        <v>1379</v>
      </c>
      <c r="EC17" s="47">
        <f t="shared" si="50"/>
        <v>0</v>
      </c>
      <c r="ED17" s="47">
        <f t="shared" si="51"/>
        <v>0</v>
      </c>
      <c r="EE17" s="47">
        <f t="shared" si="52"/>
        <v>0</v>
      </c>
      <c r="EF17" s="46">
        <f t="shared" si="68"/>
        <v>-1499952.7266999995</v>
      </c>
      <c r="EH17" s="46">
        <v>771271.91</v>
      </c>
      <c r="EI17" s="46">
        <f t="shared" si="53"/>
        <v>-728680.8166999995</v>
      </c>
      <c r="EJ17" s="87">
        <v>1000000</v>
      </c>
      <c r="EK17" s="46">
        <f t="shared" si="69"/>
        <v>-499952.72669999953</v>
      </c>
    </row>
    <row r="18" spans="1:141" ht="14.4" x14ac:dyDescent="0.3">
      <c r="A18" s="24">
        <f t="shared" si="70"/>
        <v>13</v>
      </c>
      <c r="B18" s="26">
        <v>2036</v>
      </c>
      <c r="C18" s="40">
        <f t="shared" si="54"/>
        <v>6780682.0899999999</v>
      </c>
      <c r="D18" s="37">
        <f t="shared" si="55"/>
        <v>6780682.0899999999</v>
      </c>
      <c r="E18" s="72">
        <v>5592365.6500000004</v>
      </c>
      <c r="F18" s="72">
        <v>950060.76</v>
      </c>
      <c r="G18" s="72">
        <v>238255.68</v>
      </c>
      <c r="H18" s="72">
        <v>0</v>
      </c>
      <c r="I18" s="40">
        <f t="shared" si="56"/>
        <v>6193</v>
      </c>
      <c r="J18" s="81">
        <f t="shared" ref="J18:J25" si="80">J13</f>
        <v>6193</v>
      </c>
      <c r="K18" s="73">
        <v>0</v>
      </c>
      <c r="L18" s="40">
        <f t="shared" si="57"/>
        <v>35897</v>
      </c>
      <c r="M18" s="82">
        <f t="shared" ref="M18:M25" si="81">M13</f>
        <v>35897</v>
      </c>
      <c r="N18" s="74">
        <v>0</v>
      </c>
      <c r="O18" s="40">
        <f t="shared" si="58"/>
        <v>3006.9500000000003</v>
      </c>
      <c r="P18" s="75">
        <f t="shared" ref="P18:Q25" si="82">P13</f>
        <v>2998.38</v>
      </c>
      <c r="Q18" s="75">
        <f t="shared" si="82"/>
        <v>8.57</v>
      </c>
      <c r="R18" s="40">
        <f t="shared" si="59"/>
        <v>83622.84</v>
      </c>
      <c r="S18" s="60">
        <v>83398.66</v>
      </c>
      <c r="T18" s="60">
        <v>224.18</v>
      </c>
      <c r="U18" s="76">
        <v>0</v>
      </c>
      <c r="V18" s="76">
        <v>0</v>
      </c>
      <c r="W18" s="38">
        <f t="shared" si="60"/>
        <v>272722.04519999999</v>
      </c>
      <c r="X18" s="55">
        <v>268808.03399999999</v>
      </c>
      <c r="Y18" s="77">
        <v>3914.0111999999999</v>
      </c>
      <c r="Z18" s="55">
        <v>0</v>
      </c>
      <c r="AA18" s="77">
        <v>0</v>
      </c>
      <c r="AB18" s="77">
        <v>0</v>
      </c>
      <c r="AC18" s="39">
        <f t="shared" si="0"/>
        <v>796734</v>
      </c>
      <c r="AD18" s="57">
        <v>796734</v>
      </c>
      <c r="AE18" s="58">
        <v>0</v>
      </c>
      <c r="AF18" s="58">
        <v>0</v>
      </c>
      <c r="AG18" s="58">
        <v>0</v>
      </c>
      <c r="AH18" s="40">
        <f t="shared" si="61"/>
        <v>0</v>
      </c>
      <c r="AI18" s="36">
        <f t="shared" si="1"/>
        <v>0</v>
      </c>
      <c r="AJ18" s="78">
        <v>0</v>
      </c>
      <c r="AK18" s="78">
        <v>0</v>
      </c>
      <c r="AL18" s="78">
        <v>0</v>
      </c>
      <c r="AM18" s="78">
        <v>0</v>
      </c>
      <c r="AN18" s="78">
        <v>0</v>
      </c>
      <c r="AO18" s="78">
        <v>0</v>
      </c>
      <c r="AP18" s="78">
        <v>0</v>
      </c>
      <c r="AQ18" s="62">
        <v>0</v>
      </c>
      <c r="AR18" s="62">
        <v>0</v>
      </c>
      <c r="AS18" s="62">
        <v>0</v>
      </c>
      <c r="AT18" s="37">
        <f t="shared" si="62"/>
        <v>7978857.9251999995</v>
      </c>
      <c r="AU18" s="40">
        <f t="shared" si="2"/>
        <v>-1610067.7360999994</v>
      </c>
      <c r="AV18" s="40">
        <f t="shared" si="63"/>
        <v>3457528.1500000008</v>
      </c>
      <c r="AW18" s="37">
        <f t="shared" si="64"/>
        <v>3443433.2400000007</v>
      </c>
      <c r="AX18" s="72">
        <v>2483999.7200000002</v>
      </c>
      <c r="AY18" s="72">
        <v>768307.05</v>
      </c>
      <c r="AZ18" s="72">
        <v>191126.47</v>
      </c>
      <c r="BA18" s="72">
        <v>14094.91</v>
      </c>
      <c r="BB18" s="40">
        <f t="shared" si="65"/>
        <v>0</v>
      </c>
      <c r="BC18" s="73">
        <v>0</v>
      </c>
      <c r="BD18" s="73">
        <v>0</v>
      </c>
      <c r="BE18" s="40">
        <f t="shared" si="3"/>
        <v>0</v>
      </c>
      <c r="BF18" s="74">
        <v>0</v>
      </c>
      <c r="BG18" s="74">
        <v>0</v>
      </c>
      <c r="BH18" s="40">
        <f t="shared" si="4"/>
        <v>2762.84</v>
      </c>
      <c r="BI18" s="79">
        <v>2751.33</v>
      </c>
      <c r="BJ18" s="79">
        <v>11.51</v>
      </c>
      <c r="BK18" s="40">
        <f t="shared" si="5"/>
        <v>75973.59</v>
      </c>
      <c r="BL18" s="60">
        <v>75673.22</v>
      </c>
      <c r="BM18" s="60">
        <v>300.37</v>
      </c>
      <c r="BN18" s="76">
        <v>0</v>
      </c>
      <c r="BO18" s="76">
        <v>0</v>
      </c>
      <c r="BP18" s="38">
        <f t="shared" si="6"/>
        <v>252566.28869999998</v>
      </c>
      <c r="BQ18" s="55">
        <v>0</v>
      </c>
      <c r="BR18" s="77">
        <v>0</v>
      </c>
      <c r="BS18" s="77">
        <f>207907.22*1.21</f>
        <v>251567.73619999998</v>
      </c>
      <c r="BT18" s="77">
        <f t="shared" si="71"/>
        <v>998.55250000000001</v>
      </c>
      <c r="BU18" s="54">
        <v>0</v>
      </c>
      <c r="BV18" s="39">
        <f t="shared" si="7"/>
        <v>2221162.9699999997</v>
      </c>
      <c r="BW18" s="57">
        <v>0</v>
      </c>
      <c r="BX18" s="57">
        <v>2215040.0699999998</v>
      </c>
      <c r="BY18" s="57">
        <v>6122.9</v>
      </c>
      <c r="BZ18" s="56">
        <v>0</v>
      </c>
      <c r="CA18" s="40">
        <f t="shared" si="8"/>
        <v>358796.35039999994</v>
      </c>
      <c r="CB18" s="36">
        <f t="shared" si="66"/>
        <v>357417.35039999994</v>
      </c>
      <c r="CC18" s="62">
        <f t="shared" si="72"/>
        <v>130928.87279999998</v>
      </c>
      <c r="CD18" s="62">
        <f t="shared" si="73"/>
        <v>119788.54799999998</v>
      </c>
      <c r="CE18" s="62">
        <f t="shared" si="78"/>
        <v>41690.404799999997</v>
      </c>
      <c r="CF18" s="62">
        <f t="shared" si="74"/>
        <v>9293.9616000000005</v>
      </c>
      <c r="CG18" s="62">
        <f t="shared" si="75"/>
        <v>2790.018</v>
      </c>
      <c r="CH18" s="86">
        <f t="shared" si="76"/>
        <v>52925.545199999993</v>
      </c>
      <c r="CI18" s="86">
        <v>1379</v>
      </c>
      <c r="CJ18" s="62">
        <v>0</v>
      </c>
      <c r="CK18" s="62">
        <v>0</v>
      </c>
      <c r="CL18" s="62">
        <v>0</v>
      </c>
      <c r="CM18" s="37">
        <f t="shared" si="67"/>
        <v>6368790.1891000001</v>
      </c>
      <c r="CN18" s="4"/>
      <c r="CO18" s="45">
        <f t="shared" si="10"/>
        <v>-3323153.939999999</v>
      </c>
      <c r="CP18" s="46">
        <f t="shared" si="11"/>
        <v>-3337248.8499999992</v>
      </c>
      <c r="CQ18" s="46">
        <f t="shared" si="12"/>
        <v>-3108365.93</v>
      </c>
      <c r="CR18" s="46">
        <f t="shared" si="13"/>
        <v>-181753.70999999996</v>
      </c>
      <c r="CS18" s="46">
        <f t="shared" si="14"/>
        <v>-47129.209999999992</v>
      </c>
      <c r="CT18" s="46">
        <f t="shared" si="15"/>
        <v>14094.91</v>
      </c>
      <c r="CU18" s="45">
        <f t="shared" si="16"/>
        <v>-6193</v>
      </c>
      <c r="CV18" s="46">
        <f t="shared" si="17"/>
        <v>-6193</v>
      </c>
      <c r="CW18" s="46">
        <f t="shared" si="18"/>
        <v>0</v>
      </c>
      <c r="CX18" s="45">
        <f t="shared" si="19"/>
        <v>-35897</v>
      </c>
      <c r="CY18" s="46">
        <f t="shared" si="20"/>
        <v>-35897</v>
      </c>
      <c r="CZ18" s="46">
        <f t="shared" si="21"/>
        <v>0</v>
      </c>
      <c r="DA18" s="45">
        <f t="shared" si="22"/>
        <v>-244.11000000000013</v>
      </c>
      <c r="DB18" s="46">
        <f t="shared" si="23"/>
        <v>-247.05000000000018</v>
      </c>
      <c r="DC18" s="46">
        <f t="shared" si="24"/>
        <v>2.9399999999999995</v>
      </c>
      <c r="DD18" s="45">
        <f t="shared" si="25"/>
        <v>-7649.25</v>
      </c>
      <c r="DE18" s="47">
        <f t="shared" si="26"/>
        <v>-7725.4400000000023</v>
      </c>
      <c r="DF18" s="47">
        <f t="shared" si="27"/>
        <v>76.19</v>
      </c>
      <c r="DG18" s="48">
        <f t="shared" si="28"/>
        <v>0</v>
      </c>
      <c r="DH18" s="46">
        <f t="shared" si="29"/>
        <v>0</v>
      </c>
      <c r="DI18" s="49">
        <f t="shared" si="30"/>
        <v>-20155.756500000018</v>
      </c>
      <c r="DJ18" s="47">
        <f t="shared" si="31"/>
        <v>-268808.03399999999</v>
      </c>
      <c r="DK18" s="46">
        <f t="shared" si="32"/>
        <v>-3914.0111999999999</v>
      </c>
      <c r="DL18" s="46">
        <f t="shared" si="33"/>
        <v>251567.73619999998</v>
      </c>
      <c r="DM18" s="46">
        <f t="shared" si="34"/>
        <v>998.55250000000001</v>
      </c>
      <c r="DN18" s="46">
        <f t="shared" si="35"/>
        <v>0</v>
      </c>
      <c r="DO18" s="50">
        <f t="shared" si="36"/>
        <v>1424428.9699999997</v>
      </c>
      <c r="DP18" s="47">
        <f t="shared" si="37"/>
        <v>-796734</v>
      </c>
      <c r="DQ18" s="47">
        <f t="shared" si="38"/>
        <v>2215040.0699999998</v>
      </c>
      <c r="DR18" s="46">
        <f t="shared" si="39"/>
        <v>6122.9</v>
      </c>
      <c r="DS18" s="46">
        <f t="shared" si="40"/>
        <v>0</v>
      </c>
      <c r="DT18" s="45">
        <f t="shared" si="41"/>
        <v>358796.35039999994</v>
      </c>
      <c r="DU18" s="47">
        <f t="shared" si="42"/>
        <v>357417.35039999994</v>
      </c>
      <c r="DV18" s="47">
        <f t="shared" si="43"/>
        <v>130928.87279999998</v>
      </c>
      <c r="DW18" s="47">
        <f t="shared" si="44"/>
        <v>119788.54799999998</v>
      </c>
      <c r="DX18" s="47">
        <f t="shared" si="45"/>
        <v>41690.404799999997</v>
      </c>
      <c r="DY18" s="47">
        <f t="shared" si="46"/>
        <v>9293.9616000000005</v>
      </c>
      <c r="DZ18" s="47">
        <f t="shared" si="47"/>
        <v>2790.018</v>
      </c>
      <c r="EA18" s="47">
        <f t="shared" si="48"/>
        <v>52925.545199999993</v>
      </c>
      <c r="EB18" s="47">
        <f t="shared" si="49"/>
        <v>1379</v>
      </c>
      <c r="EC18" s="47">
        <f t="shared" si="50"/>
        <v>0</v>
      </c>
      <c r="ED18" s="47">
        <f t="shared" si="51"/>
        <v>0</v>
      </c>
      <c r="EE18" s="47">
        <f t="shared" si="52"/>
        <v>0</v>
      </c>
      <c r="EF18" s="46">
        <f t="shared" si="68"/>
        <v>-1610067.7360999994</v>
      </c>
      <c r="EH18" s="46">
        <v>771271.91</v>
      </c>
      <c r="EI18" s="46">
        <f t="shared" si="53"/>
        <v>-838795.82609999937</v>
      </c>
      <c r="EJ18" s="87">
        <v>1000000</v>
      </c>
      <c r="EK18" s="46">
        <f t="shared" si="69"/>
        <v>-610067.7360999994</v>
      </c>
    </row>
    <row r="19" spans="1:141" ht="14.4" x14ac:dyDescent="0.3">
      <c r="A19" s="24">
        <f t="shared" si="70"/>
        <v>14</v>
      </c>
      <c r="B19" s="26">
        <v>2037</v>
      </c>
      <c r="C19" s="40">
        <f t="shared" si="54"/>
        <v>6780682.0899999999</v>
      </c>
      <c r="D19" s="37">
        <f t="shared" si="55"/>
        <v>6780682.0899999999</v>
      </c>
      <c r="E19" s="72">
        <v>5592365.6500000004</v>
      </c>
      <c r="F19" s="72">
        <v>950060.76</v>
      </c>
      <c r="G19" s="72">
        <v>238255.68</v>
      </c>
      <c r="H19" s="72">
        <v>0</v>
      </c>
      <c r="I19" s="40">
        <f t="shared" si="56"/>
        <v>6193</v>
      </c>
      <c r="J19" s="81">
        <f t="shared" si="80"/>
        <v>6193</v>
      </c>
      <c r="K19" s="73">
        <v>0</v>
      </c>
      <c r="L19" s="40">
        <f t="shared" si="57"/>
        <v>35897</v>
      </c>
      <c r="M19" s="82">
        <f t="shared" si="81"/>
        <v>35897</v>
      </c>
      <c r="N19" s="74">
        <v>0</v>
      </c>
      <c r="O19" s="40">
        <f t="shared" si="58"/>
        <v>3006.9500000000003</v>
      </c>
      <c r="P19" s="75">
        <f t="shared" si="82"/>
        <v>2998.38</v>
      </c>
      <c r="Q19" s="75">
        <f t="shared" si="82"/>
        <v>8.57</v>
      </c>
      <c r="R19" s="40">
        <f t="shared" si="59"/>
        <v>83622.84</v>
      </c>
      <c r="S19" s="60">
        <v>83398.66</v>
      </c>
      <c r="T19" s="60">
        <v>224.18</v>
      </c>
      <c r="U19" s="76">
        <v>0</v>
      </c>
      <c r="V19" s="76">
        <v>0</v>
      </c>
      <c r="W19" s="38">
        <f t="shared" si="60"/>
        <v>272722.04519999999</v>
      </c>
      <c r="X19" s="55">
        <v>268808.03399999999</v>
      </c>
      <c r="Y19" s="77">
        <v>3914.0111999999999</v>
      </c>
      <c r="Z19" s="55">
        <v>0</v>
      </c>
      <c r="AA19" s="77">
        <v>0</v>
      </c>
      <c r="AB19" s="77">
        <v>0</v>
      </c>
      <c r="AC19" s="39">
        <f t="shared" si="0"/>
        <v>796734</v>
      </c>
      <c r="AD19" s="57">
        <v>796734</v>
      </c>
      <c r="AE19" s="58">
        <v>0</v>
      </c>
      <c r="AF19" s="58">
        <v>0</v>
      </c>
      <c r="AG19" s="58">
        <v>0</v>
      </c>
      <c r="AH19" s="40">
        <f t="shared" si="61"/>
        <v>0</v>
      </c>
      <c r="AI19" s="36">
        <f t="shared" si="1"/>
        <v>0</v>
      </c>
      <c r="AJ19" s="78">
        <v>0</v>
      </c>
      <c r="AK19" s="78">
        <v>0</v>
      </c>
      <c r="AL19" s="78">
        <v>0</v>
      </c>
      <c r="AM19" s="78">
        <v>0</v>
      </c>
      <c r="AN19" s="78">
        <v>0</v>
      </c>
      <c r="AO19" s="78">
        <v>0</v>
      </c>
      <c r="AP19" s="78">
        <v>0</v>
      </c>
      <c r="AQ19" s="62">
        <v>0</v>
      </c>
      <c r="AR19" s="62">
        <v>0</v>
      </c>
      <c r="AS19" s="62">
        <v>0</v>
      </c>
      <c r="AT19" s="37">
        <f t="shared" si="62"/>
        <v>7978857.9251999995</v>
      </c>
      <c r="AU19" s="40">
        <f t="shared" si="2"/>
        <v>-1610067.7360999994</v>
      </c>
      <c r="AV19" s="40">
        <f t="shared" si="63"/>
        <v>3457528.1500000008</v>
      </c>
      <c r="AW19" s="37">
        <f t="shared" si="64"/>
        <v>3443433.2400000007</v>
      </c>
      <c r="AX19" s="72">
        <v>2483999.7200000002</v>
      </c>
      <c r="AY19" s="72">
        <v>768307.05</v>
      </c>
      <c r="AZ19" s="72">
        <v>191126.47</v>
      </c>
      <c r="BA19" s="72">
        <v>14094.91</v>
      </c>
      <c r="BB19" s="40">
        <f t="shared" si="65"/>
        <v>0</v>
      </c>
      <c r="BC19" s="73">
        <v>0</v>
      </c>
      <c r="BD19" s="73">
        <v>0</v>
      </c>
      <c r="BE19" s="40">
        <f t="shared" si="3"/>
        <v>0</v>
      </c>
      <c r="BF19" s="74">
        <v>0</v>
      </c>
      <c r="BG19" s="74">
        <v>0</v>
      </c>
      <c r="BH19" s="40">
        <f t="shared" si="4"/>
        <v>2762.84</v>
      </c>
      <c r="BI19" s="79">
        <v>2751.33</v>
      </c>
      <c r="BJ19" s="79">
        <v>11.51</v>
      </c>
      <c r="BK19" s="40">
        <f t="shared" si="5"/>
        <v>75973.59</v>
      </c>
      <c r="BL19" s="60">
        <v>75673.22</v>
      </c>
      <c r="BM19" s="60">
        <v>300.37</v>
      </c>
      <c r="BN19" s="76">
        <v>0</v>
      </c>
      <c r="BO19" s="76">
        <v>0</v>
      </c>
      <c r="BP19" s="38">
        <f t="shared" si="6"/>
        <v>252566.28869999998</v>
      </c>
      <c r="BQ19" s="55">
        <v>0</v>
      </c>
      <c r="BR19" s="77">
        <v>0</v>
      </c>
      <c r="BS19" s="77">
        <f t="shared" ref="BS19:BS25" si="83">207907.22*1.21</f>
        <v>251567.73619999998</v>
      </c>
      <c r="BT19" s="77">
        <f t="shared" si="71"/>
        <v>998.55250000000001</v>
      </c>
      <c r="BU19" s="54">
        <v>0</v>
      </c>
      <c r="BV19" s="39">
        <f t="shared" si="7"/>
        <v>2221162.9699999997</v>
      </c>
      <c r="BW19" s="57">
        <v>0</v>
      </c>
      <c r="BX19" s="57">
        <v>2215040.0699999998</v>
      </c>
      <c r="BY19" s="57">
        <v>6122.9</v>
      </c>
      <c r="BZ19" s="56">
        <v>0</v>
      </c>
      <c r="CA19" s="40">
        <f t="shared" si="8"/>
        <v>358796.35039999994</v>
      </c>
      <c r="CB19" s="36">
        <f t="shared" si="66"/>
        <v>357417.35039999994</v>
      </c>
      <c r="CC19" s="62">
        <f t="shared" si="72"/>
        <v>130928.87279999998</v>
      </c>
      <c r="CD19" s="62">
        <f t="shared" si="73"/>
        <v>119788.54799999998</v>
      </c>
      <c r="CE19" s="62">
        <f t="shared" si="78"/>
        <v>41690.404799999997</v>
      </c>
      <c r="CF19" s="62">
        <f t="shared" si="74"/>
        <v>9293.9616000000005</v>
      </c>
      <c r="CG19" s="62">
        <f t="shared" si="75"/>
        <v>2790.018</v>
      </c>
      <c r="CH19" s="86">
        <f t="shared" si="76"/>
        <v>52925.545199999993</v>
      </c>
      <c r="CI19" s="86">
        <v>1379</v>
      </c>
      <c r="CJ19" s="62">
        <v>0</v>
      </c>
      <c r="CK19" s="62">
        <v>0</v>
      </c>
      <c r="CL19" s="62">
        <v>0</v>
      </c>
      <c r="CM19" s="37">
        <f t="shared" si="67"/>
        <v>6368790.1891000001</v>
      </c>
      <c r="CN19" s="4"/>
      <c r="CO19" s="45">
        <f t="shared" si="10"/>
        <v>-3323153.939999999</v>
      </c>
      <c r="CP19" s="46">
        <f t="shared" si="11"/>
        <v>-3337248.8499999992</v>
      </c>
      <c r="CQ19" s="46">
        <f t="shared" si="12"/>
        <v>-3108365.93</v>
      </c>
      <c r="CR19" s="46">
        <f t="shared" si="13"/>
        <v>-181753.70999999996</v>
      </c>
      <c r="CS19" s="46">
        <f t="shared" si="14"/>
        <v>-47129.209999999992</v>
      </c>
      <c r="CT19" s="46">
        <f t="shared" si="15"/>
        <v>14094.91</v>
      </c>
      <c r="CU19" s="45">
        <f t="shared" si="16"/>
        <v>-6193</v>
      </c>
      <c r="CV19" s="46">
        <f t="shared" si="17"/>
        <v>-6193</v>
      </c>
      <c r="CW19" s="46">
        <f t="shared" si="18"/>
        <v>0</v>
      </c>
      <c r="CX19" s="45">
        <f t="shared" si="19"/>
        <v>-35897</v>
      </c>
      <c r="CY19" s="46">
        <f t="shared" si="20"/>
        <v>-35897</v>
      </c>
      <c r="CZ19" s="46">
        <f t="shared" si="21"/>
        <v>0</v>
      </c>
      <c r="DA19" s="45">
        <f t="shared" si="22"/>
        <v>-244.11000000000013</v>
      </c>
      <c r="DB19" s="46">
        <f t="shared" si="23"/>
        <v>-247.05000000000018</v>
      </c>
      <c r="DC19" s="46">
        <f t="shared" si="24"/>
        <v>2.9399999999999995</v>
      </c>
      <c r="DD19" s="45">
        <f t="shared" si="25"/>
        <v>-7649.25</v>
      </c>
      <c r="DE19" s="47">
        <f t="shared" si="26"/>
        <v>-7725.4400000000023</v>
      </c>
      <c r="DF19" s="47">
        <f t="shared" si="27"/>
        <v>76.19</v>
      </c>
      <c r="DG19" s="48">
        <f t="shared" si="28"/>
        <v>0</v>
      </c>
      <c r="DH19" s="46">
        <f t="shared" si="29"/>
        <v>0</v>
      </c>
      <c r="DI19" s="49">
        <f t="shared" si="30"/>
        <v>-20155.756500000018</v>
      </c>
      <c r="DJ19" s="47">
        <f t="shared" si="31"/>
        <v>-268808.03399999999</v>
      </c>
      <c r="DK19" s="46">
        <f t="shared" si="32"/>
        <v>-3914.0111999999999</v>
      </c>
      <c r="DL19" s="46">
        <f t="shared" si="33"/>
        <v>251567.73619999998</v>
      </c>
      <c r="DM19" s="46">
        <f t="shared" si="34"/>
        <v>998.55250000000001</v>
      </c>
      <c r="DN19" s="46">
        <f t="shared" si="35"/>
        <v>0</v>
      </c>
      <c r="DO19" s="50">
        <f t="shared" si="36"/>
        <v>1424428.9699999997</v>
      </c>
      <c r="DP19" s="47">
        <f t="shared" si="37"/>
        <v>-796734</v>
      </c>
      <c r="DQ19" s="47">
        <f t="shared" si="38"/>
        <v>2215040.0699999998</v>
      </c>
      <c r="DR19" s="46">
        <f t="shared" si="39"/>
        <v>6122.9</v>
      </c>
      <c r="DS19" s="46">
        <f t="shared" si="40"/>
        <v>0</v>
      </c>
      <c r="DT19" s="45">
        <f t="shared" si="41"/>
        <v>358796.35039999994</v>
      </c>
      <c r="DU19" s="47">
        <f t="shared" si="42"/>
        <v>357417.35039999994</v>
      </c>
      <c r="DV19" s="47">
        <f t="shared" si="43"/>
        <v>130928.87279999998</v>
      </c>
      <c r="DW19" s="47">
        <f t="shared" si="44"/>
        <v>119788.54799999998</v>
      </c>
      <c r="DX19" s="47">
        <f t="shared" si="45"/>
        <v>41690.404799999997</v>
      </c>
      <c r="DY19" s="47">
        <f t="shared" si="46"/>
        <v>9293.9616000000005</v>
      </c>
      <c r="DZ19" s="47">
        <f t="shared" si="47"/>
        <v>2790.018</v>
      </c>
      <c r="EA19" s="47">
        <f t="shared" si="48"/>
        <v>52925.545199999993</v>
      </c>
      <c r="EB19" s="47">
        <f t="shared" si="49"/>
        <v>1379</v>
      </c>
      <c r="EC19" s="47">
        <f t="shared" si="50"/>
        <v>0</v>
      </c>
      <c r="ED19" s="47">
        <f t="shared" si="51"/>
        <v>0</v>
      </c>
      <c r="EE19" s="47">
        <f t="shared" si="52"/>
        <v>0</v>
      </c>
      <c r="EF19" s="46">
        <f t="shared" si="68"/>
        <v>-1610067.7360999994</v>
      </c>
      <c r="EH19" s="46">
        <v>771271.91</v>
      </c>
      <c r="EI19" s="46">
        <f t="shared" si="53"/>
        <v>-838795.82609999937</v>
      </c>
      <c r="EJ19" s="87">
        <v>1000000</v>
      </c>
      <c r="EK19" s="46">
        <f t="shared" si="69"/>
        <v>-610067.7360999994</v>
      </c>
    </row>
    <row r="20" spans="1:141" ht="14.4" x14ac:dyDescent="0.3">
      <c r="A20" s="24">
        <f t="shared" si="70"/>
        <v>15</v>
      </c>
      <c r="B20" s="26">
        <v>2038</v>
      </c>
      <c r="C20" s="40">
        <f t="shared" si="54"/>
        <v>6780682.0899999999</v>
      </c>
      <c r="D20" s="37">
        <f t="shared" si="55"/>
        <v>6780682.0899999999</v>
      </c>
      <c r="E20" s="72">
        <v>5592365.6500000004</v>
      </c>
      <c r="F20" s="72">
        <v>950060.76</v>
      </c>
      <c r="G20" s="72">
        <v>238255.68</v>
      </c>
      <c r="H20" s="72">
        <v>0</v>
      </c>
      <c r="I20" s="40">
        <f t="shared" si="56"/>
        <v>6193</v>
      </c>
      <c r="J20" s="81">
        <f t="shared" si="80"/>
        <v>6193</v>
      </c>
      <c r="K20" s="73">
        <v>0</v>
      </c>
      <c r="L20" s="40">
        <f t="shared" si="57"/>
        <v>35897</v>
      </c>
      <c r="M20" s="82">
        <f t="shared" si="81"/>
        <v>35897</v>
      </c>
      <c r="N20" s="74">
        <v>0</v>
      </c>
      <c r="O20" s="40">
        <f t="shared" si="58"/>
        <v>3006.9500000000003</v>
      </c>
      <c r="P20" s="75">
        <f t="shared" si="82"/>
        <v>2998.38</v>
      </c>
      <c r="Q20" s="75">
        <f t="shared" si="82"/>
        <v>8.57</v>
      </c>
      <c r="R20" s="40">
        <f t="shared" si="59"/>
        <v>83622.84</v>
      </c>
      <c r="S20" s="60">
        <v>83398.66</v>
      </c>
      <c r="T20" s="60">
        <v>224.18</v>
      </c>
      <c r="U20" s="76">
        <v>0</v>
      </c>
      <c r="V20" s="76">
        <v>0</v>
      </c>
      <c r="W20" s="38">
        <f t="shared" si="60"/>
        <v>272722.04519999999</v>
      </c>
      <c r="X20" s="55">
        <v>268808.03399999999</v>
      </c>
      <c r="Y20" s="77">
        <v>3914.0111999999999</v>
      </c>
      <c r="Z20" s="55">
        <v>0</v>
      </c>
      <c r="AA20" s="77">
        <v>0</v>
      </c>
      <c r="AB20" s="77">
        <v>0</v>
      </c>
      <c r="AC20" s="39">
        <f t="shared" si="0"/>
        <v>796734</v>
      </c>
      <c r="AD20" s="57">
        <v>796734</v>
      </c>
      <c r="AE20" s="58">
        <v>0</v>
      </c>
      <c r="AF20" s="58">
        <v>0</v>
      </c>
      <c r="AG20" s="58">
        <v>0</v>
      </c>
      <c r="AH20" s="40">
        <f t="shared" si="61"/>
        <v>0</v>
      </c>
      <c r="AI20" s="36">
        <f t="shared" si="1"/>
        <v>0</v>
      </c>
      <c r="AJ20" s="78">
        <v>0</v>
      </c>
      <c r="AK20" s="78">
        <v>0</v>
      </c>
      <c r="AL20" s="78">
        <v>0</v>
      </c>
      <c r="AM20" s="78">
        <v>0</v>
      </c>
      <c r="AN20" s="78">
        <v>0</v>
      </c>
      <c r="AO20" s="78">
        <v>0</v>
      </c>
      <c r="AP20" s="78">
        <v>0</v>
      </c>
      <c r="AQ20" s="62">
        <v>0</v>
      </c>
      <c r="AR20" s="62">
        <v>0</v>
      </c>
      <c r="AS20" s="62">
        <v>0</v>
      </c>
      <c r="AT20" s="37">
        <f t="shared" si="62"/>
        <v>7978857.9251999995</v>
      </c>
      <c r="AU20" s="40">
        <f t="shared" si="2"/>
        <v>-1610067.7360999994</v>
      </c>
      <c r="AV20" s="40">
        <f t="shared" si="63"/>
        <v>3457528.1500000008</v>
      </c>
      <c r="AW20" s="37">
        <f t="shared" si="64"/>
        <v>3443433.2400000007</v>
      </c>
      <c r="AX20" s="72">
        <v>2483999.7200000002</v>
      </c>
      <c r="AY20" s="72">
        <v>768307.05</v>
      </c>
      <c r="AZ20" s="72">
        <v>191126.47</v>
      </c>
      <c r="BA20" s="72">
        <v>14094.91</v>
      </c>
      <c r="BB20" s="40">
        <f t="shared" si="65"/>
        <v>0</v>
      </c>
      <c r="BC20" s="73">
        <v>0</v>
      </c>
      <c r="BD20" s="73">
        <v>0</v>
      </c>
      <c r="BE20" s="40">
        <f t="shared" si="3"/>
        <v>0</v>
      </c>
      <c r="BF20" s="74">
        <v>0</v>
      </c>
      <c r="BG20" s="74">
        <v>0</v>
      </c>
      <c r="BH20" s="40">
        <f t="shared" si="4"/>
        <v>2762.84</v>
      </c>
      <c r="BI20" s="79">
        <v>2751.33</v>
      </c>
      <c r="BJ20" s="79">
        <v>11.51</v>
      </c>
      <c r="BK20" s="40">
        <f t="shared" si="5"/>
        <v>75973.59</v>
      </c>
      <c r="BL20" s="60">
        <v>75673.22</v>
      </c>
      <c r="BM20" s="60">
        <v>300.37</v>
      </c>
      <c r="BN20" s="76">
        <v>0</v>
      </c>
      <c r="BO20" s="76">
        <v>0</v>
      </c>
      <c r="BP20" s="38">
        <f t="shared" si="6"/>
        <v>252566.28869999998</v>
      </c>
      <c r="BQ20" s="55">
        <v>0</v>
      </c>
      <c r="BR20" s="77">
        <v>0</v>
      </c>
      <c r="BS20" s="77">
        <f t="shared" si="83"/>
        <v>251567.73619999998</v>
      </c>
      <c r="BT20" s="77">
        <f t="shared" si="71"/>
        <v>998.55250000000001</v>
      </c>
      <c r="BU20" s="54">
        <v>0</v>
      </c>
      <c r="BV20" s="39">
        <f t="shared" si="7"/>
        <v>2221162.9699999997</v>
      </c>
      <c r="BW20" s="57">
        <v>0</v>
      </c>
      <c r="BX20" s="57">
        <v>2215040.0699999998</v>
      </c>
      <c r="BY20" s="57">
        <v>6122.9</v>
      </c>
      <c r="BZ20" s="56">
        <v>0</v>
      </c>
      <c r="CA20" s="40">
        <f t="shared" si="8"/>
        <v>358796.35039999994</v>
      </c>
      <c r="CB20" s="36">
        <f t="shared" si="66"/>
        <v>357417.35039999994</v>
      </c>
      <c r="CC20" s="62">
        <f t="shared" si="72"/>
        <v>130928.87279999998</v>
      </c>
      <c r="CD20" s="62">
        <f t="shared" si="73"/>
        <v>119788.54799999998</v>
      </c>
      <c r="CE20" s="62">
        <f t="shared" si="78"/>
        <v>41690.404799999997</v>
      </c>
      <c r="CF20" s="62">
        <f t="shared" si="74"/>
        <v>9293.9616000000005</v>
      </c>
      <c r="CG20" s="62">
        <f t="shared" si="75"/>
        <v>2790.018</v>
      </c>
      <c r="CH20" s="86">
        <f t="shared" si="76"/>
        <v>52925.545199999993</v>
      </c>
      <c r="CI20" s="86">
        <v>1379</v>
      </c>
      <c r="CJ20" s="62">
        <v>0</v>
      </c>
      <c r="CK20" s="62">
        <v>0</v>
      </c>
      <c r="CL20" s="62">
        <v>0</v>
      </c>
      <c r="CM20" s="37">
        <f t="shared" si="67"/>
        <v>6368790.1891000001</v>
      </c>
      <c r="CN20" s="4"/>
      <c r="CO20" s="45">
        <f t="shared" si="10"/>
        <v>-3323153.939999999</v>
      </c>
      <c r="CP20" s="46">
        <f t="shared" si="11"/>
        <v>-3337248.8499999992</v>
      </c>
      <c r="CQ20" s="46">
        <f t="shared" si="12"/>
        <v>-3108365.93</v>
      </c>
      <c r="CR20" s="46">
        <f t="shared" si="13"/>
        <v>-181753.70999999996</v>
      </c>
      <c r="CS20" s="46">
        <f t="shared" si="14"/>
        <v>-47129.209999999992</v>
      </c>
      <c r="CT20" s="46">
        <f t="shared" si="15"/>
        <v>14094.91</v>
      </c>
      <c r="CU20" s="45">
        <f t="shared" si="16"/>
        <v>-6193</v>
      </c>
      <c r="CV20" s="46">
        <f t="shared" si="17"/>
        <v>-6193</v>
      </c>
      <c r="CW20" s="46">
        <f t="shared" si="18"/>
        <v>0</v>
      </c>
      <c r="CX20" s="45">
        <f t="shared" si="19"/>
        <v>-35897</v>
      </c>
      <c r="CY20" s="46">
        <f t="shared" si="20"/>
        <v>-35897</v>
      </c>
      <c r="CZ20" s="46">
        <f t="shared" si="21"/>
        <v>0</v>
      </c>
      <c r="DA20" s="45">
        <f t="shared" si="22"/>
        <v>-244.11000000000013</v>
      </c>
      <c r="DB20" s="46">
        <f t="shared" si="23"/>
        <v>-247.05000000000018</v>
      </c>
      <c r="DC20" s="46">
        <f t="shared" si="24"/>
        <v>2.9399999999999995</v>
      </c>
      <c r="DD20" s="45">
        <f t="shared" si="25"/>
        <v>-7649.25</v>
      </c>
      <c r="DE20" s="47">
        <f t="shared" si="26"/>
        <v>-7725.4400000000023</v>
      </c>
      <c r="DF20" s="47">
        <f t="shared" si="27"/>
        <v>76.19</v>
      </c>
      <c r="DG20" s="48">
        <f t="shared" si="28"/>
        <v>0</v>
      </c>
      <c r="DH20" s="46">
        <f t="shared" si="29"/>
        <v>0</v>
      </c>
      <c r="DI20" s="49">
        <f t="shared" si="30"/>
        <v>-20155.756500000018</v>
      </c>
      <c r="DJ20" s="47">
        <f t="shared" si="31"/>
        <v>-268808.03399999999</v>
      </c>
      <c r="DK20" s="46">
        <f t="shared" si="32"/>
        <v>-3914.0111999999999</v>
      </c>
      <c r="DL20" s="46">
        <f t="shared" si="33"/>
        <v>251567.73619999998</v>
      </c>
      <c r="DM20" s="46">
        <f t="shared" si="34"/>
        <v>998.55250000000001</v>
      </c>
      <c r="DN20" s="46">
        <f t="shared" si="35"/>
        <v>0</v>
      </c>
      <c r="DO20" s="50">
        <f t="shared" si="36"/>
        <v>1424428.9699999997</v>
      </c>
      <c r="DP20" s="47">
        <f t="shared" si="37"/>
        <v>-796734</v>
      </c>
      <c r="DQ20" s="47">
        <f t="shared" si="38"/>
        <v>2215040.0699999998</v>
      </c>
      <c r="DR20" s="46">
        <f t="shared" si="39"/>
        <v>6122.9</v>
      </c>
      <c r="DS20" s="46">
        <f t="shared" si="40"/>
        <v>0</v>
      </c>
      <c r="DT20" s="45">
        <f t="shared" si="41"/>
        <v>358796.35039999994</v>
      </c>
      <c r="DU20" s="47">
        <f t="shared" si="42"/>
        <v>357417.35039999994</v>
      </c>
      <c r="DV20" s="47">
        <f t="shared" si="43"/>
        <v>130928.87279999998</v>
      </c>
      <c r="DW20" s="47">
        <f t="shared" si="44"/>
        <v>119788.54799999998</v>
      </c>
      <c r="DX20" s="47">
        <f t="shared" si="45"/>
        <v>41690.404799999997</v>
      </c>
      <c r="DY20" s="47">
        <f t="shared" si="46"/>
        <v>9293.9616000000005</v>
      </c>
      <c r="DZ20" s="47">
        <f t="shared" si="47"/>
        <v>2790.018</v>
      </c>
      <c r="EA20" s="47">
        <f t="shared" si="48"/>
        <v>52925.545199999993</v>
      </c>
      <c r="EB20" s="47">
        <f t="shared" si="49"/>
        <v>1379</v>
      </c>
      <c r="EC20" s="47">
        <f t="shared" si="50"/>
        <v>0</v>
      </c>
      <c r="ED20" s="47">
        <f t="shared" si="51"/>
        <v>0</v>
      </c>
      <c r="EE20" s="47">
        <f t="shared" si="52"/>
        <v>0</v>
      </c>
      <c r="EF20" s="46">
        <f t="shared" si="68"/>
        <v>-1610067.7360999994</v>
      </c>
      <c r="EH20" s="46">
        <v>771271.91</v>
      </c>
      <c r="EI20" s="46">
        <f t="shared" si="53"/>
        <v>-838795.82609999937</v>
      </c>
      <c r="EJ20" s="87">
        <v>1000000</v>
      </c>
      <c r="EK20" s="46">
        <f t="shared" si="69"/>
        <v>-610067.7360999994</v>
      </c>
    </row>
    <row r="21" spans="1:141" ht="14.4" x14ac:dyDescent="0.3">
      <c r="A21" s="24">
        <f t="shared" si="70"/>
        <v>16</v>
      </c>
      <c r="B21" s="26">
        <v>2039</v>
      </c>
      <c r="C21" s="40">
        <f t="shared" si="54"/>
        <v>6780682.0899999999</v>
      </c>
      <c r="D21" s="37">
        <f t="shared" si="55"/>
        <v>6780682.0899999999</v>
      </c>
      <c r="E21" s="72">
        <v>5592365.6500000004</v>
      </c>
      <c r="F21" s="72">
        <v>950060.76</v>
      </c>
      <c r="G21" s="72">
        <v>238255.68</v>
      </c>
      <c r="H21" s="72">
        <v>0</v>
      </c>
      <c r="I21" s="40">
        <f t="shared" si="56"/>
        <v>6193</v>
      </c>
      <c r="J21" s="81">
        <f t="shared" si="80"/>
        <v>6193</v>
      </c>
      <c r="K21" s="73">
        <v>0</v>
      </c>
      <c r="L21" s="40">
        <f t="shared" si="57"/>
        <v>35897</v>
      </c>
      <c r="M21" s="82">
        <f t="shared" si="81"/>
        <v>35897</v>
      </c>
      <c r="N21" s="74">
        <v>0</v>
      </c>
      <c r="O21" s="40">
        <f t="shared" si="58"/>
        <v>3006.9500000000003</v>
      </c>
      <c r="P21" s="75">
        <f t="shared" si="82"/>
        <v>2998.38</v>
      </c>
      <c r="Q21" s="75">
        <f t="shared" si="82"/>
        <v>8.57</v>
      </c>
      <c r="R21" s="40">
        <f t="shared" si="59"/>
        <v>83622.84</v>
      </c>
      <c r="S21" s="60">
        <v>83398.66</v>
      </c>
      <c r="T21" s="60">
        <v>224.18</v>
      </c>
      <c r="U21" s="76">
        <v>0</v>
      </c>
      <c r="V21" s="76">
        <v>0</v>
      </c>
      <c r="W21" s="38">
        <f t="shared" si="60"/>
        <v>272722.04519999999</v>
      </c>
      <c r="X21" s="55">
        <v>268808.03399999999</v>
      </c>
      <c r="Y21" s="77">
        <v>3914.0111999999999</v>
      </c>
      <c r="Z21" s="55">
        <v>0</v>
      </c>
      <c r="AA21" s="77">
        <v>0</v>
      </c>
      <c r="AB21" s="77">
        <v>0</v>
      </c>
      <c r="AC21" s="39">
        <f t="shared" si="0"/>
        <v>796734</v>
      </c>
      <c r="AD21" s="57">
        <v>796734</v>
      </c>
      <c r="AE21" s="58">
        <v>0</v>
      </c>
      <c r="AF21" s="58">
        <v>0</v>
      </c>
      <c r="AG21" s="58">
        <v>0</v>
      </c>
      <c r="AH21" s="40">
        <f t="shared" si="61"/>
        <v>0</v>
      </c>
      <c r="AI21" s="36">
        <f t="shared" si="1"/>
        <v>0</v>
      </c>
      <c r="AJ21" s="78">
        <v>0</v>
      </c>
      <c r="AK21" s="78">
        <v>0</v>
      </c>
      <c r="AL21" s="78">
        <v>0</v>
      </c>
      <c r="AM21" s="78">
        <v>0</v>
      </c>
      <c r="AN21" s="78">
        <v>0</v>
      </c>
      <c r="AO21" s="78">
        <v>0</v>
      </c>
      <c r="AP21" s="78">
        <v>0</v>
      </c>
      <c r="AQ21" s="62">
        <v>0</v>
      </c>
      <c r="AR21" s="62">
        <v>0</v>
      </c>
      <c r="AS21" s="62">
        <v>0</v>
      </c>
      <c r="AT21" s="37">
        <f t="shared" si="62"/>
        <v>7978857.9251999995</v>
      </c>
      <c r="AU21" s="40">
        <f t="shared" si="2"/>
        <v>-1610067.7360999994</v>
      </c>
      <c r="AV21" s="40">
        <f t="shared" si="63"/>
        <v>3457528.1500000008</v>
      </c>
      <c r="AW21" s="37">
        <f t="shared" si="64"/>
        <v>3443433.2400000007</v>
      </c>
      <c r="AX21" s="72">
        <v>2483999.7200000002</v>
      </c>
      <c r="AY21" s="72">
        <v>768307.05</v>
      </c>
      <c r="AZ21" s="72">
        <v>191126.47</v>
      </c>
      <c r="BA21" s="72">
        <v>14094.91</v>
      </c>
      <c r="BB21" s="40">
        <f t="shared" si="65"/>
        <v>0</v>
      </c>
      <c r="BC21" s="73">
        <v>0</v>
      </c>
      <c r="BD21" s="73">
        <v>0</v>
      </c>
      <c r="BE21" s="40">
        <f t="shared" si="3"/>
        <v>0</v>
      </c>
      <c r="BF21" s="74">
        <v>0</v>
      </c>
      <c r="BG21" s="74">
        <v>0</v>
      </c>
      <c r="BH21" s="40">
        <f t="shared" si="4"/>
        <v>2762.84</v>
      </c>
      <c r="BI21" s="79">
        <v>2751.33</v>
      </c>
      <c r="BJ21" s="79">
        <v>11.51</v>
      </c>
      <c r="BK21" s="40">
        <f t="shared" si="5"/>
        <v>75973.59</v>
      </c>
      <c r="BL21" s="60">
        <v>75673.22</v>
      </c>
      <c r="BM21" s="60">
        <v>300.37</v>
      </c>
      <c r="BN21" s="76">
        <v>0</v>
      </c>
      <c r="BO21" s="76">
        <v>0</v>
      </c>
      <c r="BP21" s="38">
        <f t="shared" si="6"/>
        <v>252566.28869999998</v>
      </c>
      <c r="BQ21" s="55">
        <v>0</v>
      </c>
      <c r="BR21" s="77">
        <v>0</v>
      </c>
      <c r="BS21" s="77">
        <f t="shared" si="83"/>
        <v>251567.73619999998</v>
      </c>
      <c r="BT21" s="77">
        <f t="shared" si="71"/>
        <v>998.55250000000001</v>
      </c>
      <c r="BU21" s="54">
        <v>0</v>
      </c>
      <c r="BV21" s="39">
        <f t="shared" si="7"/>
        <v>2221162.9699999997</v>
      </c>
      <c r="BW21" s="57">
        <v>0</v>
      </c>
      <c r="BX21" s="57">
        <v>2215040.0699999998</v>
      </c>
      <c r="BY21" s="57">
        <v>6122.9</v>
      </c>
      <c r="BZ21" s="56">
        <v>0</v>
      </c>
      <c r="CA21" s="40">
        <f t="shared" si="8"/>
        <v>358796.35039999994</v>
      </c>
      <c r="CB21" s="36">
        <f t="shared" si="66"/>
        <v>357417.35039999994</v>
      </c>
      <c r="CC21" s="62">
        <f t="shared" si="72"/>
        <v>130928.87279999998</v>
      </c>
      <c r="CD21" s="62">
        <f t="shared" si="73"/>
        <v>119788.54799999998</v>
      </c>
      <c r="CE21" s="62">
        <f t="shared" si="78"/>
        <v>41690.404799999997</v>
      </c>
      <c r="CF21" s="62">
        <f t="shared" si="74"/>
        <v>9293.9616000000005</v>
      </c>
      <c r="CG21" s="62">
        <f t="shared" si="75"/>
        <v>2790.018</v>
      </c>
      <c r="CH21" s="86">
        <f t="shared" si="76"/>
        <v>52925.545199999993</v>
      </c>
      <c r="CI21" s="86">
        <v>1379</v>
      </c>
      <c r="CJ21" s="62">
        <v>0</v>
      </c>
      <c r="CK21" s="62">
        <v>0</v>
      </c>
      <c r="CL21" s="62">
        <v>0</v>
      </c>
      <c r="CM21" s="37">
        <f t="shared" si="67"/>
        <v>6368790.1891000001</v>
      </c>
      <c r="CN21" s="4"/>
      <c r="CO21" s="45">
        <f t="shared" si="10"/>
        <v>-3323153.939999999</v>
      </c>
      <c r="CP21" s="46">
        <f t="shared" si="11"/>
        <v>-3337248.8499999992</v>
      </c>
      <c r="CQ21" s="46">
        <f t="shared" si="12"/>
        <v>-3108365.93</v>
      </c>
      <c r="CR21" s="46">
        <f t="shared" si="13"/>
        <v>-181753.70999999996</v>
      </c>
      <c r="CS21" s="46">
        <f t="shared" si="14"/>
        <v>-47129.209999999992</v>
      </c>
      <c r="CT21" s="46">
        <f t="shared" si="15"/>
        <v>14094.91</v>
      </c>
      <c r="CU21" s="45">
        <f t="shared" si="16"/>
        <v>-6193</v>
      </c>
      <c r="CV21" s="46">
        <f t="shared" si="17"/>
        <v>-6193</v>
      </c>
      <c r="CW21" s="46">
        <f t="shared" si="18"/>
        <v>0</v>
      </c>
      <c r="CX21" s="45">
        <f t="shared" si="19"/>
        <v>-35897</v>
      </c>
      <c r="CY21" s="46">
        <f t="shared" si="20"/>
        <v>-35897</v>
      </c>
      <c r="CZ21" s="46">
        <f t="shared" si="21"/>
        <v>0</v>
      </c>
      <c r="DA21" s="45">
        <f t="shared" si="22"/>
        <v>-244.11000000000013</v>
      </c>
      <c r="DB21" s="46">
        <f t="shared" si="23"/>
        <v>-247.05000000000018</v>
      </c>
      <c r="DC21" s="46">
        <f t="shared" si="24"/>
        <v>2.9399999999999995</v>
      </c>
      <c r="DD21" s="45">
        <f t="shared" si="25"/>
        <v>-7649.25</v>
      </c>
      <c r="DE21" s="47">
        <f t="shared" si="26"/>
        <v>-7725.4400000000023</v>
      </c>
      <c r="DF21" s="47">
        <f t="shared" si="27"/>
        <v>76.19</v>
      </c>
      <c r="DG21" s="48">
        <f t="shared" si="28"/>
        <v>0</v>
      </c>
      <c r="DH21" s="46">
        <f t="shared" si="29"/>
        <v>0</v>
      </c>
      <c r="DI21" s="49">
        <f t="shared" si="30"/>
        <v>-20155.756500000018</v>
      </c>
      <c r="DJ21" s="47">
        <f t="shared" si="31"/>
        <v>-268808.03399999999</v>
      </c>
      <c r="DK21" s="46">
        <f t="shared" si="32"/>
        <v>-3914.0111999999999</v>
      </c>
      <c r="DL21" s="46">
        <f t="shared" si="33"/>
        <v>251567.73619999998</v>
      </c>
      <c r="DM21" s="46">
        <f t="shared" si="34"/>
        <v>998.55250000000001</v>
      </c>
      <c r="DN21" s="46">
        <f t="shared" si="35"/>
        <v>0</v>
      </c>
      <c r="DO21" s="50">
        <f t="shared" si="36"/>
        <v>1424428.9699999997</v>
      </c>
      <c r="DP21" s="47">
        <f t="shared" si="37"/>
        <v>-796734</v>
      </c>
      <c r="DQ21" s="47">
        <f t="shared" si="38"/>
        <v>2215040.0699999998</v>
      </c>
      <c r="DR21" s="46">
        <f t="shared" si="39"/>
        <v>6122.9</v>
      </c>
      <c r="DS21" s="46">
        <f t="shared" si="40"/>
        <v>0</v>
      </c>
      <c r="DT21" s="45">
        <f t="shared" si="41"/>
        <v>358796.35039999994</v>
      </c>
      <c r="DU21" s="47">
        <f t="shared" si="42"/>
        <v>357417.35039999994</v>
      </c>
      <c r="DV21" s="47">
        <f t="shared" si="43"/>
        <v>130928.87279999998</v>
      </c>
      <c r="DW21" s="47">
        <f t="shared" si="44"/>
        <v>119788.54799999998</v>
      </c>
      <c r="DX21" s="47">
        <f t="shared" si="45"/>
        <v>41690.404799999997</v>
      </c>
      <c r="DY21" s="47">
        <f t="shared" si="46"/>
        <v>9293.9616000000005</v>
      </c>
      <c r="DZ21" s="47">
        <f t="shared" si="47"/>
        <v>2790.018</v>
      </c>
      <c r="EA21" s="47">
        <f t="shared" si="48"/>
        <v>52925.545199999993</v>
      </c>
      <c r="EB21" s="47">
        <f t="shared" si="49"/>
        <v>1379</v>
      </c>
      <c r="EC21" s="47">
        <f t="shared" si="50"/>
        <v>0</v>
      </c>
      <c r="ED21" s="47">
        <f t="shared" si="51"/>
        <v>0</v>
      </c>
      <c r="EE21" s="47">
        <f t="shared" si="52"/>
        <v>0</v>
      </c>
      <c r="EF21" s="46">
        <f t="shared" si="68"/>
        <v>-1610067.7360999994</v>
      </c>
      <c r="EH21" s="46">
        <v>771271.91</v>
      </c>
      <c r="EI21" s="46">
        <f t="shared" si="53"/>
        <v>-838795.82609999937</v>
      </c>
      <c r="EJ21" s="87">
        <v>1000000</v>
      </c>
      <c r="EK21" s="46">
        <f t="shared" si="69"/>
        <v>-610067.7360999994</v>
      </c>
    </row>
    <row r="22" spans="1:141" ht="14.4" x14ac:dyDescent="0.3">
      <c r="A22" s="24">
        <f t="shared" si="70"/>
        <v>17</v>
      </c>
      <c r="B22" s="26">
        <v>2040</v>
      </c>
      <c r="C22" s="40">
        <f t="shared" si="54"/>
        <v>6780682.0899999999</v>
      </c>
      <c r="D22" s="37">
        <f t="shared" si="55"/>
        <v>6780682.0899999999</v>
      </c>
      <c r="E22" s="72">
        <v>5592365.6500000004</v>
      </c>
      <c r="F22" s="72">
        <v>950060.76</v>
      </c>
      <c r="G22" s="72">
        <v>238255.68</v>
      </c>
      <c r="H22" s="72">
        <v>0</v>
      </c>
      <c r="I22" s="40">
        <f t="shared" si="56"/>
        <v>6193</v>
      </c>
      <c r="J22" s="81">
        <f t="shared" si="80"/>
        <v>6193</v>
      </c>
      <c r="K22" s="73">
        <v>0</v>
      </c>
      <c r="L22" s="40">
        <f t="shared" si="57"/>
        <v>35897</v>
      </c>
      <c r="M22" s="82">
        <f t="shared" si="81"/>
        <v>35897</v>
      </c>
      <c r="N22" s="74">
        <v>0</v>
      </c>
      <c r="O22" s="40">
        <f t="shared" si="58"/>
        <v>3006.9500000000003</v>
      </c>
      <c r="P22" s="75">
        <f t="shared" si="82"/>
        <v>2998.38</v>
      </c>
      <c r="Q22" s="75">
        <f t="shared" si="82"/>
        <v>8.57</v>
      </c>
      <c r="R22" s="40">
        <f t="shared" si="59"/>
        <v>83622.84</v>
      </c>
      <c r="S22" s="60">
        <v>83398.66</v>
      </c>
      <c r="T22" s="60">
        <v>224.18</v>
      </c>
      <c r="U22" s="76">
        <v>0</v>
      </c>
      <c r="V22" s="76">
        <v>0</v>
      </c>
      <c r="W22" s="38">
        <f t="shared" si="60"/>
        <v>272722.04519999999</v>
      </c>
      <c r="X22" s="55">
        <v>268808.03399999999</v>
      </c>
      <c r="Y22" s="77">
        <v>3914.0111999999999</v>
      </c>
      <c r="Z22" s="55">
        <v>0</v>
      </c>
      <c r="AA22" s="77">
        <v>0</v>
      </c>
      <c r="AB22" s="77">
        <v>0</v>
      </c>
      <c r="AC22" s="39">
        <f t="shared" si="0"/>
        <v>796734</v>
      </c>
      <c r="AD22" s="57">
        <v>796734</v>
      </c>
      <c r="AE22" s="58">
        <v>0</v>
      </c>
      <c r="AF22" s="58">
        <v>0</v>
      </c>
      <c r="AG22" s="58">
        <v>0</v>
      </c>
      <c r="AH22" s="40">
        <f t="shared" si="61"/>
        <v>0</v>
      </c>
      <c r="AI22" s="36">
        <f t="shared" si="1"/>
        <v>0</v>
      </c>
      <c r="AJ22" s="78">
        <v>0</v>
      </c>
      <c r="AK22" s="78">
        <v>0</v>
      </c>
      <c r="AL22" s="78">
        <v>0</v>
      </c>
      <c r="AM22" s="78">
        <v>0</v>
      </c>
      <c r="AN22" s="78">
        <v>0</v>
      </c>
      <c r="AO22" s="78">
        <v>0</v>
      </c>
      <c r="AP22" s="78">
        <v>0</v>
      </c>
      <c r="AQ22" s="62">
        <v>0</v>
      </c>
      <c r="AR22" s="62">
        <v>0</v>
      </c>
      <c r="AS22" s="62">
        <v>0</v>
      </c>
      <c r="AT22" s="37">
        <f t="shared" si="62"/>
        <v>7978857.9251999995</v>
      </c>
      <c r="AU22" s="40">
        <f t="shared" si="2"/>
        <v>-1610067.7360999994</v>
      </c>
      <c r="AV22" s="40">
        <f t="shared" si="63"/>
        <v>3457528.1500000008</v>
      </c>
      <c r="AW22" s="37">
        <f t="shared" si="64"/>
        <v>3443433.2400000007</v>
      </c>
      <c r="AX22" s="72">
        <v>2483999.7200000002</v>
      </c>
      <c r="AY22" s="72">
        <v>768307.05</v>
      </c>
      <c r="AZ22" s="72">
        <v>191126.47</v>
      </c>
      <c r="BA22" s="72">
        <v>14094.91</v>
      </c>
      <c r="BB22" s="40">
        <f t="shared" si="65"/>
        <v>0</v>
      </c>
      <c r="BC22" s="73">
        <v>0</v>
      </c>
      <c r="BD22" s="73">
        <v>0</v>
      </c>
      <c r="BE22" s="40">
        <f t="shared" si="3"/>
        <v>0</v>
      </c>
      <c r="BF22" s="74">
        <v>0</v>
      </c>
      <c r="BG22" s="74">
        <v>0</v>
      </c>
      <c r="BH22" s="40">
        <f t="shared" si="4"/>
        <v>2762.84</v>
      </c>
      <c r="BI22" s="79">
        <v>2751.33</v>
      </c>
      <c r="BJ22" s="79">
        <v>11.51</v>
      </c>
      <c r="BK22" s="40">
        <f t="shared" si="5"/>
        <v>75973.59</v>
      </c>
      <c r="BL22" s="60">
        <v>75673.22</v>
      </c>
      <c r="BM22" s="60">
        <v>300.37</v>
      </c>
      <c r="BN22" s="76">
        <v>0</v>
      </c>
      <c r="BO22" s="76">
        <v>0</v>
      </c>
      <c r="BP22" s="38">
        <f t="shared" si="6"/>
        <v>252566.28869999998</v>
      </c>
      <c r="BQ22" s="55">
        <v>0</v>
      </c>
      <c r="BR22" s="77">
        <v>0</v>
      </c>
      <c r="BS22" s="77">
        <f t="shared" si="83"/>
        <v>251567.73619999998</v>
      </c>
      <c r="BT22" s="77">
        <f t="shared" si="71"/>
        <v>998.55250000000001</v>
      </c>
      <c r="BU22" s="54">
        <v>0</v>
      </c>
      <c r="BV22" s="39">
        <f t="shared" si="7"/>
        <v>2221162.9699999997</v>
      </c>
      <c r="BW22" s="57">
        <v>0</v>
      </c>
      <c r="BX22" s="57">
        <v>2215040.0699999998</v>
      </c>
      <c r="BY22" s="57">
        <v>6122.9</v>
      </c>
      <c r="BZ22" s="56">
        <v>0</v>
      </c>
      <c r="CA22" s="40">
        <f t="shared" si="8"/>
        <v>358796.35039999994</v>
      </c>
      <c r="CB22" s="36">
        <f t="shared" si="66"/>
        <v>357417.35039999994</v>
      </c>
      <c r="CC22" s="62">
        <f t="shared" si="72"/>
        <v>130928.87279999998</v>
      </c>
      <c r="CD22" s="62">
        <f t="shared" si="73"/>
        <v>119788.54799999998</v>
      </c>
      <c r="CE22" s="62">
        <f t="shared" si="78"/>
        <v>41690.404799999997</v>
      </c>
      <c r="CF22" s="62">
        <f t="shared" si="74"/>
        <v>9293.9616000000005</v>
      </c>
      <c r="CG22" s="62">
        <f t="shared" si="75"/>
        <v>2790.018</v>
      </c>
      <c r="CH22" s="86">
        <f t="shared" si="76"/>
        <v>52925.545199999993</v>
      </c>
      <c r="CI22" s="86">
        <v>1379</v>
      </c>
      <c r="CJ22" s="62">
        <v>0</v>
      </c>
      <c r="CK22" s="62">
        <v>0</v>
      </c>
      <c r="CL22" s="62">
        <v>0</v>
      </c>
      <c r="CM22" s="37">
        <f t="shared" si="67"/>
        <v>6368790.1891000001</v>
      </c>
      <c r="CN22" s="4"/>
      <c r="CO22" s="45">
        <f t="shared" si="10"/>
        <v>-3323153.939999999</v>
      </c>
      <c r="CP22" s="46">
        <f t="shared" si="11"/>
        <v>-3337248.8499999992</v>
      </c>
      <c r="CQ22" s="46">
        <f t="shared" si="12"/>
        <v>-3108365.93</v>
      </c>
      <c r="CR22" s="46">
        <f t="shared" si="13"/>
        <v>-181753.70999999996</v>
      </c>
      <c r="CS22" s="46">
        <f t="shared" si="14"/>
        <v>-47129.209999999992</v>
      </c>
      <c r="CT22" s="46">
        <f t="shared" si="15"/>
        <v>14094.91</v>
      </c>
      <c r="CU22" s="45">
        <f t="shared" si="16"/>
        <v>-6193</v>
      </c>
      <c r="CV22" s="46">
        <f t="shared" si="17"/>
        <v>-6193</v>
      </c>
      <c r="CW22" s="46">
        <f t="shared" si="18"/>
        <v>0</v>
      </c>
      <c r="CX22" s="45">
        <f t="shared" si="19"/>
        <v>-35897</v>
      </c>
      <c r="CY22" s="46">
        <f t="shared" si="20"/>
        <v>-35897</v>
      </c>
      <c r="CZ22" s="46">
        <f t="shared" si="21"/>
        <v>0</v>
      </c>
      <c r="DA22" s="45">
        <f t="shared" si="22"/>
        <v>-244.11000000000013</v>
      </c>
      <c r="DB22" s="46">
        <f t="shared" si="23"/>
        <v>-247.05000000000018</v>
      </c>
      <c r="DC22" s="46">
        <f t="shared" si="24"/>
        <v>2.9399999999999995</v>
      </c>
      <c r="DD22" s="45">
        <f t="shared" si="25"/>
        <v>-7649.25</v>
      </c>
      <c r="DE22" s="47">
        <f t="shared" si="26"/>
        <v>-7725.4400000000023</v>
      </c>
      <c r="DF22" s="47">
        <f t="shared" si="27"/>
        <v>76.19</v>
      </c>
      <c r="DG22" s="48">
        <f t="shared" si="28"/>
        <v>0</v>
      </c>
      <c r="DH22" s="46">
        <f t="shared" si="29"/>
        <v>0</v>
      </c>
      <c r="DI22" s="49">
        <f t="shared" si="30"/>
        <v>-20155.756500000018</v>
      </c>
      <c r="DJ22" s="47">
        <f t="shared" si="31"/>
        <v>-268808.03399999999</v>
      </c>
      <c r="DK22" s="46">
        <f t="shared" si="32"/>
        <v>-3914.0111999999999</v>
      </c>
      <c r="DL22" s="46">
        <f t="shared" si="33"/>
        <v>251567.73619999998</v>
      </c>
      <c r="DM22" s="46">
        <f t="shared" si="34"/>
        <v>998.55250000000001</v>
      </c>
      <c r="DN22" s="46">
        <f t="shared" si="35"/>
        <v>0</v>
      </c>
      <c r="DO22" s="50">
        <f t="shared" si="36"/>
        <v>1424428.9699999997</v>
      </c>
      <c r="DP22" s="47">
        <f t="shared" si="37"/>
        <v>-796734</v>
      </c>
      <c r="DQ22" s="47">
        <f t="shared" si="38"/>
        <v>2215040.0699999998</v>
      </c>
      <c r="DR22" s="46">
        <f t="shared" si="39"/>
        <v>6122.9</v>
      </c>
      <c r="DS22" s="46">
        <f t="shared" si="40"/>
        <v>0</v>
      </c>
      <c r="DT22" s="45">
        <f t="shared" si="41"/>
        <v>358796.35039999994</v>
      </c>
      <c r="DU22" s="47">
        <f t="shared" si="42"/>
        <v>357417.35039999994</v>
      </c>
      <c r="DV22" s="47">
        <f t="shared" si="43"/>
        <v>130928.87279999998</v>
      </c>
      <c r="DW22" s="47">
        <f t="shared" si="44"/>
        <v>119788.54799999998</v>
      </c>
      <c r="DX22" s="47">
        <f t="shared" si="45"/>
        <v>41690.404799999997</v>
      </c>
      <c r="DY22" s="47">
        <f t="shared" si="46"/>
        <v>9293.9616000000005</v>
      </c>
      <c r="DZ22" s="47">
        <f t="shared" si="47"/>
        <v>2790.018</v>
      </c>
      <c r="EA22" s="47">
        <f t="shared" si="48"/>
        <v>52925.545199999993</v>
      </c>
      <c r="EB22" s="47">
        <f t="shared" si="49"/>
        <v>1379</v>
      </c>
      <c r="EC22" s="47">
        <f t="shared" si="50"/>
        <v>0</v>
      </c>
      <c r="ED22" s="47">
        <f t="shared" si="51"/>
        <v>0</v>
      </c>
      <c r="EE22" s="47">
        <f t="shared" si="52"/>
        <v>0</v>
      </c>
      <c r="EF22" s="46">
        <f t="shared" si="68"/>
        <v>-1610067.7360999994</v>
      </c>
      <c r="EH22" s="46">
        <v>771271.91</v>
      </c>
      <c r="EI22" s="46">
        <f t="shared" si="53"/>
        <v>-838795.82609999937</v>
      </c>
      <c r="EJ22" s="87">
        <v>1000000</v>
      </c>
      <c r="EK22" s="46">
        <f t="shared" si="69"/>
        <v>-610067.7360999994</v>
      </c>
    </row>
    <row r="23" spans="1:141" ht="14.4" x14ac:dyDescent="0.3">
      <c r="A23" s="24">
        <f t="shared" si="70"/>
        <v>18</v>
      </c>
      <c r="B23" s="26">
        <v>2041</v>
      </c>
      <c r="C23" s="40">
        <f t="shared" si="54"/>
        <v>6780682.0899999999</v>
      </c>
      <c r="D23" s="37">
        <f t="shared" si="55"/>
        <v>6780682.0899999999</v>
      </c>
      <c r="E23" s="72">
        <v>5592365.6500000004</v>
      </c>
      <c r="F23" s="72">
        <v>950060.76</v>
      </c>
      <c r="G23" s="72">
        <v>238255.68</v>
      </c>
      <c r="H23" s="72">
        <v>0</v>
      </c>
      <c r="I23" s="40">
        <f t="shared" si="56"/>
        <v>6193</v>
      </c>
      <c r="J23" s="81">
        <f t="shared" si="80"/>
        <v>6193</v>
      </c>
      <c r="K23" s="73">
        <v>0</v>
      </c>
      <c r="L23" s="40">
        <f t="shared" si="57"/>
        <v>35897</v>
      </c>
      <c r="M23" s="82">
        <f t="shared" si="81"/>
        <v>35897</v>
      </c>
      <c r="N23" s="74">
        <v>0</v>
      </c>
      <c r="O23" s="40">
        <f t="shared" si="58"/>
        <v>3006.9500000000003</v>
      </c>
      <c r="P23" s="75">
        <f t="shared" si="82"/>
        <v>2998.38</v>
      </c>
      <c r="Q23" s="75">
        <f t="shared" si="82"/>
        <v>8.57</v>
      </c>
      <c r="R23" s="40">
        <f t="shared" si="59"/>
        <v>83622.84</v>
      </c>
      <c r="S23" s="60">
        <v>83398.66</v>
      </c>
      <c r="T23" s="60">
        <v>224.18</v>
      </c>
      <c r="U23" s="76">
        <v>0</v>
      </c>
      <c r="V23" s="76">
        <v>0</v>
      </c>
      <c r="W23" s="38">
        <f t="shared" si="60"/>
        <v>272722.04519999999</v>
      </c>
      <c r="X23" s="55">
        <v>268808.03399999999</v>
      </c>
      <c r="Y23" s="77">
        <v>3914.0111999999999</v>
      </c>
      <c r="Z23" s="55">
        <v>0</v>
      </c>
      <c r="AA23" s="77">
        <v>0</v>
      </c>
      <c r="AB23" s="77">
        <v>0</v>
      </c>
      <c r="AC23" s="39">
        <f t="shared" si="0"/>
        <v>796734</v>
      </c>
      <c r="AD23" s="57">
        <v>796734</v>
      </c>
      <c r="AE23" s="58">
        <v>0</v>
      </c>
      <c r="AF23" s="58">
        <v>0</v>
      </c>
      <c r="AG23" s="58">
        <v>0</v>
      </c>
      <c r="AH23" s="40">
        <f t="shared" si="61"/>
        <v>0</v>
      </c>
      <c r="AI23" s="36">
        <f t="shared" si="1"/>
        <v>0</v>
      </c>
      <c r="AJ23" s="78">
        <v>0</v>
      </c>
      <c r="AK23" s="78">
        <v>0</v>
      </c>
      <c r="AL23" s="78">
        <v>0</v>
      </c>
      <c r="AM23" s="78">
        <v>0</v>
      </c>
      <c r="AN23" s="78">
        <v>0</v>
      </c>
      <c r="AO23" s="78">
        <v>0</v>
      </c>
      <c r="AP23" s="78">
        <v>0</v>
      </c>
      <c r="AQ23" s="62">
        <v>0</v>
      </c>
      <c r="AR23" s="62">
        <v>0</v>
      </c>
      <c r="AS23" s="62">
        <v>0</v>
      </c>
      <c r="AT23" s="37">
        <f t="shared" si="62"/>
        <v>7978857.9251999995</v>
      </c>
      <c r="AU23" s="40">
        <f t="shared" si="2"/>
        <v>-1610067.7360999994</v>
      </c>
      <c r="AV23" s="40">
        <f t="shared" si="63"/>
        <v>3457528.1500000008</v>
      </c>
      <c r="AW23" s="37">
        <f t="shared" si="64"/>
        <v>3443433.2400000007</v>
      </c>
      <c r="AX23" s="72">
        <v>2483999.7200000002</v>
      </c>
      <c r="AY23" s="72">
        <v>768307.05</v>
      </c>
      <c r="AZ23" s="72">
        <v>191126.47</v>
      </c>
      <c r="BA23" s="72">
        <v>14094.91</v>
      </c>
      <c r="BB23" s="40">
        <f t="shared" si="65"/>
        <v>0</v>
      </c>
      <c r="BC23" s="73">
        <v>0</v>
      </c>
      <c r="BD23" s="73">
        <v>0</v>
      </c>
      <c r="BE23" s="40">
        <f t="shared" si="3"/>
        <v>0</v>
      </c>
      <c r="BF23" s="74">
        <v>0</v>
      </c>
      <c r="BG23" s="74">
        <v>0</v>
      </c>
      <c r="BH23" s="40">
        <f t="shared" si="4"/>
        <v>2762.84</v>
      </c>
      <c r="BI23" s="79">
        <v>2751.33</v>
      </c>
      <c r="BJ23" s="79">
        <v>11.51</v>
      </c>
      <c r="BK23" s="40">
        <f t="shared" si="5"/>
        <v>75973.59</v>
      </c>
      <c r="BL23" s="60">
        <v>75673.22</v>
      </c>
      <c r="BM23" s="60">
        <v>300.37</v>
      </c>
      <c r="BN23" s="76">
        <v>0</v>
      </c>
      <c r="BO23" s="76">
        <v>0</v>
      </c>
      <c r="BP23" s="38">
        <f t="shared" si="6"/>
        <v>252566.28869999998</v>
      </c>
      <c r="BQ23" s="55">
        <v>0</v>
      </c>
      <c r="BR23" s="77">
        <v>0</v>
      </c>
      <c r="BS23" s="77">
        <f t="shared" si="83"/>
        <v>251567.73619999998</v>
      </c>
      <c r="BT23" s="77">
        <f t="shared" si="71"/>
        <v>998.55250000000001</v>
      </c>
      <c r="BU23" s="54">
        <v>0</v>
      </c>
      <c r="BV23" s="39">
        <f t="shared" si="7"/>
        <v>2221162.9699999997</v>
      </c>
      <c r="BW23" s="57">
        <v>0</v>
      </c>
      <c r="BX23" s="57">
        <v>2215040.0699999998</v>
      </c>
      <c r="BY23" s="57">
        <v>6122.9</v>
      </c>
      <c r="BZ23" s="56">
        <v>0</v>
      </c>
      <c r="CA23" s="40">
        <f t="shared" si="8"/>
        <v>358796.35039999994</v>
      </c>
      <c r="CB23" s="36">
        <f t="shared" si="66"/>
        <v>357417.35039999994</v>
      </c>
      <c r="CC23" s="62">
        <f t="shared" si="72"/>
        <v>130928.87279999998</v>
      </c>
      <c r="CD23" s="62">
        <f t="shared" si="73"/>
        <v>119788.54799999998</v>
      </c>
      <c r="CE23" s="62">
        <f t="shared" si="78"/>
        <v>41690.404799999997</v>
      </c>
      <c r="CF23" s="62">
        <f t="shared" si="74"/>
        <v>9293.9616000000005</v>
      </c>
      <c r="CG23" s="62">
        <f t="shared" si="75"/>
        <v>2790.018</v>
      </c>
      <c r="CH23" s="86">
        <f t="shared" si="76"/>
        <v>52925.545199999993</v>
      </c>
      <c r="CI23" s="86">
        <v>1379</v>
      </c>
      <c r="CJ23" s="62">
        <v>0</v>
      </c>
      <c r="CK23" s="62">
        <v>0</v>
      </c>
      <c r="CL23" s="62">
        <v>0</v>
      </c>
      <c r="CM23" s="37">
        <f t="shared" si="67"/>
        <v>6368790.1891000001</v>
      </c>
      <c r="CN23" s="4"/>
      <c r="CO23" s="45">
        <f t="shared" si="10"/>
        <v>-3323153.939999999</v>
      </c>
      <c r="CP23" s="46">
        <f t="shared" si="11"/>
        <v>-3337248.8499999992</v>
      </c>
      <c r="CQ23" s="46">
        <f t="shared" si="12"/>
        <v>-3108365.93</v>
      </c>
      <c r="CR23" s="46">
        <f t="shared" si="13"/>
        <v>-181753.70999999996</v>
      </c>
      <c r="CS23" s="46">
        <f t="shared" si="14"/>
        <v>-47129.209999999992</v>
      </c>
      <c r="CT23" s="46">
        <f t="shared" si="15"/>
        <v>14094.91</v>
      </c>
      <c r="CU23" s="45">
        <f t="shared" si="16"/>
        <v>-6193</v>
      </c>
      <c r="CV23" s="46">
        <f t="shared" si="17"/>
        <v>-6193</v>
      </c>
      <c r="CW23" s="46">
        <f t="shared" si="18"/>
        <v>0</v>
      </c>
      <c r="CX23" s="45">
        <f t="shared" si="19"/>
        <v>-35897</v>
      </c>
      <c r="CY23" s="46">
        <f t="shared" si="20"/>
        <v>-35897</v>
      </c>
      <c r="CZ23" s="46">
        <f t="shared" si="21"/>
        <v>0</v>
      </c>
      <c r="DA23" s="45">
        <f t="shared" si="22"/>
        <v>-244.11000000000013</v>
      </c>
      <c r="DB23" s="46">
        <f t="shared" si="23"/>
        <v>-247.05000000000018</v>
      </c>
      <c r="DC23" s="46">
        <f t="shared" si="24"/>
        <v>2.9399999999999995</v>
      </c>
      <c r="DD23" s="45">
        <f t="shared" si="25"/>
        <v>-7649.25</v>
      </c>
      <c r="DE23" s="47">
        <f t="shared" si="26"/>
        <v>-7725.4400000000023</v>
      </c>
      <c r="DF23" s="47">
        <f t="shared" si="27"/>
        <v>76.19</v>
      </c>
      <c r="DG23" s="48">
        <f t="shared" si="28"/>
        <v>0</v>
      </c>
      <c r="DH23" s="46">
        <f t="shared" si="29"/>
        <v>0</v>
      </c>
      <c r="DI23" s="49">
        <f t="shared" si="30"/>
        <v>-20155.756500000018</v>
      </c>
      <c r="DJ23" s="47">
        <f t="shared" si="31"/>
        <v>-268808.03399999999</v>
      </c>
      <c r="DK23" s="46">
        <f t="shared" si="32"/>
        <v>-3914.0111999999999</v>
      </c>
      <c r="DL23" s="46">
        <f t="shared" si="33"/>
        <v>251567.73619999998</v>
      </c>
      <c r="DM23" s="46">
        <f t="shared" si="34"/>
        <v>998.55250000000001</v>
      </c>
      <c r="DN23" s="46">
        <f t="shared" si="35"/>
        <v>0</v>
      </c>
      <c r="DO23" s="50">
        <f t="shared" si="36"/>
        <v>1424428.9699999997</v>
      </c>
      <c r="DP23" s="47">
        <f t="shared" si="37"/>
        <v>-796734</v>
      </c>
      <c r="DQ23" s="47">
        <f t="shared" si="38"/>
        <v>2215040.0699999998</v>
      </c>
      <c r="DR23" s="46">
        <f t="shared" si="39"/>
        <v>6122.9</v>
      </c>
      <c r="DS23" s="46">
        <f t="shared" si="40"/>
        <v>0</v>
      </c>
      <c r="DT23" s="45">
        <f t="shared" si="41"/>
        <v>358796.35039999994</v>
      </c>
      <c r="DU23" s="47">
        <f t="shared" si="42"/>
        <v>357417.35039999994</v>
      </c>
      <c r="DV23" s="47">
        <f t="shared" si="43"/>
        <v>130928.87279999998</v>
      </c>
      <c r="DW23" s="47">
        <f t="shared" si="44"/>
        <v>119788.54799999998</v>
      </c>
      <c r="DX23" s="47">
        <f t="shared" si="45"/>
        <v>41690.404799999997</v>
      </c>
      <c r="DY23" s="47">
        <f t="shared" si="46"/>
        <v>9293.9616000000005</v>
      </c>
      <c r="DZ23" s="47">
        <f t="shared" si="47"/>
        <v>2790.018</v>
      </c>
      <c r="EA23" s="47">
        <f t="shared" si="48"/>
        <v>52925.545199999993</v>
      </c>
      <c r="EB23" s="47">
        <f t="shared" si="49"/>
        <v>1379</v>
      </c>
      <c r="EC23" s="47">
        <f t="shared" si="50"/>
        <v>0</v>
      </c>
      <c r="ED23" s="47">
        <f t="shared" si="51"/>
        <v>0</v>
      </c>
      <c r="EE23" s="47">
        <f t="shared" si="52"/>
        <v>0</v>
      </c>
      <c r="EF23" s="46">
        <f t="shared" si="68"/>
        <v>-1610067.7360999994</v>
      </c>
      <c r="EH23" s="46">
        <v>771271.91</v>
      </c>
      <c r="EI23" s="46">
        <f t="shared" si="53"/>
        <v>-838795.82609999937</v>
      </c>
      <c r="EJ23" s="87">
        <v>1000000</v>
      </c>
      <c r="EK23" s="46">
        <f t="shared" si="69"/>
        <v>-610067.7360999994</v>
      </c>
    </row>
    <row r="24" spans="1:141" ht="14.4" x14ac:dyDescent="0.3">
      <c r="A24" s="24">
        <f t="shared" si="70"/>
        <v>19</v>
      </c>
      <c r="B24" s="26">
        <v>2042</v>
      </c>
      <c r="C24" s="40">
        <f t="shared" si="54"/>
        <v>6780682.0899999999</v>
      </c>
      <c r="D24" s="37">
        <f t="shared" si="55"/>
        <v>6780682.0899999999</v>
      </c>
      <c r="E24" s="72">
        <v>5592365.6500000004</v>
      </c>
      <c r="F24" s="72">
        <v>950060.76</v>
      </c>
      <c r="G24" s="72">
        <v>238255.68</v>
      </c>
      <c r="H24" s="72">
        <v>0</v>
      </c>
      <c r="I24" s="40">
        <f t="shared" si="56"/>
        <v>6193</v>
      </c>
      <c r="J24" s="81">
        <f t="shared" si="80"/>
        <v>6193</v>
      </c>
      <c r="K24" s="73">
        <v>0</v>
      </c>
      <c r="L24" s="40">
        <f t="shared" si="57"/>
        <v>35897</v>
      </c>
      <c r="M24" s="82">
        <f t="shared" si="81"/>
        <v>35897</v>
      </c>
      <c r="N24" s="74">
        <v>0</v>
      </c>
      <c r="O24" s="40">
        <f t="shared" si="58"/>
        <v>3006.9500000000003</v>
      </c>
      <c r="P24" s="75">
        <f t="shared" si="82"/>
        <v>2998.38</v>
      </c>
      <c r="Q24" s="75">
        <f t="shared" si="82"/>
        <v>8.57</v>
      </c>
      <c r="R24" s="40">
        <f t="shared" si="59"/>
        <v>83622.84</v>
      </c>
      <c r="S24" s="60">
        <v>83398.66</v>
      </c>
      <c r="T24" s="60">
        <v>224.18</v>
      </c>
      <c r="U24" s="76">
        <v>0</v>
      </c>
      <c r="V24" s="76">
        <v>0</v>
      </c>
      <c r="W24" s="38">
        <f t="shared" si="60"/>
        <v>272722.04519999999</v>
      </c>
      <c r="X24" s="55">
        <v>268808.03399999999</v>
      </c>
      <c r="Y24" s="77">
        <v>3914.0111999999999</v>
      </c>
      <c r="Z24" s="55">
        <v>0</v>
      </c>
      <c r="AA24" s="77">
        <v>0</v>
      </c>
      <c r="AB24" s="77">
        <v>0</v>
      </c>
      <c r="AC24" s="39">
        <f t="shared" si="0"/>
        <v>796734</v>
      </c>
      <c r="AD24" s="57">
        <v>796734</v>
      </c>
      <c r="AE24" s="58">
        <v>0</v>
      </c>
      <c r="AF24" s="58">
        <v>0</v>
      </c>
      <c r="AG24" s="58">
        <v>0</v>
      </c>
      <c r="AH24" s="40">
        <f t="shared" si="61"/>
        <v>0</v>
      </c>
      <c r="AI24" s="36">
        <f t="shared" si="1"/>
        <v>0</v>
      </c>
      <c r="AJ24" s="78">
        <v>0</v>
      </c>
      <c r="AK24" s="78">
        <v>0</v>
      </c>
      <c r="AL24" s="78">
        <v>0</v>
      </c>
      <c r="AM24" s="78">
        <v>0</v>
      </c>
      <c r="AN24" s="78">
        <v>0</v>
      </c>
      <c r="AO24" s="78">
        <v>0</v>
      </c>
      <c r="AP24" s="78">
        <v>0</v>
      </c>
      <c r="AQ24" s="62">
        <v>0</v>
      </c>
      <c r="AR24" s="62">
        <v>0</v>
      </c>
      <c r="AS24" s="62">
        <v>0</v>
      </c>
      <c r="AT24" s="37">
        <f t="shared" si="62"/>
        <v>7978857.9251999995</v>
      </c>
      <c r="AU24" s="40">
        <f t="shared" si="2"/>
        <v>-1610067.7360999994</v>
      </c>
      <c r="AV24" s="40">
        <f t="shared" si="63"/>
        <v>3457528.1500000008</v>
      </c>
      <c r="AW24" s="37">
        <f t="shared" si="64"/>
        <v>3443433.2400000007</v>
      </c>
      <c r="AX24" s="72">
        <v>2483999.7200000002</v>
      </c>
      <c r="AY24" s="72">
        <v>768307.05</v>
      </c>
      <c r="AZ24" s="72">
        <v>191126.47</v>
      </c>
      <c r="BA24" s="72">
        <v>14094.91</v>
      </c>
      <c r="BB24" s="40">
        <f t="shared" si="65"/>
        <v>0</v>
      </c>
      <c r="BC24" s="73">
        <v>0</v>
      </c>
      <c r="BD24" s="73">
        <v>0</v>
      </c>
      <c r="BE24" s="40">
        <f t="shared" si="3"/>
        <v>0</v>
      </c>
      <c r="BF24" s="74">
        <v>0</v>
      </c>
      <c r="BG24" s="74">
        <v>0</v>
      </c>
      <c r="BH24" s="40">
        <f t="shared" si="4"/>
        <v>2762.84</v>
      </c>
      <c r="BI24" s="79">
        <v>2751.33</v>
      </c>
      <c r="BJ24" s="79">
        <v>11.51</v>
      </c>
      <c r="BK24" s="40">
        <f t="shared" si="5"/>
        <v>75973.59</v>
      </c>
      <c r="BL24" s="60">
        <v>75673.22</v>
      </c>
      <c r="BM24" s="60">
        <v>300.37</v>
      </c>
      <c r="BN24" s="76">
        <v>0</v>
      </c>
      <c r="BO24" s="76">
        <v>0</v>
      </c>
      <c r="BP24" s="38">
        <f t="shared" si="6"/>
        <v>252566.28869999998</v>
      </c>
      <c r="BQ24" s="55">
        <v>0</v>
      </c>
      <c r="BR24" s="77">
        <v>0</v>
      </c>
      <c r="BS24" s="77">
        <f t="shared" si="83"/>
        <v>251567.73619999998</v>
      </c>
      <c r="BT24" s="77">
        <f t="shared" si="71"/>
        <v>998.55250000000001</v>
      </c>
      <c r="BU24" s="54">
        <v>0</v>
      </c>
      <c r="BV24" s="39">
        <f t="shared" si="7"/>
        <v>2221162.9699999997</v>
      </c>
      <c r="BW24" s="57">
        <v>0</v>
      </c>
      <c r="BX24" s="57">
        <v>2215040.0699999998</v>
      </c>
      <c r="BY24" s="57">
        <v>6122.9</v>
      </c>
      <c r="BZ24" s="56">
        <v>0</v>
      </c>
      <c r="CA24" s="40">
        <f t="shared" si="8"/>
        <v>358796.35039999994</v>
      </c>
      <c r="CB24" s="36">
        <f t="shared" si="66"/>
        <v>357417.35039999994</v>
      </c>
      <c r="CC24" s="62">
        <f t="shared" si="72"/>
        <v>130928.87279999998</v>
      </c>
      <c r="CD24" s="62">
        <f t="shared" si="73"/>
        <v>119788.54799999998</v>
      </c>
      <c r="CE24" s="62">
        <f t="shared" si="78"/>
        <v>41690.404799999997</v>
      </c>
      <c r="CF24" s="62">
        <f t="shared" si="74"/>
        <v>9293.9616000000005</v>
      </c>
      <c r="CG24" s="62">
        <f t="shared" si="75"/>
        <v>2790.018</v>
      </c>
      <c r="CH24" s="86">
        <f t="shared" si="76"/>
        <v>52925.545199999993</v>
      </c>
      <c r="CI24" s="86">
        <v>1379</v>
      </c>
      <c r="CJ24" s="62">
        <v>0</v>
      </c>
      <c r="CK24" s="62">
        <v>0</v>
      </c>
      <c r="CL24" s="62">
        <v>0</v>
      </c>
      <c r="CM24" s="37">
        <f t="shared" si="67"/>
        <v>6368790.1891000001</v>
      </c>
      <c r="CN24" s="4"/>
      <c r="CO24" s="45">
        <f t="shared" si="10"/>
        <v>-3323153.939999999</v>
      </c>
      <c r="CP24" s="46">
        <f t="shared" si="11"/>
        <v>-3337248.8499999992</v>
      </c>
      <c r="CQ24" s="46">
        <f t="shared" si="12"/>
        <v>-3108365.93</v>
      </c>
      <c r="CR24" s="46">
        <f t="shared" si="13"/>
        <v>-181753.70999999996</v>
      </c>
      <c r="CS24" s="46">
        <f t="shared" si="14"/>
        <v>-47129.209999999992</v>
      </c>
      <c r="CT24" s="46">
        <f t="shared" si="15"/>
        <v>14094.91</v>
      </c>
      <c r="CU24" s="45">
        <f t="shared" si="16"/>
        <v>-6193</v>
      </c>
      <c r="CV24" s="46">
        <f t="shared" si="17"/>
        <v>-6193</v>
      </c>
      <c r="CW24" s="46">
        <f t="shared" si="18"/>
        <v>0</v>
      </c>
      <c r="CX24" s="45">
        <f t="shared" si="19"/>
        <v>-35897</v>
      </c>
      <c r="CY24" s="46">
        <f t="shared" si="20"/>
        <v>-35897</v>
      </c>
      <c r="CZ24" s="46">
        <f t="shared" si="21"/>
        <v>0</v>
      </c>
      <c r="DA24" s="45">
        <f t="shared" si="22"/>
        <v>-244.11000000000013</v>
      </c>
      <c r="DB24" s="46">
        <f t="shared" si="23"/>
        <v>-247.05000000000018</v>
      </c>
      <c r="DC24" s="46">
        <f t="shared" si="24"/>
        <v>2.9399999999999995</v>
      </c>
      <c r="DD24" s="45">
        <f t="shared" si="25"/>
        <v>-7649.25</v>
      </c>
      <c r="DE24" s="47">
        <f t="shared" si="26"/>
        <v>-7725.4400000000023</v>
      </c>
      <c r="DF24" s="47">
        <f t="shared" si="27"/>
        <v>76.19</v>
      </c>
      <c r="DG24" s="48">
        <f t="shared" si="28"/>
        <v>0</v>
      </c>
      <c r="DH24" s="46">
        <f t="shared" si="29"/>
        <v>0</v>
      </c>
      <c r="DI24" s="49">
        <f t="shared" si="30"/>
        <v>-20155.756500000018</v>
      </c>
      <c r="DJ24" s="47">
        <f t="shared" si="31"/>
        <v>-268808.03399999999</v>
      </c>
      <c r="DK24" s="46">
        <f t="shared" si="32"/>
        <v>-3914.0111999999999</v>
      </c>
      <c r="DL24" s="46">
        <f t="shared" si="33"/>
        <v>251567.73619999998</v>
      </c>
      <c r="DM24" s="46">
        <f t="shared" si="34"/>
        <v>998.55250000000001</v>
      </c>
      <c r="DN24" s="46">
        <f t="shared" si="35"/>
        <v>0</v>
      </c>
      <c r="DO24" s="50">
        <f t="shared" si="36"/>
        <v>1424428.9699999997</v>
      </c>
      <c r="DP24" s="47">
        <f t="shared" si="37"/>
        <v>-796734</v>
      </c>
      <c r="DQ24" s="47">
        <f t="shared" si="38"/>
        <v>2215040.0699999998</v>
      </c>
      <c r="DR24" s="46">
        <f t="shared" si="39"/>
        <v>6122.9</v>
      </c>
      <c r="DS24" s="46">
        <f t="shared" si="40"/>
        <v>0</v>
      </c>
      <c r="DT24" s="45">
        <f t="shared" si="41"/>
        <v>358796.35039999994</v>
      </c>
      <c r="DU24" s="47">
        <f t="shared" si="42"/>
        <v>357417.35039999994</v>
      </c>
      <c r="DV24" s="47">
        <f t="shared" si="43"/>
        <v>130928.87279999998</v>
      </c>
      <c r="DW24" s="47">
        <f t="shared" si="44"/>
        <v>119788.54799999998</v>
      </c>
      <c r="DX24" s="47">
        <f t="shared" si="45"/>
        <v>41690.404799999997</v>
      </c>
      <c r="DY24" s="47">
        <f t="shared" si="46"/>
        <v>9293.9616000000005</v>
      </c>
      <c r="DZ24" s="47">
        <f t="shared" si="47"/>
        <v>2790.018</v>
      </c>
      <c r="EA24" s="47">
        <f t="shared" si="48"/>
        <v>52925.545199999993</v>
      </c>
      <c r="EB24" s="47">
        <f t="shared" si="49"/>
        <v>1379</v>
      </c>
      <c r="EC24" s="47">
        <f t="shared" si="50"/>
        <v>0</v>
      </c>
      <c r="ED24" s="47">
        <f t="shared" si="51"/>
        <v>0</v>
      </c>
      <c r="EE24" s="47">
        <f t="shared" si="52"/>
        <v>0</v>
      </c>
      <c r="EF24" s="46">
        <f t="shared" si="68"/>
        <v>-1610067.7360999994</v>
      </c>
      <c r="EH24" s="46">
        <v>771271.91</v>
      </c>
      <c r="EI24" s="46">
        <f t="shared" si="53"/>
        <v>-838795.82609999937</v>
      </c>
      <c r="EJ24" s="87">
        <v>1000000</v>
      </c>
      <c r="EK24" s="46">
        <f t="shared" si="69"/>
        <v>-610067.7360999994</v>
      </c>
    </row>
    <row r="25" spans="1:141" ht="14.4" x14ac:dyDescent="0.3">
      <c r="A25" s="24">
        <f t="shared" si="70"/>
        <v>20</v>
      </c>
      <c r="B25" s="26">
        <v>2043</v>
      </c>
      <c r="C25" s="40">
        <f t="shared" si="54"/>
        <v>6780682.0899999999</v>
      </c>
      <c r="D25" s="37">
        <f t="shared" si="55"/>
        <v>6780682.0899999999</v>
      </c>
      <c r="E25" s="72">
        <v>5592365.6500000004</v>
      </c>
      <c r="F25" s="72">
        <v>950060.76</v>
      </c>
      <c r="G25" s="72">
        <v>238255.68</v>
      </c>
      <c r="H25" s="72">
        <v>0</v>
      </c>
      <c r="I25" s="40">
        <f t="shared" si="56"/>
        <v>6193</v>
      </c>
      <c r="J25" s="81">
        <f t="shared" si="80"/>
        <v>6193</v>
      </c>
      <c r="K25" s="73">
        <v>0</v>
      </c>
      <c r="L25" s="40">
        <f t="shared" si="57"/>
        <v>35897</v>
      </c>
      <c r="M25" s="82">
        <f t="shared" si="81"/>
        <v>35897</v>
      </c>
      <c r="N25" s="74">
        <v>0</v>
      </c>
      <c r="O25" s="40">
        <f t="shared" si="58"/>
        <v>3006.9500000000003</v>
      </c>
      <c r="P25" s="75">
        <f t="shared" si="82"/>
        <v>2998.38</v>
      </c>
      <c r="Q25" s="75">
        <f t="shared" si="82"/>
        <v>8.57</v>
      </c>
      <c r="R25" s="40">
        <f t="shared" si="59"/>
        <v>83622.84</v>
      </c>
      <c r="S25" s="60">
        <v>83398.66</v>
      </c>
      <c r="T25" s="60">
        <v>224.18</v>
      </c>
      <c r="U25" s="76">
        <v>0</v>
      </c>
      <c r="V25" s="76">
        <v>0</v>
      </c>
      <c r="W25" s="38">
        <f t="shared" si="60"/>
        <v>272722.04519999999</v>
      </c>
      <c r="X25" s="55">
        <v>268808.03399999999</v>
      </c>
      <c r="Y25" s="77">
        <v>3914.0111999999999</v>
      </c>
      <c r="Z25" s="55">
        <v>0</v>
      </c>
      <c r="AA25" s="77">
        <v>0</v>
      </c>
      <c r="AB25" s="77">
        <v>0</v>
      </c>
      <c r="AC25" s="39">
        <f t="shared" si="0"/>
        <v>796734</v>
      </c>
      <c r="AD25" s="57">
        <v>796734</v>
      </c>
      <c r="AE25" s="58">
        <v>0</v>
      </c>
      <c r="AF25" s="58">
        <v>0</v>
      </c>
      <c r="AG25" s="58">
        <v>0</v>
      </c>
      <c r="AH25" s="40">
        <f t="shared" si="61"/>
        <v>0</v>
      </c>
      <c r="AI25" s="36">
        <f t="shared" si="1"/>
        <v>0</v>
      </c>
      <c r="AJ25" s="78">
        <v>0</v>
      </c>
      <c r="AK25" s="78">
        <v>0</v>
      </c>
      <c r="AL25" s="78">
        <v>0</v>
      </c>
      <c r="AM25" s="78">
        <v>0</v>
      </c>
      <c r="AN25" s="78">
        <v>0</v>
      </c>
      <c r="AO25" s="78">
        <v>0</v>
      </c>
      <c r="AP25" s="78">
        <v>0</v>
      </c>
      <c r="AQ25" s="62">
        <v>0</v>
      </c>
      <c r="AR25" s="62">
        <v>0</v>
      </c>
      <c r="AS25" s="62">
        <v>0</v>
      </c>
      <c r="AT25" s="37">
        <f t="shared" si="62"/>
        <v>7978857.9251999995</v>
      </c>
      <c r="AU25" s="40">
        <f t="shared" si="2"/>
        <v>-1610067.7360999994</v>
      </c>
      <c r="AV25" s="40">
        <f t="shared" si="63"/>
        <v>3457528.1500000008</v>
      </c>
      <c r="AW25" s="37">
        <f t="shared" si="64"/>
        <v>3443433.2400000007</v>
      </c>
      <c r="AX25" s="72">
        <v>2483999.7200000002</v>
      </c>
      <c r="AY25" s="72">
        <v>768307.05</v>
      </c>
      <c r="AZ25" s="72">
        <v>191126.47</v>
      </c>
      <c r="BA25" s="72">
        <v>14094.91</v>
      </c>
      <c r="BB25" s="40">
        <f t="shared" si="65"/>
        <v>0</v>
      </c>
      <c r="BC25" s="73">
        <v>0</v>
      </c>
      <c r="BD25" s="73">
        <v>0</v>
      </c>
      <c r="BE25" s="40">
        <f t="shared" si="3"/>
        <v>0</v>
      </c>
      <c r="BF25" s="74">
        <v>0</v>
      </c>
      <c r="BG25" s="74">
        <v>0</v>
      </c>
      <c r="BH25" s="40">
        <f t="shared" si="4"/>
        <v>2762.84</v>
      </c>
      <c r="BI25" s="79">
        <v>2751.33</v>
      </c>
      <c r="BJ25" s="79">
        <v>11.51</v>
      </c>
      <c r="BK25" s="40">
        <f t="shared" si="5"/>
        <v>75973.59</v>
      </c>
      <c r="BL25" s="60">
        <v>75673.22</v>
      </c>
      <c r="BM25" s="60">
        <v>300.37</v>
      </c>
      <c r="BN25" s="76">
        <v>0</v>
      </c>
      <c r="BO25" s="76">
        <v>0</v>
      </c>
      <c r="BP25" s="38">
        <f t="shared" si="6"/>
        <v>252566.28869999998</v>
      </c>
      <c r="BQ25" s="55">
        <v>0</v>
      </c>
      <c r="BR25" s="77">
        <v>0</v>
      </c>
      <c r="BS25" s="77">
        <f t="shared" si="83"/>
        <v>251567.73619999998</v>
      </c>
      <c r="BT25" s="77">
        <f t="shared" si="71"/>
        <v>998.55250000000001</v>
      </c>
      <c r="BU25" s="54">
        <v>0</v>
      </c>
      <c r="BV25" s="39">
        <f t="shared" si="7"/>
        <v>2221162.9699999997</v>
      </c>
      <c r="BW25" s="57">
        <v>0</v>
      </c>
      <c r="BX25" s="57">
        <v>2215040.0699999998</v>
      </c>
      <c r="BY25" s="57">
        <v>6122.9</v>
      </c>
      <c r="BZ25" s="56">
        <v>0</v>
      </c>
      <c r="CA25" s="40">
        <f t="shared" si="8"/>
        <v>358796.35039999994</v>
      </c>
      <c r="CB25" s="36">
        <f t="shared" si="66"/>
        <v>357417.35039999994</v>
      </c>
      <c r="CC25" s="62">
        <f t="shared" si="72"/>
        <v>130928.87279999998</v>
      </c>
      <c r="CD25" s="62">
        <f t="shared" si="73"/>
        <v>119788.54799999998</v>
      </c>
      <c r="CE25" s="62">
        <f t="shared" si="78"/>
        <v>41690.404799999997</v>
      </c>
      <c r="CF25" s="62">
        <f t="shared" si="74"/>
        <v>9293.9616000000005</v>
      </c>
      <c r="CG25" s="62">
        <f t="shared" si="75"/>
        <v>2790.018</v>
      </c>
      <c r="CH25" s="86">
        <f t="shared" si="76"/>
        <v>52925.545199999993</v>
      </c>
      <c r="CI25" s="86">
        <v>1379</v>
      </c>
      <c r="CJ25" s="62">
        <v>0</v>
      </c>
      <c r="CK25" s="62">
        <v>0</v>
      </c>
      <c r="CL25" s="62">
        <v>0</v>
      </c>
      <c r="CM25" s="37">
        <f t="shared" si="67"/>
        <v>6368790.1891000001</v>
      </c>
      <c r="CN25" s="4"/>
      <c r="CO25" s="45">
        <f t="shared" si="10"/>
        <v>-3323153.939999999</v>
      </c>
      <c r="CP25" s="46">
        <f t="shared" si="11"/>
        <v>-3337248.8499999992</v>
      </c>
      <c r="CQ25" s="46">
        <f t="shared" si="12"/>
        <v>-3108365.93</v>
      </c>
      <c r="CR25" s="46">
        <f t="shared" si="13"/>
        <v>-181753.70999999996</v>
      </c>
      <c r="CS25" s="46">
        <f t="shared" si="14"/>
        <v>-47129.209999999992</v>
      </c>
      <c r="CT25" s="46">
        <f t="shared" si="15"/>
        <v>14094.91</v>
      </c>
      <c r="CU25" s="45">
        <f t="shared" si="16"/>
        <v>-6193</v>
      </c>
      <c r="CV25" s="46">
        <f t="shared" si="17"/>
        <v>-6193</v>
      </c>
      <c r="CW25" s="46">
        <f t="shared" si="18"/>
        <v>0</v>
      </c>
      <c r="CX25" s="45">
        <f t="shared" si="19"/>
        <v>-35897</v>
      </c>
      <c r="CY25" s="46">
        <f t="shared" si="20"/>
        <v>-35897</v>
      </c>
      <c r="CZ25" s="46">
        <f t="shared" si="21"/>
        <v>0</v>
      </c>
      <c r="DA25" s="45">
        <f t="shared" si="22"/>
        <v>-244.11000000000013</v>
      </c>
      <c r="DB25" s="46">
        <f t="shared" si="23"/>
        <v>-247.05000000000018</v>
      </c>
      <c r="DC25" s="46">
        <f t="shared" si="24"/>
        <v>2.9399999999999995</v>
      </c>
      <c r="DD25" s="45">
        <f t="shared" si="25"/>
        <v>-7649.25</v>
      </c>
      <c r="DE25" s="47">
        <f t="shared" si="26"/>
        <v>-7725.4400000000023</v>
      </c>
      <c r="DF25" s="47">
        <f t="shared" si="27"/>
        <v>76.19</v>
      </c>
      <c r="DG25" s="48">
        <f t="shared" si="28"/>
        <v>0</v>
      </c>
      <c r="DH25" s="46">
        <f t="shared" si="29"/>
        <v>0</v>
      </c>
      <c r="DI25" s="49">
        <f t="shared" si="30"/>
        <v>-20155.756500000018</v>
      </c>
      <c r="DJ25" s="47">
        <f t="shared" si="31"/>
        <v>-268808.03399999999</v>
      </c>
      <c r="DK25" s="46">
        <f t="shared" si="32"/>
        <v>-3914.0111999999999</v>
      </c>
      <c r="DL25" s="46">
        <f t="shared" si="33"/>
        <v>251567.73619999998</v>
      </c>
      <c r="DM25" s="46">
        <f t="shared" si="34"/>
        <v>998.55250000000001</v>
      </c>
      <c r="DN25" s="46">
        <f t="shared" si="35"/>
        <v>0</v>
      </c>
      <c r="DO25" s="50">
        <f t="shared" si="36"/>
        <v>1424428.9699999997</v>
      </c>
      <c r="DP25" s="47">
        <f t="shared" si="37"/>
        <v>-796734</v>
      </c>
      <c r="DQ25" s="47">
        <f t="shared" si="38"/>
        <v>2215040.0699999998</v>
      </c>
      <c r="DR25" s="46">
        <f t="shared" si="39"/>
        <v>6122.9</v>
      </c>
      <c r="DS25" s="46">
        <f t="shared" si="40"/>
        <v>0</v>
      </c>
      <c r="DT25" s="45">
        <f t="shared" si="41"/>
        <v>358796.35039999994</v>
      </c>
      <c r="DU25" s="47">
        <f t="shared" si="42"/>
        <v>357417.35039999994</v>
      </c>
      <c r="DV25" s="47">
        <f t="shared" si="43"/>
        <v>130928.87279999998</v>
      </c>
      <c r="DW25" s="47">
        <f t="shared" si="44"/>
        <v>119788.54799999998</v>
      </c>
      <c r="DX25" s="47">
        <f t="shared" si="45"/>
        <v>41690.404799999997</v>
      </c>
      <c r="DY25" s="47">
        <f t="shared" si="46"/>
        <v>9293.9616000000005</v>
      </c>
      <c r="DZ25" s="47">
        <f t="shared" si="47"/>
        <v>2790.018</v>
      </c>
      <c r="EA25" s="47">
        <f t="shared" si="48"/>
        <v>52925.545199999993</v>
      </c>
      <c r="EB25" s="47">
        <f t="shared" si="49"/>
        <v>1379</v>
      </c>
      <c r="EC25" s="47">
        <f t="shared" si="50"/>
        <v>0</v>
      </c>
      <c r="ED25" s="47">
        <f t="shared" si="51"/>
        <v>0</v>
      </c>
      <c r="EE25" s="47">
        <f t="shared" si="52"/>
        <v>0</v>
      </c>
      <c r="EF25" s="46">
        <f t="shared" si="68"/>
        <v>-1610067.7360999994</v>
      </c>
      <c r="EH25" s="46">
        <v>771271.91</v>
      </c>
      <c r="EI25" s="46">
        <f t="shared" si="53"/>
        <v>-838795.82609999937</v>
      </c>
      <c r="EJ25" s="87">
        <v>1000000</v>
      </c>
      <c r="EK25" s="46">
        <f t="shared" si="69"/>
        <v>-610067.7360999994</v>
      </c>
    </row>
    <row r="26" spans="1:141" ht="14.4" x14ac:dyDescent="0.3">
      <c r="A26" s="24">
        <f t="shared" si="70"/>
        <v>21</v>
      </c>
      <c r="B26" s="25" t="s">
        <v>30</v>
      </c>
      <c r="C26" s="40">
        <f t="shared" si="54"/>
        <v>1676335.04</v>
      </c>
      <c r="D26" s="37">
        <f t="shared" si="55"/>
        <v>1676335.04</v>
      </c>
      <c r="E26" s="72">
        <v>1382556.79</v>
      </c>
      <c r="F26" s="72">
        <v>234876.16</v>
      </c>
      <c r="G26" s="72">
        <v>58902.09</v>
      </c>
      <c r="H26" s="72">
        <v>0</v>
      </c>
      <c r="I26" s="40">
        <f t="shared" si="56"/>
        <v>1548.25</v>
      </c>
      <c r="J26" s="81">
        <f>J17/12*3</f>
        <v>1548.25</v>
      </c>
      <c r="K26" s="73">
        <v>0</v>
      </c>
      <c r="L26" s="40">
        <f t="shared" si="57"/>
        <v>8974.25</v>
      </c>
      <c r="M26" s="82">
        <f>M17/12*3</f>
        <v>8974.25</v>
      </c>
      <c r="N26" s="74">
        <v>0</v>
      </c>
      <c r="O26" s="40">
        <f t="shared" si="58"/>
        <v>751.74</v>
      </c>
      <c r="P26" s="75">
        <v>749.6</v>
      </c>
      <c r="Q26" s="75">
        <v>2.14</v>
      </c>
      <c r="R26" s="40">
        <f t="shared" si="59"/>
        <v>27857</v>
      </c>
      <c r="S26" s="60">
        <f>ROUNDUP(S12/12*4,0)</f>
        <v>27800</v>
      </c>
      <c r="T26" s="60">
        <f>ROUNDUP(T12/12*3,0)</f>
        <v>57</v>
      </c>
      <c r="U26" s="76">
        <v>0</v>
      </c>
      <c r="V26" s="76">
        <v>0</v>
      </c>
      <c r="W26" s="38">
        <f t="shared" si="60"/>
        <v>90907.348400000003</v>
      </c>
      <c r="X26" s="55">
        <f>X17/3</f>
        <v>89602.678</v>
      </c>
      <c r="Y26" s="77">
        <f>Y17/3</f>
        <v>1304.6704</v>
      </c>
      <c r="Z26" s="55">
        <v>0</v>
      </c>
      <c r="AA26" s="77">
        <v>0</v>
      </c>
      <c r="AB26" s="77">
        <v>0</v>
      </c>
      <c r="AC26" s="39">
        <f t="shared" si="0"/>
        <v>228501</v>
      </c>
      <c r="AD26" s="57">
        <v>228501</v>
      </c>
      <c r="AE26" s="58">
        <v>0</v>
      </c>
      <c r="AF26" s="58">
        <v>0</v>
      </c>
      <c r="AG26" s="58">
        <v>0</v>
      </c>
      <c r="AH26" s="40">
        <f t="shared" si="61"/>
        <v>0</v>
      </c>
      <c r="AI26" s="36">
        <f t="shared" si="1"/>
        <v>0</v>
      </c>
      <c r="AJ26" s="62">
        <v>0</v>
      </c>
      <c r="AK26" s="62">
        <v>0</v>
      </c>
      <c r="AL26" s="62">
        <v>0</v>
      </c>
      <c r="AM26" s="62">
        <v>0</v>
      </c>
      <c r="AN26" s="62">
        <v>0</v>
      </c>
      <c r="AO26" s="62">
        <v>0</v>
      </c>
      <c r="AP26" s="78">
        <v>0</v>
      </c>
      <c r="AQ26" s="62">
        <v>0</v>
      </c>
      <c r="AR26" s="62">
        <v>0</v>
      </c>
      <c r="AS26" s="62">
        <v>0</v>
      </c>
      <c r="AT26" s="37">
        <f t="shared" si="62"/>
        <v>2034874.6284</v>
      </c>
      <c r="AU26" s="49">
        <f t="shared" si="2"/>
        <v>88057.265866666799</v>
      </c>
      <c r="AV26" s="40">
        <f t="shared" si="63"/>
        <v>1152509.4100000001</v>
      </c>
      <c r="AW26" s="37">
        <f t="shared" si="64"/>
        <v>1147811.08</v>
      </c>
      <c r="AX26" s="72">
        <v>827999.9</v>
      </c>
      <c r="AY26" s="72">
        <v>256102.36</v>
      </c>
      <c r="AZ26" s="72">
        <v>63708.82</v>
      </c>
      <c r="BA26" s="72">
        <v>4698.33</v>
      </c>
      <c r="BB26" s="40">
        <f t="shared" si="65"/>
        <v>0</v>
      </c>
      <c r="BC26" s="73">
        <v>0</v>
      </c>
      <c r="BD26" s="73">
        <v>0</v>
      </c>
      <c r="BE26" s="40">
        <f t="shared" si="3"/>
        <v>0</v>
      </c>
      <c r="BF26" s="74">
        <v>0</v>
      </c>
      <c r="BG26" s="74">
        <v>0</v>
      </c>
      <c r="BH26" s="40">
        <f t="shared" si="4"/>
        <v>920.95</v>
      </c>
      <c r="BI26" s="79">
        <v>917.13</v>
      </c>
      <c r="BJ26" s="79">
        <v>3.82</v>
      </c>
      <c r="BK26" s="40">
        <f t="shared" si="5"/>
        <v>25326</v>
      </c>
      <c r="BL26" s="60">
        <f>ROUNDUP(BL12/12*4,0)</f>
        <v>25225</v>
      </c>
      <c r="BM26" s="60">
        <f>ROUNDUP(BM12/12*4,0)</f>
        <v>101</v>
      </c>
      <c r="BN26" s="76">
        <v>0</v>
      </c>
      <c r="BO26" s="76">
        <v>0</v>
      </c>
      <c r="BP26" s="38">
        <f t="shared" si="6"/>
        <v>84188.750799999994</v>
      </c>
      <c r="BQ26" s="55">
        <v>0</v>
      </c>
      <c r="BR26" s="77">
        <v>0</v>
      </c>
      <c r="BS26" s="77">
        <f>17325.6*4*1.21</f>
        <v>83855.903999999995</v>
      </c>
      <c r="BT26" s="77">
        <f>68.77*4*1.21</f>
        <v>332.84679999999997</v>
      </c>
      <c r="BU26" s="54">
        <v>0</v>
      </c>
      <c r="BV26" s="39">
        <f t="shared" si="7"/>
        <v>740388</v>
      </c>
      <c r="BW26" s="57">
        <v>0</v>
      </c>
      <c r="BX26" s="57">
        <f>ROUNDUP(BX17/12*4,0)</f>
        <v>738347</v>
      </c>
      <c r="BY26" s="57">
        <f>ROUNDUP(BY17/12*4,0)</f>
        <v>2041</v>
      </c>
      <c r="BZ26" s="56">
        <v>0</v>
      </c>
      <c r="CA26" s="40">
        <f t="shared" si="8"/>
        <v>119598.78346666667</v>
      </c>
      <c r="CB26" s="36">
        <f t="shared" si="66"/>
        <v>119139.1168</v>
      </c>
      <c r="CC26" s="62">
        <f>CC25/12*4</f>
        <v>43642.957599999994</v>
      </c>
      <c r="CD26" s="62">
        <f>CD25/12*4</f>
        <v>39929.515999999996</v>
      </c>
      <c r="CE26" s="62">
        <f>2871.24*1.21*4</f>
        <v>13896.801599999999</v>
      </c>
      <c r="CF26" s="62">
        <f t="shared" ref="CF26:CL26" si="84">CF25/12*4</f>
        <v>3097.9872</v>
      </c>
      <c r="CG26" s="62">
        <f t="shared" si="84"/>
        <v>930.00599999999997</v>
      </c>
      <c r="CH26" s="62">
        <f t="shared" si="84"/>
        <v>17641.848399999999</v>
      </c>
      <c r="CI26" s="62">
        <f t="shared" si="84"/>
        <v>459.66666666666669</v>
      </c>
      <c r="CJ26" s="62">
        <f t="shared" si="84"/>
        <v>0</v>
      </c>
      <c r="CK26" s="62">
        <f t="shared" si="84"/>
        <v>0</v>
      </c>
      <c r="CL26" s="62">
        <f t="shared" si="84"/>
        <v>0</v>
      </c>
      <c r="CM26" s="37">
        <f t="shared" si="67"/>
        <v>2122931.8942666668</v>
      </c>
      <c r="CN26" s="4"/>
      <c r="CO26" s="45">
        <f t="shared" si="10"/>
        <v>-523825.62999999989</v>
      </c>
      <c r="CP26" s="46">
        <f t="shared" si="11"/>
        <v>-528523.96</v>
      </c>
      <c r="CQ26" s="46">
        <f t="shared" si="12"/>
        <v>-554556.89</v>
      </c>
      <c r="CR26" s="46">
        <f t="shared" si="13"/>
        <v>21226.199999999983</v>
      </c>
      <c r="CS26" s="46">
        <f t="shared" si="14"/>
        <v>4806.7300000000032</v>
      </c>
      <c r="CT26" s="46">
        <f t="shared" si="15"/>
        <v>4698.33</v>
      </c>
      <c r="CU26" s="45">
        <f t="shared" si="16"/>
        <v>-1548.25</v>
      </c>
      <c r="CV26" s="46">
        <f t="shared" si="17"/>
        <v>-1548.25</v>
      </c>
      <c r="CW26" s="46">
        <f t="shared" si="18"/>
        <v>0</v>
      </c>
      <c r="CX26" s="45">
        <f t="shared" si="19"/>
        <v>-8974.25</v>
      </c>
      <c r="CY26" s="46">
        <f t="shared" si="20"/>
        <v>-8974.25</v>
      </c>
      <c r="CZ26" s="46">
        <f t="shared" si="21"/>
        <v>0</v>
      </c>
      <c r="DA26" s="45">
        <f t="shared" si="22"/>
        <v>169.21000000000004</v>
      </c>
      <c r="DB26" s="46">
        <f t="shared" si="23"/>
        <v>167.52999999999997</v>
      </c>
      <c r="DC26" s="46">
        <f t="shared" si="24"/>
        <v>1.6799999999999997</v>
      </c>
      <c r="DD26" s="45">
        <f t="shared" si="25"/>
        <v>-2531</v>
      </c>
      <c r="DE26" s="47">
        <f t="shared" si="26"/>
        <v>-2575</v>
      </c>
      <c r="DF26" s="47">
        <f t="shared" si="27"/>
        <v>44</v>
      </c>
      <c r="DG26" s="48">
        <f t="shared" si="28"/>
        <v>0</v>
      </c>
      <c r="DH26" s="46">
        <f t="shared" si="29"/>
        <v>0</v>
      </c>
      <c r="DI26" s="49">
        <f t="shared" si="30"/>
        <v>-6718.5976000000082</v>
      </c>
      <c r="DJ26" s="47">
        <f t="shared" si="31"/>
        <v>-89602.678</v>
      </c>
      <c r="DK26" s="46">
        <f t="shared" si="32"/>
        <v>-1304.6704</v>
      </c>
      <c r="DL26" s="46">
        <f t="shared" si="33"/>
        <v>83855.903999999995</v>
      </c>
      <c r="DM26" s="46">
        <f t="shared" si="34"/>
        <v>332.84679999999997</v>
      </c>
      <c r="DN26" s="46">
        <f t="shared" si="35"/>
        <v>0</v>
      </c>
      <c r="DO26" s="50">
        <f t="shared" si="36"/>
        <v>511887</v>
      </c>
      <c r="DP26" s="47">
        <f t="shared" si="37"/>
        <v>-228501</v>
      </c>
      <c r="DQ26" s="47">
        <f t="shared" si="38"/>
        <v>738347</v>
      </c>
      <c r="DR26" s="46">
        <f t="shared" si="39"/>
        <v>2041</v>
      </c>
      <c r="DS26" s="46">
        <f t="shared" si="40"/>
        <v>0</v>
      </c>
      <c r="DT26" s="45">
        <f t="shared" si="41"/>
        <v>119598.78346666667</v>
      </c>
      <c r="DU26" s="47">
        <f t="shared" si="42"/>
        <v>119139.1168</v>
      </c>
      <c r="DV26" s="47">
        <f t="shared" si="43"/>
        <v>43642.957599999994</v>
      </c>
      <c r="DW26" s="47">
        <f t="shared" si="44"/>
        <v>39929.515999999996</v>
      </c>
      <c r="DX26" s="47">
        <f t="shared" si="45"/>
        <v>13896.801599999999</v>
      </c>
      <c r="DY26" s="47">
        <f t="shared" si="46"/>
        <v>3097.9872</v>
      </c>
      <c r="DZ26" s="47">
        <f t="shared" si="47"/>
        <v>930.00599999999997</v>
      </c>
      <c r="EA26" s="47">
        <f t="shared" si="48"/>
        <v>17641.848399999999</v>
      </c>
      <c r="EB26" s="47">
        <f t="shared" si="49"/>
        <v>459.66666666666669</v>
      </c>
      <c r="EC26" s="47">
        <f t="shared" si="50"/>
        <v>0</v>
      </c>
      <c r="ED26" s="47">
        <f t="shared" si="51"/>
        <v>0</v>
      </c>
      <c r="EE26" s="47">
        <f t="shared" si="52"/>
        <v>0</v>
      </c>
      <c r="EF26" s="46">
        <f t="shared" si="68"/>
        <v>88057.26586666677</v>
      </c>
      <c r="EH26" s="46">
        <v>0</v>
      </c>
      <c r="EI26" s="46">
        <f t="shared" si="53"/>
        <v>88057.26586666677</v>
      </c>
      <c r="EJ26" s="87">
        <v>0</v>
      </c>
      <c r="EK26" s="46">
        <f t="shared" si="69"/>
        <v>88057.26586666677</v>
      </c>
    </row>
    <row r="27" spans="1:141" ht="24" customHeight="1" x14ac:dyDescent="0.3">
      <c r="A27" s="193" t="s">
        <v>13</v>
      </c>
      <c r="B27" s="193"/>
      <c r="C27" s="34">
        <f t="shared" ref="C27:AH27" si="85">SUM(C6:C26)</f>
        <v>136464096.84000003</v>
      </c>
      <c r="D27" s="34">
        <f t="shared" si="85"/>
        <v>136464096.84000003</v>
      </c>
      <c r="E27" s="34">
        <f t="shared" si="85"/>
        <v>112403989.79000004</v>
      </c>
      <c r="F27" s="34">
        <f t="shared" si="85"/>
        <v>19236091.360000003</v>
      </c>
      <c r="G27" s="34">
        <f t="shared" si="85"/>
        <v>4824015.6900000004</v>
      </c>
      <c r="H27" s="34">
        <f t="shared" si="85"/>
        <v>0</v>
      </c>
      <c r="I27" s="34">
        <f t="shared" si="85"/>
        <v>125408.25</v>
      </c>
      <c r="J27" s="34">
        <f t="shared" si="85"/>
        <v>125408.25</v>
      </c>
      <c r="K27" s="34">
        <f t="shared" si="85"/>
        <v>0</v>
      </c>
      <c r="L27" s="34">
        <f t="shared" si="85"/>
        <v>726914.25</v>
      </c>
      <c r="M27" s="34">
        <f t="shared" si="85"/>
        <v>726914.25</v>
      </c>
      <c r="N27" s="34">
        <f t="shared" si="85"/>
        <v>0</v>
      </c>
      <c r="O27" s="34">
        <f t="shared" si="85"/>
        <v>60890.739999999976</v>
      </c>
      <c r="P27" s="34">
        <f t="shared" si="85"/>
        <v>60717.199999999983</v>
      </c>
      <c r="Q27" s="34">
        <f t="shared" si="85"/>
        <v>173.53999999999991</v>
      </c>
      <c r="R27" s="35">
        <f t="shared" si="85"/>
        <v>2988558.7999999989</v>
      </c>
      <c r="S27" s="34">
        <f t="shared" si="85"/>
        <v>1695773.1999999997</v>
      </c>
      <c r="T27" s="34">
        <f t="shared" si="85"/>
        <v>4540.5999999999995</v>
      </c>
      <c r="U27" s="34">
        <f t="shared" si="85"/>
        <v>1288245</v>
      </c>
      <c r="V27" s="34">
        <f t="shared" si="85"/>
        <v>0</v>
      </c>
      <c r="W27" s="34">
        <f t="shared" si="85"/>
        <v>5545348.2523999978</v>
      </c>
      <c r="X27" s="34">
        <f t="shared" si="85"/>
        <v>5465763.358</v>
      </c>
      <c r="Y27" s="34">
        <f t="shared" si="85"/>
        <v>79584.89439999999</v>
      </c>
      <c r="Z27" s="34">
        <f t="shared" si="85"/>
        <v>0</v>
      </c>
      <c r="AA27" s="34">
        <f t="shared" si="85"/>
        <v>0</v>
      </c>
      <c r="AB27" s="34">
        <f t="shared" si="85"/>
        <v>0</v>
      </c>
      <c r="AC27" s="34">
        <f t="shared" si="85"/>
        <v>16163181</v>
      </c>
      <c r="AD27" s="34">
        <f t="shared" si="85"/>
        <v>16163181</v>
      </c>
      <c r="AE27" s="34">
        <f t="shared" si="85"/>
        <v>0</v>
      </c>
      <c r="AF27" s="34">
        <f t="shared" si="85"/>
        <v>0</v>
      </c>
      <c r="AG27" s="34">
        <f t="shared" si="85"/>
        <v>0</v>
      </c>
      <c r="AH27" s="34">
        <f t="shared" si="85"/>
        <v>38396346.563000001</v>
      </c>
      <c r="AI27" s="34">
        <f t="shared" ref="AI27:BN27" si="86">SUM(AI6:AI26)</f>
        <v>0</v>
      </c>
      <c r="AJ27" s="34">
        <f t="shared" si="86"/>
        <v>0</v>
      </c>
      <c r="AK27" s="34">
        <f t="shared" si="86"/>
        <v>0</v>
      </c>
      <c r="AL27" s="34">
        <f t="shared" si="86"/>
        <v>0</v>
      </c>
      <c r="AM27" s="34">
        <f t="shared" si="86"/>
        <v>0</v>
      </c>
      <c r="AN27" s="34">
        <f t="shared" si="86"/>
        <v>0</v>
      </c>
      <c r="AO27" s="34">
        <f t="shared" si="86"/>
        <v>0</v>
      </c>
      <c r="AP27" s="34">
        <f t="shared" si="86"/>
        <v>0</v>
      </c>
      <c r="AQ27" s="34">
        <f t="shared" si="86"/>
        <v>970396.45900000003</v>
      </c>
      <c r="AR27" s="34">
        <f t="shared" si="86"/>
        <v>37342312</v>
      </c>
      <c r="AS27" s="34">
        <f t="shared" si="86"/>
        <v>83638.103999999992</v>
      </c>
      <c r="AT27" s="51">
        <f t="shared" si="86"/>
        <v>200470744.69539988</v>
      </c>
      <c r="AU27" s="52">
        <f t="shared" si="86"/>
        <v>-23852484.906697839</v>
      </c>
      <c r="AV27" s="34">
        <f t="shared" si="86"/>
        <v>74668996.560000002</v>
      </c>
      <c r="AW27" s="34">
        <f t="shared" si="86"/>
        <v>74382068.800000027</v>
      </c>
      <c r="AX27" s="34">
        <f t="shared" si="86"/>
        <v>54050210.659999982</v>
      </c>
      <c r="AY27" s="34">
        <f t="shared" si="86"/>
        <v>16275268.930000005</v>
      </c>
      <c r="AZ27" s="34">
        <f t="shared" si="86"/>
        <v>4056589.2100000018</v>
      </c>
      <c r="BA27" s="34">
        <f t="shared" si="86"/>
        <v>286927.76</v>
      </c>
      <c r="BB27" s="34">
        <f t="shared" si="86"/>
        <v>0</v>
      </c>
      <c r="BC27" s="34">
        <f t="shared" si="86"/>
        <v>0</v>
      </c>
      <c r="BD27" s="34">
        <f t="shared" si="86"/>
        <v>0</v>
      </c>
      <c r="BE27" s="34">
        <f t="shared" si="86"/>
        <v>0</v>
      </c>
      <c r="BF27" s="34">
        <f t="shared" si="86"/>
        <v>0</v>
      </c>
      <c r="BG27" s="34">
        <f t="shared" si="86"/>
        <v>0</v>
      </c>
      <c r="BH27" s="34">
        <f t="shared" si="86"/>
        <v>58116.339999999967</v>
      </c>
      <c r="BI27" s="34">
        <f t="shared" si="86"/>
        <v>57884.300000000017</v>
      </c>
      <c r="BJ27" s="34">
        <f t="shared" si="86"/>
        <v>232.03999999999994</v>
      </c>
      <c r="BK27" s="35">
        <f t="shared" si="86"/>
        <v>2950096.1798999989</v>
      </c>
      <c r="BL27" s="34">
        <f t="shared" si="86"/>
        <v>1591103.3599999996</v>
      </c>
      <c r="BM27" s="34">
        <f t="shared" si="86"/>
        <v>6108.3999999999987</v>
      </c>
      <c r="BN27" s="34">
        <f t="shared" si="86"/>
        <v>1349397.8201000001</v>
      </c>
      <c r="BO27" s="34">
        <f t="shared" ref="BO27:CM27" si="87">SUM(BO6:BO26)</f>
        <v>3486.5998</v>
      </c>
      <c r="BP27" s="34">
        <f t="shared" si="87"/>
        <v>7677616.5442000022</v>
      </c>
      <c r="BQ27" s="34">
        <f t="shared" si="87"/>
        <v>448013.39</v>
      </c>
      <c r="BR27" s="34">
        <f t="shared" si="87"/>
        <v>6523.351999999999</v>
      </c>
      <c r="BS27" s="34">
        <f t="shared" si="87"/>
        <v>7168875.6260000011</v>
      </c>
      <c r="BT27" s="34">
        <f t="shared" si="87"/>
        <v>19204.176200000002</v>
      </c>
      <c r="BU27" s="34">
        <f t="shared" si="87"/>
        <v>35000</v>
      </c>
      <c r="BV27" s="34">
        <f t="shared" si="87"/>
        <v>46687407.887499988</v>
      </c>
      <c r="BW27" s="34">
        <f t="shared" si="87"/>
        <v>1593468</v>
      </c>
      <c r="BX27" s="34">
        <f t="shared" si="87"/>
        <v>44738999.927500002</v>
      </c>
      <c r="BY27" s="34">
        <f t="shared" si="87"/>
        <v>114939.95999999996</v>
      </c>
      <c r="BZ27" s="34">
        <f t="shared" si="87"/>
        <v>240000</v>
      </c>
      <c r="CA27" s="34">
        <f t="shared" si="87"/>
        <v>44576026.277102165</v>
      </c>
      <c r="CB27" s="34">
        <f t="shared" si="87"/>
        <v>7263326.1514354823</v>
      </c>
      <c r="CC27" s="34">
        <f t="shared" si="87"/>
        <v>2644521.2111999998</v>
      </c>
      <c r="CD27" s="34">
        <f t="shared" si="87"/>
        <v>2381588.3200999992</v>
      </c>
      <c r="CE27" s="34">
        <f t="shared" si="87"/>
        <v>937381.56514838734</v>
      </c>
      <c r="CF27" s="34">
        <f t="shared" si="87"/>
        <v>194855.82152903231</v>
      </c>
      <c r="CG27" s="34">
        <f t="shared" si="87"/>
        <v>58495.342258064491</v>
      </c>
      <c r="CH27" s="34">
        <f t="shared" si="87"/>
        <v>1046483.8912000004</v>
      </c>
      <c r="CI27" s="34">
        <f t="shared" si="87"/>
        <v>27069.666666666668</v>
      </c>
      <c r="CJ27" s="34">
        <f t="shared" si="87"/>
        <v>970396.45900000003</v>
      </c>
      <c r="CK27" s="34">
        <f t="shared" si="87"/>
        <v>36179150</v>
      </c>
      <c r="CL27" s="34">
        <f t="shared" si="87"/>
        <v>136084</v>
      </c>
      <c r="CM27" s="34">
        <f t="shared" si="87"/>
        <v>176618259.7887021</v>
      </c>
      <c r="CN27" s="5"/>
      <c r="CO27" s="41">
        <f t="shared" ref="CO27:EE27" si="88">SUM(CO6:CO26)</f>
        <v>-61795100.279999971</v>
      </c>
      <c r="CP27" s="41">
        <f t="shared" si="88"/>
        <v>-62082028.039999999</v>
      </c>
      <c r="CQ27" s="41">
        <f t="shared" si="88"/>
        <v>-58353779.130000003</v>
      </c>
      <c r="CR27" s="41">
        <f t="shared" si="88"/>
        <v>-2960822.4299999992</v>
      </c>
      <c r="CS27" s="41">
        <f t="shared" si="88"/>
        <v>-767426.47999999963</v>
      </c>
      <c r="CT27" s="41">
        <f t="shared" si="88"/>
        <v>286927.76</v>
      </c>
      <c r="CU27" s="41">
        <f t="shared" si="88"/>
        <v>-125408.25</v>
      </c>
      <c r="CV27" s="41">
        <f t="shared" si="88"/>
        <v>-125408.25</v>
      </c>
      <c r="CW27" s="41">
        <f t="shared" si="88"/>
        <v>0</v>
      </c>
      <c r="CX27" s="41">
        <f t="shared" si="88"/>
        <v>-726914.25</v>
      </c>
      <c r="CY27" s="41">
        <f t="shared" si="88"/>
        <v>-726914.25</v>
      </c>
      <c r="CZ27" s="41">
        <f t="shared" si="88"/>
        <v>0</v>
      </c>
      <c r="DA27" s="41">
        <f t="shared" si="88"/>
        <v>-2774.4000000000024</v>
      </c>
      <c r="DB27" s="41">
        <f t="shared" si="88"/>
        <v>-2832.9000000000033</v>
      </c>
      <c r="DC27" s="41">
        <f t="shared" si="88"/>
        <v>58.499999999999964</v>
      </c>
      <c r="DD27" s="42">
        <f t="shared" si="88"/>
        <v>-38462.620100000058</v>
      </c>
      <c r="DE27" s="41">
        <f t="shared" si="88"/>
        <v>-104669.84000000005</v>
      </c>
      <c r="DF27" s="41">
        <f t="shared" si="88"/>
        <v>1567.8000000000006</v>
      </c>
      <c r="DG27" s="41">
        <f t="shared" si="88"/>
        <v>61152.820099999983</v>
      </c>
      <c r="DH27" s="41">
        <f t="shared" si="88"/>
        <v>3486.5998</v>
      </c>
      <c r="DI27" s="41">
        <f t="shared" si="88"/>
        <v>2132268.2917999988</v>
      </c>
      <c r="DJ27" s="41">
        <f t="shared" si="88"/>
        <v>-5017749.9679999994</v>
      </c>
      <c r="DK27" s="41">
        <f t="shared" si="88"/>
        <v>-73061.542400000006</v>
      </c>
      <c r="DL27" s="41">
        <f t="shared" si="88"/>
        <v>7168875.6260000011</v>
      </c>
      <c r="DM27" s="41">
        <f t="shared" si="88"/>
        <v>19204.176200000002</v>
      </c>
      <c r="DN27" s="41">
        <f t="shared" si="88"/>
        <v>35000</v>
      </c>
      <c r="DO27" s="41">
        <f t="shared" si="88"/>
        <v>30524226.887499984</v>
      </c>
      <c r="DP27" s="41">
        <f t="shared" si="88"/>
        <v>-14569713</v>
      </c>
      <c r="DQ27" s="41">
        <f t="shared" si="88"/>
        <v>44738999.927500002</v>
      </c>
      <c r="DR27" s="41">
        <f t="shared" si="88"/>
        <v>114939.95999999996</v>
      </c>
      <c r="DS27" s="41">
        <f t="shared" si="88"/>
        <v>240000</v>
      </c>
      <c r="DT27" s="41">
        <f t="shared" si="88"/>
        <v>6179679.7141021471</v>
      </c>
      <c r="DU27" s="41">
        <f t="shared" si="88"/>
        <v>7263326.1514354823</v>
      </c>
      <c r="DV27" s="41">
        <f t="shared" si="88"/>
        <v>2644521.2111999998</v>
      </c>
      <c r="DW27" s="41">
        <f t="shared" si="88"/>
        <v>2381588.3200999992</v>
      </c>
      <c r="DX27" s="41">
        <f t="shared" si="88"/>
        <v>937381.56514838734</v>
      </c>
      <c r="DY27" s="41">
        <f t="shared" si="88"/>
        <v>194855.82152903231</v>
      </c>
      <c r="DZ27" s="41">
        <f t="shared" si="88"/>
        <v>58495.342258064491</v>
      </c>
      <c r="EA27" s="41">
        <f t="shared" si="88"/>
        <v>1046483.8912000004</v>
      </c>
      <c r="EB27" s="41">
        <f t="shared" si="88"/>
        <v>27069.666666666668</v>
      </c>
      <c r="EC27" s="41">
        <f t="shared" si="88"/>
        <v>0</v>
      </c>
      <c r="ED27" s="41">
        <f t="shared" si="88"/>
        <v>-1163162</v>
      </c>
      <c r="EE27" s="41">
        <f t="shared" si="88"/>
        <v>52445.896000000008</v>
      </c>
      <c r="EF27" s="41">
        <f t="shared" si="68"/>
        <v>-23852484.906697839</v>
      </c>
      <c r="EH27" s="41">
        <f>SUM(EH6:EH26)</f>
        <v>13376005.010000002</v>
      </c>
      <c r="EI27" s="88">
        <f>SUM(EI6:EI26)</f>
        <v>-10476479.896697838</v>
      </c>
      <c r="EJ27" s="41">
        <f>SUM(EJ6:EJ26)</f>
        <v>16265965</v>
      </c>
      <c r="EK27" s="88">
        <f>SUM(EK6:EK26)</f>
        <v>-7586519.9066978395</v>
      </c>
    </row>
    <row r="28" spans="1:141" ht="14.4" x14ac:dyDescent="0.3">
      <c r="A28" s="66"/>
      <c r="B28" s="67"/>
      <c r="C28" s="67"/>
      <c r="AV28" s="67"/>
    </row>
    <row r="29" spans="1:141" ht="14.4" x14ac:dyDescent="0.3">
      <c r="B29" s="68"/>
      <c r="C29" s="68"/>
      <c r="D29" s="69"/>
      <c r="E29" s="69"/>
      <c r="F29" s="69"/>
      <c r="G29" s="69"/>
      <c r="H29" s="69"/>
      <c r="I29" s="69"/>
      <c r="J29" s="69"/>
      <c r="K29" s="69"/>
      <c r="L29" s="69"/>
      <c r="M29" s="69"/>
      <c r="N29" s="69"/>
      <c r="AD29" s="1">
        <f>SUM(AD8:AD26)</f>
        <v>14569713</v>
      </c>
      <c r="AT29" s="7"/>
      <c r="AV29" s="68"/>
      <c r="AW29" s="69"/>
      <c r="AX29" s="69"/>
      <c r="AY29" s="69"/>
      <c r="AZ29" s="69"/>
      <c r="BA29" s="69"/>
      <c r="BB29" s="69"/>
      <c r="BC29" s="69"/>
      <c r="BD29" s="69"/>
      <c r="BE29" s="69"/>
      <c r="BF29" s="69"/>
      <c r="BG29" s="69"/>
      <c r="CK29" s="1"/>
      <c r="CM29" s="7"/>
      <c r="CU29" s="83">
        <f>SUM(CO6,CU6,CX6)</f>
        <v>-806246.12999999989</v>
      </c>
    </row>
    <row r="30" spans="1:141" ht="14.4" x14ac:dyDescent="0.3">
      <c r="B30" s="8"/>
      <c r="C30" s="8"/>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V30" s="8"/>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v>796734</v>
      </c>
      <c r="BX30" s="1"/>
      <c r="BY30" s="1"/>
      <c r="BZ30" s="1"/>
      <c r="CA30" s="1"/>
      <c r="CB30" s="1"/>
      <c r="CC30" s="71"/>
      <c r="CD30" s="1"/>
      <c r="CE30" s="1"/>
      <c r="CF30" s="1"/>
      <c r="CG30" s="1"/>
      <c r="CH30" s="1"/>
      <c r="CI30" s="71"/>
      <c r="CJ30" s="1"/>
      <c r="CK30" s="1"/>
      <c r="CL30" s="1"/>
      <c r="EH30" s="83"/>
    </row>
    <row r="31" spans="1:141" ht="14.4" x14ac:dyDescent="0.3">
      <c r="B31" s="8"/>
      <c r="C31" s="8"/>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V31" s="8"/>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v>487652</v>
      </c>
      <c r="BX31" s="1"/>
      <c r="BY31" s="1"/>
      <c r="BZ31" s="1"/>
      <c r="CA31" s="1"/>
      <c r="CB31" s="1"/>
      <c r="CC31" s="1"/>
      <c r="CD31" s="1"/>
      <c r="CE31" s="1"/>
      <c r="CF31" s="1"/>
      <c r="CG31" s="1"/>
      <c r="CH31" s="1"/>
      <c r="CI31" s="1"/>
      <c r="CJ31" s="1"/>
      <c r="CK31" s="1"/>
      <c r="CL31" s="1"/>
      <c r="EH31" s="83"/>
    </row>
    <row r="32" spans="1:141" ht="14.4" x14ac:dyDescent="0.3">
      <c r="B32" s="8"/>
      <c r="C32" s="8"/>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V32" s="8"/>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f>BW30-BW31</f>
        <v>309082</v>
      </c>
      <c r="BX32" s="1"/>
      <c r="BY32" s="1"/>
      <c r="BZ32" s="1"/>
      <c r="CA32" s="1"/>
      <c r="CB32" s="1"/>
      <c r="CC32" s="1"/>
      <c r="CD32" s="1"/>
      <c r="CE32" s="1"/>
      <c r="CF32" s="1"/>
      <c r="CG32" s="1"/>
      <c r="CH32" s="1"/>
      <c r="CI32" s="1"/>
      <c r="CJ32" s="1"/>
      <c r="CK32" s="1"/>
      <c r="CL32" s="1"/>
      <c r="EH32" s="83"/>
    </row>
    <row r="33" spans="1:136" ht="14.4" x14ac:dyDescent="0.3">
      <c r="B33" s="8"/>
      <c r="C33" s="8"/>
      <c r="D33" s="1"/>
      <c r="E33" s="1"/>
      <c r="F33" s="1"/>
      <c r="G33" s="7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V33" s="8"/>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row>
    <row r="34" spans="1:136" ht="14.4" x14ac:dyDescent="0.3">
      <c r="B34" s="8"/>
      <c r="C34" s="8"/>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V34" s="8"/>
      <c r="AW34" s="1"/>
      <c r="AX34" s="71"/>
      <c r="AY34" s="71"/>
      <c r="AZ34" s="71"/>
      <c r="BA34" s="71"/>
      <c r="BB34" s="7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row>
    <row r="35" spans="1:136" ht="14.4" x14ac:dyDescent="0.3">
      <c r="B35" s="8"/>
      <c r="C35" s="8"/>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V35" s="91"/>
      <c r="AW35" s="9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row>
    <row r="36" spans="1:136" ht="14.4" x14ac:dyDescent="0.3">
      <c r="B36" s="8"/>
      <c r="C36" s="8"/>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V36" s="91"/>
      <c r="AW36" s="9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row>
    <row r="37" spans="1:136" ht="14.4" x14ac:dyDescent="0.3">
      <c r="B37" s="8"/>
      <c r="C37" s="8"/>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V37" s="91"/>
      <c r="AW37" s="91"/>
      <c r="AX37" s="1"/>
      <c r="AY37" s="1"/>
      <c r="AZ37" s="1"/>
      <c r="BA37" s="1"/>
      <c r="BB37" s="1"/>
      <c r="BC37" s="1"/>
      <c r="BD37" s="1"/>
      <c r="BE37" s="1"/>
      <c r="BF37" s="1"/>
      <c r="BG37" s="1"/>
      <c r="BH37" s="7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row>
    <row r="38" spans="1:136" ht="14.4" x14ac:dyDescent="0.3">
      <c r="B38" s="8"/>
      <c r="C38" s="8"/>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V38" s="91"/>
      <c r="AW38" s="91"/>
      <c r="AX38" s="1"/>
      <c r="AY38" s="1"/>
      <c r="AZ38" s="1"/>
      <c r="BA38" s="1"/>
      <c r="BB38" s="1"/>
      <c r="BC38" s="1"/>
      <c r="BD38" s="1"/>
      <c r="BE38" s="1"/>
      <c r="BF38" s="1"/>
      <c r="BG38" s="1"/>
      <c r="BH38" s="7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row>
    <row r="39" spans="1:136" ht="32.25" customHeight="1" x14ac:dyDescent="0.3">
      <c r="A39" s="164" t="s">
        <v>0</v>
      </c>
      <c r="B39" s="164" t="s">
        <v>1</v>
      </c>
      <c r="C39" s="168" t="s">
        <v>15</v>
      </c>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69"/>
      <c r="AG39" s="169"/>
      <c r="AH39" s="169"/>
      <c r="AI39" s="169"/>
      <c r="AJ39" s="169"/>
      <c r="AK39" s="169"/>
      <c r="AL39" s="169"/>
      <c r="AM39" s="169"/>
      <c r="AN39" s="169"/>
      <c r="AO39" s="169"/>
      <c r="AP39" s="169"/>
      <c r="AQ39" s="169"/>
      <c r="AR39" s="169"/>
      <c r="AS39" s="169"/>
      <c r="AT39" s="170"/>
      <c r="AU39" s="172" t="s">
        <v>16</v>
      </c>
      <c r="AV39" s="168" t="s">
        <v>17</v>
      </c>
      <c r="AW39" s="169"/>
      <c r="AX39" s="169"/>
      <c r="AY39" s="169"/>
      <c r="AZ39" s="169"/>
      <c r="BA39" s="169"/>
      <c r="BB39" s="169"/>
      <c r="BC39" s="169"/>
      <c r="BD39" s="169"/>
      <c r="BE39" s="169"/>
      <c r="BF39" s="169"/>
      <c r="BG39" s="169"/>
      <c r="BH39" s="169"/>
      <c r="BI39" s="169"/>
      <c r="BJ39" s="169"/>
      <c r="BK39" s="169"/>
      <c r="BL39" s="169"/>
      <c r="BM39" s="169"/>
      <c r="BN39" s="169"/>
      <c r="BO39" s="169"/>
      <c r="BP39" s="169"/>
      <c r="BQ39" s="169"/>
      <c r="BR39" s="169"/>
      <c r="BS39" s="169"/>
      <c r="BT39" s="169"/>
      <c r="BU39" s="169"/>
      <c r="BV39" s="169"/>
      <c r="BW39" s="169"/>
      <c r="BX39" s="169"/>
      <c r="BY39" s="169"/>
      <c r="BZ39" s="169"/>
      <c r="CA39" s="169"/>
      <c r="CB39" s="169"/>
      <c r="CC39" s="169"/>
      <c r="CD39" s="169"/>
      <c r="CE39" s="169"/>
      <c r="CF39" s="169"/>
      <c r="CG39" s="169"/>
      <c r="CH39" s="169"/>
      <c r="CI39" s="169"/>
      <c r="CJ39" s="169"/>
      <c r="CK39" s="169"/>
      <c r="CL39" s="169"/>
      <c r="CM39" s="170"/>
      <c r="CN39" s="2"/>
      <c r="CO39" s="163" t="s">
        <v>18</v>
      </c>
      <c r="CP39" s="163"/>
      <c r="CQ39" s="163"/>
      <c r="CR39" s="163"/>
      <c r="CS39" s="163"/>
      <c r="CT39" s="163"/>
      <c r="CU39" s="163"/>
      <c r="CV39" s="163"/>
      <c r="CW39" s="163"/>
      <c r="CX39" s="163"/>
      <c r="CY39" s="163"/>
      <c r="CZ39" s="163"/>
      <c r="DA39" s="163"/>
      <c r="DB39" s="163"/>
      <c r="DC39" s="163"/>
      <c r="DD39" s="163"/>
      <c r="DE39" s="163"/>
      <c r="DF39" s="163"/>
      <c r="DG39" s="163"/>
      <c r="DH39" s="163"/>
      <c r="DI39" s="163"/>
      <c r="DJ39" s="163"/>
      <c r="DK39" s="163"/>
      <c r="DL39" s="163"/>
      <c r="DM39" s="163"/>
      <c r="DN39" s="163"/>
      <c r="DO39" s="163"/>
      <c r="DP39" s="163"/>
      <c r="DQ39" s="163"/>
      <c r="DR39" s="163"/>
      <c r="DS39" s="163"/>
      <c r="DT39" s="163"/>
      <c r="DU39" s="163"/>
      <c r="DV39" s="163"/>
      <c r="DW39" s="163"/>
      <c r="DX39" s="163"/>
      <c r="DY39" s="163"/>
      <c r="DZ39" s="163"/>
      <c r="EA39" s="163"/>
      <c r="EB39" s="163"/>
      <c r="EC39" s="163"/>
      <c r="ED39" s="163"/>
      <c r="EE39" s="163"/>
      <c r="EF39" s="163"/>
    </row>
    <row r="40" spans="1:136" ht="48" x14ac:dyDescent="0.3">
      <c r="A40" s="164"/>
      <c r="B40" s="164"/>
      <c r="C40" s="11" t="s">
        <v>19</v>
      </c>
      <c r="D40" s="12" t="s">
        <v>163</v>
      </c>
      <c r="E40" s="53" t="s">
        <v>164</v>
      </c>
      <c r="F40" s="13" t="s">
        <v>165</v>
      </c>
      <c r="G40" s="13" t="s">
        <v>166</v>
      </c>
      <c r="H40" s="12" t="s">
        <v>167</v>
      </c>
      <c r="I40" s="28" t="s">
        <v>21</v>
      </c>
      <c r="J40" s="63" t="s">
        <v>168</v>
      </c>
      <c r="K40" s="14" t="s">
        <v>169</v>
      </c>
      <c r="L40" s="29" t="s">
        <v>22</v>
      </c>
      <c r="M40" s="64" t="s">
        <v>170</v>
      </c>
      <c r="N40" s="15" t="s">
        <v>171</v>
      </c>
      <c r="O40" s="30" t="s">
        <v>23</v>
      </c>
      <c r="P40" s="65" t="s">
        <v>172</v>
      </c>
      <c r="Q40" s="16" t="s">
        <v>173</v>
      </c>
      <c r="R40" s="27" t="s">
        <v>24</v>
      </c>
      <c r="S40" s="17" t="s">
        <v>174</v>
      </c>
      <c r="T40" s="17" t="s">
        <v>175</v>
      </c>
      <c r="U40" s="17" t="s">
        <v>176</v>
      </c>
      <c r="V40" s="17" t="s">
        <v>175</v>
      </c>
      <c r="W40" s="31" t="s">
        <v>25</v>
      </c>
      <c r="X40" s="54" t="s">
        <v>177</v>
      </c>
      <c r="Y40" s="21" t="s">
        <v>178</v>
      </c>
      <c r="Z40" s="21" t="s">
        <v>179</v>
      </c>
      <c r="AA40" s="21" t="s">
        <v>180</v>
      </c>
      <c r="AB40" s="21" t="s">
        <v>43</v>
      </c>
      <c r="AC40" s="32" t="s">
        <v>26</v>
      </c>
      <c r="AD40" s="56" t="s">
        <v>44</v>
      </c>
      <c r="AE40" s="22" t="s">
        <v>181</v>
      </c>
      <c r="AF40" s="22" t="s">
        <v>182</v>
      </c>
      <c r="AG40" s="22" t="s">
        <v>46</v>
      </c>
      <c r="AH40" s="44" t="s">
        <v>27</v>
      </c>
      <c r="AI40" s="18" t="s">
        <v>183</v>
      </c>
      <c r="AJ40" s="19" t="s">
        <v>184</v>
      </c>
      <c r="AK40" s="19" t="s">
        <v>185</v>
      </c>
      <c r="AL40" s="61" t="s">
        <v>186</v>
      </c>
      <c r="AM40" s="19" t="s">
        <v>187</v>
      </c>
      <c r="AN40" s="19" t="s">
        <v>188</v>
      </c>
      <c r="AO40" s="19" t="s">
        <v>189</v>
      </c>
      <c r="AP40" s="20" t="s">
        <v>190</v>
      </c>
      <c r="AQ40" s="43" t="s">
        <v>48</v>
      </c>
      <c r="AR40" s="43" t="s">
        <v>191</v>
      </c>
      <c r="AS40" s="43" t="s">
        <v>192</v>
      </c>
      <c r="AT40" s="10" t="s">
        <v>12</v>
      </c>
      <c r="AU40" s="172"/>
      <c r="AV40" s="11" t="s">
        <v>19</v>
      </c>
      <c r="AW40" s="12" t="s">
        <v>163</v>
      </c>
      <c r="AX40" s="13" t="s">
        <v>164</v>
      </c>
      <c r="AY40" s="13" t="s">
        <v>165</v>
      </c>
      <c r="AZ40" s="13" t="s">
        <v>166</v>
      </c>
      <c r="BA40" s="12" t="s">
        <v>167</v>
      </c>
      <c r="BB40" s="28" t="s">
        <v>21</v>
      </c>
      <c r="BC40" s="14" t="s">
        <v>168</v>
      </c>
      <c r="BD40" s="14" t="s">
        <v>169</v>
      </c>
      <c r="BE40" s="29" t="s">
        <v>22</v>
      </c>
      <c r="BF40" s="64" t="s">
        <v>170</v>
      </c>
      <c r="BG40" s="15" t="s">
        <v>171</v>
      </c>
      <c r="BH40" s="30" t="s">
        <v>23</v>
      </c>
      <c r="BI40" s="16" t="s">
        <v>172</v>
      </c>
      <c r="BJ40" s="16" t="s">
        <v>173</v>
      </c>
      <c r="BK40" s="27" t="s">
        <v>24</v>
      </c>
      <c r="BL40" s="59" t="s">
        <v>174</v>
      </c>
      <c r="BM40" s="17" t="s">
        <v>175</v>
      </c>
      <c r="BN40" s="17" t="s">
        <v>176</v>
      </c>
      <c r="BO40" s="17" t="s">
        <v>175</v>
      </c>
      <c r="BP40" s="31" t="s">
        <v>25</v>
      </c>
      <c r="BQ40" s="21" t="s">
        <v>177</v>
      </c>
      <c r="BR40" s="21" t="s">
        <v>178</v>
      </c>
      <c r="BS40" s="21" t="s">
        <v>179</v>
      </c>
      <c r="BT40" s="21" t="s">
        <v>180</v>
      </c>
      <c r="BU40" s="21" t="s">
        <v>43</v>
      </c>
      <c r="BV40" s="32" t="s">
        <v>26</v>
      </c>
      <c r="BW40" s="56" t="s">
        <v>44</v>
      </c>
      <c r="BX40" s="22" t="s">
        <v>181</v>
      </c>
      <c r="BY40" s="22" t="s">
        <v>182</v>
      </c>
      <c r="BZ40" s="22" t="s">
        <v>46</v>
      </c>
      <c r="CA40" s="44" t="s">
        <v>27</v>
      </c>
      <c r="CB40" s="18" t="s">
        <v>183</v>
      </c>
      <c r="CC40" s="19" t="s">
        <v>184</v>
      </c>
      <c r="CD40" s="19" t="s">
        <v>185</v>
      </c>
      <c r="CE40" s="61" t="s">
        <v>186</v>
      </c>
      <c r="CF40" s="19" t="s">
        <v>187</v>
      </c>
      <c r="CG40" s="19" t="s">
        <v>188</v>
      </c>
      <c r="CH40" s="19" t="s">
        <v>189</v>
      </c>
      <c r="CI40" s="20" t="s">
        <v>190</v>
      </c>
      <c r="CJ40" s="43" t="s">
        <v>48</v>
      </c>
      <c r="CK40" s="43" t="s">
        <v>191</v>
      </c>
      <c r="CL40" s="43" t="s">
        <v>192</v>
      </c>
      <c r="CM40" s="10" t="s">
        <v>12</v>
      </c>
      <c r="CN40" s="6"/>
      <c r="CO40" s="11" t="s">
        <v>19</v>
      </c>
      <c r="CP40" s="12" t="s">
        <v>163</v>
      </c>
      <c r="CQ40" s="13" t="s">
        <v>164</v>
      </c>
      <c r="CR40" s="13" t="s">
        <v>165</v>
      </c>
      <c r="CS40" s="13" t="s">
        <v>166</v>
      </c>
      <c r="CT40" s="12" t="s">
        <v>167</v>
      </c>
      <c r="CU40" s="28" t="s">
        <v>21</v>
      </c>
      <c r="CV40" s="14" t="s">
        <v>168</v>
      </c>
      <c r="CW40" s="14" t="s">
        <v>169</v>
      </c>
      <c r="CX40" s="29" t="s">
        <v>22</v>
      </c>
      <c r="CY40" s="15" t="s">
        <v>170</v>
      </c>
      <c r="CZ40" s="15" t="s">
        <v>171</v>
      </c>
      <c r="DA40" s="30" t="s">
        <v>23</v>
      </c>
      <c r="DB40" s="16" t="s">
        <v>193</v>
      </c>
      <c r="DC40" s="16" t="s">
        <v>194</v>
      </c>
      <c r="DD40" s="27" t="s">
        <v>24</v>
      </c>
      <c r="DE40" s="17" t="s">
        <v>174</v>
      </c>
      <c r="DF40" s="17" t="s">
        <v>175</v>
      </c>
      <c r="DG40" s="17" t="s">
        <v>176</v>
      </c>
      <c r="DH40" s="17" t="s">
        <v>175</v>
      </c>
      <c r="DI40" s="31" t="s">
        <v>25</v>
      </c>
      <c r="DJ40" s="21" t="s">
        <v>177</v>
      </c>
      <c r="DK40" s="21" t="s">
        <v>178</v>
      </c>
      <c r="DL40" s="21" t="s">
        <v>179</v>
      </c>
      <c r="DM40" s="21" t="s">
        <v>180</v>
      </c>
      <c r="DN40" s="21" t="s">
        <v>43</v>
      </c>
      <c r="DO40" s="32" t="s">
        <v>26</v>
      </c>
      <c r="DP40" s="56" t="s">
        <v>44</v>
      </c>
      <c r="DQ40" s="22" t="s">
        <v>181</v>
      </c>
      <c r="DR40" s="22" t="s">
        <v>182</v>
      </c>
      <c r="DS40" s="22" t="s">
        <v>46</v>
      </c>
      <c r="DT40" s="44" t="s">
        <v>27</v>
      </c>
      <c r="DU40" s="18" t="s">
        <v>183</v>
      </c>
      <c r="DV40" s="19" t="s">
        <v>184</v>
      </c>
      <c r="DW40" s="19" t="s">
        <v>185</v>
      </c>
      <c r="DX40" s="61" t="s">
        <v>186</v>
      </c>
      <c r="DY40" s="19" t="s">
        <v>187</v>
      </c>
      <c r="DZ40" s="19" t="s">
        <v>188</v>
      </c>
      <c r="EA40" s="19" t="s">
        <v>189</v>
      </c>
      <c r="EB40" s="20" t="s">
        <v>190</v>
      </c>
      <c r="EC40" s="43" t="s">
        <v>48</v>
      </c>
      <c r="ED40" s="43" t="s">
        <v>191</v>
      </c>
      <c r="EE40" s="43" t="s">
        <v>192</v>
      </c>
      <c r="EF40" s="10" t="s">
        <v>12</v>
      </c>
    </row>
    <row r="41" spans="1:136" ht="14.4" x14ac:dyDescent="0.3">
      <c r="A41" s="23" t="s">
        <v>28</v>
      </c>
      <c r="B41" s="23" t="s">
        <v>29</v>
      </c>
      <c r="C41" s="33"/>
      <c r="D41" s="23"/>
      <c r="E41" s="23"/>
      <c r="F41" s="23"/>
      <c r="G41" s="23"/>
      <c r="H41" s="23"/>
      <c r="I41" s="33"/>
      <c r="J41" s="23"/>
      <c r="K41" s="23"/>
      <c r="L41" s="33"/>
      <c r="M41" s="23"/>
      <c r="N41" s="23"/>
      <c r="O41" s="33"/>
      <c r="P41" s="23"/>
      <c r="Q41" s="23"/>
      <c r="R41" s="33"/>
      <c r="S41" s="23"/>
      <c r="T41" s="23"/>
      <c r="U41" s="23"/>
      <c r="V41" s="23"/>
      <c r="W41" s="33"/>
      <c r="X41" s="23"/>
      <c r="Y41" s="23"/>
      <c r="Z41" s="23"/>
      <c r="AA41" s="23"/>
      <c r="AB41" s="23"/>
      <c r="AC41" s="33"/>
      <c r="AD41" s="23"/>
      <c r="AE41" s="23"/>
      <c r="AF41" s="23"/>
      <c r="AG41" s="23"/>
      <c r="AH41" s="23"/>
      <c r="AI41" s="23"/>
      <c r="AJ41" s="23"/>
      <c r="AK41" s="23"/>
      <c r="AL41" s="23"/>
      <c r="AM41" s="23"/>
      <c r="AN41" s="23"/>
      <c r="AO41" s="23"/>
      <c r="AP41" s="23"/>
      <c r="AQ41" s="23"/>
      <c r="AR41" s="23"/>
      <c r="AS41" s="23"/>
      <c r="AT41" s="23"/>
      <c r="AU41" s="33"/>
      <c r="AV41" s="3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3"/>
      <c r="CO41" s="3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row>
    <row r="42" spans="1:136" ht="14.4" x14ac:dyDescent="0.3">
      <c r="A42" s="24">
        <v>1</v>
      </c>
      <c r="B42" s="25">
        <v>2024</v>
      </c>
      <c r="C42" s="40">
        <f>ROUNDUP(C6,0)</f>
        <v>6780683</v>
      </c>
      <c r="D42" s="37">
        <f t="shared" ref="D42:BL42" si="89">ROUNDUP(D6,0)</f>
        <v>6780683</v>
      </c>
      <c r="E42" s="72">
        <f t="shared" si="89"/>
        <v>5592366</v>
      </c>
      <c r="F42" s="72">
        <f t="shared" si="89"/>
        <v>950061</v>
      </c>
      <c r="G42" s="72">
        <f t="shared" si="89"/>
        <v>238256</v>
      </c>
      <c r="H42" s="72">
        <f t="shared" si="89"/>
        <v>0</v>
      </c>
      <c r="I42" s="40">
        <f t="shared" si="89"/>
        <v>6193</v>
      </c>
      <c r="J42" s="73">
        <f t="shared" si="89"/>
        <v>6193</v>
      </c>
      <c r="K42" s="73">
        <f t="shared" si="89"/>
        <v>0</v>
      </c>
      <c r="L42" s="40">
        <f t="shared" si="89"/>
        <v>35897</v>
      </c>
      <c r="M42" s="74">
        <f t="shared" si="89"/>
        <v>35897</v>
      </c>
      <c r="N42" s="74">
        <f t="shared" si="89"/>
        <v>0</v>
      </c>
      <c r="O42" s="40">
        <f t="shared" si="89"/>
        <v>3007</v>
      </c>
      <c r="P42" s="75">
        <f t="shared" si="89"/>
        <v>2999</v>
      </c>
      <c r="Q42" s="75">
        <f t="shared" si="89"/>
        <v>9</v>
      </c>
      <c r="R42" s="40">
        <f t="shared" si="89"/>
        <v>238213</v>
      </c>
      <c r="S42" s="60">
        <f t="shared" si="89"/>
        <v>83399</v>
      </c>
      <c r="T42" s="60">
        <f t="shared" si="89"/>
        <v>225</v>
      </c>
      <c r="U42" s="60">
        <f t="shared" si="89"/>
        <v>154590</v>
      </c>
      <c r="V42" s="76">
        <f t="shared" si="89"/>
        <v>0</v>
      </c>
      <c r="W42" s="38">
        <f t="shared" si="89"/>
        <v>272723</v>
      </c>
      <c r="X42" s="55">
        <f t="shared" si="89"/>
        <v>268809</v>
      </c>
      <c r="Y42" s="77">
        <f t="shared" si="89"/>
        <v>3915</v>
      </c>
      <c r="Z42" s="55">
        <f t="shared" si="89"/>
        <v>0</v>
      </c>
      <c r="AA42" s="77">
        <f t="shared" si="89"/>
        <v>0</v>
      </c>
      <c r="AB42" s="77">
        <f t="shared" si="89"/>
        <v>0</v>
      </c>
      <c r="AC42" s="39">
        <f t="shared" si="89"/>
        <v>796734</v>
      </c>
      <c r="AD42" s="57">
        <f t="shared" si="89"/>
        <v>796734</v>
      </c>
      <c r="AE42" s="58">
        <f t="shared" si="89"/>
        <v>0</v>
      </c>
      <c r="AF42" s="58">
        <f t="shared" si="89"/>
        <v>0</v>
      </c>
      <c r="AG42" s="58">
        <f t="shared" si="89"/>
        <v>0</v>
      </c>
      <c r="AH42" s="40">
        <f t="shared" si="89"/>
        <v>9752863</v>
      </c>
      <c r="AI42" s="36">
        <f t="shared" si="89"/>
        <v>0</v>
      </c>
      <c r="AJ42" s="78">
        <f t="shared" si="89"/>
        <v>0</v>
      </c>
      <c r="AK42" s="78">
        <f t="shared" si="89"/>
        <v>0</v>
      </c>
      <c r="AL42" s="78">
        <f t="shared" si="89"/>
        <v>0</v>
      </c>
      <c r="AM42" s="78">
        <f t="shared" si="89"/>
        <v>0</v>
      </c>
      <c r="AN42" s="78">
        <f t="shared" si="89"/>
        <v>0</v>
      </c>
      <c r="AO42" s="78">
        <f t="shared" si="89"/>
        <v>0</v>
      </c>
      <c r="AP42" s="78">
        <f t="shared" si="89"/>
        <v>0</v>
      </c>
      <c r="AQ42" s="62">
        <f t="shared" si="89"/>
        <v>396375</v>
      </c>
      <c r="AR42" s="62">
        <f t="shared" si="89"/>
        <v>9335578</v>
      </c>
      <c r="AS42" s="62">
        <f t="shared" si="89"/>
        <v>20910</v>
      </c>
      <c r="AT42" s="37">
        <f t="shared" si="89"/>
        <v>17886311</v>
      </c>
      <c r="AU42" s="40">
        <f t="shared" si="89"/>
        <v>-366537</v>
      </c>
      <c r="AV42" s="40">
        <f t="shared" si="89"/>
        <v>6016526</v>
      </c>
      <c r="AW42" s="37">
        <f t="shared" si="89"/>
        <v>6002100</v>
      </c>
      <c r="AX42" s="72">
        <f t="shared" si="89"/>
        <v>4780557</v>
      </c>
      <c r="AY42" s="72">
        <f t="shared" si="89"/>
        <v>976218</v>
      </c>
      <c r="AZ42" s="72">
        <f t="shared" si="89"/>
        <v>245327</v>
      </c>
      <c r="BA42" s="80">
        <f t="shared" si="89"/>
        <v>14427</v>
      </c>
      <c r="BB42" s="40">
        <f t="shared" si="89"/>
        <v>0</v>
      </c>
      <c r="BC42" s="73">
        <f t="shared" si="89"/>
        <v>0</v>
      </c>
      <c r="BD42" s="73">
        <f t="shared" si="89"/>
        <v>0</v>
      </c>
      <c r="BE42" s="40">
        <f t="shared" si="89"/>
        <v>0</v>
      </c>
      <c r="BF42" s="74">
        <f t="shared" si="89"/>
        <v>0</v>
      </c>
      <c r="BG42" s="74">
        <f t="shared" si="89"/>
        <v>0</v>
      </c>
      <c r="BH42" s="40">
        <f t="shared" si="89"/>
        <v>3248</v>
      </c>
      <c r="BI42" s="79">
        <f t="shared" si="89"/>
        <v>3238</v>
      </c>
      <c r="BJ42" s="79">
        <f t="shared" si="89"/>
        <v>10</v>
      </c>
      <c r="BK42" s="40">
        <f t="shared" si="89"/>
        <v>257903</v>
      </c>
      <c r="BL42" s="60">
        <f t="shared" si="89"/>
        <v>93966</v>
      </c>
      <c r="BM42" s="60">
        <f t="shared" ref="BM42:DR42" si="90">ROUNDUP(BM6,0)</f>
        <v>301</v>
      </c>
      <c r="BN42" s="70">
        <f t="shared" si="90"/>
        <v>163219</v>
      </c>
      <c r="BO42" s="70">
        <f t="shared" si="90"/>
        <v>419</v>
      </c>
      <c r="BP42" s="38">
        <f t="shared" si="90"/>
        <v>355907</v>
      </c>
      <c r="BQ42" s="55">
        <f t="shared" si="90"/>
        <v>268809</v>
      </c>
      <c r="BR42" s="77">
        <f t="shared" si="90"/>
        <v>3915</v>
      </c>
      <c r="BS42" s="77">
        <f t="shared" si="90"/>
        <v>82997</v>
      </c>
      <c r="BT42" s="77">
        <f t="shared" si="90"/>
        <v>189</v>
      </c>
      <c r="BU42" s="54">
        <f t="shared" si="90"/>
        <v>0</v>
      </c>
      <c r="BV42" s="39">
        <f t="shared" si="90"/>
        <v>1214772</v>
      </c>
      <c r="BW42" s="57">
        <f t="shared" si="90"/>
        <v>796734</v>
      </c>
      <c r="BX42" s="57">
        <f t="shared" si="90"/>
        <v>417092</v>
      </c>
      <c r="BY42" s="57">
        <f t="shared" si="90"/>
        <v>946</v>
      </c>
      <c r="BZ42" s="56">
        <f t="shared" si="90"/>
        <v>0</v>
      </c>
      <c r="CA42" s="40">
        <f t="shared" si="90"/>
        <v>9671420</v>
      </c>
      <c r="CB42" s="36">
        <f t="shared" si="90"/>
        <v>170221</v>
      </c>
      <c r="CC42" s="62">
        <f t="shared" si="90"/>
        <v>54193</v>
      </c>
      <c r="CD42" s="62">
        <f t="shared" si="90"/>
        <v>37310</v>
      </c>
      <c r="CE42" s="62">
        <f t="shared" si="90"/>
        <v>64440</v>
      </c>
      <c r="CF42" s="62">
        <f t="shared" si="90"/>
        <v>10982</v>
      </c>
      <c r="CG42" s="62">
        <f t="shared" si="90"/>
        <v>3297</v>
      </c>
      <c r="CH42" s="85">
        <f t="shared" si="90"/>
        <v>0</v>
      </c>
      <c r="CI42" s="85">
        <f t="shared" si="90"/>
        <v>457</v>
      </c>
      <c r="CJ42" s="62">
        <f t="shared" si="90"/>
        <v>396375</v>
      </c>
      <c r="CK42" s="62">
        <f t="shared" si="90"/>
        <v>9078866</v>
      </c>
      <c r="CL42" s="62">
        <f t="shared" si="90"/>
        <v>25501</v>
      </c>
      <c r="CM42" s="37">
        <f t="shared" si="90"/>
        <v>17519774</v>
      </c>
      <c r="CN42" s="4"/>
      <c r="CO42" s="45">
        <f t="shared" si="90"/>
        <v>-764157</v>
      </c>
      <c r="CP42" s="46">
        <f t="shared" si="90"/>
        <v>-778583</v>
      </c>
      <c r="CQ42" s="46">
        <f t="shared" si="90"/>
        <v>-811810</v>
      </c>
      <c r="CR42" s="46">
        <f t="shared" si="90"/>
        <v>26157</v>
      </c>
      <c r="CS42" s="46">
        <f t="shared" si="90"/>
        <v>7071</v>
      </c>
      <c r="CT42" s="46">
        <f t="shared" si="90"/>
        <v>14427</v>
      </c>
      <c r="CU42" s="45">
        <f t="shared" si="90"/>
        <v>-6193</v>
      </c>
      <c r="CV42" s="46">
        <f t="shared" si="90"/>
        <v>-6193</v>
      </c>
      <c r="CW42" s="46">
        <f t="shared" si="90"/>
        <v>0</v>
      </c>
      <c r="CX42" s="45">
        <f t="shared" si="90"/>
        <v>-35897</v>
      </c>
      <c r="CY42" s="46">
        <f t="shared" si="90"/>
        <v>-35897</v>
      </c>
      <c r="CZ42" s="46">
        <f t="shared" si="90"/>
        <v>0</v>
      </c>
      <c r="DA42" s="45">
        <f t="shared" si="90"/>
        <v>241</v>
      </c>
      <c r="DB42" s="46">
        <f t="shared" si="90"/>
        <v>240</v>
      </c>
      <c r="DC42" s="46">
        <f t="shared" si="90"/>
        <v>1</v>
      </c>
      <c r="DD42" s="45">
        <f t="shared" si="90"/>
        <v>19690</v>
      </c>
      <c r="DE42" s="47">
        <f t="shared" si="90"/>
        <v>10567</v>
      </c>
      <c r="DF42" s="47">
        <f t="shared" si="90"/>
        <v>77</v>
      </c>
      <c r="DG42" s="48">
        <f t="shared" si="90"/>
        <v>8629</v>
      </c>
      <c r="DH42" s="46">
        <f t="shared" si="90"/>
        <v>419</v>
      </c>
      <c r="DI42" s="49">
        <f t="shared" si="90"/>
        <v>83185</v>
      </c>
      <c r="DJ42" s="47">
        <f t="shared" si="90"/>
        <v>0</v>
      </c>
      <c r="DK42" s="46">
        <f t="shared" si="90"/>
        <v>0</v>
      </c>
      <c r="DL42" s="46">
        <f t="shared" si="90"/>
        <v>82997</v>
      </c>
      <c r="DM42" s="46">
        <f t="shared" si="90"/>
        <v>189</v>
      </c>
      <c r="DN42" s="46">
        <f t="shared" si="90"/>
        <v>0</v>
      </c>
      <c r="DO42" s="50">
        <f t="shared" si="90"/>
        <v>418038</v>
      </c>
      <c r="DP42" s="47">
        <f t="shared" si="90"/>
        <v>0</v>
      </c>
      <c r="DQ42" s="47">
        <f t="shared" si="90"/>
        <v>417092</v>
      </c>
      <c r="DR42" s="46">
        <f t="shared" si="90"/>
        <v>946</v>
      </c>
      <c r="DS42" s="46">
        <f t="shared" ref="DS42:EF42" si="91">ROUNDUP(DS6,0)</f>
        <v>0</v>
      </c>
      <c r="DT42" s="45">
        <f t="shared" si="91"/>
        <v>-81443</v>
      </c>
      <c r="DU42" s="47">
        <f t="shared" si="91"/>
        <v>170221</v>
      </c>
      <c r="DV42" s="47">
        <f t="shared" si="91"/>
        <v>54193</v>
      </c>
      <c r="DW42" s="47">
        <f t="shared" si="91"/>
        <v>37310</v>
      </c>
      <c r="DX42" s="47">
        <f t="shared" si="91"/>
        <v>64440</v>
      </c>
      <c r="DY42" s="47">
        <f t="shared" si="91"/>
        <v>10982</v>
      </c>
      <c r="DZ42" s="47">
        <f t="shared" si="91"/>
        <v>3297</v>
      </c>
      <c r="EA42" s="47">
        <f t="shared" si="91"/>
        <v>0</v>
      </c>
      <c r="EB42" s="47">
        <f t="shared" si="91"/>
        <v>457</v>
      </c>
      <c r="EC42" s="47">
        <f t="shared" si="91"/>
        <v>0</v>
      </c>
      <c r="ED42" s="47">
        <f t="shared" si="91"/>
        <v>-256712</v>
      </c>
      <c r="EE42" s="47">
        <f t="shared" si="91"/>
        <v>4592</v>
      </c>
      <c r="EF42" s="46">
        <f t="shared" si="91"/>
        <v>-366537</v>
      </c>
    </row>
    <row r="43" spans="1:136" ht="14.4" x14ac:dyDescent="0.3">
      <c r="A43" s="24">
        <f>A42+1</f>
        <v>2</v>
      </c>
      <c r="B43" s="25">
        <v>2025</v>
      </c>
      <c r="C43" s="40">
        <f t="shared" ref="C43:BK43" si="92">ROUNDUP(C7,0)</f>
        <v>6367743</v>
      </c>
      <c r="D43" s="37">
        <f t="shared" si="92"/>
        <v>6367743</v>
      </c>
      <c r="E43" s="80">
        <f t="shared" si="92"/>
        <v>5179426</v>
      </c>
      <c r="F43" s="72">
        <f t="shared" si="92"/>
        <v>950061</v>
      </c>
      <c r="G43" s="72">
        <f t="shared" si="92"/>
        <v>238256</v>
      </c>
      <c r="H43" s="80">
        <f t="shared" si="92"/>
        <v>0</v>
      </c>
      <c r="I43" s="40">
        <f t="shared" si="92"/>
        <v>6193</v>
      </c>
      <c r="J43" s="73">
        <f t="shared" si="92"/>
        <v>6193</v>
      </c>
      <c r="K43" s="73">
        <f t="shared" si="92"/>
        <v>0</v>
      </c>
      <c r="L43" s="40">
        <f t="shared" si="92"/>
        <v>35897</v>
      </c>
      <c r="M43" s="74">
        <f t="shared" si="92"/>
        <v>35897</v>
      </c>
      <c r="N43" s="74">
        <f t="shared" si="92"/>
        <v>0</v>
      </c>
      <c r="O43" s="40">
        <f t="shared" si="92"/>
        <v>3007</v>
      </c>
      <c r="P43" s="75">
        <f t="shared" si="92"/>
        <v>2999</v>
      </c>
      <c r="Q43" s="75">
        <f t="shared" si="92"/>
        <v>9</v>
      </c>
      <c r="R43" s="40">
        <f t="shared" si="92"/>
        <v>701980</v>
      </c>
      <c r="S43" s="60">
        <f t="shared" si="92"/>
        <v>83399</v>
      </c>
      <c r="T43" s="60">
        <f t="shared" si="92"/>
        <v>225</v>
      </c>
      <c r="U43" s="60">
        <f t="shared" si="92"/>
        <v>618357</v>
      </c>
      <c r="V43" s="76">
        <f t="shared" si="92"/>
        <v>0</v>
      </c>
      <c r="W43" s="38">
        <f t="shared" si="92"/>
        <v>272723</v>
      </c>
      <c r="X43" s="55">
        <f t="shared" si="92"/>
        <v>268809</v>
      </c>
      <c r="Y43" s="77">
        <f t="shared" si="92"/>
        <v>3915</v>
      </c>
      <c r="Z43" s="55">
        <f t="shared" si="92"/>
        <v>0</v>
      </c>
      <c r="AA43" s="77">
        <f t="shared" si="92"/>
        <v>0</v>
      </c>
      <c r="AB43" s="77">
        <f t="shared" si="92"/>
        <v>0</v>
      </c>
      <c r="AC43" s="39">
        <f t="shared" si="92"/>
        <v>796734</v>
      </c>
      <c r="AD43" s="57">
        <f t="shared" si="92"/>
        <v>796734</v>
      </c>
      <c r="AE43" s="58">
        <f t="shared" si="92"/>
        <v>0</v>
      </c>
      <c r="AF43" s="58">
        <f t="shared" si="92"/>
        <v>0</v>
      </c>
      <c r="AG43" s="58">
        <f t="shared" si="92"/>
        <v>0</v>
      </c>
      <c r="AH43" s="40">
        <f t="shared" si="92"/>
        <v>9930509</v>
      </c>
      <c r="AI43" s="36">
        <f t="shared" si="92"/>
        <v>0</v>
      </c>
      <c r="AJ43" s="78">
        <f t="shared" si="92"/>
        <v>0</v>
      </c>
      <c r="AK43" s="78">
        <f t="shared" si="92"/>
        <v>0</v>
      </c>
      <c r="AL43" s="78">
        <f t="shared" si="92"/>
        <v>0</v>
      </c>
      <c r="AM43" s="78">
        <f t="shared" si="92"/>
        <v>0</v>
      </c>
      <c r="AN43" s="78">
        <f t="shared" si="92"/>
        <v>0</v>
      </c>
      <c r="AO43" s="78">
        <f t="shared" si="92"/>
        <v>0</v>
      </c>
      <c r="AP43" s="78">
        <f t="shared" si="92"/>
        <v>0</v>
      </c>
      <c r="AQ43" s="62">
        <f t="shared" si="92"/>
        <v>574022</v>
      </c>
      <c r="AR43" s="62">
        <f t="shared" si="92"/>
        <v>9335578</v>
      </c>
      <c r="AS43" s="62">
        <f t="shared" si="92"/>
        <v>20910</v>
      </c>
      <c r="AT43" s="37">
        <f t="shared" si="92"/>
        <v>18114784</v>
      </c>
      <c r="AU43" s="40">
        <f t="shared" si="92"/>
        <v>-144719</v>
      </c>
      <c r="AV43" s="40">
        <f t="shared" si="92"/>
        <v>4493183</v>
      </c>
      <c r="AW43" s="37">
        <f t="shared" si="92"/>
        <v>4479088</v>
      </c>
      <c r="AX43" s="72">
        <f t="shared" si="92"/>
        <v>3181872</v>
      </c>
      <c r="AY43" s="72">
        <f t="shared" si="92"/>
        <v>1036026</v>
      </c>
      <c r="AZ43" s="72">
        <f t="shared" si="92"/>
        <v>261191</v>
      </c>
      <c r="BA43" s="72">
        <f t="shared" si="92"/>
        <v>14095</v>
      </c>
      <c r="BB43" s="40">
        <f t="shared" si="92"/>
        <v>0</v>
      </c>
      <c r="BC43" s="73">
        <f t="shared" si="92"/>
        <v>0</v>
      </c>
      <c r="BD43" s="73">
        <f t="shared" si="92"/>
        <v>0</v>
      </c>
      <c r="BE43" s="40">
        <f t="shared" si="92"/>
        <v>0</v>
      </c>
      <c r="BF43" s="74">
        <f t="shared" si="92"/>
        <v>0</v>
      </c>
      <c r="BG43" s="74">
        <f t="shared" si="92"/>
        <v>0</v>
      </c>
      <c r="BH43" s="40">
        <f t="shared" si="92"/>
        <v>3639</v>
      </c>
      <c r="BI43" s="79">
        <f t="shared" si="92"/>
        <v>3628</v>
      </c>
      <c r="BJ43" s="79">
        <f t="shared" si="92"/>
        <v>12</v>
      </c>
      <c r="BK43" s="40">
        <f t="shared" si="92"/>
        <v>753597</v>
      </c>
      <c r="BL43" s="60">
        <f t="shared" ref="BL43:DQ43" si="93">ROUNDUP(BL7,0)</f>
        <v>94694</v>
      </c>
      <c r="BM43" s="60">
        <f t="shared" si="93"/>
        <v>301</v>
      </c>
      <c r="BN43" s="60">
        <f t="shared" si="93"/>
        <v>656930</v>
      </c>
      <c r="BO43" s="60">
        <f t="shared" si="93"/>
        <v>1674</v>
      </c>
      <c r="BP43" s="38">
        <f t="shared" si="93"/>
        <v>576904</v>
      </c>
      <c r="BQ43" s="55">
        <f t="shared" si="93"/>
        <v>179206</v>
      </c>
      <c r="BR43" s="77">
        <f t="shared" si="93"/>
        <v>2610</v>
      </c>
      <c r="BS43" s="77">
        <f t="shared" si="93"/>
        <v>359380</v>
      </c>
      <c r="BT43" s="77">
        <f t="shared" si="93"/>
        <v>710</v>
      </c>
      <c r="BU43" s="54">
        <f t="shared" si="93"/>
        <v>35000</v>
      </c>
      <c r="BV43" s="39">
        <f t="shared" si="93"/>
        <v>2050846</v>
      </c>
      <c r="BW43" s="57">
        <f t="shared" si="93"/>
        <v>796734</v>
      </c>
      <c r="BX43" s="57">
        <f t="shared" si="93"/>
        <v>1251276</v>
      </c>
      <c r="BY43" s="57">
        <f t="shared" si="93"/>
        <v>2837</v>
      </c>
      <c r="BZ43" s="56">
        <f t="shared" si="93"/>
        <v>0</v>
      </c>
      <c r="CA43" s="40">
        <f t="shared" si="93"/>
        <v>10091899</v>
      </c>
      <c r="CB43" s="36">
        <f t="shared" si="93"/>
        <v>446257</v>
      </c>
      <c r="CC43" s="62">
        <f t="shared" si="93"/>
        <v>163837</v>
      </c>
      <c r="CD43" s="62">
        <f t="shared" si="93"/>
        <v>133314</v>
      </c>
      <c r="CE43" s="62">
        <f t="shared" si="93"/>
        <v>68108</v>
      </c>
      <c r="CF43" s="62">
        <f t="shared" si="93"/>
        <v>11630</v>
      </c>
      <c r="CG43" s="62">
        <f t="shared" si="93"/>
        <v>3492</v>
      </c>
      <c r="CH43" s="86">
        <f t="shared" si="93"/>
        <v>65879</v>
      </c>
      <c r="CI43" s="86">
        <f t="shared" si="93"/>
        <v>1331</v>
      </c>
      <c r="CJ43" s="62">
        <f t="shared" si="93"/>
        <v>574022</v>
      </c>
      <c r="CK43" s="62">
        <f t="shared" si="93"/>
        <v>9033428</v>
      </c>
      <c r="CL43" s="62">
        <f t="shared" si="93"/>
        <v>36861</v>
      </c>
      <c r="CM43" s="37">
        <f t="shared" si="93"/>
        <v>17970066</v>
      </c>
      <c r="CN43" s="4"/>
      <c r="CO43" s="45">
        <f t="shared" si="93"/>
        <v>-1874560</v>
      </c>
      <c r="CP43" s="46">
        <f t="shared" si="93"/>
        <v>-1888655</v>
      </c>
      <c r="CQ43" s="46">
        <f t="shared" si="93"/>
        <v>-1997555</v>
      </c>
      <c r="CR43" s="46">
        <f t="shared" si="93"/>
        <v>85966</v>
      </c>
      <c r="CS43" s="46">
        <f t="shared" si="93"/>
        <v>22935</v>
      </c>
      <c r="CT43" s="46">
        <f t="shared" si="93"/>
        <v>14095</v>
      </c>
      <c r="CU43" s="45">
        <f t="shared" si="93"/>
        <v>-6193</v>
      </c>
      <c r="CV43" s="46">
        <f t="shared" si="93"/>
        <v>-6193</v>
      </c>
      <c r="CW43" s="46">
        <f t="shared" si="93"/>
        <v>0</v>
      </c>
      <c r="CX43" s="45">
        <f t="shared" si="93"/>
        <v>-35897</v>
      </c>
      <c r="CY43" s="46">
        <f t="shared" si="93"/>
        <v>-35897</v>
      </c>
      <c r="CZ43" s="46">
        <f t="shared" si="93"/>
        <v>0</v>
      </c>
      <c r="DA43" s="45">
        <f t="shared" si="93"/>
        <v>632</v>
      </c>
      <c r="DB43" s="46">
        <f t="shared" si="93"/>
        <v>629</v>
      </c>
      <c r="DC43" s="46">
        <f t="shared" si="93"/>
        <v>3</v>
      </c>
      <c r="DD43" s="45">
        <f t="shared" si="93"/>
        <v>51617</v>
      </c>
      <c r="DE43" s="47">
        <f t="shared" si="93"/>
        <v>11295</v>
      </c>
      <c r="DF43" s="47">
        <f t="shared" si="93"/>
        <v>77</v>
      </c>
      <c r="DG43" s="48">
        <f t="shared" si="93"/>
        <v>38573</v>
      </c>
      <c r="DH43" s="46">
        <f t="shared" si="93"/>
        <v>1674</v>
      </c>
      <c r="DI43" s="49">
        <f t="shared" si="93"/>
        <v>304182</v>
      </c>
      <c r="DJ43" s="47">
        <f t="shared" si="93"/>
        <v>-89603</v>
      </c>
      <c r="DK43" s="46">
        <f t="shared" si="93"/>
        <v>-1305</v>
      </c>
      <c r="DL43" s="46">
        <f t="shared" si="93"/>
        <v>359380</v>
      </c>
      <c r="DM43" s="46">
        <f t="shared" si="93"/>
        <v>710</v>
      </c>
      <c r="DN43" s="46">
        <f t="shared" si="93"/>
        <v>35000</v>
      </c>
      <c r="DO43" s="50">
        <f t="shared" si="93"/>
        <v>1254112</v>
      </c>
      <c r="DP43" s="47">
        <f t="shared" si="93"/>
        <v>0</v>
      </c>
      <c r="DQ43" s="47">
        <f t="shared" si="93"/>
        <v>1251276</v>
      </c>
      <c r="DR43" s="46">
        <f t="shared" ref="DR43:EF43" si="94">ROUNDUP(DR7,0)</f>
        <v>2837</v>
      </c>
      <c r="DS43" s="46">
        <f t="shared" si="94"/>
        <v>0</v>
      </c>
      <c r="DT43" s="45">
        <f t="shared" si="94"/>
        <v>161390</v>
      </c>
      <c r="DU43" s="47">
        <f t="shared" si="94"/>
        <v>446257</v>
      </c>
      <c r="DV43" s="47">
        <f t="shared" si="94"/>
        <v>163837</v>
      </c>
      <c r="DW43" s="47">
        <f t="shared" si="94"/>
        <v>133314</v>
      </c>
      <c r="DX43" s="47">
        <f t="shared" si="94"/>
        <v>68108</v>
      </c>
      <c r="DY43" s="47">
        <f t="shared" si="94"/>
        <v>11630</v>
      </c>
      <c r="DZ43" s="47">
        <f t="shared" si="94"/>
        <v>3492</v>
      </c>
      <c r="EA43" s="47">
        <f t="shared" si="94"/>
        <v>65879</v>
      </c>
      <c r="EB43" s="47">
        <f t="shared" si="94"/>
        <v>1331</v>
      </c>
      <c r="EC43" s="47">
        <f t="shared" si="94"/>
        <v>0</v>
      </c>
      <c r="ED43" s="47">
        <f t="shared" si="94"/>
        <v>-302150</v>
      </c>
      <c r="EE43" s="47">
        <f t="shared" si="94"/>
        <v>15952</v>
      </c>
      <c r="EF43" s="46">
        <f t="shared" si="94"/>
        <v>-144719</v>
      </c>
    </row>
    <row r="44" spans="1:136" ht="14.4" x14ac:dyDescent="0.3">
      <c r="A44" s="24">
        <f t="shared" ref="A44:A62" si="95">A43+1</f>
        <v>3</v>
      </c>
      <c r="B44" s="25">
        <v>2026</v>
      </c>
      <c r="C44" s="40">
        <f t="shared" ref="C44:BK44" si="96">ROUNDUP(C8,0)</f>
        <v>6367743</v>
      </c>
      <c r="D44" s="37">
        <f t="shared" si="96"/>
        <v>6367743</v>
      </c>
      <c r="E44" s="80">
        <f t="shared" si="96"/>
        <v>5179426</v>
      </c>
      <c r="F44" s="72">
        <f t="shared" si="96"/>
        <v>950061</v>
      </c>
      <c r="G44" s="72">
        <f t="shared" si="96"/>
        <v>238256</v>
      </c>
      <c r="H44" s="80">
        <f t="shared" si="96"/>
        <v>0</v>
      </c>
      <c r="I44" s="40">
        <f t="shared" si="96"/>
        <v>6193</v>
      </c>
      <c r="J44" s="73">
        <f t="shared" si="96"/>
        <v>6193</v>
      </c>
      <c r="K44" s="73">
        <f t="shared" si="96"/>
        <v>0</v>
      </c>
      <c r="L44" s="40">
        <f t="shared" si="96"/>
        <v>35897</v>
      </c>
      <c r="M44" s="74">
        <f t="shared" si="96"/>
        <v>35897</v>
      </c>
      <c r="N44" s="74">
        <f t="shared" si="96"/>
        <v>0</v>
      </c>
      <c r="O44" s="40">
        <f t="shared" si="96"/>
        <v>3007</v>
      </c>
      <c r="P44" s="75">
        <f t="shared" si="96"/>
        <v>2999</v>
      </c>
      <c r="Q44" s="75">
        <f t="shared" si="96"/>
        <v>9</v>
      </c>
      <c r="R44" s="40">
        <f t="shared" si="96"/>
        <v>598921</v>
      </c>
      <c r="S44" s="60">
        <f t="shared" si="96"/>
        <v>83399</v>
      </c>
      <c r="T44" s="60">
        <f t="shared" si="96"/>
        <v>225</v>
      </c>
      <c r="U44" s="60">
        <f t="shared" si="96"/>
        <v>515298</v>
      </c>
      <c r="V44" s="76">
        <f t="shared" si="96"/>
        <v>0</v>
      </c>
      <c r="W44" s="38">
        <f t="shared" si="96"/>
        <v>272723</v>
      </c>
      <c r="X44" s="55">
        <f t="shared" si="96"/>
        <v>268809</v>
      </c>
      <c r="Y44" s="77">
        <f t="shared" si="96"/>
        <v>3915</v>
      </c>
      <c r="Z44" s="55">
        <f t="shared" si="96"/>
        <v>0</v>
      </c>
      <c r="AA44" s="77">
        <f t="shared" si="96"/>
        <v>0</v>
      </c>
      <c r="AB44" s="77">
        <f t="shared" si="96"/>
        <v>0</v>
      </c>
      <c r="AC44" s="39">
        <f t="shared" si="96"/>
        <v>796734</v>
      </c>
      <c r="AD44" s="57">
        <f t="shared" si="96"/>
        <v>796734</v>
      </c>
      <c r="AE44" s="58">
        <f t="shared" si="96"/>
        <v>0</v>
      </c>
      <c r="AF44" s="58">
        <f t="shared" si="96"/>
        <v>0</v>
      </c>
      <c r="AG44" s="58">
        <f t="shared" si="96"/>
        <v>0</v>
      </c>
      <c r="AH44" s="40">
        <f t="shared" si="96"/>
        <v>9356488</v>
      </c>
      <c r="AI44" s="36">
        <f t="shared" si="96"/>
        <v>0</v>
      </c>
      <c r="AJ44" s="78">
        <f t="shared" si="96"/>
        <v>0</v>
      </c>
      <c r="AK44" s="78">
        <f t="shared" si="96"/>
        <v>0</v>
      </c>
      <c r="AL44" s="78">
        <f t="shared" si="96"/>
        <v>0</v>
      </c>
      <c r="AM44" s="78">
        <f t="shared" si="96"/>
        <v>0</v>
      </c>
      <c r="AN44" s="78">
        <f t="shared" si="96"/>
        <v>0</v>
      </c>
      <c r="AO44" s="78">
        <f t="shared" si="96"/>
        <v>0</v>
      </c>
      <c r="AP44" s="78">
        <f t="shared" si="96"/>
        <v>0</v>
      </c>
      <c r="AQ44" s="62">
        <f t="shared" si="96"/>
        <v>0</v>
      </c>
      <c r="AR44" s="62">
        <f t="shared" si="96"/>
        <v>9335578</v>
      </c>
      <c r="AS44" s="62">
        <f t="shared" si="96"/>
        <v>20910</v>
      </c>
      <c r="AT44" s="37">
        <f t="shared" si="96"/>
        <v>17437704</v>
      </c>
      <c r="AU44" s="40">
        <f t="shared" si="96"/>
        <v>-612897</v>
      </c>
      <c r="AV44" s="40">
        <f t="shared" si="96"/>
        <v>4228801</v>
      </c>
      <c r="AW44" s="37">
        <f t="shared" si="96"/>
        <v>4214706</v>
      </c>
      <c r="AX44" s="72">
        <f t="shared" si="96"/>
        <v>3031788</v>
      </c>
      <c r="AY44" s="72">
        <f t="shared" si="96"/>
        <v>945704</v>
      </c>
      <c r="AZ44" s="72">
        <f t="shared" si="96"/>
        <v>237214</v>
      </c>
      <c r="BA44" s="72">
        <f t="shared" si="96"/>
        <v>14095</v>
      </c>
      <c r="BB44" s="40">
        <f t="shared" si="96"/>
        <v>0</v>
      </c>
      <c r="BC44" s="73">
        <f t="shared" si="96"/>
        <v>0</v>
      </c>
      <c r="BD44" s="73">
        <f t="shared" si="96"/>
        <v>0</v>
      </c>
      <c r="BE44" s="40">
        <f t="shared" si="96"/>
        <v>0</v>
      </c>
      <c r="BF44" s="74">
        <f t="shared" si="96"/>
        <v>0</v>
      </c>
      <c r="BG44" s="74">
        <f t="shared" si="96"/>
        <v>0</v>
      </c>
      <c r="BH44" s="40">
        <f t="shared" si="96"/>
        <v>3342</v>
      </c>
      <c r="BI44" s="79">
        <f t="shared" si="96"/>
        <v>3330</v>
      </c>
      <c r="BJ44" s="79">
        <f t="shared" si="96"/>
        <v>12</v>
      </c>
      <c r="BK44" s="40">
        <f t="shared" si="96"/>
        <v>621720</v>
      </c>
      <c r="BL44" s="60">
        <f t="shared" ref="BL44:DQ44" si="97">ROUNDUP(BL8,0)</f>
        <v>90776</v>
      </c>
      <c r="BM44" s="60">
        <f t="shared" si="97"/>
        <v>301</v>
      </c>
      <c r="BN44" s="60">
        <f t="shared" si="97"/>
        <v>529250</v>
      </c>
      <c r="BO44" s="60">
        <f t="shared" si="97"/>
        <v>1395</v>
      </c>
      <c r="BP44" s="38">
        <f t="shared" si="97"/>
        <v>568134</v>
      </c>
      <c r="BQ44" s="55">
        <f t="shared" si="97"/>
        <v>0</v>
      </c>
      <c r="BR44" s="77">
        <f t="shared" si="97"/>
        <v>0</v>
      </c>
      <c r="BS44" s="77">
        <f t="shared" si="97"/>
        <v>567135</v>
      </c>
      <c r="BT44" s="77">
        <f t="shared" si="97"/>
        <v>999</v>
      </c>
      <c r="BU44" s="54">
        <f t="shared" si="97"/>
        <v>0</v>
      </c>
      <c r="BV44" s="39">
        <f t="shared" si="97"/>
        <v>1895729</v>
      </c>
      <c r="BW44" s="57">
        <f t="shared" si="97"/>
        <v>0</v>
      </c>
      <c r="BX44" s="57">
        <f t="shared" si="97"/>
        <v>1650702</v>
      </c>
      <c r="BY44" s="57">
        <f t="shared" si="97"/>
        <v>5028</v>
      </c>
      <c r="BZ44" s="58">
        <f t="shared" si="97"/>
        <v>240000</v>
      </c>
      <c r="CA44" s="40">
        <f t="shared" si="97"/>
        <v>9507085</v>
      </c>
      <c r="CB44" s="36">
        <f t="shared" si="97"/>
        <v>435417</v>
      </c>
      <c r="CC44" s="62">
        <f t="shared" si="97"/>
        <v>157059</v>
      </c>
      <c r="CD44" s="62">
        <f t="shared" si="97"/>
        <v>134631</v>
      </c>
      <c r="CE44" s="62">
        <f t="shared" si="97"/>
        <v>66003</v>
      </c>
      <c r="CF44" s="62">
        <f t="shared" si="97"/>
        <v>11149</v>
      </c>
      <c r="CG44" s="62">
        <f t="shared" si="97"/>
        <v>3347</v>
      </c>
      <c r="CH44" s="86">
        <f t="shared" si="97"/>
        <v>63230</v>
      </c>
      <c r="CI44" s="86">
        <f t="shared" si="97"/>
        <v>1379</v>
      </c>
      <c r="CJ44" s="62">
        <f t="shared" si="97"/>
        <v>0</v>
      </c>
      <c r="CK44" s="62">
        <f t="shared" si="97"/>
        <v>9033428</v>
      </c>
      <c r="CL44" s="62">
        <f t="shared" si="97"/>
        <v>36861</v>
      </c>
      <c r="CM44" s="37">
        <f t="shared" si="97"/>
        <v>16824808</v>
      </c>
      <c r="CN44" s="4"/>
      <c r="CO44" s="45">
        <f t="shared" si="97"/>
        <v>-2138943</v>
      </c>
      <c r="CP44" s="46">
        <f t="shared" si="97"/>
        <v>-2153037</v>
      </c>
      <c r="CQ44" s="46">
        <f t="shared" si="97"/>
        <v>-2147638</v>
      </c>
      <c r="CR44" s="46">
        <f t="shared" si="97"/>
        <v>-4358</v>
      </c>
      <c r="CS44" s="46">
        <f t="shared" si="97"/>
        <v>-1043</v>
      </c>
      <c r="CT44" s="46">
        <f t="shared" si="97"/>
        <v>14095</v>
      </c>
      <c r="CU44" s="45">
        <f t="shared" si="97"/>
        <v>-6193</v>
      </c>
      <c r="CV44" s="46">
        <f t="shared" si="97"/>
        <v>-6193</v>
      </c>
      <c r="CW44" s="46">
        <f t="shared" si="97"/>
        <v>0</v>
      </c>
      <c r="CX44" s="45">
        <f t="shared" si="97"/>
        <v>-35897</v>
      </c>
      <c r="CY44" s="46">
        <f t="shared" si="97"/>
        <v>-35897</v>
      </c>
      <c r="CZ44" s="46">
        <f t="shared" si="97"/>
        <v>0</v>
      </c>
      <c r="DA44" s="45">
        <f t="shared" si="97"/>
        <v>335</v>
      </c>
      <c r="DB44" s="46">
        <f t="shared" si="97"/>
        <v>332</v>
      </c>
      <c r="DC44" s="46">
        <f t="shared" si="97"/>
        <v>3</v>
      </c>
      <c r="DD44" s="45">
        <f t="shared" si="97"/>
        <v>22800</v>
      </c>
      <c r="DE44" s="47">
        <f t="shared" si="97"/>
        <v>7377</v>
      </c>
      <c r="DF44" s="47">
        <f t="shared" si="97"/>
        <v>77</v>
      </c>
      <c r="DG44" s="48">
        <f t="shared" si="97"/>
        <v>13952</v>
      </c>
      <c r="DH44" s="46">
        <f t="shared" si="97"/>
        <v>1395</v>
      </c>
      <c r="DI44" s="49">
        <f t="shared" si="97"/>
        <v>295411</v>
      </c>
      <c r="DJ44" s="47">
        <f t="shared" si="97"/>
        <v>-268809</v>
      </c>
      <c r="DK44" s="46">
        <f t="shared" si="97"/>
        <v>-3915</v>
      </c>
      <c r="DL44" s="46">
        <f t="shared" si="97"/>
        <v>567135</v>
      </c>
      <c r="DM44" s="46">
        <f t="shared" si="97"/>
        <v>999</v>
      </c>
      <c r="DN44" s="46">
        <f t="shared" si="97"/>
        <v>0</v>
      </c>
      <c r="DO44" s="50">
        <f t="shared" si="97"/>
        <v>1098995</v>
      </c>
      <c r="DP44" s="47">
        <f t="shared" si="97"/>
        <v>-796734</v>
      </c>
      <c r="DQ44" s="47">
        <f t="shared" si="97"/>
        <v>1650702</v>
      </c>
      <c r="DR44" s="46">
        <f t="shared" ref="DR44:EF44" si="98">ROUNDUP(DR8,0)</f>
        <v>5028</v>
      </c>
      <c r="DS44" s="46">
        <f t="shared" si="98"/>
        <v>240000</v>
      </c>
      <c r="DT44" s="45">
        <f t="shared" si="98"/>
        <v>150597</v>
      </c>
      <c r="DU44" s="47">
        <f t="shared" si="98"/>
        <v>435417</v>
      </c>
      <c r="DV44" s="47">
        <f t="shared" si="98"/>
        <v>157059</v>
      </c>
      <c r="DW44" s="47">
        <f t="shared" si="98"/>
        <v>134631</v>
      </c>
      <c r="DX44" s="47">
        <f t="shared" si="98"/>
        <v>66003</v>
      </c>
      <c r="DY44" s="47">
        <f t="shared" si="98"/>
        <v>11149</v>
      </c>
      <c r="DZ44" s="47">
        <f t="shared" si="98"/>
        <v>3347</v>
      </c>
      <c r="EA44" s="47">
        <f t="shared" si="98"/>
        <v>63230</v>
      </c>
      <c r="EB44" s="47">
        <f t="shared" si="98"/>
        <v>1379</v>
      </c>
      <c r="EC44" s="47">
        <f t="shared" si="98"/>
        <v>0</v>
      </c>
      <c r="ED44" s="47">
        <f t="shared" si="98"/>
        <v>-302150</v>
      </c>
      <c r="EE44" s="47">
        <f t="shared" si="98"/>
        <v>15952</v>
      </c>
      <c r="EF44" s="46">
        <f t="shared" si="98"/>
        <v>-612897</v>
      </c>
    </row>
    <row r="45" spans="1:136" ht="14.4" x14ac:dyDescent="0.3">
      <c r="A45" s="24">
        <f t="shared" si="95"/>
        <v>4</v>
      </c>
      <c r="B45" s="25">
        <v>2027</v>
      </c>
      <c r="C45" s="40">
        <f t="shared" ref="C45:BK45" si="99">ROUNDUP(C9,0)</f>
        <v>6780683</v>
      </c>
      <c r="D45" s="37">
        <f t="shared" si="99"/>
        <v>6780683</v>
      </c>
      <c r="E45" s="72">
        <f t="shared" si="99"/>
        <v>5592366</v>
      </c>
      <c r="F45" s="72">
        <f t="shared" si="99"/>
        <v>950061</v>
      </c>
      <c r="G45" s="72">
        <f t="shared" si="99"/>
        <v>238256</v>
      </c>
      <c r="H45" s="72">
        <f t="shared" si="99"/>
        <v>0</v>
      </c>
      <c r="I45" s="40">
        <f t="shared" si="99"/>
        <v>6193</v>
      </c>
      <c r="J45" s="81">
        <f t="shared" si="99"/>
        <v>6193</v>
      </c>
      <c r="K45" s="73">
        <f t="shared" si="99"/>
        <v>0</v>
      </c>
      <c r="L45" s="40">
        <f t="shared" si="99"/>
        <v>35897</v>
      </c>
      <c r="M45" s="82">
        <f t="shared" si="99"/>
        <v>35897</v>
      </c>
      <c r="N45" s="74">
        <f t="shared" si="99"/>
        <v>0</v>
      </c>
      <c r="O45" s="40">
        <f t="shared" si="99"/>
        <v>3007</v>
      </c>
      <c r="P45" s="75">
        <f t="shared" si="99"/>
        <v>2999</v>
      </c>
      <c r="Q45" s="75">
        <f t="shared" si="99"/>
        <v>9</v>
      </c>
      <c r="R45" s="40">
        <f t="shared" si="99"/>
        <v>83623</v>
      </c>
      <c r="S45" s="60">
        <f t="shared" si="99"/>
        <v>83399</v>
      </c>
      <c r="T45" s="60">
        <f t="shared" si="99"/>
        <v>225</v>
      </c>
      <c r="U45" s="76">
        <f t="shared" si="99"/>
        <v>0</v>
      </c>
      <c r="V45" s="76">
        <f t="shared" si="99"/>
        <v>0</v>
      </c>
      <c r="W45" s="38">
        <f t="shared" si="99"/>
        <v>272723</v>
      </c>
      <c r="X45" s="55">
        <f t="shared" si="99"/>
        <v>268809</v>
      </c>
      <c r="Y45" s="77">
        <f t="shared" si="99"/>
        <v>3915</v>
      </c>
      <c r="Z45" s="55">
        <f t="shared" si="99"/>
        <v>0</v>
      </c>
      <c r="AA45" s="77">
        <f t="shared" si="99"/>
        <v>0</v>
      </c>
      <c r="AB45" s="77">
        <f t="shared" si="99"/>
        <v>0</v>
      </c>
      <c r="AC45" s="39">
        <f t="shared" si="99"/>
        <v>796734</v>
      </c>
      <c r="AD45" s="57">
        <f t="shared" si="99"/>
        <v>796734</v>
      </c>
      <c r="AE45" s="58">
        <f t="shared" si="99"/>
        <v>0</v>
      </c>
      <c r="AF45" s="58">
        <f t="shared" si="99"/>
        <v>0</v>
      </c>
      <c r="AG45" s="58">
        <f t="shared" si="99"/>
        <v>0</v>
      </c>
      <c r="AH45" s="40">
        <f t="shared" si="99"/>
        <v>9356488</v>
      </c>
      <c r="AI45" s="36">
        <f t="shared" si="99"/>
        <v>0</v>
      </c>
      <c r="AJ45" s="78">
        <f t="shared" si="99"/>
        <v>0</v>
      </c>
      <c r="AK45" s="78">
        <f t="shared" si="99"/>
        <v>0</v>
      </c>
      <c r="AL45" s="78">
        <f t="shared" si="99"/>
        <v>0</v>
      </c>
      <c r="AM45" s="78">
        <f t="shared" si="99"/>
        <v>0</v>
      </c>
      <c r="AN45" s="78">
        <f t="shared" si="99"/>
        <v>0</v>
      </c>
      <c r="AO45" s="78">
        <f t="shared" si="99"/>
        <v>0</v>
      </c>
      <c r="AP45" s="78">
        <f t="shared" si="99"/>
        <v>0</v>
      </c>
      <c r="AQ45" s="62">
        <f t="shared" si="99"/>
        <v>0</v>
      </c>
      <c r="AR45" s="62">
        <f t="shared" si="99"/>
        <v>9335578</v>
      </c>
      <c r="AS45" s="62">
        <f t="shared" si="99"/>
        <v>20910</v>
      </c>
      <c r="AT45" s="37">
        <f t="shared" si="99"/>
        <v>17335346</v>
      </c>
      <c r="AU45" s="40">
        <f t="shared" si="99"/>
        <v>-1009525</v>
      </c>
      <c r="AV45" s="40">
        <f t="shared" si="99"/>
        <v>3457529</v>
      </c>
      <c r="AW45" s="37">
        <f t="shared" si="99"/>
        <v>3443434</v>
      </c>
      <c r="AX45" s="72">
        <f t="shared" si="99"/>
        <v>2484000</v>
      </c>
      <c r="AY45" s="72">
        <f t="shared" si="99"/>
        <v>768308</v>
      </c>
      <c r="AZ45" s="72">
        <f t="shared" si="99"/>
        <v>191127</v>
      </c>
      <c r="BA45" s="72">
        <f t="shared" si="99"/>
        <v>14095</v>
      </c>
      <c r="BB45" s="40">
        <f t="shared" si="99"/>
        <v>0</v>
      </c>
      <c r="BC45" s="73">
        <f t="shared" si="99"/>
        <v>0</v>
      </c>
      <c r="BD45" s="73">
        <f t="shared" si="99"/>
        <v>0</v>
      </c>
      <c r="BE45" s="40">
        <f t="shared" si="99"/>
        <v>0</v>
      </c>
      <c r="BF45" s="74">
        <f t="shared" si="99"/>
        <v>0</v>
      </c>
      <c r="BG45" s="74">
        <f t="shared" si="99"/>
        <v>0</v>
      </c>
      <c r="BH45" s="40">
        <f t="shared" si="99"/>
        <v>2763</v>
      </c>
      <c r="BI45" s="79">
        <f t="shared" si="99"/>
        <v>2752</v>
      </c>
      <c r="BJ45" s="79">
        <f t="shared" si="99"/>
        <v>12</v>
      </c>
      <c r="BK45" s="40">
        <f t="shared" si="99"/>
        <v>75974</v>
      </c>
      <c r="BL45" s="60">
        <f t="shared" ref="BL45:DQ45" si="100">ROUNDUP(BL9,0)</f>
        <v>75674</v>
      </c>
      <c r="BM45" s="60">
        <f t="shared" si="100"/>
        <v>301</v>
      </c>
      <c r="BN45" s="92">
        <f t="shared" si="100"/>
        <v>0</v>
      </c>
      <c r="BO45" s="93">
        <f t="shared" si="100"/>
        <v>0</v>
      </c>
      <c r="BP45" s="38">
        <f t="shared" si="100"/>
        <v>517929</v>
      </c>
      <c r="BQ45" s="55">
        <f t="shared" si="100"/>
        <v>0</v>
      </c>
      <c r="BR45" s="77">
        <f t="shared" si="100"/>
        <v>0</v>
      </c>
      <c r="BS45" s="77">
        <f t="shared" si="100"/>
        <v>516930</v>
      </c>
      <c r="BT45" s="77">
        <f t="shared" si="100"/>
        <v>999</v>
      </c>
      <c r="BU45" s="54">
        <f t="shared" si="100"/>
        <v>0</v>
      </c>
      <c r="BV45" s="39">
        <f t="shared" si="100"/>
        <v>2826344</v>
      </c>
      <c r="BW45" s="57">
        <f t="shared" si="100"/>
        <v>0</v>
      </c>
      <c r="BX45" s="57">
        <f t="shared" si="100"/>
        <v>2820221</v>
      </c>
      <c r="BY45" s="57">
        <f t="shared" si="100"/>
        <v>6123</v>
      </c>
      <c r="BZ45" s="56">
        <f t="shared" si="100"/>
        <v>0</v>
      </c>
      <c r="CA45" s="40">
        <f t="shared" si="100"/>
        <v>9445285</v>
      </c>
      <c r="CB45" s="36">
        <f t="shared" si="100"/>
        <v>373617</v>
      </c>
      <c r="CC45" s="62">
        <f t="shared" si="100"/>
        <v>130929</v>
      </c>
      <c r="CD45" s="62">
        <f t="shared" si="100"/>
        <v>119789</v>
      </c>
      <c r="CE45" s="62">
        <f t="shared" si="100"/>
        <v>57890</v>
      </c>
      <c r="CF45" s="62">
        <f t="shared" si="100"/>
        <v>9294</v>
      </c>
      <c r="CG45" s="62">
        <f t="shared" si="100"/>
        <v>2791</v>
      </c>
      <c r="CH45" s="86">
        <f t="shared" si="100"/>
        <v>52926</v>
      </c>
      <c r="CI45" s="86">
        <f t="shared" si="100"/>
        <v>1379</v>
      </c>
      <c r="CJ45" s="62">
        <f t="shared" si="100"/>
        <v>0</v>
      </c>
      <c r="CK45" s="62">
        <f t="shared" si="100"/>
        <v>9033428</v>
      </c>
      <c r="CL45" s="62">
        <f t="shared" si="100"/>
        <v>36861</v>
      </c>
      <c r="CM45" s="37">
        <f t="shared" si="100"/>
        <v>16325821</v>
      </c>
      <c r="CN45" s="4"/>
      <c r="CO45" s="45">
        <f t="shared" si="100"/>
        <v>-3323154</v>
      </c>
      <c r="CP45" s="46">
        <f t="shared" si="100"/>
        <v>-3337249</v>
      </c>
      <c r="CQ45" s="46">
        <f t="shared" si="100"/>
        <v>-3108366</v>
      </c>
      <c r="CR45" s="46">
        <f t="shared" si="100"/>
        <v>-181754</v>
      </c>
      <c r="CS45" s="46">
        <f t="shared" si="100"/>
        <v>-47130</v>
      </c>
      <c r="CT45" s="46">
        <f t="shared" si="100"/>
        <v>14095</v>
      </c>
      <c r="CU45" s="45">
        <f t="shared" si="100"/>
        <v>-6193</v>
      </c>
      <c r="CV45" s="46">
        <f t="shared" si="100"/>
        <v>-6193</v>
      </c>
      <c r="CW45" s="46">
        <f t="shared" si="100"/>
        <v>0</v>
      </c>
      <c r="CX45" s="45">
        <f t="shared" si="100"/>
        <v>-35897</v>
      </c>
      <c r="CY45" s="46">
        <f t="shared" si="100"/>
        <v>-35897</v>
      </c>
      <c r="CZ45" s="46">
        <f t="shared" si="100"/>
        <v>0</v>
      </c>
      <c r="DA45" s="45">
        <f t="shared" si="100"/>
        <v>-245</v>
      </c>
      <c r="DB45" s="46">
        <f t="shared" si="100"/>
        <v>-248</v>
      </c>
      <c r="DC45" s="46">
        <f t="shared" si="100"/>
        <v>3</v>
      </c>
      <c r="DD45" s="45">
        <f t="shared" si="100"/>
        <v>-7650</v>
      </c>
      <c r="DE45" s="47">
        <f t="shared" si="100"/>
        <v>-7726</v>
      </c>
      <c r="DF45" s="47">
        <f t="shared" si="100"/>
        <v>77</v>
      </c>
      <c r="DG45" s="48">
        <f t="shared" si="100"/>
        <v>0</v>
      </c>
      <c r="DH45" s="46">
        <f t="shared" si="100"/>
        <v>0</v>
      </c>
      <c r="DI45" s="49">
        <f t="shared" si="100"/>
        <v>245207</v>
      </c>
      <c r="DJ45" s="47">
        <f t="shared" si="100"/>
        <v>-268809</v>
      </c>
      <c r="DK45" s="46">
        <f t="shared" si="100"/>
        <v>-3915</v>
      </c>
      <c r="DL45" s="46">
        <f t="shared" si="100"/>
        <v>516930</v>
      </c>
      <c r="DM45" s="46">
        <f t="shared" si="100"/>
        <v>999</v>
      </c>
      <c r="DN45" s="46">
        <f t="shared" si="100"/>
        <v>0</v>
      </c>
      <c r="DO45" s="50">
        <f t="shared" si="100"/>
        <v>2029610</v>
      </c>
      <c r="DP45" s="47">
        <f t="shared" si="100"/>
        <v>-796734</v>
      </c>
      <c r="DQ45" s="47">
        <f t="shared" si="100"/>
        <v>2820221</v>
      </c>
      <c r="DR45" s="46">
        <f t="shared" ref="DR45:EF45" si="101">ROUNDUP(DR9,0)</f>
        <v>6123</v>
      </c>
      <c r="DS45" s="46">
        <f t="shared" si="101"/>
        <v>0</v>
      </c>
      <c r="DT45" s="45">
        <f t="shared" si="101"/>
        <v>88797</v>
      </c>
      <c r="DU45" s="47">
        <f t="shared" si="101"/>
        <v>373617</v>
      </c>
      <c r="DV45" s="47">
        <f t="shared" si="101"/>
        <v>130929</v>
      </c>
      <c r="DW45" s="47">
        <f t="shared" si="101"/>
        <v>119789</v>
      </c>
      <c r="DX45" s="47">
        <f t="shared" si="101"/>
        <v>57890</v>
      </c>
      <c r="DY45" s="47">
        <f t="shared" si="101"/>
        <v>9294</v>
      </c>
      <c r="DZ45" s="47">
        <f t="shared" si="101"/>
        <v>2791</v>
      </c>
      <c r="EA45" s="47">
        <f t="shared" si="101"/>
        <v>52926</v>
      </c>
      <c r="EB45" s="47">
        <f t="shared" si="101"/>
        <v>1379</v>
      </c>
      <c r="EC45" s="47">
        <f t="shared" si="101"/>
        <v>0</v>
      </c>
      <c r="ED45" s="47">
        <f t="shared" si="101"/>
        <v>-302150</v>
      </c>
      <c r="EE45" s="47">
        <f t="shared" si="101"/>
        <v>15952</v>
      </c>
      <c r="EF45" s="46">
        <f t="shared" si="101"/>
        <v>-1009525</v>
      </c>
    </row>
    <row r="46" spans="1:136" ht="14.4" x14ac:dyDescent="0.3">
      <c r="A46" s="24">
        <f t="shared" si="95"/>
        <v>5</v>
      </c>
      <c r="B46" s="25">
        <v>2028</v>
      </c>
      <c r="C46" s="40">
        <f t="shared" ref="C46:BK46" si="102">ROUNDUP(C10,0)</f>
        <v>6780683</v>
      </c>
      <c r="D46" s="37">
        <f t="shared" si="102"/>
        <v>6780683</v>
      </c>
      <c r="E46" s="72">
        <f t="shared" si="102"/>
        <v>5592366</v>
      </c>
      <c r="F46" s="72">
        <f t="shared" si="102"/>
        <v>950061</v>
      </c>
      <c r="G46" s="72">
        <f t="shared" si="102"/>
        <v>238256</v>
      </c>
      <c r="H46" s="72">
        <f t="shared" si="102"/>
        <v>0</v>
      </c>
      <c r="I46" s="40">
        <f t="shared" si="102"/>
        <v>6193</v>
      </c>
      <c r="J46" s="81">
        <f t="shared" si="102"/>
        <v>6193</v>
      </c>
      <c r="K46" s="73">
        <f t="shared" si="102"/>
        <v>0</v>
      </c>
      <c r="L46" s="40">
        <f t="shared" si="102"/>
        <v>35897</v>
      </c>
      <c r="M46" s="82">
        <f t="shared" si="102"/>
        <v>35897</v>
      </c>
      <c r="N46" s="74">
        <f t="shared" si="102"/>
        <v>0</v>
      </c>
      <c r="O46" s="40">
        <f t="shared" si="102"/>
        <v>3007</v>
      </c>
      <c r="P46" s="75">
        <f t="shared" si="102"/>
        <v>2999</v>
      </c>
      <c r="Q46" s="75">
        <f t="shared" si="102"/>
        <v>9</v>
      </c>
      <c r="R46" s="40">
        <f t="shared" si="102"/>
        <v>83623</v>
      </c>
      <c r="S46" s="60">
        <f t="shared" si="102"/>
        <v>83399</v>
      </c>
      <c r="T46" s="60">
        <f t="shared" si="102"/>
        <v>225</v>
      </c>
      <c r="U46" s="76">
        <f t="shared" si="102"/>
        <v>0</v>
      </c>
      <c r="V46" s="76">
        <f t="shared" si="102"/>
        <v>0</v>
      </c>
      <c r="W46" s="38">
        <f t="shared" si="102"/>
        <v>272723</v>
      </c>
      <c r="X46" s="55">
        <f t="shared" si="102"/>
        <v>268809</v>
      </c>
      <c r="Y46" s="77">
        <f t="shared" si="102"/>
        <v>3915</v>
      </c>
      <c r="Z46" s="55">
        <f t="shared" si="102"/>
        <v>0</v>
      </c>
      <c r="AA46" s="77">
        <f t="shared" si="102"/>
        <v>0</v>
      </c>
      <c r="AB46" s="77">
        <f t="shared" si="102"/>
        <v>0</v>
      </c>
      <c r="AC46" s="39">
        <f t="shared" si="102"/>
        <v>796734</v>
      </c>
      <c r="AD46" s="57">
        <f t="shared" si="102"/>
        <v>796734</v>
      </c>
      <c r="AE46" s="58">
        <f t="shared" si="102"/>
        <v>0</v>
      </c>
      <c r="AF46" s="58">
        <f t="shared" si="102"/>
        <v>0</v>
      </c>
      <c r="AG46" s="58">
        <f t="shared" si="102"/>
        <v>0</v>
      </c>
      <c r="AH46" s="40">
        <f t="shared" si="102"/>
        <v>0</v>
      </c>
      <c r="AI46" s="36">
        <f t="shared" si="102"/>
        <v>0</v>
      </c>
      <c r="AJ46" s="78">
        <f t="shared" si="102"/>
        <v>0</v>
      </c>
      <c r="AK46" s="78">
        <f t="shared" si="102"/>
        <v>0</v>
      </c>
      <c r="AL46" s="78">
        <f t="shared" si="102"/>
        <v>0</v>
      </c>
      <c r="AM46" s="78">
        <f t="shared" si="102"/>
        <v>0</v>
      </c>
      <c r="AN46" s="78">
        <f t="shared" si="102"/>
        <v>0</v>
      </c>
      <c r="AO46" s="78">
        <f t="shared" si="102"/>
        <v>0</v>
      </c>
      <c r="AP46" s="78">
        <f t="shared" si="102"/>
        <v>0</v>
      </c>
      <c r="AQ46" s="62">
        <f t="shared" si="102"/>
        <v>0</v>
      </c>
      <c r="AR46" s="62">
        <f t="shared" si="102"/>
        <v>0</v>
      </c>
      <c r="AS46" s="62">
        <f t="shared" si="102"/>
        <v>0</v>
      </c>
      <c r="AT46" s="37">
        <f t="shared" si="102"/>
        <v>7978858</v>
      </c>
      <c r="AU46" s="40">
        <f t="shared" si="102"/>
        <v>-739525</v>
      </c>
      <c r="AV46" s="40">
        <f t="shared" si="102"/>
        <v>3457529</v>
      </c>
      <c r="AW46" s="37">
        <f t="shared" si="102"/>
        <v>3443434</v>
      </c>
      <c r="AX46" s="72">
        <f t="shared" si="102"/>
        <v>2484000</v>
      </c>
      <c r="AY46" s="72">
        <f t="shared" si="102"/>
        <v>768308</v>
      </c>
      <c r="AZ46" s="72">
        <f t="shared" si="102"/>
        <v>191127</v>
      </c>
      <c r="BA46" s="72">
        <f t="shared" si="102"/>
        <v>14095</v>
      </c>
      <c r="BB46" s="40">
        <f t="shared" si="102"/>
        <v>0</v>
      </c>
      <c r="BC46" s="73">
        <f t="shared" si="102"/>
        <v>0</v>
      </c>
      <c r="BD46" s="73">
        <f t="shared" si="102"/>
        <v>0</v>
      </c>
      <c r="BE46" s="40">
        <f t="shared" si="102"/>
        <v>0</v>
      </c>
      <c r="BF46" s="74">
        <f t="shared" si="102"/>
        <v>0</v>
      </c>
      <c r="BG46" s="74">
        <f t="shared" si="102"/>
        <v>0</v>
      </c>
      <c r="BH46" s="40">
        <f t="shared" si="102"/>
        <v>2763</v>
      </c>
      <c r="BI46" s="79">
        <f t="shared" si="102"/>
        <v>2752</v>
      </c>
      <c r="BJ46" s="79">
        <f t="shared" si="102"/>
        <v>12</v>
      </c>
      <c r="BK46" s="40">
        <f t="shared" si="102"/>
        <v>75974</v>
      </c>
      <c r="BL46" s="60">
        <f t="shared" ref="BL46:DQ46" si="103">ROUNDUP(BL10,0)</f>
        <v>75674</v>
      </c>
      <c r="BM46" s="60">
        <f t="shared" si="103"/>
        <v>301</v>
      </c>
      <c r="BN46" s="76">
        <f t="shared" si="103"/>
        <v>0</v>
      </c>
      <c r="BO46" s="76">
        <f t="shared" si="103"/>
        <v>0</v>
      </c>
      <c r="BP46" s="38">
        <f t="shared" si="103"/>
        <v>517929</v>
      </c>
      <c r="BQ46" s="55">
        <f t="shared" si="103"/>
        <v>0</v>
      </c>
      <c r="BR46" s="77">
        <f t="shared" si="103"/>
        <v>0</v>
      </c>
      <c r="BS46" s="77">
        <f t="shared" si="103"/>
        <v>516930</v>
      </c>
      <c r="BT46" s="77">
        <f t="shared" si="103"/>
        <v>999</v>
      </c>
      <c r="BU46" s="54">
        <f t="shared" si="103"/>
        <v>0</v>
      </c>
      <c r="BV46" s="39">
        <f t="shared" si="103"/>
        <v>2826344</v>
      </c>
      <c r="BW46" s="57">
        <f t="shared" si="103"/>
        <v>0</v>
      </c>
      <c r="BX46" s="57">
        <f t="shared" si="103"/>
        <v>2820221</v>
      </c>
      <c r="BY46" s="57">
        <f t="shared" si="103"/>
        <v>6123</v>
      </c>
      <c r="BZ46" s="56">
        <f t="shared" si="103"/>
        <v>0</v>
      </c>
      <c r="CA46" s="40">
        <f t="shared" si="103"/>
        <v>358797</v>
      </c>
      <c r="CB46" s="36">
        <f t="shared" si="103"/>
        <v>357418</v>
      </c>
      <c r="CC46" s="62">
        <f t="shared" si="103"/>
        <v>130929</v>
      </c>
      <c r="CD46" s="62">
        <f t="shared" si="103"/>
        <v>119789</v>
      </c>
      <c r="CE46" s="62">
        <f t="shared" si="103"/>
        <v>41691</v>
      </c>
      <c r="CF46" s="62">
        <f t="shared" si="103"/>
        <v>9294</v>
      </c>
      <c r="CG46" s="62">
        <f t="shared" si="103"/>
        <v>2791</v>
      </c>
      <c r="CH46" s="86">
        <f t="shared" si="103"/>
        <v>52926</v>
      </c>
      <c r="CI46" s="86">
        <f t="shared" si="103"/>
        <v>1379</v>
      </c>
      <c r="CJ46" s="62">
        <f t="shared" si="103"/>
        <v>0</v>
      </c>
      <c r="CK46" s="62">
        <f t="shared" si="103"/>
        <v>0</v>
      </c>
      <c r="CL46" s="62">
        <f t="shared" si="103"/>
        <v>0</v>
      </c>
      <c r="CM46" s="37">
        <f t="shared" si="103"/>
        <v>7239334</v>
      </c>
      <c r="CN46" s="4"/>
      <c r="CO46" s="45">
        <f t="shared" si="103"/>
        <v>-3323154</v>
      </c>
      <c r="CP46" s="46">
        <f t="shared" si="103"/>
        <v>-3337249</v>
      </c>
      <c r="CQ46" s="46">
        <f t="shared" si="103"/>
        <v>-3108366</v>
      </c>
      <c r="CR46" s="46">
        <f t="shared" si="103"/>
        <v>-181754</v>
      </c>
      <c r="CS46" s="46">
        <f t="shared" si="103"/>
        <v>-47130</v>
      </c>
      <c r="CT46" s="46">
        <f t="shared" si="103"/>
        <v>14095</v>
      </c>
      <c r="CU46" s="45">
        <f t="shared" si="103"/>
        <v>-6193</v>
      </c>
      <c r="CV46" s="46">
        <f t="shared" si="103"/>
        <v>-6193</v>
      </c>
      <c r="CW46" s="46">
        <f t="shared" si="103"/>
        <v>0</v>
      </c>
      <c r="CX46" s="45">
        <f t="shared" si="103"/>
        <v>-35897</v>
      </c>
      <c r="CY46" s="46">
        <f t="shared" si="103"/>
        <v>-35897</v>
      </c>
      <c r="CZ46" s="46">
        <f t="shared" si="103"/>
        <v>0</v>
      </c>
      <c r="DA46" s="45">
        <f t="shared" si="103"/>
        <v>-245</v>
      </c>
      <c r="DB46" s="46">
        <f t="shared" si="103"/>
        <v>-248</v>
      </c>
      <c r="DC46" s="46">
        <f t="shared" si="103"/>
        <v>3</v>
      </c>
      <c r="DD46" s="45">
        <f t="shared" si="103"/>
        <v>-7650</v>
      </c>
      <c r="DE46" s="47">
        <f t="shared" si="103"/>
        <v>-7726</v>
      </c>
      <c r="DF46" s="47">
        <f t="shared" si="103"/>
        <v>77</v>
      </c>
      <c r="DG46" s="48">
        <f t="shared" si="103"/>
        <v>0</v>
      </c>
      <c r="DH46" s="46">
        <f t="shared" si="103"/>
        <v>0</v>
      </c>
      <c r="DI46" s="49">
        <f t="shared" si="103"/>
        <v>245207</v>
      </c>
      <c r="DJ46" s="47">
        <f t="shared" si="103"/>
        <v>-268809</v>
      </c>
      <c r="DK46" s="46">
        <f t="shared" si="103"/>
        <v>-3915</v>
      </c>
      <c r="DL46" s="46">
        <f t="shared" si="103"/>
        <v>516930</v>
      </c>
      <c r="DM46" s="46">
        <f t="shared" si="103"/>
        <v>999</v>
      </c>
      <c r="DN46" s="46">
        <f t="shared" si="103"/>
        <v>0</v>
      </c>
      <c r="DO46" s="50">
        <f t="shared" si="103"/>
        <v>2029610</v>
      </c>
      <c r="DP46" s="47">
        <f t="shared" si="103"/>
        <v>-796734</v>
      </c>
      <c r="DQ46" s="47">
        <f t="shared" si="103"/>
        <v>2820221</v>
      </c>
      <c r="DR46" s="46">
        <f t="shared" ref="DR46:EF46" si="104">ROUNDUP(DR10,0)</f>
        <v>6123</v>
      </c>
      <c r="DS46" s="46">
        <f t="shared" si="104"/>
        <v>0</v>
      </c>
      <c r="DT46" s="45">
        <f t="shared" si="104"/>
        <v>358797</v>
      </c>
      <c r="DU46" s="47">
        <f t="shared" si="104"/>
        <v>357418</v>
      </c>
      <c r="DV46" s="47">
        <f t="shared" si="104"/>
        <v>130929</v>
      </c>
      <c r="DW46" s="47">
        <f t="shared" si="104"/>
        <v>119789</v>
      </c>
      <c r="DX46" s="47">
        <f t="shared" si="104"/>
        <v>41691</v>
      </c>
      <c r="DY46" s="47">
        <f t="shared" si="104"/>
        <v>9294</v>
      </c>
      <c r="DZ46" s="47">
        <f t="shared" si="104"/>
        <v>2791</v>
      </c>
      <c r="EA46" s="47">
        <f t="shared" si="104"/>
        <v>52926</v>
      </c>
      <c r="EB46" s="47">
        <f t="shared" si="104"/>
        <v>1379</v>
      </c>
      <c r="EC46" s="47">
        <f t="shared" si="104"/>
        <v>0</v>
      </c>
      <c r="ED46" s="47">
        <f t="shared" si="104"/>
        <v>0</v>
      </c>
      <c r="EE46" s="47">
        <f t="shared" si="104"/>
        <v>0</v>
      </c>
      <c r="EF46" s="46">
        <f t="shared" si="104"/>
        <v>-739525</v>
      </c>
    </row>
    <row r="47" spans="1:136" ht="15" customHeight="1" x14ac:dyDescent="0.3">
      <c r="A47" s="24">
        <f t="shared" si="95"/>
        <v>6</v>
      </c>
      <c r="B47" s="26">
        <v>2029</v>
      </c>
      <c r="C47" s="40">
        <f t="shared" ref="C47:BK47" si="105">ROUNDUP(C11,0)</f>
        <v>6780683</v>
      </c>
      <c r="D47" s="37">
        <f t="shared" si="105"/>
        <v>6780683</v>
      </c>
      <c r="E47" s="72">
        <f t="shared" si="105"/>
        <v>5592366</v>
      </c>
      <c r="F47" s="72">
        <f t="shared" si="105"/>
        <v>950061</v>
      </c>
      <c r="G47" s="72">
        <f t="shared" si="105"/>
        <v>238256</v>
      </c>
      <c r="H47" s="72">
        <f t="shared" si="105"/>
        <v>0</v>
      </c>
      <c r="I47" s="40">
        <f t="shared" si="105"/>
        <v>6193</v>
      </c>
      <c r="J47" s="81">
        <f t="shared" si="105"/>
        <v>6193</v>
      </c>
      <c r="K47" s="73">
        <f t="shared" si="105"/>
        <v>0</v>
      </c>
      <c r="L47" s="40">
        <f t="shared" si="105"/>
        <v>35897</v>
      </c>
      <c r="M47" s="82">
        <f t="shared" si="105"/>
        <v>35897</v>
      </c>
      <c r="N47" s="74">
        <f t="shared" si="105"/>
        <v>0</v>
      </c>
      <c r="O47" s="40">
        <f t="shared" si="105"/>
        <v>3007</v>
      </c>
      <c r="P47" s="75">
        <f t="shared" si="105"/>
        <v>2999</v>
      </c>
      <c r="Q47" s="75">
        <f t="shared" si="105"/>
        <v>9</v>
      </c>
      <c r="R47" s="40">
        <f t="shared" si="105"/>
        <v>83623</v>
      </c>
      <c r="S47" s="60">
        <f t="shared" si="105"/>
        <v>83399</v>
      </c>
      <c r="T47" s="60">
        <f t="shared" si="105"/>
        <v>225</v>
      </c>
      <c r="U47" s="76">
        <f t="shared" si="105"/>
        <v>0</v>
      </c>
      <c r="V47" s="76">
        <f t="shared" si="105"/>
        <v>0</v>
      </c>
      <c r="W47" s="38">
        <f t="shared" si="105"/>
        <v>272723</v>
      </c>
      <c r="X47" s="55">
        <f t="shared" si="105"/>
        <v>268809</v>
      </c>
      <c r="Y47" s="77">
        <f t="shared" si="105"/>
        <v>3915</v>
      </c>
      <c r="Z47" s="55">
        <f t="shared" si="105"/>
        <v>0</v>
      </c>
      <c r="AA47" s="77">
        <f t="shared" si="105"/>
        <v>0</v>
      </c>
      <c r="AB47" s="77">
        <f t="shared" si="105"/>
        <v>0</v>
      </c>
      <c r="AC47" s="39">
        <f t="shared" si="105"/>
        <v>796734</v>
      </c>
      <c r="AD47" s="57">
        <f t="shared" si="105"/>
        <v>796734</v>
      </c>
      <c r="AE47" s="58">
        <f t="shared" si="105"/>
        <v>0</v>
      </c>
      <c r="AF47" s="58">
        <f t="shared" si="105"/>
        <v>0</v>
      </c>
      <c r="AG47" s="58">
        <f t="shared" si="105"/>
        <v>0</v>
      </c>
      <c r="AH47" s="40">
        <f t="shared" si="105"/>
        <v>0</v>
      </c>
      <c r="AI47" s="36">
        <f t="shared" si="105"/>
        <v>0</v>
      </c>
      <c r="AJ47" s="78">
        <f t="shared" si="105"/>
        <v>0</v>
      </c>
      <c r="AK47" s="78">
        <f t="shared" si="105"/>
        <v>0</v>
      </c>
      <c r="AL47" s="78">
        <f t="shared" si="105"/>
        <v>0</v>
      </c>
      <c r="AM47" s="78">
        <f t="shared" si="105"/>
        <v>0</v>
      </c>
      <c r="AN47" s="78">
        <f t="shared" si="105"/>
        <v>0</v>
      </c>
      <c r="AO47" s="78">
        <f t="shared" si="105"/>
        <v>0</v>
      </c>
      <c r="AP47" s="78">
        <f t="shared" si="105"/>
        <v>0</v>
      </c>
      <c r="AQ47" s="62">
        <f t="shared" si="105"/>
        <v>0</v>
      </c>
      <c r="AR47" s="62">
        <f t="shared" si="105"/>
        <v>0</v>
      </c>
      <c r="AS47" s="62">
        <f t="shared" si="105"/>
        <v>0</v>
      </c>
      <c r="AT47" s="37">
        <f t="shared" si="105"/>
        <v>7978858</v>
      </c>
      <c r="AU47" s="40">
        <f t="shared" si="105"/>
        <v>-739525</v>
      </c>
      <c r="AV47" s="40">
        <f t="shared" si="105"/>
        <v>3457529</v>
      </c>
      <c r="AW47" s="37">
        <f t="shared" si="105"/>
        <v>3443434</v>
      </c>
      <c r="AX47" s="72">
        <f t="shared" si="105"/>
        <v>2484000</v>
      </c>
      <c r="AY47" s="72">
        <f t="shared" si="105"/>
        <v>768308</v>
      </c>
      <c r="AZ47" s="72">
        <f t="shared" si="105"/>
        <v>191127</v>
      </c>
      <c r="BA47" s="72">
        <f t="shared" si="105"/>
        <v>14095</v>
      </c>
      <c r="BB47" s="40">
        <f t="shared" si="105"/>
        <v>0</v>
      </c>
      <c r="BC47" s="73">
        <f t="shared" si="105"/>
        <v>0</v>
      </c>
      <c r="BD47" s="73">
        <f t="shared" si="105"/>
        <v>0</v>
      </c>
      <c r="BE47" s="40">
        <f t="shared" si="105"/>
        <v>0</v>
      </c>
      <c r="BF47" s="74">
        <f t="shared" si="105"/>
        <v>0</v>
      </c>
      <c r="BG47" s="74">
        <f t="shared" si="105"/>
        <v>0</v>
      </c>
      <c r="BH47" s="40">
        <f t="shared" si="105"/>
        <v>2763</v>
      </c>
      <c r="BI47" s="79">
        <f t="shared" si="105"/>
        <v>2752</v>
      </c>
      <c r="BJ47" s="79">
        <f t="shared" si="105"/>
        <v>12</v>
      </c>
      <c r="BK47" s="40">
        <f t="shared" si="105"/>
        <v>75974</v>
      </c>
      <c r="BL47" s="60">
        <f t="shared" ref="BL47:DQ47" si="106">ROUNDUP(BL11,0)</f>
        <v>75674</v>
      </c>
      <c r="BM47" s="60">
        <f t="shared" si="106"/>
        <v>301</v>
      </c>
      <c r="BN47" s="76">
        <f t="shared" si="106"/>
        <v>0</v>
      </c>
      <c r="BO47" s="76">
        <f t="shared" si="106"/>
        <v>0</v>
      </c>
      <c r="BP47" s="38">
        <f t="shared" si="106"/>
        <v>517929</v>
      </c>
      <c r="BQ47" s="55">
        <f t="shared" si="106"/>
        <v>0</v>
      </c>
      <c r="BR47" s="77">
        <f t="shared" si="106"/>
        <v>0</v>
      </c>
      <c r="BS47" s="77">
        <f t="shared" si="106"/>
        <v>516930</v>
      </c>
      <c r="BT47" s="77">
        <f t="shared" si="106"/>
        <v>999</v>
      </c>
      <c r="BU47" s="54">
        <f t="shared" si="106"/>
        <v>0</v>
      </c>
      <c r="BV47" s="39">
        <f t="shared" si="106"/>
        <v>2826344</v>
      </c>
      <c r="BW47" s="57">
        <f t="shared" si="106"/>
        <v>0</v>
      </c>
      <c r="BX47" s="57">
        <f t="shared" si="106"/>
        <v>2820221</v>
      </c>
      <c r="BY47" s="57">
        <f t="shared" si="106"/>
        <v>6123</v>
      </c>
      <c r="BZ47" s="56">
        <f t="shared" si="106"/>
        <v>0</v>
      </c>
      <c r="CA47" s="40">
        <f t="shared" si="106"/>
        <v>358797</v>
      </c>
      <c r="CB47" s="36">
        <f t="shared" si="106"/>
        <v>357418</v>
      </c>
      <c r="CC47" s="62">
        <f t="shared" si="106"/>
        <v>130929</v>
      </c>
      <c r="CD47" s="62">
        <f t="shared" si="106"/>
        <v>119789</v>
      </c>
      <c r="CE47" s="62">
        <f t="shared" si="106"/>
        <v>41691</v>
      </c>
      <c r="CF47" s="62">
        <f t="shared" si="106"/>
        <v>9294</v>
      </c>
      <c r="CG47" s="62">
        <f t="shared" si="106"/>
        <v>2791</v>
      </c>
      <c r="CH47" s="86">
        <f t="shared" si="106"/>
        <v>52926</v>
      </c>
      <c r="CI47" s="86">
        <f t="shared" si="106"/>
        <v>1379</v>
      </c>
      <c r="CJ47" s="62">
        <f t="shared" si="106"/>
        <v>0</v>
      </c>
      <c r="CK47" s="62">
        <f t="shared" si="106"/>
        <v>0</v>
      </c>
      <c r="CL47" s="62">
        <f t="shared" si="106"/>
        <v>0</v>
      </c>
      <c r="CM47" s="37">
        <f t="shared" si="106"/>
        <v>7239334</v>
      </c>
      <c r="CN47" s="4"/>
      <c r="CO47" s="45">
        <f t="shared" si="106"/>
        <v>-3323154</v>
      </c>
      <c r="CP47" s="46">
        <f t="shared" si="106"/>
        <v>-3337249</v>
      </c>
      <c r="CQ47" s="46">
        <f t="shared" si="106"/>
        <v>-3108366</v>
      </c>
      <c r="CR47" s="46">
        <f t="shared" si="106"/>
        <v>-181754</v>
      </c>
      <c r="CS47" s="46">
        <f t="shared" si="106"/>
        <v>-47130</v>
      </c>
      <c r="CT47" s="46">
        <f t="shared" si="106"/>
        <v>14095</v>
      </c>
      <c r="CU47" s="45">
        <f t="shared" si="106"/>
        <v>-6193</v>
      </c>
      <c r="CV47" s="46">
        <f t="shared" si="106"/>
        <v>-6193</v>
      </c>
      <c r="CW47" s="46">
        <f t="shared" si="106"/>
        <v>0</v>
      </c>
      <c r="CX47" s="45">
        <f t="shared" si="106"/>
        <v>-35897</v>
      </c>
      <c r="CY47" s="46">
        <f t="shared" si="106"/>
        <v>-35897</v>
      </c>
      <c r="CZ47" s="46">
        <f t="shared" si="106"/>
        <v>0</v>
      </c>
      <c r="DA47" s="45">
        <f t="shared" si="106"/>
        <v>-245</v>
      </c>
      <c r="DB47" s="46">
        <f t="shared" si="106"/>
        <v>-248</v>
      </c>
      <c r="DC47" s="46">
        <f t="shared" si="106"/>
        <v>3</v>
      </c>
      <c r="DD47" s="45">
        <f t="shared" si="106"/>
        <v>-7650</v>
      </c>
      <c r="DE47" s="47">
        <f t="shared" si="106"/>
        <v>-7726</v>
      </c>
      <c r="DF47" s="47">
        <f t="shared" si="106"/>
        <v>77</v>
      </c>
      <c r="DG47" s="48">
        <f t="shared" si="106"/>
        <v>0</v>
      </c>
      <c r="DH47" s="46">
        <f t="shared" si="106"/>
        <v>0</v>
      </c>
      <c r="DI47" s="49">
        <f t="shared" si="106"/>
        <v>245207</v>
      </c>
      <c r="DJ47" s="47">
        <f t="shared" si="106"/>
        <v>-268809</v>
      </c>
      <c r="DK47" s="46">
        <f t="shared" si="106"/>
        <v>-3915</v>
      </c>
      <c r="DL47" s="46">
        <f t="shared" si="106"/>
        <v>516930</v>
      </c>
      <c r="DM47" s="46">
        <f t="shared" si="106"/>
        <v>999</v>
      </c>
      <c r="DN47" s="46">
        <f t="shared" si="106"/>
        <v>0</v>
      </c>
      <c r="DO47" s="50">
        <f t="shared" si="106"/>
        <v>2029610</v>
      </c>
      <c r="DP47" s="47">
        <f t="shared" si="106"/>
        <v>-796734</v>
      </c>
      <c r="DQ47" s="47">
        <f t="shared" si="106"/>
        <v>2820221</v>
      </c>
      <c r="DR47" s="46">
        <f t="shared" ref="DR47:EF47" si="107">ROUNDUP(DR11,0)</f>
        <v>6123</v>
      </c>
      <c r="DS47" s="46">
        <f t="shared" si="107"/>
        <v>0</v>
      </c>
      <c r="DT47" s="45">
        <f t="shared" si="107"/>
        <v>358797</v>
      </c>
      <c r="DU47" s="47">
        <f t="shared" si="107"/>
        <v>357418</v>
      </c>
      <c r="DV47" s="47">
        <f t="shared" si="107"/>
        <v>130929</v>
      </c>
      <c r="DW47" s="47">
        <f t="shared" si="107"/>
        <v>119789</v>
      </c>
      <c r="DX47" s="47">
        <f t="shared" si="107"/>
        <v>41691</v>
      </c>
      <c r="DY47" s="47">
        <f t="shared" si="107"/>
        <v>9294</v>
      </c>
      <c r="DZ47" s="47">
        <f t="shared" si="107"/>
        <v>2791</v>
      </c>
      <c r="EA47" s="47">
        <f t="shared" si="107"/>
        <v>52926</v>
      </c>
      <c r="EB47" s="47">
        <f t="shared" si="107"/>
        <v>1379</v>
      </c>
      <c r="EC47" s="47">
        <f t="shared" si="107"/>
        <v>0</v>
      </c>
      <c r="ED47" s="47">
        <f t="shared" si="107"/>
        <v>0</v>
      </c>
      <c r="EE47" s="47">
        <f t="shared" si="107"/>
        <v>0</v>
      </c>
      <c r="EF47" s="46">
        <f t="shared" si="107"/>
        <v>-739525</v>
      </c>
    </row>
    <row r="48" spans="1:136" ht="15" customHeight="1" x14ac:dyDescent="0.3">
      <c r="A48" s="24">
        <f t="shared" si="95"/>
        <v>7</v>
      </c>
      <c r="B48" s="26">
        <v>2030</v>
      </c>
      <c r="C48" s="40">
        <f t="shared" ref="C48:BK48" si="108">ROUNDUP(C12,0)</f>
        <v>6780683</v>
      </c>
      <c r="D48" s="37">
        <f t="shared" si="108"/>
        <v>6780683</v>
      </c>
      <c r="E48" s="72">
        <f t="shared" si="108"/>
        <v>5592366</v>
      </c>
      <c r="F48" s="72">
        <f t="shared" si="108"/>
        <v>950061</v>
      </c>
      <c r="G48" s="72">
        <f t="shared" si="108"/>
        <v>238256</v>
      </c>
      <c r="H48" s="72">
        <f t="shared" si="108"/>
        <v>0</v>
      </c>
      <c r="I48" s="40">
        <f t="shared" si="108"/>
        <v>6193</v>
      </c>
      <c r="J48" s="81">
        <f t="shared" si="108"/>
        <v>6193</v>
      </c>
      <c r="K48" s="73">
        <f t="shared" si="108"/>
        <v>0</v>
      </c>
      <c r="L48" s="40">
        <f t="shared" si="108"/>
        <v>35897</v>
      </c>
      <c r="M48" s="82">
        <f t="shared" si="108"/>
        <v>35897</v>
      </c>
      <c r="N48" s="74">
        <f t="shared" si="108"/>
        <v>0</v>
      </c>
      <c r="O48" s="40">
        <f t="shared" si="108"/>
        <v>3007</v>
      </c>
      <c r="P48" s="75">
        <f t="shared" si="108"/>
        <v>2999</v>
      </c>
      <c r="Q48" s="75">
        <f t="shared" si="108"/>
        <v>9</v>
      </c>
      <c r="R48" s="40">
        <f t="shared" si="108"/>
        <v>83623</v>
      </c>
      <c r="S48" s="60">
        <f t="shared" si="108"/>
        <v>83399</v>
      </c>
      <c r="T48" s="60">
        <f t="shared" si="108"/>
        <v>225</v>
      </c>
      <c r="U48" s="76">
        <f t="shared" si="108"/>
        <v>0</v>
      </c>
      <c r="V48" s="76">
        <f t="shared" si="108"/>
        <v>0</v>
      </c>
      <c r="W48" s="38">
        <f t="shared" si="108"/>
        <v>272723</v>
      </c>
      <c r="X48" s="55">
        <f t="shared" si="108"/>
        <v>268809</v>
      </c>
      <c r="Y48" s="77">
        <f t="shared" si="108"/>
        <v>3915</v>
      </c>
      <c r="Z48" s="55">
        <f t="shared" si="108"/>
        <v>0</v>
      </c>
      <c r="AA48" s="77">
        <f t="shared" si="108"/>
        <v>0</v>
      </c>
      <c r="AB48" s="77">
        <f t="shared" si="108"/>
        <v>0</v>
      </c>
      <c r="AC48" s="39">
        <f t="shared" si="108"/>
        <v>796734</v>
      </c>
      <c r="AD48" s="57">
        <f t="shared" si="108"/>
        <v>796734</v>
      </c>
      <c r="AE48" s="58">
        <f t="shared" si="108"/>
        <v>0</v>
      </c>
      <c r="AF48" s="58">
        <f t="shared" si="108"/>
        <v>0</v>
      </c>
      <c r="AG48" s="58">
        <f t="shared" si="108"/>
        <v>0</v>
      </c>
      <c r="AH48" s="40">
        <f t="shared" si="108"/>
        <v>0</v>
      </c>
      <c r="AI48" s="36">
        <f t="shared" si="108"/>
        <v>0</v>
      </c>
      <c r="AJ48" s="78">
        <f t="shared" si="108"/>
        <v>0</v>
      </c>
      <c r="AK48" s="78">
        <f t="shared" si="108"/>
        <v>0</v>
      </c>
      <c r="AL48" s="78">
        <f t="shared" si="108"/>
        <v>0</v>
      </c>
      <c r="AM48" s="78">
        <f t="shared" si="108"/>
        <v>0</v>
      </c>
      <c r="AN48" s="78">
        <f t="shared" si="108"/>
        <v>0</v>
      </c>
      <c r="AO48" s="78">
        <f t="shared" si="108"/>
        <v>0</v>
      </c>
      <c r="AP48" s="78">
        <f t="shared" si="108"/>
        <v>0</v>
      </c>
      <c r="AQ48" s="62">
        <f t="shared" si="108"/>
        <v>0</v>
      </c>
      <c r="AR48" s="62">
        <f t="shared" si="108"/>
        <v>0</v>
      </c>
      <c r="AS48" s="62">
        <f t="shared" si="108"/>
        <v>0</v>
      </c>
      <c r="AT48" s="37">
        <f t="shared" si="108"/>
        <v>7978858</v>
      </c>
      <c r="AU48" s="40">
        <f t="shared" si="108"/>
        <v>-772922</v>
      </c>
      <c r="AV48" s="40">
        <f t="shared" si="108"/>
        <v>3457529</v>
      </c>
      <c r="AW48" s="37">
        <f t="shared" si="108"/>
        <v>3443434</v>
      </c>
      <c r="AX48" s="72">
        <f t="shared" si="108"/>
        <v>2484000</v>
      </c>
      <c r="AY48" s="72">
        <f t="shared" si="108"/>
        <v>768308</v>
      </c>
      <c r="AZ48" s="72">
        <f t="shared" si="108"/>
        <v>191127</v>
      </c>
      <c r="BA48" s="72">
        <f t="shared" si="108"/>
        <v>14095</v>
      </c>
      <c r="BB48" s="40">
        <f t="shared" si="108"/>
        <v>0</v>
      </c>
      <c r="BC48" s="73">
        <f t="shared" si="108"/>
        <v>0</v>
      </c>
      <c r="BD48" s="73">
        <f t="shared" si="108"/>
        <v>0</v>
      </c>
      <c r="BE48" s="40">
        <f t="shared" si="108"/>
        <v>0</v>
      </c>
      <c r="BF48" s="74">
        <f t="shared" si="108"/>
        <v>0</v>
      </c>
      <c r="BG48" s="74">
        <f t="shared" si="108"/>
        <v>0</v>
      </c>
      <c r="BH48" s="40">
        <f t="shared" si="108"/>
        <v>2763</v>
      </c>
      <c r="BI48" s="79">
        <f t="shared" si="108"/>
        <v>2752</v>
      </c>
      <c r="BJ48" s="79">
        <f t="shared" si="108"/>
        <v>12</v>
      </c>
      <c r="BK48" s="40">
        <f t="shared" si="108"/>
        <v>75974</v>
      </c>
      <c r="BL48" s="60">
        <f t="shared" ref="BL48:DQ48" si="109">ROUNDUP(BL12,0)</f>
        <v>75674</v>
      </c>
      <c r="BM48" s="60">
        <f t="shared" si="109"/>
        <v>301</v>
      </c>
      <c r="BN48" s="76">
        <f t="shared" si="109"/>
        <v>0</v>
      </c>
      <c r="BO48" s="76">
        <f t="shared" si="109"/>
        <v>0</v>
      </c>
      <c r="BP48" s="38">
        <f t="shared" si="109"/>
        <v>484532</v>
      </c>
      <c r="BQ48" s="55">
        <f t="shared" si="109"/>
        <v>0</v>
      </c>
      <c r="BR48" s="77">
        <f t="shared" si="109"/>
        <v>0</v>
      </c>
      <c r="BS48" s="77">
        <f t="shared" si="109"/>
        <v>483534</v>
      </c>
      <c r="BT48" s="77">
        <f t="shared" si="109"/>
        <v>999</v>
      </c>
      <c r="BU48" s="54">
        <f t="shared" si="109"/>
        <v>0</v>
      </c>
      <c r="BV48" s="39">
        <f t="shared" si="109"/>
        <v>2826344</v>
      </c>
      <c r="BW48" s="57">
        <f t="shared" si="109"/>
        <v>0</v>
      </c>
      <c r="BX48" s="57">
        <f t="shared" si="109"/>
        <v>2820221</v>
      </c>
      <c r="BY48" s="57">
        <f t="shared" si="109"/>
        <v>6123</v>
      </c>
      <c r="BZ48" s="56">
        <f t="shared" si="109"/>
        <v>0</v>
      </c>
      <c r="CA48" s="40">
        <f t="shared" si="109"/>
        <v>358797</v>
      </c>
      <c r="CB48" s="36">
        <f t="shared" si="109"/>
        <v>357418</v>
      </c>
      <c r="CC48" s="62">
        <f t="shared" si="109"/>
        <v>130929</v>
      </c>
      <c r="CD48" s="62">
        <f t="shared" si="109"/>
        <v>119789</v>
      </c>
      <c r="CE48" s="62">
        <f t="shared" si="109"/>
        <v>41691</v>
      </c>
      <c r="CF48" s="62">
        <f t="shared" si="109"/>
        <v>9294</v>
      </c>
      <c r="CG48" s="62">
        <f t="shared" si="109"/>
        <v>2791</v>
      </c>
      <c r="CH48" s="86">
        <f t="shared" si="109"/>
        <v>52926</v>
      </c>
      <c r="CI48" s="86">
        <f t="shared" si="109"/>
        <v>1379</v>
      </c>
      <c r="CJ48" s="62">
        <f t="shared" si="109"/>
        <v>0</v>
      </c>
      <c r="CK48" s="62">
        <f t="shared" si="109"/>
        <v>0</v>
      </c>
      <c r="CL48" s="62">
        <f t="shared" si="109"/>
        <v>0</v>
      </c>
      <c r="CM48" s="37">
        <f t="shared" si="109"/>
        <v>7205937</v>
      </c>
      <c r="CN48" s="4"/>
      <c r="CO48" s="45">
        <f t="shared" si="109"/>
        <v>-3323154</v>
      </c>
      <c r="CP48" s="46">
        <f t="shared" si="109"/>
        <v>-3337249</v>
      </c>
      <c r="CQ48" s="46">
        <f t="shared" si="109"/>
        <v>-3108366</v>
      </c>
      <c r="CR48" s="46">
        <f t="shared" si="109"/>
        <v>-181754</v>
      </c>
      <c r="CS48" s="46">
        <f t="shared" si="109"/>
        <v>-47130</v>
      </c>
      <c r="CT48" s="46">
        <f t="shared" si="109"/>
        <v>14095</v>
      </c>
      <c r="CU48" s="45">
        <f t="shared" si="109"/>
        <v>-6193</v>
      </c>
      <c r="CV48" s="46">
        <f t="shared" si="109"/>
        <v>-6193</v>
      </c>
      <c r="CW48" s="46">
        <f t="shared" si="109"/>
        <v>0</v>
      </c>
      <c r="CX48" s="45">
        <f t="shared" si="109"/>
        <v>-35897</v>
      </c>
      <c r="CY48" s="46">
        <f t="shared" si="109"/>
        <v>-35897</v>
      </c>
      <c r="CZ48" s="46">
        <f t="shared" si="109"/>
        <v>0</v>
      </c>
      <c r="DA48" s="45">
        <f t="shared" si="109"/>
        <v>-245</v>
      </c>
      <c r="DB48" s="46">
        <f t="shared" si="109"/>
        <v>-248</v>
      </c>
      <c r="DC48" s="46">
        <f t="shared" si="109"/>
        <v>3</v>
      </c>
      <c r="DD48" s="45">
        <f t="shared" si="109"/>
        <v>-7650</v>
      </c>
      <c r="DE48" s="47">
        <f t="shared" si="109"/>
        <v>-7726</v>
      </c>
      <c r="DF48" s="47">
        <f t="shared" si="109"/>
        <v>77</v>
      </c>
      <c r="DG48" s="48">
        <f t="shared" si="109"/>
        <v>0</v>
      </c>
      <c r="DH48" s="46">
        <f t="shared" si="109"/>
        <v>0</v>
      </c>
      <c r="DI48" s="49">
        <f t="shared" si="109"/>
        <v>211810</v>
      </c>
      <c r="DJ48" s="47">
        <f t="shared" si="109"/>
        <v>-268809</v>
      </c>
      <c r="DK48" s="46">
        <f t="shared" si="109"/>
        <v>-3915</v>
      </c>
      <c r="DL48" s="46">
        <f t="shared" si="109"/>
        <v>483534</v>
      </c>
      <c r="DM48" s="46">
        <f t="shared" si="109"/>
        <v>999</v>
      </c>
      <c r="DN48" s="46">
        <f t="shared" si="109"/>
        <v>0</v>
      </c>
      <c r="DO48" s="50">
        <f t="shared" si="109"/>
        <v>2029610</v>
      </c>
      <c r="DP48" s="47">
        <f t="shared" si="109"/>
        <v>-796734</v>
      </c>
      <c r="DQ48" s="47">
        <f t="shared" si="109"/>
        <v>2820221</v>
      </c>
      <c r="DR48" s="46">
        <f t="shared" ref="DR48:EF48" si="110">ROUNDUP(DR12,0)</f>
        <v>6123</v>
      </c>
      <c r="DS48" s="46">
        <f t="shared" si="110"/>
        <v>0</v>
      </c>
      <c r="DT48" s="45">
        <f t="shared" si="110"/>
        <v>358797</v>
      </c>
      <c r="DU48" s="47">
        <f t="shared" si="110"/>
        <v>357418</v>
      </c>
      <c r="DV48" s="47">
        <f t="shared" si="110"/>
        <v>130929</v>
      </c>
      <c r="DW48" s="47">
        <f t="shared" si="110"/>
        <v>119789</v>
      </c>
      <c r="DX48" s="47">
        <f t="shared" si="110"/>
        <v>41691</v>
      </c>
      <c r="DY48" s="47">
        <f t="shared" si="110"/>
        <v>9294</v>
      </c>
      <c r="DZ48" s="47">
        <f t="shared" si="110"/>
        <v>2791</v>
      </c>
      <c r="EA48" s="47">
        <f t="shared" si="110"/>
        <v>52926</v>
      </c>
      <c r="EB48" s="47">
        <f t="shared" si="110"/>
        <v>1379</v>
      </c>
      <c r="EC48" s="47">
        <f t="shared" si="110"/>
        <v>0</v>
      </c>
      <c r="ED48" s="47">
        <f t="shared" si="110"/>
        <v>0</v>
      </c>
      <c r="EE48" s="47">
        <f t="shared" si="110"/>
        <v>0</v>
      </c>
      <c r="EF48" s="46">
        <f t="shared" si="110"/>
        <v>-772922</v>
      </c>
    </row>
    <row r="49" spans="1:136" ht="15" customHeight="1" x14ac:dyDescent="0.3">
      <c r="A49" s="24">
        <f t="shared" si="95"/>
        <v>8</v>
      </c>
      <c r="B49" s="26">
        <v>2031</v>
      </c>
      <c r="C49" s="40">
        <f t="shared" ref="C49:BK49" si="111">ROUNDUP(C13,0)</f>
        <v>6780683</v>
      </c>
      <c r="D49" s="37">
        <f t="shared" si="111"/>
        <v>6780683</v>
      </c>
      <c r="E49" s="72">
        <f t="shared" si="111"/>
        <v>5592366</v>
      </c>
      <c r="F49" s="72">
        <f t="shared" si="111"/>
        <v>950061</v>
      </c>
      <c r="G49" s="72">
        <f t="shared" si="111"/>
        <v>238256</v>
      </c>
      <c r="H49" s="72">
        <f t="shared" si="111"/>
        <v>0</v>
      </c>
      <c r="I49" s="40">
        <f t="shared" si="111"/>
        <v>6193</v>
      </c>
      <c r="J49" s="81">
        <f t="shared" si="111"/>
        <v>6193</v>
      </c>
      <c r="K49" s="73">
        <f t="shared" si="111"/>
        <v>0</v>
      </c>
      <c r="L49" s="40">
        <f t="shared" si="111"/>
        <v>35897</v>
      </c>
      <c r="M49" s="82">
        <f t="shared" si="111"/>
        <v>35897</v>
      </c>
      <c r="N49" s="74">
        <f t="shared" si="111"/>
        <v>0</v>
      </c>
      <c r="O49" s="40">
        <f t="shared" si="111"/>
        <v>3007</v>
      </c>
      <c r="P49" s="75">
        <f t="shared" si="111"/>
        <v>2999</v>
      </c>
      <c r="Q49" s="75">
        <f t="shared" si="111"/>
        <v>9</v>
      </c>
      <c r="R49" s="40">
        <f t="shared" si="111"/>
        <v>83623</v>
      </c>
      <c r="S49" s="60">
        <f t="shared" si="111"/>
        <v>83399</v>
      </c>
      <c r="T49" s="60">
        <f t="shared" si="111"/>
        <v>225</v>
      </c>
      <c r="U49" s="76">
        <f t="shared" si="111"/>
        <v>0</v>
      </c>
      <c r="V49" s="76">
        <f t="shared" si="111"/>
        <v>0</v>
      </c>
      <c r="W49" s="38">
        <f t="shared" si="111"/>
        <v>272723</v>
      </c>
      <c r="X49" s="55">
        <f t="shared" si="111"/>
        <v>268809</v>
      </c>
      <c r="Y49" s="77">
        <f t="shared" si="111"/>
        <v>3915</v>
      </c>
      <c r="Z49" s="55">
        <f t="shared" si="111"/>
        <v>0</v>
      </c>
      <c r="AA49" s="77">
        <f t="shared" si="111"/>
        <v>0</v>
      </c>
      <c r="AB49" s="77">
        <f t="shared" si="111"/>
        <v>0</v>
      </c>
      <c r="AC49" s="39">
        <f t="shared" si="111"/>
        <v>796734</v>
      </c>
      <c r="AD49" s="57">
        <f t="shared" si="111"/>
        <v>796734</v>
      </c>
      <c r="AE49" s="58">
        <f t="shared" si="111"/>
        <v>0</v>
      </c>
      <c r="AF49" s="58">
        <f t="shared" si="111"/>
        <v>0</v>
      </c>
      <c r="AG49" s="58">
        <f t="shared" si="111"/>
        <v>0</v>
      </c>
      <c r="AH49" s="40">
        <f t="shared" si="111"/>
        <v>0</v>
      </c>
      <c r="AI49" s="36">
        <f t="shared" si="111"/>
        <v>0</v>
      </c>
      <c r="AJ49" s="78">
        <f t="shared" si="111"/>
        <v>0</v>
      </c>
      <c r="AK49" s="78">
        <f t="shared" si="111"/>
        <v>0</v>
      </c>
      <c r="AL49" s="78">
        <f t="shared" si="111"/>
        <v>0</v>
      </c>
      <c r="AM49" s="78">
        <f t="shared" si="111"/>
        <v>0</v>
      </c>
      <c r="AN49" s="78">
        <f t="shared" si="111"/>
        <v>0</v>
      </c>
      <c r="AO49" s="78">
        <f t="shared" si="111"/>
        <v>0</v>
      </c>
      <c r="AP49" s="78">
        <f t="shared" si="111"/>
        <v>0</v>
      </c>
      <c r="AQ49" s="62">
        <f t="shared" si="111"/>
        <v>0</v>
      </c>
      <c r="AR49" s="62">
        <f t="shared" si="111"/>
        <v>0</v>
      </c>
      <c r="AS49" s="62">
        <f t="shared" si="111"/>
        <v>0</v>
      </c>
      <c r="AT49" s="37">
        <f t="shared" si="111"/>
        <v>7978858</v>
      </c>
      <c r="AU49" s="40">
        <f t="shared" si="111"/>
        <v>-839715</v>
      </c>
      <c r="AV49" s="40">
        <f t="shared" si="111"/>
        <v>3457529</v>
      </c>
      <c r="AW49" s="37">
        <f t="shared" si="111"/>
        <v>3443434</v>
      </c>
      <c r="AX49" s="72">
        <f t="shared" si="111"/>
        <v>2484000</v>
      </c>
      <c r="AY49" s="72">
        <f t="shared" si="111"/>
        <v>768308</v>
      </c>
      <c r="AZ49" s="72">
        <f t="shared" si="111"/>
        <v>191127</v>
      </c>
      <c r="BA49" s="72">
        <f t="shared" si="111"/>
        <v>14095</v>
      </c>
      <c r="BB49" s="40">
        <f t="shared" si="111"/>
        <v>0</v>
      </c>
      <c r="BC49" s="73">
        <f t="shared" si="111"/>
        <v>0</v>
      </c>
      <c r="BD49" s="73">
        <f t="shared" si="111"/>
        <v>0</v>
      </c>
      <c r="BE49" s="40">
        <f t="shared" si="111"/>
        <v>0</v>
      </c>
      <c r="BF49" s="74">
        <f t="shared" si="111"/>
        <v>0</v>
      </c>
      <c r="BG49" s="74">
        <f t="shared" si="111"/>
        <v>0</v>
      </c>
      <c r="BH49" s="40">
        <f t="shared" si="111"/>
        <v>2763</v>
      </c>
      <c r="BI49" s="79">
        <f t="shared" si="111"/>
        <v>2752</v>
      </c>
      <c r="BJ49" s="79">
        <f t="shared" si="111"/>
        <v>12</v>
      </c>
      <c r="BK49" s="40">
        <f t="shared" si="111"/>
        <v>75974</v>
      </c>
      <c r="BL49" s="60">
        <f t="shared" ref="BL49:DQ49" si="112">ROUNDUP(BL13,0)</f>
        <v>75674</v>
      </c>
      <c r="BM49" s="60">
        <f t="shared" si="112"/>
        <v>301</v>
      </c>
      <c r="BN49" s="76">
        <f t="shared" si="112"/>
        <v>0</v>
      </c>
      <c r="BO49" s="76">
        <f t="shared" si="112"/>
        <v>0</v>
      </c>
      <c r="BP49" s="38">
        <f t="shared" si="112"/>
        <v>417739</v>
      </c>
      <c r="BQ49" s="55">
        <f t="shared" si="112"/>
        <v>0</v>
      </c>
      <c r="BR49" s="77">
        <f t="shared" si="112"/>
        <v>0</v>
      </c>
      <c r="BS49" s="77">
        <f t="shared" si="112"/>
        <v>416741</v>
      </c>
      <c r="BT49" s="77">
        <f t="shared" si="112"/>
        <v>999</v>
      </c>
      <c r="BU49" s="54">
        <f t="shared" si="112"/>
        <v>0</v>
      </c>
      <c r="BV49" s="39">
        <f t="shared" si="112"/>
        <v>2826344</v>
      </c>
      <c r="BW49" s="57">
        <f t="shared" si="112"/>
        <v>0</v>
      </c>
      <c r="BX49" s="57">
        <f t="shared" si="112"/>
        <v>2820221</v>
      </c>
      <c r="BY49" s="57">
        <f t="shared" si="112"/>
        <v>6123</v>
      </c>
      <c r="BZ49" s="56">
        <f t="shared" si="112"/>
        <v>0</v>
      </c>
      <c r="CA49" s="40">
        <f t="shared" si="112"/>
        <v>358797</v>
      </c>
      <c r="CB49" s="36">
        <f t="shared" si="112"/>
        <v>357418</v>
      </c>
      <c r="CC49" s="62">
        <f t="shared" si="112"/>
        <v>130929</v>
      </c>
      <c r="CD49" s="62">
        <f t="shared" si="112"/>
        <v>119789</v>
      </c>
      <c r="CE49" s="62">
        <f t="shared" si="112"/>
        <v>41691</v>
      </c>
      <c r="CF49" s="62">
        <f t="shared" si="112"/>
        <v>9294</v>
      </c>
      <c r="CG49" s="62">
        <f t="shared" si="112"/>
        <v>2791</v>
      </c>
      <c r="CH49" s="86">
        <f t="shared" si="112"/>
        <v>52926</v>
      </c>
      <c r="CI49" s="86">
        <f t="shared" si="112"/>
        <v>1379</v>
      </c>
      <c r="CJ49" s="62">
        <f t="shared" si="112"/>
        <v>0</v>
      </c>
      <c r="CK49" s="62">
        <f t="shared" si="112"/>
        <v>0</v>
      </c>
      <c r="CL49" s="62">
        <f t="shared" si="112"/>
        <v>0</v>
      </c>
      <c r="CM49" s="37">
        <f t="shared" si="112"/>
        <v>7139144</v>
      </c>
      <c r="CN49" s="4"/>
      <c r="CO49" s="45">
        <f t="shared" si="112"/>
        <v>-3323154</v>
      </c>
      <c r="CP49" s="46">
        <f t="shared" si="112"/>
        <v>-3337249</v>
      </c>
      <c r="CQ49" s="46">
        <f t="shared" si="112"/>
        <v>-3108366</v>
      </c>
      <c r="CR49" s="46">
        <f t="shared" si="112"/>
        <v>-181754</v>
      </c>
      <c r="CS49" s="46">
        <f t="shared" si="112"/>
        <v>-47130</v>
      </c>
      <c r="CT49" s="46">
        <f t="shared" si="112"/>
        <v>14095</v>
      </c>
      <c r="CU49" s="45">
        <f t="shared" si="112"/>
        <v>-6193</v>
      </c>
      <c r="CV49" s="46">
        <f t="shared" si="112"/>
        <v>-6193</v>
      </c>
      <c r="CW49" s="46">
        <f t="shared" si="112"/>
        <v>0</v>
      </c>
      <c r="CX49" s="45">
        <f t="shared" si="112"/>
        <v>-35897</v>
      </c>
      <c r="CY49" s="46">
        <f t="shared" si="112"/>
        <v>-35897</v>
      </c>
      <c r="CZ49" s="46">
        <f t="shared" si="112"/>
        <v>0</v>
      </c>
      <c r="DA49" s="45">
        <f t="shared" si="112"/>
        <v>-245</v>
      </c>
      <c r="DB49" s="46">
        <f t="shared" si="112"/>
        <v>-248</v>
      </c>
      <c r="DC49" s="46">
        <f t="shared" si="112"/>
        <v>3</v>
      </c>
      <c r="DD49" s="45">
        <f t="shared" si="112"/>
        <v>-7650</v>
      </c>
      <c r="DE49" s="47">
        <f t="shared" si="112"/>
        <v>-7726</v>
      </c>
      <c r="DF49" s="47">
        <f t="shared" si="112"/>
        <v>77</v>
      </c>
      <c r="DG49" s="48">
        <f t="shared" si="112"/>
        <v>0</v>
      </c>
      <c r="DH49" s="46">
        <f t="shared" si="112"/>
        <v>0</v>
      </c>
      <c r="DI49" s="49">
        <f t="shared" si="112"/>
        <v>145017</v>
      </c>
      <c r="DJ49" s="47">
        <f t="shared" si="112"/>
        <v>-268809</v>
      </c>
      <c r="DK49" s="46">
        <f t="shared" si="112"/>
        <v>-3915</v>
      </c>
      <c r="DL49" s="46">
        <f t="shared" si="112"/>
        <v>416741</v>
      </c>
      <c r="DM49" s="46">
        <f t="shared" si="112"/>
        <v>999</v>
      </c>
      <c r="DN49" s="46">
        <f t="shared" si="112"/>
        <v>0</v>
      </c>
      <c r="DO49" s="50">
        <f t="shared" si="112"/>
        <v>2029610</v>
      </c>
      <c r="DP49" s="47">
        <f t="shared" si="112"/>
        <v>-796734</v>
      </c>
      <c r="DQ49" s="47">
        <f t="shared" si="112"/>
        <v>2820221</v>
      </c>
      <c r="DR49" s="46">
        <f t="shared" ref="DR49:EF49" si="113">ROUNDUP(DR13,0)</f>
        <v>6123</v>
      </c>
      <c r="DS49" s="46">
        <f t="shared" si="113"/>
        <v>0</v>
      </c>
      <c r="DT49" s="45">
        <f t="shared" si="113"/>
        <v>358797</v>
      </c>
      <c r="DU49" s="47">
        <f t="shared" si="113"/>
        <v>357418</v>
      </c>
      <c r="DV49" s="47">
        <f t="shared" si="113"/>
        <v>130929</v>
      </c>
      <c r="DW49" s="47">
        <f t="shared" si="113"/>
        <v>119789</v>
      </c>
      <c r="DX49" s="47">
        <f t="shared" si="113"/>
        <v>41691</v>
      </c>
      <c r="DY49" s="47">
        <f t="shared" si="113"/>
        <v>9294</v>
      </c>
      <c r="DZ49" s="47">
        <f t="shared" si="113"/>
        <v>2791</v>
      </c>
      <c r="EA49" s="47">
        <f t="shared" si="113"/>
        <v>52926</v>
      </c>
      <c r="EB49" s="47">
        <f t="shared" si="113"/>
        <v>1379</v>
      </c>
      <c r="EC49" s="47">
        <f t="shared" si="113"/>
        <v>0</v>
      </c>
      <c r="ED49" s="47">
        <f t="shared" si="113"/>
        <v>0</v>
      </c>
      <c r="EE49" s="47">
        <f t="shared" si="113"/>
        <v>0</v>
      </c>
      <c r="EF49" s="46">
        <f t="shared" si="113"/>
        <v>-839715</v>
      </c>
    </row>
    <row r="50" spans="1:136" ht="15" customHeight="1" x14ac:dyDescent="0.3">
      <c r="A50" s="24">
        <f t="shared" si="95"/>
        <v>9</v>
      </c>
      <c r="B50" s="26">
        <v>2032</v>
      </c>
      <c r="C50" s="40">
        <f t="shared" ref="C50:BK50" si="114">ROUNDUP(C14,0)</f>
        <v>6780683</v>
      </c>
      <c r="D50" s="37">
        <f t="shared" si="114"/>
        <v>6780683</v>
      </c>
      <c r="E50" s="72">
        <f t="shared" si="114"/>
        <v>5592366</v>
      </c>
      <c r="F50" s="72">
        <f t="shared" si="114"/>
        <v>950061</v>
      </c>
      <c r="G50" s="72">
        <f t="shared" si="114"/>
        <v>238256</v>
      </c>
      <c r="H50" s="72">
        <f t="shared" si="114"/>
        <v>0</v>
      </c>
      <c r="I50" s="40">
        <f t="shared" si="114"/>
        <v>6193</v>
      </c>
      <c r="J50" s="81">
        <f t="shared" si="114"/>
        <v>6193</v>
      </c>
      <c r="K50" s="73">
        <f t="shared" si="114"/>
        <v>0</v>
      </c>
      <c r="L50" s="40">
        <f t="shared" si="114"/>
        <v>35897</v>
      </c>
      <c r="M50" s="82">
        <f t="shared" si="114"/>
        <v>35897</v>
      </c>
      <c r="N50" s="74">
        <f t="shared" si="114"/>
        <v>0</v>
      </c>
      <c r="O50" s="40">
        <f t="shared" si="114"/>
        <v>3007</v>
      </c>
      <c r="P50" s="75">
        <f t="shared" si="114"/>
        <v>2999</v>
      </c>
      <c r="Q50" s="75">
        <f t="shared" si="114"/>
        <v>9</v>
      </c>
      <c r="R50" s="40">
        <f t="shared" si="114"/>
        <v>83623</v>
      </c>
      <c r="S50" s="60">
        <f t="shared" si="114"/>
        <v>83399</v>
      </c>
      <c r="T50" s="60">
        <f t="shared" si="114"/>
        <v>225</v>
      </c>
      <c r="U50" s="76">
        <f t="shared" si="114"/>
        <v>0</v>
      </c>
      <c r="V50" s="76">
        <f t="shared" si="114"/>
        <v>0</v>
      </c>
      <c r="W50" s="38">
        <f t="shared" si="114"/>
        <v>272723</v>
      </c>
      <c r="X50" s="55">
        <f t="shared" si="114"/>
        <v>268809</v>
      </c>
      <c r="Y50" s="77">
        <f t="shared" si="114"/>
        <v>3915</v>
      </c>
      <c r="Z50" s="55">
        <f t="shared" si="114"/>
        <v>0</v>
      </c>
      <c r="AA50" s="77">
        <f t="shared" si="114"/>
        <v>0</v>
      </c>
      <c r="AB50" s="77">
        <f t="shared" si="114"/>
        <v>0</v>
      </c>
      <c r="AC50" s="39">
        <f t="shared" si="114"/>
        <v>796734</v>
      </c>
      <c r="AD50" s="57">
        <f t="shared" si="114"/>
        <v>796734</v>
      </c>
      <c r="AE50" s="58">
        <f t="shared" si="114"/>
        <v>0</v>
      </c>
      <c r="AF50" s="58">
        <f t="shared" si="114"/>
        <v>0</v>
      </c>
      <c r="AG50" s="58">
        <f t="shared" si="114"/>
        <v>0</v>
      </c>
      <c r="AH50" s="40">
        <f t="shared" si="114"/>
        <v>0</v>
      </c>
      <c r="AI50" s="36">
        <f t="shared" si="114"/>
        <v>0</v>
      </c>
      <c r="AJ50" s="78">
        <f t="shared" si="114"/>
        <v>0</v>
      </c>
      <c r="AK50" s="78">
        <f t="shared" si="114"/>
        <v>0</v>
      </c>
      <c r="AL50" s="78">
        <f t="shared" si="114"/>
        <v>0</v>
      </c>
      <c r="AM50" s="78">
        <f t="shared" si="114"/>
        <v>0</v>
      </c>
      <c r="AN50" s="78">
        <f t="shared" si="114"/>
        <v>0</v>
      </c>
      <c r="AO50" s="78">
        <f t="shared" si="114"/>
        <v>0</v>
      </c>
      <c r="AP50" s="78">
        <f t="shared" si="114"/>
        <v>0</v>
      </c>
      <c r="AQ50" s="62">
        <f t="shared" si="114"/>
        <v>0</v>
      </c>
      <c r="AR50" s="62">
        <f t="shared" si="114"/>
        <v>0</v>
      </c>
      <c r="AS50" s="62">
        <f t="shared" si="114"/>
        <v>0</v>
      </c>
      <c r="AT50" s="37">
        <f t="shared" si="114"/>
        <v>7978858</v>
      </c>
      <c r="AU50" s="40">
        <f t="shared" si="114"/>
        <v>-1444896</v>
      </c>
      <c r="AV50" s="40">
        <f t="shared" si="114"/>
        <v>3457529</v>
      </c>
      <c r="AW50" s="37">
        <f t="shared" si="114"/>
        <v>3443434</v>
      </c>
      <c r="AX50" s="72">
        <f t="shared" si="114"/>
        <v>2484000</v>
      </c>
      <c r="AY50" s="72">
        <f t="shared" si="114"/>
        <v>768308</v>
      </c>
      <c r="AZ50" s="72">
        <f t="shared" si="114"/>
        <v>191127</v>
      </c>
      <c r="BA50" s="72">
        <f t="shared" si="114"/>
        <v>14095</v>
      </c>
      <c r="BB50" s="40">
        <f t="shared" si="114"/>
        <v>0</v>
      </c>
      <c r="BC50" s="73">
        <f t="shared" si="114"/>
        <v>0</v>
      </c>
      <c r="BD50" s="73">
        <f t="shared" si="114"/>
        <v>0</v>
      </c>
      <c r="BE50" s="40">
        <f t="shared" si="114"/>
        <v>0</v>
      </c>
      <c r="BF50" s="74">
        <f t="shared" si="114"/>
        <v>0</v>
      </c>
      <c r="BG50" s="74">
        <f t="shared" si="114"/>
        <v>0</v>
      </c>
      <c r="BH50" s="40">
        <f t="shared" si="114"/>
        <v>2763</v>
      </c>
      <c r="BI50" s="79">
        <f t="shared" si="114"/>
        <v>2752</v>
      </c>
      <c r="BJ50" s="79">
        <f t="shared" si="114"/>
        <v>12</v>
      </c>
      <c r="BK50" s="40">
        <f t="shared" si="114"/>
        <v>75974</v>
      </c>
      <c r="BL50" s="60">
        <f t="shared" ref="BL50:DQ50" si="115">ROUNDUP(BL14,0)</f>
        <v>75674</v>
      </c>
      <c r="BM50" s="60">
        <f t="shared" si="115"/>
        <v>301</v>
      </c>
      <c r="BN50" s="76">
        <f t="shared" si="115"/>
        <v>0</v>
      </c>
      <c r="BO50" s="76">
        <f t="shared" si="115"/>
        <v>0</v>
      </c>
      <c r="BP50" s="38">
        <f t="shared" si="115"/>
        <v>417739</v>
      </c>
      <c r="BQ50" s="55">
        <f t="shared" si="115"/>
        <v>0</v>
      </c>
      <c r="BR50" s="77">
        <f t="shared" si="115"/>
        <v>0</v>
      </c>
      <c r="BS50" s="77">
        <f t="shared" si="115"/>
        <v>416741</v>
      </c>
      <c r="BT50" s="77">
        <f t="shared" si="115"/>
        <v>999</v>
      </c>
      <c r="BU50" s="54">
        <f t="shared" si="115"/>
        <v>0</v>
      </c>
      <c r="BV50" s="39">
        <f t="shared" si="115"/>
        <v>2221163</v>
      </c>
      <c r="BW50" s="57">
        <f t="shared" si="115"/>
        <v>0</v>
      </c>
      <c r="BX50" s="57">
        <f t="shared" si="115"/>
        <v>2215041</v>
      </c>
      <c r="BY50" s="57">
        <f t="shared" si="115"/>
        <v>6123</v>
      </c>
      <c r="BZ50" s="56">
        <f t="shared" si="115"/>
        <v>0</v>
      </c>
      <c r="CA50" s="40">
        <f t="shared" si="115"/>
        <v>358797</v>
      </c>
      <c r="CB50" s="36">
        <f t="shared" si="115"/>
        <v>357418</v>
      </c>
      <c r="CC50" s="62">
        <f t="shared" si="115"/>
        <v>130929</v>
      </c>
      <c r="CD50" s="62">
        <f t="shared" si="115"/>
        <v>119789</v>
      </c>
      <c r="CE50" s="62">
        <f t="shared" si="115"/>
        <v>41691</v>
      </c>
      <c r="CF50" s="62">
        <f t="shared" si="115"/>
        <v>9294</v>
      </c>
      <c r="CG50" s="62">
        <f t="shared" si="115"/>
        <v>2791</v>
      </c>
      <c r="CH50" s="86">
        <f t="shared" si="115"/>
        <v>52926</v>
      </c>
      <c r="CI50" s="86">
        <f t="shared" si="115"/>
        <v>1379</v>
      </c>
      <c r="CJ50" s="62">
        <f t="shared" si="115"/>
        <v>0</v>
      </c>
      <c r="CK50" s="62">
        <f t="shared" si="115"/>
        <v>0</v>
      </c>
      <c r="CL50" s="62">
        <f t="shared" si="115"/>
        <v>0</v>
      </c>
      <c r="CM50" s="37">
        <f t="shared" si="115"/>
        <v>6533963</v>
      </c>
      <c r="CN50" s="4"/>
      <c r="CO50" s="45">
        <f t="shared" si="115"/>
        <v>-3323154</v>
      </c>
      <c r="CP50" s="46">
        <f t="shared" si="115"/>
        <v>-3337249</v>
      </c>
      <c r="CQ50" s="46">
        <f t="shared" si="115"/>
        <v>-3108366</v>
      </c>
      <c r="CR50" s="46">
        <f t="shared" si="115"/>
        <v>-181754</v>
      </c>
      <c r="CS50" s="46">
        <f t="shared" si="115"/>
        <v>-47130</v>
      </c>
      <c r="CT50" s="46">
        <f t="shared" si="115"/>
        <v>14095</v>
      </c>
      <c r="CU50" s="45">
        <f t="shared" si="115"/>
        <v>-6193</v>
      </c>
      <c r="CV50" s="46">
        <f t="shared" si="115"/>
        <v>-6193</v>
      </c>
      <c r="CW50" s="46">
        <f t="shared" si="115"/>
        <v>0</v>
      </c>
      <c r="CX50" s="45">
        <f t="shared" si="115"/>
        <v>-35897</v>
      </c>
      <c r="CY50" s="46">
        <f t="shared" si="115"/>
        <v>-35897</v>
      </c>
      <c r="CZ50" s="46">
        <f t="shared" si="115"/>
        <v>0</v>
      </c>
      <c r="DA50" s="45">
        <f t="shared" si="115"/>
        <v>-245</v>
      </c>
      <c r="DB50" s="46">
        <f t="shared" si="115"/>
        <v>-248</v>
      </c>
      <c r="DC50" s="46">
        <f t="shared" si="115"/>
        <v>3</v>
      </c>
      <c r="DD50" s="45">
        <f t="shared" si="115"/>
        <v>-7650</v>
      </c>
      <c r="DE50" s="47">
        <f t="shared" si="115"/>
        <v>-7726</v>
      </c>
      <c r="DF50" s="47">
        <f t="shared" si="115"/>
        <v>77</v>
      </c>
      <c r="DG50" s="48">
        <f t="shared" si="115"/>
        <v>0</v>
      </c>
      <c r="DH50" s="46">
        <f t="shared" si="115"/>
        <v>0</v>
      </c>
      <c r="DI50" s="49">
        <f t="shared" si="115"/>
        <v>145017</v>
      </c>
      <c r="DJ50" s="47">
        <f t="shared" si="115"/>
        <v>-268809</v>
      </c>
      <c r="DK50" s="46">
        <f t="shared" si="115"/>
        <v>-3915</v>
      </c>
      <c r="DL50" s="46">
        <f t="shared" si="115"/>
        <v>416741</v>
      </c>
      <c r="DM50" s="46">
        <f t="shared" si="115"/>
        <v>999</v>
      </c>
      <c r="DN50" s="46">
        <f t="shared" si="115"/>
        <v>0</v>
      </c>
      <c r="DO50" s="50">
        <f t="shared" si="115"/>
        <v>1424429</v>
      </c>
      <c r="DP50" s="47">
        <f t="shared" si="115"/>
        <v>-796734</v>
      </c>
      <c r="DQ50" s="47">
        <f t="shared" si="115"/>
        <v>2215041</v>
      </c>
      <c r="DR50" s="46">
        <f t="shared" ref="DR50:EF50" si="116">ROUNDUP(DR14,0)</f>
        <v>6123</v>
      </c>
      <c r="DS50" s="46">
        <f t="shared" si="116"/>
        <v>0</v>
      </c>
      <c r="DT50" s="45">
        <f t="shared" si="116"/>
        <v>358797</v>
      </c>
      <c r="DU50" s="47">
        <f t="shared" si="116"/>
        <v>357418</v>
      </c>
      <c r="DV50" s="47">
        <f t="shared" si="116"/>
        <v>130929</v>
      </c>
      <c r="DW50" s="47">
        <f t="shared" si="116"/>
        <v>119789</v>
      </c>
      <c r="DX50" s="47">
        <f t="shared" si="116"/>
        <v>41691</v>
      </c>
      <c r="DY50" s="47">
        <f t="shared" si="116"/>
        <v>9294</v>
      </c>
      <c r="DZ50" s="47">
        <f t="shared" si="116"/>
        <v>2791</v>
      </c>
      <c r="EA50" s="47">
        <f t="shared" si="116"/>
        <v>52926</v>
      </c>
      <c r="EB50" s="47">
        <f t="shared" si="116"/>
        <v>1379</v>
      </c>
      <c r="EC50" s="47">
        <f t="shared" si="116"/>
        <v>0</v>
      </c>
      <c r="ED50" s="47">
        <f t="shared" si="116"/>
        <v>0</v>
      </c>
      <c r="EE50" s="47">
        <f t="shared" si="116"/>
        <v>0</v>
      </c>
      <c r="EF50" s="46">
        <f t="shared" si="116"/>
        <v>-1444896</v>
      </c>
    </row>
    <row r="51" spans="1:136" ht="15" customHeight="1" x14ac:dyDescent="0.3">
      <c r="A51" s="24">
        <f t="shared" si="95"/>
        <v>10</v>
      </c>
      <c r="B51" s="26">
        <v>2033</v>
      </c>
      <c r="C51" s="40">
        <f t="shared" ref="C51:BK51" si="117">ROUNDUP(C15,0)</f>
        <v>6780683</v>
      </c>
      <c r="D51" s="37">
        <f t="shared" si="117"/>
        <v>6780683</v>
      </c>
      <c r="E51" s="72">
        <f t="shared" si="117"/>
        <v>5592366</v>
      </c>
      <c r="F51" s="72">
        <f t="shared" si="117"/>
        <v>950061</v>
      </c>
      <c r="G51" s="72">
        <f t="shared" si="117"/>
        <v>238256</v>
      </c>
      <c r="H51" s="72">
        <f t="shared" si="117"/>
        <v>0</v>
      </c>
      <c r="I51" s="40">
        <f t="shared" si="117"/>
        <v>6193</v>
      </c>
      <c r="J51" s="81">
        <f t="shared" si="117"/>
        <v>6193</v>
      </c>
      <c r="K51" s="73">
        <f t="shared" si="117"/>
        <v>0</v>
      </c>
      <c r="L51" s="40">
        <f t="shared" si="117"/>
        <v>35897</v>
      </c>
      <c r="M51" s="82">
        <f t="shared" si="117"/>
        <v>35897</v>
      </c>
      <c r="N51" s="74">
        <f t="shared" si="117"/>
        <v>0</v>
      </c>
      <c r="O51" s="40">
        <f t="shared" si="117"/>
        <v>3007</v>
      </c>
      <c r="P51" s="75">
        <f t="shared" si="117"/>
        <v>2999</v>
      </c>
      <c r="Q51" s="75">
        <f t="shared" si="117"/>
        <v>9</v>
      </c>
      <c r="R51" s="40">
        <f t="shared" si="117"/>
        <v>83623</v>
      </c>
      <c r="S51" s="60">
        <f t="shared" si="117"/>
        <v>83399</v>
      </c>
      <c r="T51" s="60">
        <f t="shared" si="117"/>
        <v>225</v>
      </c>
      <c r="U51" s="76">
        <f t="shared" si="117"/>
        <v>0</v>
      </c>
      <c r="V51" s="76">
        <f t="shared" si="117"/>
        <v>0</v>
      </c>
      <c r="W51" s="38">
        <f t="shared" si="117"/>
        <v>272723</v>
      </c>
      <c r="X51" s="55">
        <f t="shared" si="117"/>
        <v>268809</v>
      </c>
      <c r="Y51" s="77">
        <f t="shared" si="117"/>
        <v>3915</v>
      </c>
      <c r="Z51" s="55">
        <f t="shared" si="117"/>
        <v>0</v>
      </c>
      <c r="AA51" s="77">
        <f t="shared" si="117"/>
        <v>0</v>
      </c>
      <c r="AB51" s="77">
        <f t="shared" si="117"/>
        <v>0</v>
      </c>
      <c r="AC51" s="39">
        <f t="shared" si="117"/>
        <v>796734</v>
      </c>
      <c r="AD51" s="57">
        <f t="shared" si="117"/>
        <v>796734</v>
      </c>
      <c r="AE51" s="58">
        <f t="shared" si="117"/>
        <v>0</v>
      </c>
      <c r="AF51" s="58">
        <f t="shared" si="117"/>
        <v>0</v>
      </c>
      <c r="AG51" s="58">
        <f t="shared" si="117"/>
        <v>0</v>
      </c>
      <c r="AH51" s="40">
        <f t="shared" si="117"/>
        <v>0</v>
      </c>
      <c r="AI51" s="36">
        <f t="shared" si="117"/>
        <v>0</v>
      </c>
      <c r="AJ51" s="78">
        <f t="shared" si="117"/>
        <v>0</v>
      </c>
      <c r="AK51" s="78">
        <f t="shared" si="117"/>
        <v>0</v>
      </c>
      <c r="AL51" s="78">
        <f t="shared" si="117"/>
        <v>0</v>
      </c>
      <c r="AM51" s="78">
        <f t="shared" si="117"/>
        <v>0</v>
      </c>
      <c r="AN51" s="78">
        <f t="shared" si="117"/>
        <v>0</v>
      </c>
      <c r="AO51" s="78">
        <f t="shared" si="117"/>
        <v>0</v>
      </c>
      <c r="AP51" s="78">
        <f t="shared" si="117"/>
        <v>0</v>
      </c>
      <c r="AQ51" s="62">
        <f t="shared" si="117"/>
        <v>0</v>
      </c>
      <c r="AR51" s="62">
        <f t="shared" si="117"/>
        <v>0</v>
      </c>
      <c r="AS51" s="62">
        <f t="shared" si="117"/>
        <v>0</v>
      </c>
      <c r="AT51" s="37">
        <f t="shared" si="117"/>
        <v>7978858</v>
      </c>
      <c r="AU51" s="40">
        <f t="shared" si="117"/>
        <v>-1444896</v>
      </c>
      <c r="AV51" s="40">
        <f t="shared" si="117"/>
        <v>3457529</v>
      </c>
      <c r="AW51" s="37">
        <f t="shared" si="117"/>
        <v>3443434</v>
      </c>
      <c r="AX51" s="72">
        <f t="shared" si="117"/>
        <v>2484000</v>
      </c>
      <c r="AY51" s="72">
        <f t="shared" si="117"/>
        <v>768308</v>
      </c>
      <c r="AZ51" s="72">
        <f t="shared" si="117"/>
        <v>191127</v>
      </c>
      <c r="BA51" s="72">
        <f t="shared" si="117"/>
        <v>14095</v>
      </c>
      <c r="BB51" s="40">
        <f t="shared" si="117"/>
        <v>0</v>
      </c>
      <c r="BC51" s="73">
        <f t="shared" si="117"/>
        <v>0</v>
      </c>
      <c r="BD51" s="73">
        <f t="shared" si="117"/>
        <v>0</v>
      </c>
      <c r="BE51" s="40">
        <f t="shared" si="117"/>
        <v>0</v>
      </c>
      <c r="BF51" s="74">
        <f t="shared" si="117"/>
        <v>0</v>
      </c>
      <c r="BG51" s="74">
        <f t="shared" si="117"/>
        <v>0</v>
      </c>
      <c r="BH51" s="40">
        <f t="shared" si="117"/>
        <v>2763</v>
      </c>
      <c r="BI51" s="79">
        <f t="shared" si="117"/>
        <v>2752</v>
      </c>
      <c r="BJ51" s="79">
        <f t="shared" si="117"/>
        <v>12</v>
      </c>
      <c r="BK51" s="40">
        <f t="shared" si="117"/>
        <v>75974</v>
      </c>
      <c r="BL51" s="60">
        <f t="shared" ref="BL51:DQ51" si="118">ROUNDUP(BL15,0)</f>
        <v>75674</v>
      </c>
      <c r="BM51" s="60">
        <f t="shared" si="118"/>
        <v>301</v>
      </c>
      <c r="BN51" s="76">
        <f t="shared" si="118"/>
        <v>0</v>
      </c>
      <c r="BO51" s="76">
        <f t="shared" si="118"/>
        <v>0</v>
      </c>
      <c r="BP51" s="38">
        <f t="shared" si="118"/>
        <v>417739</v>
      </c>
      <c r="BQ51" s="55">
        <f t="shared" si="118"/>
        <v>0</v>
      </c>
      <c r="BR51" s="77">
        <f t="shared" si="118"/>
        <v>0</v>
      </c>
      <c r="BS51" s="77">
        <f t="shared" si="118"/>
        <v>416741</v>
      </c>
      <c r="BT51" s="77">
        <f t="shared" si="118"/>
        <v>999</v>
      </c>
      <c r="BU51" s="54">
        <f t="shared" si="118"/>
        <v>0</v>
      </c>
      <c r="BV51" s="39">
        <f t="shared" si="118"/>
        <v>2221163</v>
      </c>
      <c r="BW51" s="57">
        <f t="shared" si="118"/>
        <v>0</v>
      </c>
      <c r="BX51" s="57">
        <f t="shared" si="118"/>
        <v>2215041</v>
      </c>
      <c r="BY51" s="57">
        <f t="shared" si="118"/>
        <v>6123</v>
      </c>
      <c r="BZ51" s="56">
        <f t="shared" si="118"/>
        <v>0</v>
      </c>
      <c r="CA51" s="40">
        <f t="shared" si="118"/>
        <v>358797</v>
      </c>
      <c r="CB51" s="36">
        <f t="shared" si="118"/>
        <v>357418</v>
      </c>
      <c r="CC51" s="62">
        <f t="shared" si="118"/>
        <v>130929</v>
      </c>
      <c r="CD51" s="62">
        <f t="shared" si="118"/>
        <v>119789</v>
      </c>
      <c r="CE51" s="62">
        <f t="shared" si="118"/>
        <v>41691</v>
      </c>
      <c r="CF51" s="62">
        <f t="shared" si="118"/>
        <v>9294</v>
      </c>
      <c r="CG51" s="62">
        <f t="shared" si="118"/>
        <v>2791</v>
      </c>
      <c r="CH51" s="86">
        <f t="shared" si="118"/>
        <v>52926</v>
      </c>
      <c r="CI51" s="86">
        <f t="shared" si="118"/>
        <v>1379</v>
      </c>
      <c r="CJ51" s="62">
        <f t="shared" si="118"/>
        <v>0</v>
      </c>
      <c r="CK51" s="62">
        <f t="shared" si="118"/>
        <v>0</v>
      </c>
      <c r="CL51" s="62">
        <f t="shared" si="118"/>
        <v>0</v>
      </c>
      <c r="CM51" s="37">
        <f t="shared" si="118"/>
        <v>6533963</v>
      </c>
      <c r="CN51" s="4"/>
      <c r="CO51" s="45">
        <f t="shared" si="118"/>
        <v>-3323154</v>
      </c>
      <c r="CP51" s="46">
        <f t="shared" si="118"/>
        <v>-3337249</v>
      </c>
      <c r="CQ51" s="46">
        <f t="shared" si="118"/>
        <v>-3108366</v>
      </c>
      <c r="CR51" s="46">
        <f t="shared" si="118"/>
        <v>-181754</v>
      </c>
      <c r="CS51" s="46">
        <f t="shared" si="118"/>
        <v>-47130</v>
      </c>
      <c r="CT51" s="46">
        <f t="shared" si="118"/>
        <v>14095</v>
      </c>
      <c r="CU51" s="45">
        <f t="shared" si="118"/>
        <v>-6193</v>
      </c>
      <c r="CV51" s="46">
        <f t="shared" si="118"/>
        <v>-6193</v>
      </c>
      <c r="CW51" s="46">
        <f t="shared" si="118"/>
        <v>0</v>
      </c>
      <c r="CX51" s="45">
        <f t="shared" si="118"/>
        <v>-35897</v>
      </c>
      <c r="CY51" s="46">
        <f t="shared" si="118"/>
        <v>-35897</v>
      </c>
      <c r="CZ51" s="46">
        <f t="shared" si="118"/>
        <v>0</v>
      </c>
      <c r="DA51" s="45">
        <f t="shared" si="118"/>
        <v>-245</v>
      </c>
      <c r="DB51" s="46">
        <f t="shared" si="118"/>
        <v>-248</v>
      </c>
      <c r="DC51" s="46">
        <f t="shared" si="118"/>
        <v>3</v>
      </c>
      <c r="DD51" s="45">
        <f t="shared" si="118"/>
        <v>-7650</v>
      </c>
      <c r="DE51" s="47">
        <f t="shared" si="118"/>
        <v>-7726</v>
      </c>
      <c r="DF51" s="47">
        <f t="shared" si="118"/>
        <v>77</v>
      </c>
      <c r="DG51" s="48">
        <f t="shared" si="118"/>
        <v>0</v>
      </c>
      <c r="DH51" s="46">
        <f t="shared" si="118"/>
        <v>0</v>
      </c>
      <c r="DI51" s="49">
        <f t="shared" si="118"/>
        <v>145017</v>
      </c>
      <c r="DJ51" s="47">
        <f t="shared" si="118"/>
        <v>-268809</v>
      </c>
      <c r="DK51" s="46">
        <f t="shared" si="118"/>
        <v>-3915</v>
      </c>
      <c r="DL51" s="46">
        <f t="shared" si="118"/>
        <v>416741</v>
      </c>
      <c r="DM51" s="46">
        <f t="shared" si="118"/>
        <v>999</v>
      </c>
      <c r="DN51" s="46">
        <f t="shared" si="118"/>
        <v>0</v>
      </c>
      <c r="DO51" s="50">
        <f t="shared" si="118"/>
        <v>1424429</v>
      </c>
      <c r="DP51" s="47">
        <f t="shared" si="118"/>
        <v>-796734</v>
      </c>
      <c r="DQ51" s="47">
        <f t="shared" si="118"/>
        <v>2215041</v>
      </c>
      <c r="DR51" s="46">
        <f t="shared" ref="DR51:EF51" si="119">ROUNDUP(DR15,0)</f>
        <v>6123</v>
      </c>
      <c r="DS51" s="46">
        <f t="shared" si="119"/>
        <v>0</v>
      </c>
      <c r="DT51" s="45">
        <f t="shared" si="119"/>
        <v>358797</v>
      </c>
      <c r="DU51" s="47">
        <f t="shared" si="119"/>
        <v>357418</v>
      </c>
      <c r="DV51" s="47">
        <f t="shared" si="119"/>
        <v>130929</v>
      </c>
      <c r="DW51" s="47">
        <f t="shared" si="119"/>
        <v>119789</v>
      </c>
      <c r="DX51" s="47">
        <f t="shared" si="119"/>
        <v>41691</v>
      </c>
      <c r="DY51" s="47">
        <f t="shared" si="119"/>
        <v>9294</v>
      </c>
      <c r="DZ51" s="47">
        <f t="shared" si="119"/>
        <v>2791</v>
      </c>
      <c r="EA51" s="47">
        <f t="shared" si="119"/>
        <v>52926</v>
      </c>
      <c r="EB51" s="47">
        <f t="shared" si="119"/>
        <v>1379</v>
      </c>
      <c r="EC51" s="47">
        <f t="shared" si="119"/>
        <v>0</v>
      </c>
      <c r="ED51" s="47">
        <f t="shared" si="119"/>
        <v>0</v>
      </c>
      <c r="EE51" s="47">
        <f t="shared" si="119"/>
        <v>0</v>
      </c>
      <c r="EF51" s="46">
        <f t="shared" si="119"/>
        <v>-1444896</v>
      </c>
    </row>
    <row r="52" spans="1:136" ht="15" customHeight="1" x14ac:dyDescent="0.3">
      <c r="A52" s="24">
        <f t="shared" si="95"/>
        <v>11</v>
      </c>
      <c r="B52" s="26">
        <v>2034</v>
      </c>
      <c r="C52" s="40">
        <f t="shared" ref="C52:BK52" si="120">ROUNDUP(C16,0)</f>
        <v>6780683</v>
      </c>
      <c r="D52" s="37">
        <f t="shared" si="120"/>
        <v>6780683</v>
      </c>
      <c r="E52" s="72">
        <f t="shared" si="120"/>
        <v>5592366</v>
      </c>
      <c r="F52" s="72">
        <f t="shared" si="120"/>
        <v>950061</v>
      </c>
      <c r="G52" s="72">
        <f t="shared" si="120"/>
        <v>238256</v>
      </c>
      <c r="H52" s="72">
        <f t="shared" si="120"/>
        <v>0</v>
      </c>
      <c r="I52" s="40">
        <f t="shared" si="120"/>
        <v>6193</v>
      </c>
      <c r="J52" s="81">
        <f t="shared" si="120"/>
        <v>6193</v>
      </c>
      <c r="K52" s="73">
        <f t="shared" si="120"/>
        <v>0</v>
      </c>
      <c r="L52" s="40">
        <f t="shared" si="120"/>
        <v>35897</v>
      </c>
      <c r="M52" s="82">
        <f t="shared" si="120"/>
        <v>35897</v>
      </c>
      <c r="N52" s="74">
        <f t="shared" si="120"/>
        <v>0</v>
      </c>
      <c r="O52" s="40">
        <f t="shared" si="120"/>
        <v>3007</v>
      </c>
      <c r="P52" s="75">
        <f t="shared" si="120"/>
        <v>2999</v>
      </c>
      <c r="Q52" s="75">
        <f t="shared" si="120"/>
        <v>9</v>
      </c>
      <c r="R52" s="40">
        <f t="shared" si="120"/>
        <v>83623</v>
      </c>
      <c r="S52" s="60">
        <f t="shared" si="120"/>
        <v>83399</v>
      </c>
      <c r="T52" s="60">
        <f t="shared" si="120"/>
        <v>225</v>
      </c>
      <c r="U52" s="76">
        <f t="shared" si="120"/>
        <v>0</v>
      </c>
      <c r="V52" s="76">
        <f t="shared" si="120"/>
        <v>0</v>
      </c>
      <c r="W52" s="38">
        <f t="shared" si="120"/>
        <v>272723</v>
      </c>
      <c r="X52" s="55">
        <f t="shared" si="120"/>
        <v>268809</v>
      </c>
      <c r="Y52" s="77">
        <f t="shared" si="120"/>
        <v>3915</v>
      </c>
      <c r="Z52" s="55">
        <f t="shared" si="120"/>
        <v>0</v>
      </c>
      <c r="AA52" s="77">
        <f t="shared" si="120"/>
        <v>0</v>
      </c>
      <c r="AB52" s="77">
        <f t="shared" si="120"/>
        <v>0</v>
      </c>
      <c r="AC52" s="39">
        <f t="shared" si="120"/>
        <v>796734</v>
      </c>
      <c r="AD52" s="57">
        <f t="shared" si="120"/>
        <v>796734</v>
      </c>
      <c r="AE52" s="58">
        <f t="shared" si="120"/>
        <v>0</v>
      </c>
      <c r="AF52" s="58">
        <f t="shared" si="120"/>
        <v>0</v>
      </c>
      <c r="AG52" s="58">
        <f t="shared" si="120"/>
        <v>0</v>
      </c>
      <c r="AH52" s="40">
        <f t="shared" si="120"/>
        <v>0</v>
      </c>
      <c r="AI52" s="36">
        <f t="shared" si="120"/>
        <v>0</v>
      </c>
      <c r="AJ52" s="78">
        <f t="shared" si="120"/>
        <v>0</v>
      </c>
      <c r="AK52" s="78">
        <f t="shared" si="120"/>
        <v>0</v>
      </c>
      <c r="AL52" s="78">
        <f t="shared" si="120"/>
        <v>0</v>
      </c>
      <c r="AM52" s="78">
        <f t="shared" si="120"/>
        <v>0</v>
      </c>
      <c r="AN52" s="78">
        <f t="shared" si="120"/>
        <v>0</v>
      </c>
      <c r="AO52" s="78">
        <f t="shared" si="120"/>
        <v>0</v>
      </c>
      <c r="AP52" s="78">
        <f t="shared" si="120"/>
        <v>0</v>
      </c>
      <c r="AQ52" s="62">
        <f t="shared" si="120"/>
        <v>0</v>
      </c>
      <c r="AR52" s="62">
        <f t="shared" si="120"/>
        <v>0</v>
      </c>
      <c r="AS52" s="62">
        <f t="shared" si="120"/>
        <v>0</v>
      </c>
      <c r="AT52" s="37">
        <f t="shared" si="120"/>
        <v>7978858</v>
      </c>
      <c r="AU52" s="40">
        <f t="shared" si="120"/>
        <v>-1444896</v>
      </c>
      <c r="AV52" s="40">
        <f t="shared" si="120"/>
        <v>3457529</v>
      </c>
      <c r="AW52" s="37">
        <f t="shared" si="120"/>
        <v>3443434</v>
      </c>
      <c r="AX52" s="72">
        <f t="shared" si="120"/>
        <v>2484000</v>
      </c>
      <c r="AY52" s="72">
        <f t="shared" si="120"/>
        <v>768308</v>
      </c>
      <c r="AZ52" s="72">
        <f t="shared" si="120"/>
        <v>191127</v>
      </c>
      <c r="BA52" s="72">
        <f t="shared" si="120"/>
        <v>14095</v>
      </c>
      <c r="BB52" s="40">
        <f t="shared" si="120"/>
        <v>0</v>
      </c>
      <c r="BC52" s="73">
        <f t="shared" si="120"/>
        <v>0</v>
      </c>
      <c r="BD52" s="73">
        <f t="shared" si="120"/>
        <v>0</v>
      </c>
      <c r="BE52" s="40">
        <f t="shared" si="120"/>
        <v>0</v>
      </c>
      <c r="BF52" s="74">
        <f t="shared" si="120"/>
        <v>0</v>
      </c>
      <c r="BG52" s="74">
        <f t="shared" si="120"/>
        <v>0</v>
      </c>
      <c r="BH52" s="40">
        <f t="shared" si="120"/>
        <v>2763</v>
      </c>
      <c r="BI52" s="79">
        <f t="shared" si="120"/>
        <v>2752</v>
      </c>
      <c r="BJ52" s="79">
        <f t="shared" si="120"/>
        <v>12</v>
      </c>
      <c r="BK52" s="40">
        <f t="shared" si="120"/>
        <v>75974</v>
      </c>
      <c r="BL52" s="60">
        <f t="shared" ref="BL52:DQ52" si="121">ROUNDUP(BL16,0)</f>
        <v>75674</v>
      </c>
      <c r="BM52" s="60">
        <f t="shared" si="121"/>
        <v>301</v>
      </c>
      <c r="BN52" s="76">
        <f t="shared" si="121"/>
        <v>0</v>
      </c>
      <c r="BO52" s="76">
        <f t="shared" si="121"/>
        <v>0</v>
      </c>
      <c r="BP52" s="38">
        <f t="shared" si="121"/>
        <v>417739</v>
      </c>
      <c r="BQ52" s="55">
        <f t="shared" si="121"/>
        <v>0</v>
      </c>
      <c r="BR52" s="77">
        <f t="shared" si="121"/>
        <v>0</v>
      </c>
      <c r="BS52" s="77">
        <f t="shared" si="121"/>
        <v>416741</v>
      </c>
      <c r="BT52" s="77">
        <f t="shared" si="121"/>
        <v>999</v>
      </c>
      <c r="BU52" s="54">
        <f t="shared" si="121"/>
        <v>0</v>
      </c>
      <c r="BV52" s="39">
        <f t="shared" si="121"/>
        <v>2221163</v>
      </c>
      <c r="BW52" s="57">
        <f t="shared" si="121"/>
        <v>0</v>
      </c>
      <c r="BX52" s="57">
        <f t="shared" si="121"/>
        <v>2215041</v>
      </c>
      <c r="BY52" s="57">
        <f t="shared" si="121"/>
        <v>6123</v>
      </c>
      <c r="BZ52" s="56">
        <f t="shared" si="121"/>
        <v>0</v>
      </c>
      <c r="CA52" s="40">
        <f t="shared" si="121"/>
        <v>358797</v>
      </c>
      <c r="CB52" s="36">
        <f t="shared" si="121"/>
        <v>357418</v>
      </c>
      <c r="CC52" s="62">
        <f t="shared" si="121"/>
        <v>130929</v>
      </c>
      <c r="CD52" s="62">
        <f t="shared" si="121"/>
        <v>119789</v>
      </c>
      <c r="CE52" s="62">
        <f t="shared" si="121"/>
        <v>41691</v>
      </c>
      <c r="CF52" s="62">
        <f t="shared" si="121"/>
        <v>9294</v>
      </c>
      <c r="CG52" s="62">
        <f t="shared" si="121"/>
        <v>2791</v>
      </c>
      <c r="CH52" s="86">
        <f t="shared" si="121"/>
        <v>52926</v>
      </c>
      <c r="CI52" s="86">
        <f t="shared" si="121"/>
        <v>1379</v>
      </c>
      <c r="CJ52" s="62">
        <f t="shared" si="121"/>
        <v>0</v>
      </c>
      <c r="CK52" s="62">
        <f t="shared" si="121"/>
        <v>0</v>
      </c>
      <c r="CL52" s="62">
        <f t="shared" si="121"/>
        <v>0</v>
      </c>
      <c r="CM52" s="37">
        <f t="shared" si="121"/>
        <v>6533963</v>
      </c>
      <c r="CN52" s="4"/>
      <c r="CO52" s="45">
        <f t="shared" si="121"/>
        <v>-3323154</v>
      </c>
      <c r="CP52" s="46">
        <f t="shared" si="121"/>
        <v>-3337249</v>
      </c>
      <c r="CQ52" s="46">
        <f t="shared" si="121"/>
        <v>-3108366</v>
      </c>
      <c r="CR52" s="46">
        <f t="shared" si="121"/>
        <v>-181754</v>
      </c>
      <c r="CS52" s="46">
        <f t="shared" si="121"/>
        <v>-47130</v>
      </c>
      <c r="CT52" s="46">
        <f t="shared" si="121"/>
        <v>14095</v>
      </c>
      <c r="CU52" s="45">
        <f t="shared" si="121"/>
        <v>-6193</v>
      </c>
      <c r="CV52" s="46">
        <f t="shared" si="121"/>
        <v>-6193</v>
      </c>
      <c r="CW52" s="46">
        <f t="shared" si="121"/>
        <v>0</v>
      </c>
      <c r="CX52" s="45">
        <f t="shared" si="121"/>
        <v>-35897</v>
      </c>
      <c r="CY52" s="46">
        <f t="shared" si="121"/>
        <v>-35897</v>
      </c>
      <c r="CZ52" s="46">
        <f t="shared" si="121"/>
        <v>0</v>
      </c>
      <c r="DA52" s="45">
        <f t="shared" si="121"/>
        <v>-245</v>
      </c>
      <c r="DB52" s="46">
        <f t="shared" si="121"/>
        <v>-248</v>
      </c>
      <c r="DC52" s="46">
        <f t="shared" si="121"/>
        <v>3</v>
      </c>
      <c r="DD52" s="45">
        <f t="shared" si="121"/>
        <v>-7650</v>
      </c>
      <c r="DE52" s="47">
        <f t="shared" si="121"/>
        <v>-7726</v>
      </c>
      <c r="DF52" s="47">
        <f t="shared" si="121"/>
        <v>77</v>
      </c>
      <c r="DG52" s="48">
        <f t="shared" si="121"/>
        <v>0</v>
      </c>
      <c r="DH52" s="46">
        <f t="shared" si="121"/>
        <v>0</v>
      </c>
      <c r="DI52" s="49">
        <f t="shared" si="121"/>
        <v>145017</v>
      </c>
      <c r="DJ52" s="47">
        <f t="shared" si="121"/>
        <v>-268809</v>
      </c>
      <c r="DK52" s="46">
        <f t="shared" si="121"/>
        <v>-3915</v>
      </c>
      <c r="DL52" s="46">
        <f t="shared" si="121"/>
        <v>416741</v>
      </c>
      <c r="DM52" s="46">
        <f t="shared" si="121"/>
        <v>999</v>
      </c>
      <c r="DN52" s="46">
        <f t="shared" si="121"/>
        <v>0</v>
      </c>
      <c r="DO52" s="50">
        <f t="shared" si="121"/>
        <v>1424429</v>
      </c>
      <c r="DP52" s="47">
        <f t="shared" si="121"/>
        <v>-796734</v>
      </c>
      <c r="DQ52" s="47">
        <f t="shared" si="121"/>
        <v>2215041</v>
      </c>
      <c r="DR52" s="46">
        <f t="shared" ref="DR52:EF52" si="122">ROUNDUP(DR16,0)</f>
        <v>6123</v>
      </c>
      <c r="DS52" s="46">
        <f t="shared" si="122"/>
        <v>0</v>
      </c>
      <c r="DT52" s="45">
        <f t="shared" si="122"/>
        <v>358797</v>
      </c>
      <c r="DU52" s="47">
        <f t="shared" si="122"/>
        <v>357418</v>
      </c>
      <c r="DV52" s="47">
        <f t="shared" si="122"/>
        <v>130929</v>
      </c>
      <c r="DW52" s="47">
        <f t="shared" si="122"/>
        <v>119789</v>
      </c>
      <c r="DX52" s="47">
        <f t="shared" si="122"/>
        <v>41691</v>
      </c>
      <c r="DY52" s="47">
        <f t="shared" si="122"/>
        <v>9294</v>
      </c>
      <c r="DZ52" s="47">
        <f t="shared" si="122"/>
        <v>2791</v>
      </c>
      <c r="EA52" s="47">
        <f t="shared" si="122"/>
        <v>52926</v>
      </c>
      <c r="EB52" s="47">
        <f t="shared" si="122"/>
        <v>1379</v>
      </c>
      <c r="EC52" s="47">
        <f t="shared" si="122"/>
        <v>0</v>
      </c>
      <c r="ED52" s="47">
        <f t="shared" si="122"/>
        <v>0</v>
      </c>
      <c r="EE52" s="47">
        <f t="shared" si="122"/>
        <v>0</v>
      </c>
      <c r="EF52" s="46">
        <f t="shared" si="122"/>
        <v>-1444896</v>
      </c>
    </row>
    <row r="53" spans="1:136" ht="15" customHeight="1" x14ac:dyDescent="0.3">
      <c r="A53" s="24">
        <f t="shared" si="95"/>
        <v>12</v>
      </c>
      <c r="B53" s="26">
        <v>2035</v>
      </c>
      <c r="C53" s="40">
        <f t="shared" ref="C53:BK53" si="123">ROUNDUP(C17,0)</f>
        <v>6780683</v>
      </c>
      <c r="D53" s="37">
        <f t="shared" si="123"/>
        <v>6780683</v>
      </c>
      <c r="E53" s="72">
        <f t="shared" si="123"/>
        <v>5592366</v>
      </c>
      <c r="F53" s="72">
        <f t="shared" si="123"/>
        <v>950061</v>
      </c>
      <c r="G53" s="72">
        <f t="shared" si="123"/>
        <v>238256</v>
      </c>
      <c r="H53" s="72">
        <f t="shared" si="123"/>
        <v>0</v>
      </c>
      <c r="I53" s="40">
        <f t="shared" si="123"/>
        <v>6193</v>
      </c>
      <c r="J53" s="81">
        <f t="shared" si="123"/>
        <v>6193</v>
      </c>
      <c r="K53" s="73">
        <f t="shared" si="123"/>
        <v>0</v>
      </c>
      <c r="L53" s="40">
        <f t="shared" si="123"/>
        <v>35897</v>
      </c>
      <c r="M53" s="82">
        <f t="shared" si="123"/>
        <v>35897</v>
      </c>
      <c r="N53" s="74">
        <f t="shared" si="123"/>
        <v>0</v>
      </c>
      <c r="O53" s="40">
        <f t="shared" si="123"/>
        <v>3007</v>
      </c>
      <c r="P53" s="75">
        <f t="shared" si="123"/>
        <v>2999</v>
      </c>
      <c r="Q53" s="75">
        <f t="shared" si="123"/>
        <v>9</v>
      </c>
      <c r="R53" s="40">
        <f t="shared" si="123"/>
        <v>83623</v>
      </c>
      <c r="S53" s="60">
        <f t="shared" si="123"/>
        <v>83399</v>
      </c>
      <c r="T53" s="60">
        <f t="shared" si="123"/>
        <v>225</v>
      </c>
      <c r="U53" s="76">
        <f t="shared" si="123"/>
        <v>0</v>
      </c>
      <c r="V53" s="76">
        <f t="shared" si="123"/>
        <v>0</v>
      </c>
      <c r="W53" s="38">
        <f t="shared" si="123"/>
        <v>272723</v>
      </c>
      <c r="X53" s="55">
        <f t="shared" si="123"/>
        <v>268809</v>
      </c>
      <c r="Y53" s="77">
        <f t="shared" si="123"/>
        <v>3915</v>
      </c>
      <c r="Z53" s="55">
        <f t="shared" si="123"/>
        <v>0</v>
      </c>
      <c r="AA53" s="77">
        <f t="shared" si="123"/>
        <v>0</v>
      </c>
      <c r="AB53" s="77">
        <f t="shared" si="123"/>
        <v>0</v>
      </c>
      <c r="AC53" s="39">
        <f t="shared" si="123"/>
        <v>796734</v>
      </c>
      <c r="AD53" s="57">
        <f t="shared" si="123"/>
        <v>796734</v>
      </c>
      <c r="AE53" s="58">
        <f t="shared" si="123"/>
        <v>0</v>
      </c>
      <c r="AF53" s="58">
        <f t="shared" si="123"/>
        <v>0</v>
      </c>
      <c r="AG53" s="58">
        <f t="shared" si="123"/>
        <v>0</v>
      </c>
      <c r="AH53" s="40">
        <f t="shared" si="123"/>
        <v>0</v>
      </c>
      <c r="AI53" s="36">
        <f t="shared" si="123"/>
        <v>0</v>
      </c>
      <c r="AJ53" s="78">
        <f t="shared" si="123"/>
        <v>0</v>
      </c>
      <c r="AK53" s="78">
        <f t="shared" si="123"/>
        <v>0</v>
      </c>
      <c r="AL53" s="78">
        <f t="shared" si="123"/>
        <v>0</v>
      </c>
      <c r="AM53" s="78">
        <f t="shared" si="123"/>
        <v>0</v>
      </c>
      <c r="AN53" s="78">
        <f t="shared" si="123"/>
        <v>0</v>
      </c>
      <c r="AO53" s="78">
        <f t="shared" si="123"/>
        <v>0</v>
      </c>
      <c r="AP53" s="78">
        <f t="shared" si="123"/>
        <v>0</v>
      </c>
      <c r="AQ53" s="62">
        <f t="shared" si="123"/>
        <v>0</v>
      </c>
      <c r="AR53" s="62">
        <f t="shared" si="123"/>
        <v>0</v>
      </c>
      <c r="AS53" s="62">
        <f t="shared" si="123"/>
        <v>0</v>
      </c>
      <c r="AT53" s="37">
        <f t="shared" si="123"/>
        <v>7978858</v>
      </c>
      <c r="AU53" s="40">
        <f t="shared" si="123"/>
        <v>-1499953</v>
      </c>
      <c r="AV53" s="40">
        <f t="shared" si="123"/>
        <v>3457529</v>
      </c>
      <c r="AW53" s="37">
        <f t="shared" si="123"/>
        <v>3443434</v>
      </c>
      <c r="AX53" s="72">
        <f t="shared" si="123"/>
        <v>2484000</v>
      </c>
      <c r="AY53" s="72">
        <f t="shared" si="123"/>
        <v>768308</v>
      </c>
      <c r="AZ53" s="72">
        <f t="shared" si="123"/>
        <v>191127</v>
      </c>
      <c r="BA53" s="72">
        <f t="shared" si="123"/>
        <v>14095</v>
      </c>
      <c r="BB53" s="40">
        <f t="shared" si="123"/>
        <v>0</v>
      </c>
      <c r="BC53" s="73">
        <f t="shared" si="123"/>
        <v>0</v>
      </c>
      <c r="BD53" s="73">
        <f t="shared" si="123"/>
        <v>0</v>
      </c>
      <c r="BE53" s="40">
        <f t="shared" si="123"/>
        <v>0</v>
      </c>
      <c r="BF53" s="74">
        <f t="shared" si="123"/>
        <v>0</v>
      </c>
      <c r="BG53" s="74">
        <f t="shared" si="123"/>
        <v>0</v>
      </c>
      <c r="BH53" s="40">
        <f t="shared" si="123"/>
        <v>2763</v>
      </c>
      <c r="BI53" s="79">
        <f t="shared" si="123"/>
        <v>2752</v>
      </c>
      <c r="BJ53" s="79">
        <f t="shared" si="123"/>
        <v>12</v>
      </c>
      <c r="BK53" s="40">
        <f t="shared" si="123"/>
        <v>75974</v>
      </c>
      <c r="BL53" s="60">
        <f t="shared" ref="BL53:DQ53" si="124">ROUNDUP(BL17,0)</f>
        <v>75674</v>
      </c>
      <c r="BM53" s="60">
        <f t="shared" si="124"/>
        <v>301</v>
      </c>
      <c r="BN53" s="76">
        <f t="shared" si="124"/>
        <v>0</v>
      </c>
      <c r="BO53" s="76">
        <f t="shared" si="124"/>
        <v>0</v>
      </c>
      <c r="BP53" s="38">
        <f t="shared" si="124"/>
        <v>362682</v>
      </c>
      <c r="BQ53" s="55">
        <f t="shared" si="124"/>
        <v>0</v>
      </c>
      <c r="BR53" s="77">
        <f t="shared" si="124"/>
        <v>0</v>
      </c>
      <c r="BS53" s="77">
        <f t="shared" si="124"/>
        <v>361683</v>
      </c>
      <c r="BT53" s="77">
        <f t="shared" si="124"/>
        <v>999</v>
      </c>
      <c r="BU53" s="54">
        <f t="shared" si="124"/>
        <v>0</v>
      </c>
      <c r="BV53" s="39">
        <f t="shared" si="124"/>
        <v>2221163</v>
      </c>
      <c r="BW53" s="57">
        <f t="shared" si="124"/>
        <v>0</v>
      </c>
      <c r="BX53" s="57">
        <f t="shared" si="124"/>
        <v>2215041</v>
      </c>
      <c r="BY53" s="57">
        <f t="shared" si="124"/>
        <v>6123</v>
      </c>
      <c r="BZ53" s="56">
        <f t="shared" si="124"/>
        <v>0</v>
      </c>
      <c r="CA53" s="40">
        <f t="shared" si="124"/>
        <v>358797</v>
      </c>
      <c r="CB53" s="36">
        <f t="shared" si="124"/>
        <v>357418</v>
      </c>
      <c r="CC53" s="62">
        <f t="shared" si="124"/>
        <v>130929</v>
      </c>
      <c r="CD53" s="62">
        <f t="shared" si="124"/>
        <v>119789</v>
      </c>
      <c r="CE53" s="62">
        <f t="shared" si="124"/>
        <v>41691</v>
      </c>
      <c r="CF53" s="62">
        <f t="shared" si="124"/>
        <v>9294</v>
      </c>
      <c r="CG53" s="62">
        <f t="shared" si="124"/>
        <v>2791</v>
      </c>
      <c r="CH53" s="86">
        <f t="shared" si="124"/>
        <v>52926</v>
      </c>
      <c r="CI53" s="86">
        <f t="shared" si="124"/>
        <v>1379</v>
      </c>
      <c r="CJ53" s="62">
        <f t="shared" si="124"/>
        <v>0</v>
      </c>
      <c r="CK53" s="62">
        <f t="shared" si="124"/>
        <v>0</v>
      </c>
      <c r="CL53" s="62">
        <f t="shared" si="124"/>
        <v>0</v>
      </c>
      <c r="CM53" s="37">
        <f t="shared" si="124"/>
        <v>6478906</v>
      </c>
      <c r="CN53" s="4"/>
      <c r="CO53" s="45">
        <f t="shared" si="124"/>
        <v>-3323154</v>
      </c>
      <c r="CP53" s="46">
        <f t="shared" si="124"/>
        <v>-3337249</v>
      </c>
      <c r="CQ53" s="46">
        <f t="shared" si="124"/>
        <v>-3108366</v>
      </c>
      <c r="CR53" s="46">
        <f t="shared" si="124"/>
        <v>-181754</v>
      </c>
      <c r="CS53" s="46">
        <f t="shared" si="124"/>
        <v>-47130</v>
      </c>
      <c r="CT53" s="46">
        <f t="shared" si="124"/>
        <v>14095</v>
      </c>
      <c r="CU53" s="45">
        <f t="shared" si="124"/>
        <v>-6193</v>
      </c>
      <c r="CV53" s="46">
        <f t="shared" si="124"/>
        <v>-6193</v>
      </c>
      <c r="CW53" s="46">
        <f t="shared" si="124"/>
        <v>0</v>
      </c>
      <c r="CX53" s="45">
        <f t="shared" si="124"/>
        <v>-35897</v>
      </c>
      <c r="CY53" s="46">
        <f t="shared" si="124"/>
        <v>-35897</v>
      </c>
      <c r="CZ53" s="46">
        <f t="shared" si="124"/>
        <v>0</v>
      </c>
      <c r="DA53" s="45">
        <f t="shared" si="124"/>
        <v>-245</v>
      </c>
      <c r="DB53" s="46">
        <f t="shared" si="124"/>
        <v>-248</v>
      </c>
      <c r="DC53" s="46">
        <f t="shared" si="124"/>
        <v>3</v>
      </c>
      <c r="DD53" s="45">
        <f t="shared" si="124"/>
        <v>-7650</v>
      </c>
      <c r="DE53" s="47">
        <f t="shared" si="124"/>
        <v>-7726</v>
      </c>
      <c r="DF53" s="47">
        <f t="shared" si="124"/>
        <v>77</v>
      </c>
      <c r="DG53" s="48">
        <f t="shared" si="124"/>
        <v>0</v>
      </c>
      <c r="DH53" s="46">
        <f t="shared" si="124"/>
        <v>0</v>
      </c>
      <c r="DI53" s="49">
        <f t="shared" si="124"/>
        <v>89960</v>
      </c>
      <c r="DJ53" s="47">
        <f t="shared" si="124"/>
        <v>-268809</v>
      </c>
      <c r="DK53" s="46">
        <f t="shared" si="124"/>
        <v>-3915</v>
      </c>
      <c r="DL53" s="46">
        <f t="shared" si="124"/>
        <v>361683</v>
      </c>
      <c r="DM53" s="46">
        <f t="shared" si="124"/>
        <v>999</v>
      </c>
      <c r="DN53" s="46">
        <f t="shared" si="124"/>
        <v>0</v>
      </c>
      <c r="DO53" s="50">
        <f t="shared" si="124"/>
        <v>1424429</v>
      </c>
      <c r="DP53" s="47">
        <f t="shared" si="124"/>
        <v>-796734</v>
      </c>
      <c r="DQ53" s="47">
        <f t="shared" si="124"/>
        <v>2215041</v>
      </c>
      <c r="DR53" s="46">
        <f t="shared" ref="DR53:EF53" si="125">ROUNDUP(DR17,0)</f>
        <v>6123</v>
      </c>
      <c r="DS53" s="46">
        <f t="shared" si="125"/>
        <v>0</v>
      </c>
      <c r="DT53" s="45">
        <f t="shared" si="125"/>
        <v>358797</v>
      </c>
      <c r="DU53" s="47">
        <f t="shared" si="125"/>
        <v>357418</v>
      </c>
      <c r="DV53" s="47">
        <f t="shared" si="125"/>
        <v>130929</v>
      </c>
      <c r="DW53" s="47">
        <f t="shared" si="125"/>
        <v>119789</v>
      </c>
      <c r="DX53" s="47">
        <f t="shared" si="125"/>
        <v>41691</v>
      </c>
      <c r="DY53" s="47">
        <f t="shared" si="125"/>
        <v>9294</v>
      </c>
      <c r="DZ53" s="47">
        <f t="shared" si="125"/>
        <v>2791</v>
      </c>
      <c r="EA53" s="47">
        <f t="shared" si="125"/>
        <v>52926</v>
      </c>
      <c r="EB53" s="47">
        <f t="shared" si="125"/>
        <v>1379</v>
      </c>
      <c r="EC53" s="47">
        <f t="shared" si="125"/>
        <v>0</v>
      </c>
      <c r="ED53" s="47">
        <f t="shared" si="125"/>
        <v>0</v>
      </c>
      <c r="EE53" s="47">
        <f t="shared" si="125"/>
        <v>0</v>
      </c>
      <c r="EF53" s="46">
        <f t="shared" si="125"/>
        <v>-1499953</v>
      </c>
    </row>
    <row r="54" spans="1:136" ht="15" customHeight="1" x14ac:dyDescent="0.3">
      <c r="A54" s="24">
        <f t="shared" si="95"/>
        <v>13</v>
      </c>
      <c r="B54" s="26">
        <v>2036</v>
      </c>
      <c r="C54" s="40">
        <f t="shared" ref="C54:BK54" si="126">ROUNDUP(C18,0)</f>
        <v>6780683</v>
      </c>
      <c r="D54" s="37">
        <f t="shared" si="126"/>
        <v>6780683</v>
      </c>
      <c r="E54" s="72">
        <f t="shared" si="126"/>
        <v>5592366</v>
      </c>
      <c r="F54" s="72">
        <f t="shared" si="126"/>
        <v>950061</v>
      </c>
      <c r="G54" s="72">
        <f t="shared" si="126"/>
        <v>238256</v>
      </c>
      <c r="H54" s="72">
        <f t="shared" si="126"/>
        <v>0</v>
      </c>
      <c r="I54" s="40">
        <f t="shared" si="126"/>
        <v>6193</v>
      </c>
      <c r="J54" s="81">
        <f t="shared" si="126"/>
        <v>6193</v>
      </c>
      <c r="K54" s="73">
        <f t="shared" si="126"/>
        <v>0</v>
      </c>
      <c r="L54" s="40">
        <f t="shared" si="126"/>
        <v>35897</v>
      </c>
      <c r="M54" s="82">
        <f t="shared" si="126"/>
        <v>35897</v>
      </c>
      <c r="N54" s="74">
        <f t="shared" si="126"/>
        <v>0</v>
      </c>
      <c r="O54" s="40">
        <f t="shared" si="126"/>
        <v>3007</v>
      </c>
      <c r="P54" s="75">
        <f t="shared" si="126"/>
        <v>2999</v>
      </c>
      <c r="Q54" s="75">
        <f t="shared" si="126"/>
        <v>9</v>
      </c>
      <c r="R54" s="40">
        <f t="shared" si="126"/>
        <v>83623</v>
      </c>
      <c r="S54" s="60">
        <f t="shared" si="126"/>
        <v>83399</v>
      </c>
      <c r="T54" s="60">
        <f t="shared" si="126"/>
        <v>225</v>
      </c>
      <c r="U54" s="76">
        <f t="shared" si="126"/>
        <v>0</v>
      </c>
      <c r="V54" s="76">
        <f t="shared" si="126"/>
        <v>0</v>
      </c>
      <c r="W54" s="38">
        <f t="shared" si="126"/>
        <v>272723</v>
      </c>
      <c r="X54" s="55">
        <f t="shared" si="126"/>
        <v>268809</v>
      </c>
      <c r="Y54" s="77">
        <f t="shared" si="126"/>
        <v>3915</v>
      </c>
      <c r="Z54" s="55">
        <f t="shared" si="126"/>
        <v>0</v>
      </c>
      <c r="AA54" s="77">
        <f t="shared" si="126"/>
        <v>0</v>
      </c>
      <c r="AB54" s="77">
        <f t="shared" si="126"/>
        <v>0</v>
      </c>
      <c r="AC54" s="39">
        <f t="shared" si="126"/>
        <v>796734</v>
      </c>
      <c r="AD54" s="57">
        <f t="shared" si="126"/>
        <v>796734</v>
      </c>
      <c r="AE54" s="58">
        <f t="shared" si="126"/>
        <v>0</v>
      </c>
      <c r="AF54" s="58">
        <f t="shared" si="126"/>
        <v>0</v>
      </c>
      <c r="AG54" s="58">
        <f t="shared" si="126"/>
        <v>0</v>
      </c>
      <c r="AH54" s="40">
        <f t="shared" si="126"/>
        <v>0</v>
      </c>
      <c r="AI54" s="36">
        <f t="shared" si="126"/>
        <v>0</v>
      </c>
      <c r="AJ54" s="78">
        <f t="shared" si="126"/>
        <v>0</v>
      </c>
      <c r="AK54" s="78">
        <f t="shared" si="126"/>
        <v>0</v>
      </c>
      <c r="AL54" s="78">
        <f t="shared" si="126"/>
        <v>0</v>
      </c>
      <c r="AM54" s="78">
        <f t="shared" si="126"/>
        <v>0</v>
      </c>
      <c r="AN54" s="78">
        <f t="shared" si="126"/>
        <v>0</v>
      </c>
      <c r="AO54" s="78">
        <f t="shared" si="126"/>
        <v>0</v>
      </c>
      <c r="AP54" s="78">
        <f t="shared" si="126"/>
        <v>0</v>
      </c>
      <c r="AQ54" s="62">
        <f t="shared" si="126"/>
        <v>0</v>
      </c>
      <c r="AR54" s="62">
        <f t="shared" si="126"/>
        <v>0</v>
      </c>
      <c r="AS54" s="62">
        <f t="shared" si="126"/>
        <v>0</v>
      </c>
      <c r="AT54" s="37">
        <f t="shared" si="126"/>
        <v>7978858</v>
      </c>
      <c r="AU54" s="40">
        <f t="shared" si="126"/>
        <v>-1610068</v>
      </c>
      <c r="AV54" s="40">
        <f t="shared" si="126"/>
        <v>3457529</v>
      </c>
      <c r="AW54" s="37">
        <f t="shared" si="126"/>
        <v>3443434</v>
      </c>
      <c r="AX54" s="72">
        <f t="shared" si="126"/>
        <v>2484000</v>
      </c>
      <c r="AY54" s="72">
        <f t="shared" si="126"/>
        <v>768308</v>
      </c>
      <c r="AZ54" s="72">
        <f t="shared" si="126"/>
        <v>191127</v>
      </c>
      <c r="BA54" s="72">
        <f t="shared" si="126"/>
        <v>14095</v>
      </c>
      <c r="BB54" s="40">
        <f t="shared" si="126"/>
        <v>0</v>
      </c>
      <c r="BC54" s="73">
        <f t="shared" si="126"/>
        <v>0</v>
      </c>
      <c r="BD54" s="73">
        <f t="shared" si="126"/>
        <v>0</v>
      </c>
      <c r="BE54" s="40">
        <f t="shared" si="126"/>
        <v>0</v>
      </c>
      <c r="BF54" s="74">
        <f t="shared" si="126"/>
        <v>0</v>
      </c>
      <c r="BG54" s="74">
        <f t="shared" si="126"/>
        <v>0</v>
      </c>
      <c r="BH54" s="40">
        <f t="shared" si="126"/>
        <v>2763</v>
      </c>
      <c r="BI54" s="79">
        <f t="shared" si="126"/>
        <v>2752</v>
      </c>
      <c r="BJ54" s="79">
        <f t="shared" si="126"/>
        <v>12</v>
      </c>
      <c r="BK54" s="40">
        <f t="shared" si="126"/>
        <v>75974</v>
      </c>
      <c r="BL54" s="60">
        <f t="shared" ref="BL54:DQ54" si="127">ROUNDUP(BL18,0)</f>
        <v>75674</v>
      </c>
      <c r="BM54" s="60">
        <f t="shared" si="127"/>
        <v>301</v>
      </c>
      <c r="BN54" s="76">
        <f t="shared" si="127"/>
        <v>0</v>
      </c>
      <c r="BO54" s="76">
        <f t="shared" si="127"/>
        <v>0</v>
      </c>
      <c r="BP54" s="38">
        <f t="shared" si="127"/>
        <v>252567</v>
      </c>
      <c r="BQ54" s="55">
        <f t="shared" si="127"/>
        <v>0</v>
      </c>
      <c r="BR54" s="77">
        <f t="shared" si="127"/>
        <v>0</v>
      </c>
      <c r="BS54" s="77">
        <f t="shared" si="127"/>
        <v>251568</v>
      </c>
      <c r="BT54" s="77">
        <f t="shared" si="127"/>
        <v>999</v>
      </c>
      <c r="BU54" s="54">
        <f t="shared" si="127"/>
        <v>0</v>
      </c>
      <c r="BV54" s="39">
        <f t="shared" si="127"/>
        <v>2221163</v>
      </c>
      <c r="BW54" s="57">
        <f t="shared" si="127"/>
        <v>0</v>
      </c>
      <c r="BX54" s="57">
        <f t="shared" si="127"/>
        <v>2215041</v>
      </c>
      <c r="BY54" s="57">
        <f t="shared" si="127"/>
        <v>6123</v>
      </c>
      <c r="BZ54" s="56">
        <f t="shared" si="127"/>
        <v>0</v>
      </c>
      <c r="CA54" s="40">
        <f t="shared" si="127"/>
        <v>358797</v>
      </c>
      <c r="CB54" s="36">
        <f t="shared" si="127"/>
        <v>357418</v>
      </c>
      <c r="CC54" s="62">
        <f t="shared" si="127"/>
        <v>130929</v>
      </c>
      <c r="CD54" s="62">
        <f t="shared" si="127"/>
        <v>119789</v>
      </c>
      <c r="CE54" s="62">
        <f t="shared" si="127"/>
        <v>41691</v>
      </c>
      <c r="CF54" s="62">
        <f t="shared" si="127"/>
        <v>9294</v>
      </c>
      <c r="CG54" s="62">
        <f t="shared" si="127"/>
        <v>2791</v>
      </c>
      <c r="CH54" s="86">
        <f t="shared" si="127"/>
        <v>52926</v>
      </c>
      <c r="CI54" s="86">
        <f t="shared" si="127"/>
        <v>1379</v>
      </c>
      <c r="CJ54" s="62">
        <f t="shared" si="127"/>
        <v>0</v>
      </c>
      <c r="CK54" s="62">
        <f t="shared" si="127"/>
        <v>0</v>
      </c>
      <c r="CL54" s="62">
        <f t="shared" si="127"/>
        <v>0</v>
      </c>
      <c r="CM54" s="37">
        <f t="shared" si="127"/>
        <v>6368791</v>
      </c>
      <c r="CN54" s="4"/>
      <c r="CO54" s="45">
        <f t="shared" si="127"/>
        <v>-3323154</v>
      </c>
      <c r="CP54" s="46">
        <f t="shared" si="127"/>
        <v>-3337249</v>
      </c>
      <c r="CQ54" s="46">
        <f t="shared" si="127"/>
        <v>-3108366</v>
      </c>
      <c r="CR54" s="46">
        <f t="shared" si="127"/>
        <v>-181754</v>
      </c>
      <c r="CS54" s="46">
        <f t="shared" si="127"/>
        <v>-47130</v>
      </c>
      <c r="CT54" s="46">
        <f t="shared" si="127"/>
        <v>14095</v>
      </c>
      <c r="CU54" s="45">
        <f t="shared" si="127"/>
        <v>-6193</v>
      </c>
      <c r="CV54" s="46">
        <f t="shared" si="127"/>
        <v>-6193</v>
      </c>
      <c r="CW54" s="46">
        <f t="shared" si="127"/>
        <v>0</v>
      </c>
      <c r="CX54" s="45">
        <f t="shared" si="127"/>
        <v>-35897</v>
      </c>
      <c r="CY54" s="46">
        <f t="shared" si="127"/>
        <v>-35897</v>
      </c>
      <c r="CZ54" s="46">
        <f t="shared" si="127"/>
        <v>0</v>
      </c>
      <c r="DA54" s="45">
        <f t="shared" si="127"/>
        <v>-245</v>
      </c>
      <c r="DB54" s="46">
        <f t="shared" si="127"/>
        <v>-248</v>
      </c>
      <c r="DC54" s="46">
        <f t="shared" si="127"/>
        <v>3</v>
      </c>
      <c r="DD54" s="45">
        <f t="shared" si="127"/>
        <v>-7650</v>
      </c>
      <c r="DE54" s="47">
        <f t="shared" si="127"/>
        <v>-7726</v>
      </c>
      <c r="DF54" s="47">
        <f t="shared" si="127"/>
        <v>77</v>
      </c>
      <c r="DG54" s="48">
        <f t="shared" si="127"/>
        <v>0</v>
      </c>
      <c r="DH54" s="46">
        <f t="shared" si="127"/>
        <v>0</v>
      </c>
      <c r="DI54" s="49">
        <f t="shared" si="127"/>
        <v>-20156</v>
      </c>
      <c r="DJ54" s="47">
        <f t="shared" si="127"/>
        <v>-268809</v>
      </c>
      <c r="DK54" s="46">
        <f t="shared" si="127"/>
        <v>-3915</v>
      </c>
      <c r="DL54" s="46">
        <f t="shared" si="127"/>
        <v>251568</v>
      </c>
      <c r="DM54" s="46">
        <f t="shared" si="127"/>
        <v>999</v>
      </c>
      <c r="DN54" s="46">
        <f t="shared" si="127"/>
        <v>0</v>
      </c>
      <c r="DO54" s="50">
        <f t="shared" si="127"/>
        <v>1424429</v>
      </c>
      <c r="DP54" s="47">
        <f t="shared" si="127"/>
        <v>-796734</v>
      </c>
      <c r="DQ54" s="47">
        <f t="shared" si="127"/>
        <v>2215041</v>
      </c>
      <c r="DR54" s="46">
        <f t="shared" ref="DR54:EF54" si="128">ROUNDUP(DR18,0)</f>
        <v>6123</v>
      </c>
      <c r="DS54" s="46">
        <f t="shared" si="128"/>
        <v>0</v>
      </c>
      <c r="DT54" s="45">
        <f t="shared" si="128"/>
        <v>358797</v>
      </c>
      <c r="DU54" s="47">
        <f t="shared" si="128"/>
        <v>357418</v>
      </c>
      <c r="DV54" s="47">
        <f t="shared" si="128"/>
        <v>130929</v>
      </c>
      <c r="DW54" s="47">
        <f t="shared" si="128"/>
        <v>119789</v>
      </c>
      <c r="DX54" s="47">
        <f t="shared" si="128"/>
        <v>41691</v>
      </c>
      <c r="DY54" s="47">
        <f t="shared" si="128"/>
        <v>9294</v>
      </c>
      <c r="DZ54" s="47">
        <f t="shared" si="128"/>
        <v>2791</v>
      </c>
      <c r="EA54" s="47">
        <f t="shared" si="128"/>
        <v>52926</v>
      </c>
      <c r="EB54" s="47">
        <f t="shared" si="128"/>
        <v>1379</v>
      </c>
      <c r="EC54" s="47">
        <f t="shared" si="128"/>
        <v>0</v>
      </c>
      <c r="ED54" s="47">
        <f t="shared" si="128"/>
        <v>0</v>
      </c>
      <c r="EE54" s="47">
        <f t="shared" si="128"/>
        <v>0</v>
      </c>
      <c r="EF54" s="46">
        <f t="shared" si="128"/>
        <v>-1610068</v>
      </c>
    </row>
    <row r="55" spans="1:136" ht="15" customHeight="1" x14ac:dyDescent="0.3">
      <c r="A55" s="24">
        <f t="shared" si="95"/>
        <v>14</v>
      </c>
      <c r="B55" s="26">
        <v>2037</v>
      </c>
      <c r="C55" s="40">
        <f t="shared" ref="C55:BK55" si="129">ROUNDUP(C19,0)</f>
        <v>6780683</v>
      </c>
      <c r="D55" s="37">
        <f t="shared" si="129"/>
        <v>6780683</v>
      </c>
      <c r="E55" s="72">
        <f t="shared" si="129"/>
        <v>5592366</v>
      </c>
      <c r="F55" s="72">
        <f t="shared" si="129"/>
        <v>950061</v>
      </c>
      <c r="G55" s="72">
        <f t="shared" si="129"/>
        <v>238256</v>
      </c>
      <c r="H55" s="72">
        <f t="shared" si="129"/>
        <v>0</v>
      </c>
      <c r="I55" s="40">
        <f t="shared" si="129"/>
        <v>6193</v>
      </c>
      <c r="J55" s="81">
        <f t="shared" si="129"/>
        <v>6193</v>
      </c>
      <c r="K55" s="73">
        <f t="shared" si="129"/>
        <v>0</v>
      </c>
      <c r="L55" s="40">
        <f t="shared" si="129"/>
        <v>35897</v>
      </c>
      <c r="M55" s="82">
        <f t="shared" si="129"/>
        <v>35897</v>
      </c>
      <c r="N55" s="74">
        <f t="shared" si="129"/>
        <v>0</v>
      </c>
      <c r="O55" s="40">
        <f t="shared" si="129"/>
        <v>3007</v>
      </c>
      <c r="P55" s="75">
        <f t="shared" si="129"/>
        <v>2999</v>
      </c>
      <c r="Q55" s="75">
        <f t="shared" si="129"/>
        <v>9</v>
      </c>
      <c r="R55" s="40">
        <f t="shared" si="129"/>
        <v>83623</v>
      </c>
      <c r="S55" s="60">
        <f t="shared" si="129"/>
        <v>83399</v>
      </c>
      <c r="T55" s="60">
        <f t="shared" si="129"/>
        <v>225</v>
      </c>
      <c r="U55" s="76">
        <f t="shared" si="129"/>
        <v>0</v>
      </c>
      <c r="V55" s="76">
        <f t="shared" si="129"/>
        <v>0</v>
      </c>
      <c r="W55" s="38">
        <f t="shared" si="129"/>
        <v>272723</v>
      </c>
      <c r="X55" s="55">
        <f t="shared" si="129"/>
        <v>268809</v>
      </c>
      <c r="Y55" s="77">
        <f t="shared" si="129"/>
        <v>3915</v>
      </c>
      <c r="Z55" s="55">
        <f t="shared" si="129"/>
        <v>0</v>
      </c>
      <c r="AA55" s="77">
        <f t="shared" si="129"/>
        <v>0</v>
      </c>
      <c r="AB55" s="77">
        <f t="shared" si="129"/>
        <v>0</v>
      </c>
      <c r="AC55" s="39">
        <f t="shared" si="129"/>
        <v>796734</v>
      </c>
      <c r="AD55" s="57">
        <f t="shared" si="129"/>
        <v>796734</v>
      </c>
      <c r="AE55" s="58">
        <f t="shared" si="129"/>
        <v>0</v>
      </c>
      <c r="AF55" s="58">
        <f t="shared" si="129"/>
        <v>0</v>
      </c>
      <c r="AG55" s="58">
        <f t="shared" si="129"/>
        <v>0</v>
      </c>
      <c r="AH55" s="40">
        <f t="shared" si="129"/>
        <v>0</v>
      </c>
      <c r="AI55" s="36">
        <f t="shared" si="129"/>
        <v>0</v>
      </c>
      <c r="AJ55" s="78">
        <f t="shared" si="129"/>
        <v>0</v>
      </c>
      <c r="AK55" s="78">
        <f t="shared" si="129"/>
        <v>0</v>
      </c>
      <c r="AL55" s="78">
        <f t="shared" si="129"/>
        <v>0</v>
      </c>
      <c r="AM55" s="78">
        <f t="shared" si="129"/>
        <v>0</v>
      </c>
      <c r="AN55" s="78">
        <f t="shared" si="129"/>
        <v>0</v>
      </c>
      <c r="AO55" s="78">
        <f t="shared" si="129"/>
        <v>0</v>
      </c>
      <c r="AP55" s="78">
        <f t="shared" si="129"/>
        <v>0</v>
      </c>
      <c r="AQ55" s="62">
        <f t="shared" si="129"/>
        <v>0</v>
      </c>
      <c r="AR55" s="62">
        <f t="shared" si="129"/>
        <v>0</v>
      </c>
      <c r="AS55" s="62">
        <f t="shared" si="129"/>
        <v>0</v>
      </c>
      <c r="AT55" s="37">
        <f t="shared" si="129"/>
        <v>7978858</v>
      </c>
      <c r="AU55" s="40">
        <f t="shared" si="129"/>
        <v>-1610068</v>
      </c>
      <c r="AV55" s="40">
        <f t="shared" si="129"/>
        <v>3457529</v>
      </c>
      <c r="AW55" s="37">
        <f t="shared" si="129"/>
        <v>3443434</v>
      </c>
      <c r="AX55" s="72">
        <f t="shared" si="129"/>
        <v>2484000</v>
      </c>
      <c r="AY55" s="72">
        <f t="shared" si="129"/>
        <v>768308</v>
      </c>
      <c r="AZ55" s="72">
        <f t="shared" si="129"/>
        <v>191127</v>
      </c>
      <c r="BA55" s="72">
        <f t="shared" si="129"/>
        <v>14095</v>
      </c>
      <c r="BB55" s="40">
        <f t="shared" si="129"/>
        <v>0</v>
      </c>
      <c r="BC55" s="73">
        <f t="shared" si="129"/>
        <v>0</v>
      </c>
      <c r="BD55" s="73">
        <f t="shared" si="129"/>
        <v>0</v>
      </c>
      <c r="BE55" s="40">
        <f t="shared" si="129"/>
        <v>0</v>
      </c>
      <c r="BF55" s="74">
        <f t="shared" si="129"/>
        <v>0</v>
      </c>
      <c r="BG55" s="74">
        <f t="shared" si="129"/>
        <v>0</v>
      </c>
      <c r="BH55" s="40">
        <f t="shared" si="129"/>
        <v>2763</v>
      </c>
      <c r="BI55" s="79">
        <f t="shared" si="129"/>
        <v>2752</v>
      </c>
      <c r="BJ55" s="79">
        <f t="shared" si="129"/>
        <v>12</v>
      </c>
      <c r="BK55" s="40">
        <f t="shared" si="129"/>
        <v>75974</v>
      </c>
      <c r="BL55" s="60">
        <f t="shared" ref="BL55:DQ55" si="130">ROUNDUP(BL19,0)</f>
        <v>75674</v>
      </c>
      <c r="BM55" s="60">
        <f t="shared" si="130"/>
        <v>301</v>
      </c>
      <c r="BN55" s="76">
        <f t="shared" si="130"/>
        <v>0</v>
      </c>
      <c r="BO55" s="76">
        <f t="shared" si="130"/>
        <v>0</v>
      </c>
      <c r="BP55" s="38">
        <f t="shared" si="130"/>
        <v>252567</v>
      </c>
      <c r="BQ55" s="55">
        <f t="shared" si="130"/>
        <v>0</v>
      </c>
      <c r="BR55" s="77">
        <f t="shared" si="130"/>
        <v>0</v>
      </c>
      <c r="BS55" s="77">
        <f t="shared" si="130"/>
        <v>251568</v>
      </c>
      <c r="BT55" s="77">
        <f t="shared" si="130"/>
        <v>999</v>
      </c>
      <c r="BU55" s="54">
        <f t="shared" si="130"/>
        <v>0</v>
      </c>
      <c r="BV55" s="39">
        <f t="shared" si="130"/>
        <v>2221163</v>
      </c>
      <c r="BW55" s="57">
        <f t="shared" si="130"/>
        <v>0</v>
      </c>
      <c r="BX55" s="57">
        <f t="shared" si="130"/>
        <v>2215041</v>
      </c>
      <c r="BY55" s="57">
        <f t="shared" si="130"/>
        <v>6123</v>
      </c>
      <c r="BZ55" s="56">
        <f t="shared" si="130"/>
        <v>0</v>
      </c>
      <c r="CA55" s="40">
        <f t="shared" si="130"/>
        <v>358797</v>
      </c>
      <c r="CB55" s="36">
        <f t="shared" si="130"/>
        <v>357418</v>
      </c>
      <c r="CC55" s="62">
        <f t="shared" si="130"/>
        <v>130929</v>
      </c>
      <c r="CD55" s="62">
        <f t="shared" si="130"/>
        <v>119789</v>
      </c>
      <c r="CE55" s="62">
        <f t="shared" si="130"/>
        <v>41691</v>
      </c>
      <c r="CF55" s="62">
        <f t="shared" si="130"/>
        <v>9294</v>
      </c>
      <c r="CG55" s="62">
        <f t="shared" si="130"/>
        <v>2791</v>
      </c>
      <c r="CH55" s="86">
        <f t="shared" si="130"/>
        <v>52926</v>
      </c>
      <c r="CI55" s="86">
        <f t="shared" si="130"/>
        <v>1379</v>
      </c>
      <c r="CJ55" s="62">
        <f t="shared" si="130"/>
        <v>0</v>
      </c>
      <c r="CK55" s="62">
        <f t="shared" si="130"/>
        <v>0</v>
      </c>
      <c r="CL55" s="62">
        <f t="shared" si="130"/>
        <v>0</v>
      </c>
      <c r="CM55" s="37">
        <f t="shared" si="130"/>
        <v>6368791</v>
      </c>
      <c r="CN55" s="4"/>
      <c r="CO55" s="45">
        <f t="shared" si="130"/>
        <v>-3323154</v>
      </c>
      <c r="CP55" s="46">
        <f t="shared" si="130"/>
        <v>-3337249</v>
      </c>
      <c r="CQ55" s="46">
        <f t="shared" si="130"/>
        <v>-3108366</v>
      </c>
      <c r="CR55" s="46">
        <f t="shared" si="130"/>
        <v>-181754</v>
      </c>
      <c r="CS55" s="46">
        <f t="shared" si="130"/>
        <v>-47130</v>
      </c>
      <c r="CT55" s="46">
        <f t="shared" si="130"/>
        <v>14095</v>
      </c>
      <c r="CU55" s="45">
        <f t="shared" si="130"/>
        <v>-6193</v>
      </c>
      <c r="CV55" s="46">
        <f t="shared" si="130"/>
        <v>-6193</v>
      </c>
      <c r="CW55" s="46">
        <f t="shared" si="130"/>
        <v>0</v>
      </c>
      <c r="CX55" s="45">
        <f t="shared" si="130"/>
        <v>-35897</v>
      </c>
      <c r="CY55" s="46">
        <f t="shared" si="130"/>
        <v>-35897</v>
      </c>
      <c r="CZ55" s="46">
        <f t="shared" si="130"/>
        <v>0</v>
      </c>
      <c r="DA55" s="45">
        <f t="shared" si="130"/>
        <v>-245</v>
      </c>
      <c r="DB55" s="46">
        <f t="shared" si="130"/>
        <v>-248</v>
      </c>
      <c r="DC55" s="46">
        <f t="shared" si="130"/>
        <v>3</v>
      </c>
      <c r="DD55" s="45">
        <f t="shared" si="130"/>
        <v>-7650</v>
      </c>
      <c r="DE55" s="47">
        <f t="shared" si="130"/>
        <v>-7726</v>
      </c>
      <c r="DF55" s="47">
        <f t="shared" si="130"/>
        <v>77</v>
      </c>
      <c r="DG55" s="48">
        <f t="shared" si="130"/>
        <v>0</v>
      </c>
      <c r="DH55" s="46">
        <f t="shared" si="130"/>
        <v>0</v>
      </c>
      <c r="DI55" s="49">
        <f t="shared" si="130"/>
        <v>-20156</v>
      </c>
      <c r="DJ55" s="47">
        <f t="shared" si="130"/>
        <v>-268809</v>
      </c>
      <c r="DK55" s="46">
        <f t="shared" si="130"/>
        <v>-3915</v>
      </c>
      <c r="DL55" s="46">
        <f t="shared" si="130"/>
        <v>251568</v>
      </c>
      <c r="DM55" s="46">
        <f t="shared" si="130"/>
        <v>999</v>
      </c>
      <c r="DN55" s="46">
        <f t="shared" si="130"/>
        <v>0</v>
      </c>
      <c r="DO55" s="50">
        <f t="shared" si="130"/>
        <v>1424429</v>
      </c>
      <c r="DP55" s="47">
        <f t="shared" si="130"/>
        <v>-796734</v>
      </c>
      <c r="DQ55" s="47">
        <f t="shared" si="130"/>
        <v>2215041</v>
      </c>
      <c r="DR55" s="46">
        <f t="shared" ref="DR55:EF55" si="131">ROUNDUP(DR19,0)</f>
        <v>6123</v>
      </c>
      <c r="DS55" s="46">
        <f t="shared" si="131"/>
        <v>0</v>
      </c>
      <c r="DT55" s="45">
        <f t="shared" si="131"/>
        <v>358797</v>
      </c>
      <c r="DU55" s="47">
        <f t="shared" si="131"/>
        <v>357418</v>
      </c>
      <c r="DV55" s="47">
        <f t="shared" si="131"/>
        <v>130929</v>
      </c>
      <c r="DW55" s="47">
        <f t="shared" si="131"/>
        <v>119789</v>
      </c>
      <c r="DX55" s="47">
        <f t="shared" si="131"/>
        <v>41691</v>
      </c>
      <c r="DY55" s="47">
        <f t="shared" si="131"/>
        <v>9294</v>
      </c>
      <c r="DZ55" s="47">
        <f t="shared" si="131"/>
        <v>2791</v>
      </c>
      <c r="EA55" s="47">
        <f t="shared" si="131"/>
        <v>52926</v>
      </c>
      <c r="EB55" s="47">
        <f t="shared" si="131"/>
        <v>1379</v>
      </c>
      <c r="EC55" s="47">
        <f t="shared" si="131"/>
        <v>0</v>
      </c>
      <c r="ED55" s="47">
        <f t="shared" si="131"/>
        <v>0</v>
      </c>
      <c r="EE55" s="47">
        <f t="shared" si="131"/>
        <v>0</v>
      </c>
      <c r="EF55" s="46">
        <f t="shared" si="131"/>
        <v>-1610068</v>
      </c>
    </row>
    <row r="56" spans="1:136" ht="15" customHeight="1" x14ac:dyDescent="0.3">
      <c r="A56" s="24">
        <f t="shared" si="95"/>
        <v>15</v>
      </c>
      <c r="B56" s="26">
        <v>2038</v>
      </c>
      <c r="C56" s="40">
        <f t="shared" ref="C56:BK56" si="132">ROUNDUP(C20,0)</f>
        <v>6780683</v>
      </c>
      <c r="D56" s="37">
        <f t="shared" si="132"/>
        <v>6780683</v>
      </c>
      <c r="E56" s="72">
        <f t="shared" si="132"/>
        <v>5592366</v>
      </c>
      <c r="F56" s="72">
        <f t="shared" si="132"/>
        <v>950061</v>
      </c>
      <c r="G56" s="72">
        <f t="shared" si="132"/>
        <v>238256</v>
      </c>
      <c r="H56" s="72">
        <f t="shared" si="132"/>
        <v>0</v>
      </c>
      <c r="I56" s="40">
        <f t="shared" si="132"/>
        <v>6193</v>
      </c>
      <c r="J56" s="81">
        <f t="shared" si="132"/>
        <v>6193</v>
      </c>
      <c r="K56" s="73">
        <f t="shared" si="132"/>
        <v>0</v>
      </c>
      <c r="L56" s="40">
        <f t="shared" si="132"/>
        <v>35897</v>
      </c>
      <c r="M56" s="82">
        <f t="shared" si="132"/>
        <v>35897</v>
      </c>
      <c r="N56" s="74">
        <f t="shared" si="132"/>
        <v>0</v>
      </c>
      <c r="O56" s="40">
        <f t="shared" si="132"/>
        <v>3007</v>
      </c>
      <c r="P56" s="75">
        <f t="shared" si="132"/>
        <v>2999</v>
      </c>
      <c r="Q56" s="75">
        <f t="shared" si="132"/>
        <v>9</v>
      </c>
      <c r="R56" s="40">
        <f t="shared" si="132"/>
        <v>83623</v>
      </c>
      <c r="S56" s="60">
        <f t="shared" si="132"/>
        <v>83399</v>
      </c>
      <c r="T56" s="60">
        <f t="shared" si="132"/>
        <v>225</v>
      </c>
      <c r="U56" s="76">
        <f t="shared" si="132"/>
        <v>0</v>
      </c>
      <c r="V56" s="76">
        <f t="shared" si="132"/>
        <v>0</v>
      </c>
      <c r="W56" s="38">
        <f t="shared" si="132"/>
        <v>272723</v>
      </c>
      <c r="X56" s="55">
        <f t="shared" si="132"/>
        <v>268809</v>
      </c>
      <c r="Y56" s="77">
        <f t="shared" si="132"/>
        <v>3915</v>
      </c>
      <c r="Z56" s="55">
        <f t="shared" si="132"/>
        <v>0</v>
      </c>
      <c r="AA56" s="77">
        <f t="shared" si="132"/>
        <v>0</v>
      </c>
      <c r="AB56" s="77">
        <f t="shared" si="132"/>
        <v>0</v>
      </c>
      <c r="AC56" s="39">
        <f t="shared" si="132"/>
        <v>796734</v>
      </c>
      <c r="AD56" s="57">
        <f t="shared" si="132"/>
        <v>796734</v>
      </c>
      <c r="AE56" s="58">
        <f t="shared" si="132"/>
        <v>0</v>
      </c>
      <c r="AF56" s="58">
        <f t="shared" si="132"/>
        <v>0</v>
      </c>
      <c r="AG56" s="58">
        <f t="shared" si="132"/>
        <v>0</v>
      </c>
      <c r="AH56" s="40">
        <f t="shared" si="132"/>
        <v>0</v>
      </c>
      <c r="AI56" s="36">
        <f t="shared" si="132"/>
        <v>0</v>
      </c>
      <c r="AJ56" s="78">
        <f t="shared" si="132"/>
        <v>0</v>
      </c>
      <c r="AK56" s="78">
        <f t="shared" si="132"/>
        <v>0</v>
      </c>
      <c r="AL56" s="78">
        <f t="shared" si="132"/>
        <v>0</v>
      </c>
      <c r="AM56" s="78">
        <f t="shared" si="132"/>
        <v>0</v>
      </c>
      <c r="AN56" s="78">
        <f t="shared" si="132"/>
        <v>0</v>
      </c>
      <c r="AO56" s="78">
        <f t="shared" si="132"/>
        <v>0</v>
      </c>
      <c r="AP56" s="78">
        <f t="shared" si="132"/>
        <v>0</v>
      </c>
      <c r="AQ56" s="62">
        <f t="shared" si="132"/>
        <v>0</v>
      </c>
      <c r="AR56" s="62">
        <f t="shared" si="132"/>
        <v>0</v>
      </c>
      <c r="AS56" s="62">
        <f t="shared" si="132"/>
        <v>0</v>
      </c>
      <c r="AT56" s="37">
        <f t="shared" si="132"/>
        <v>7978858</v>
      </c>
      <c r="AU56" s="40">
        <f t="shared" si="132"/>
        <v>-1610068</v>
      </c>
      <c r="AV56" s="40">
        <f t="shared" si="132"/>
        <v>3457529</v>
      </c>
      <c r="AW56" s="37">
        <f t="shared" si="132"/>
        <v>3443434</v>
      </c>
      <c r="AX56" s="72">
        <f t="shared" si="132"/>
        <v>2484000</v>
      </c>
      <c r="AY56" s="72">
        <f t="shared" si="132"/>
        <v>768308</v>
      </c>
      <c r="AZ56" s="72">
        <f t="shared" si="132"/>
        <v>191127</v>
      </c>
      <c r="BA56" s="72">
        <f t="shared" si="132"/>
        <v>14095</v>
      </c>
      <c r="BB56" s="40">
        <f t="shared" si="132"/>
        <v>0</v>
      </c>
      <c r="BC56" s="73">
        <f t="shared" si="132"/>
        <v>0</v>
      </c>
      <c r="BD56" s="73">
        <f t="shared" si="132"/>
        <v>0</v>
      </c>
      <c r="BE56" s="40">
        <f t="shared" si="132"/>
        <v>0</v>
      </c>
      <c r="BF56" s="74">
        <f t="shared" si="132"/>
        <v>0</v>
      </c>
      <c r="BG56" s="74">
        <f t="shared" si="132"/>
        <v>0</v>
      </c>
      <c r="BH56" s="40">
        <f t="shared" si="132"/>
        <v>2763</v>
      </c>
      <c r="BI56" s="79">
        <f t="shared" si="132"/>
        <v>2752</v>
      </c>
      <c r="BJ56" s="79">
        <f t="shared" si="132"/>
        <v>12</v>
      </c>
      <c r="BK56" s="40">
        <f t="shared" si="132"/>
        <v>75974</v>
      </c>
      <c r="BL56" s="60">
        <f t="shared" ref="BL56:DQ56" si="133">ROUNDUP(BL20,0)</f>
        <v>75674</v>
      </c>
      <c r="BM56" s="60">
        <f t="shared" si="133"/>
        <v>301</v>
      </c>
      <c r="BN56" s="76">
        <f t="shared" si="133"/>
        <v>0</v>
      </c>
      <c r="BO56" s="76">
        <f t="shared" si="133"/>
        <v>0</v>
      </c>
      <c r="BP56" s="38">
        <f t="shared" si="133"/>
        <v>252567</v>
      </c>
      <c r="BQ56" s="55">
        <f t="shared" si="133"/>
        <v>0</v>
      </c>
      <c r="BR56" s="77">
        <f t="shared" si="133"/>
        <v>0</v>
      </c>
      <c r="BS56" s="77">
        <f t="shared" si="133"/>
        <v>251568</v>
      </c>
      <c r="BT56" s="77">
        <f t="shared" si="133"/>
        <v>999</v>
      </c>
      <c r="BU56" s="54">
        <f t="shared" si="133"/>
        <v>0</v>
      </c>
      <c r="BV56" s="39">
        <f t="shared" si="133"/>
        <v>2221163</v>
      </c>
      <c r="BW56" s="57">
        <f t="shared" si="133"/>
        <v>0</v>
      </c>
      <c r="BX56" s="57">
        <f t="shared" si="133"/>
        <v>2215041</v>
      </c>
      <c r="BY56" s="57">
        <f t="shared" si="133"/>
        <v>6123</v>
      </c>
      <c r="BZ56" s="56">
        <f t="shared" si="133"/>
        <v>0</v>
      </c>
      <c r="CA56" s="40">
        <f t="shared" si="133"/>
        <v>358797</v>
      </c>
      <c r="CB56" s="36">
        <f t="shared" si="133"/>
        <v>357418</v>
      </c>
      <c r="CC56" s="62">
        <f t="shared" si="133"/>
        <v>130929</v>
      </c>
      <c r="CD56" s="62">
        <f t="shared" si="133"/>
        <v>119789</v>
      </c>
      <c r="CE56" s="62">
        <f t="shared" si="133"/>
        <v>41691</v>
      </c>
      <c r="CF56" s="62">
        <f t="shared" si="133"/>
        <v>9294</v>
      </c>
      <c r="CG56" s="62">
        <f t="shared" si="133"/>
        <v>2791</v>
      </c>
      <c r="CH56" s="86">
        <f t="shared" si="133"/>
        <v>52926</v>
      </c>
      <c r="CI56" s="86">
        <f t="shared" si="133"/>
        <v>1379</v>
      </c>
      <c r="CJ56" s="62">
        <f t="shared" si="133"/>
        <v>0</v>
      </c>
      <c r="CK56" s="62">
        <f t="shared" si="133"/>
        <v>0</v>
      </c>
      <c r="CL56" s="62">
        <f t="shared" si="133"/>
        <v>0</v>
      </c>
      <c r="CM56" s="37">
        <f t="shared" si="133"/>
        <v>6368791</v>
      </c>
      <c r="CN56" s="4"/>
      <c r="CO56" s="45">
        <f t="shared" si="133"/>
        <v>-3323154</v>
      </c>
      <c r="CP56" s="46">
        <f t="shared" si="133"/>
        <v>-3337249</v>
      </c>
      <c r="CQ56" s="46">
        <f t="shared" si="133"/>
        <v>-3108366</v>
      </c>
      <c r="CR56" s="46">
        <f t="shared" si="133"/>
        <v>-181754</v>
      </c>
      <c r="CS56" s="46">
        <f t="shared" si="133"/>
        <v>-47130</v>
      </c>
      <c r="CT56" s="46">
        <f t="shared" si="133"/>
        <v>14095</v>
      </c>
      <c r="CU56" s="45">
        <f t="shared" si="133"/>
        <v>-6193</v>
      </c>
      <c r="CV56" s="46">
        <f t="shared" si="133"/>
        <v>-6193</v>
      </c>
      <c r="CW56" s="46">
        <f t="shared" si="133"/>
        <v>0</v>
      </c>
      <c r="CX56" s="45">
        <f t="shared" si="133"/>
        <v>-35897</v>
      </c>
      <c r="CY56" s="46">
        <f t="shared" si="133"/>
        <v>-35897</v>
      </c>
      <c r="CZ56" s="46">
        <f t="shared" si="133"/>
        <v>0</v>
      </c>
      <c r="DA56" s="45">
        <f t="shared" si="133"/>
        <v>-245</v>
      </c>
      <c r="DB56" s="46">
        <f t="shared" si="133"/>
        <v>-248</v>
      </c>
      <c r="DC56" s="46">
        <f t="shared" si="133"/>
        <v>3</v>
      </c>
      <c r="DD56" s="45">
        <f t="shared" si="133"/>
        <v>-7650</v>
      </c>
      <c r="DE56" s="47">
        <f t="shared" si="133"/>
        <v>-7726</v>
      </c>
      <c r="DF56" s="47">
        <f t="shared" si="133"/>
        <v>77</v>
      </c>
      <c r="DG56" s="48">
        <f t="shared" si="133"/>
        <v>0</v>
      </c>
      <c r="DH56" s="46">
        <f t="shared" si="133"/>
        <v>0</v>
      </c>
      <c r="DI56" s="49">
        <f t="shared" si="133"/>
        <v>-20156</v>
      </c>
      <c r="DJ56" s="47">
        <f t="shared" si="133"/>
        <v>-268809</v>
      </c>
      <c r="DK56" s="46">
        <f t="shared" si="133"/>
        <v>-3915</v>
      </c>
      <c r="DL56" s="46">
        <f t="shared" si="133"/>
        <v>251568</v>
      </c>
      <c r="DM56" s="46">
        <f t="shared" si="133"/>
        <v>999</v>
      </c>
      <c r="DN56" s="46">
        <f t="shared" si="133"/>
        <v>0</v>
      </c>
      <c r="DO56" s="50">
        <f t="shared" si="133"/>
        <v>1424429</v>
      </c>
      <c r="DP56" s="47">
        <f t="shared" si="133"/>
        <v>-796734</v>
      </c>
      <c r="DQ56" s="47">
        <f t="shared" si="133"/>
        <v>2215041</v>
      </c>
      <c r="DR56" s="46">
        <f t="shared" ref="DR56:EF56" si="134">ROUNDUP(DR20,0)</f>
        <v>6123</v>
      </c>
      <c r="DS56" s="46">
        <f t="shared" si="134"/>
        <v>0</v>
      </c>
      <c r="DT56" s="45">
        <f t="shared" si="134"/>
        <v>358797</v>
      </c>
      <c r="DU56" s="47">
        <f t="shared" si="134"/>
        <v>357418</v>
      </c>
      <c r="DV56" s="47">
        <f t="shared" si="134"/>
        <v>130929</v>
      </c>
      <c r="DW56" s="47">
        <f t="shared" si="134"/>
        <v>119789</v>
      </c>
      <c r="DX56" s="47">
        <f t="shared" si="134"/>
        <v>41691</v>
      </c>
      <c r="DY56" s="47">
        <f t="shared" si="134"/>
        <v>9294</v>
      </c>
      <c r="DZ56" s="47">
        <f t="shared" si="134"/>
        <v>2791</v>
      </c>
      <c r="EA56" s="47">
        <f t="shared" si="134"/>
        <v>52926</v>
      </c>
      <c r="EB56" s="47">
        <f t="shared" si="134"/>
        <v>1379</v>
      </c>
      <c r="EC56" s="47">
        <f t="shared" si="134"/>
        <v>0</v>
      </c>
      <c r="ED56" s="47">
        <f t="shared" si="134"/>
        <v>0</v>
      </c>
      <c r="EE56" s="47">
        <f t="shared" si="134"/>
        <v>0</v>
      </c>
      <c r="EF56" s="46">
        <f t="shared" si="134"/>
        <v>-1610068</v>
      </c>
    </row>
    <row r="57" spans="1:136" ht="15" customHeight="1" x14ac:dyDescent="0.3">
      <c r="A57" s="24">
        <f t="shared" si="95"/>
        <v>16</v>
      </c>
      <c r="B57" s="26">
        <v>2039</v>
      </c>
      <c r="C57" s="40">
        <f t="shared" ref="C57:BK57" si="135">ROUNDUP(C21,0)</f>
        <v>6780683</v>
      </c>
      <c r="D57" s="37">
        <f t="shared" si="135"/>
        <v>6780683</v>
      </c>
      <c r="E57" s="72">
        <f t="shared" si="135"/>
        <v>5592366</v>
      </c>
      <c r="F57" s="72">
        <f t="shared" si="135"/>
        <v>950061</v>
      </c>
      <c r="G57" s="72">
        <f t="shared" si="135"/>
        <v>238256</v>
      </c>
      <c r="H57" s="72">
        <f t="shared" si="135"/>
        <v>0</v>
      </c>
      <c r="I57" s="40">
        <f t="shared" si="135"/>
        <v>6193</v>
      </c>
      <c r="J57" s="81">
        <f t="shared" si="135"/>
        <v>6193</v>
      </c>
      <c r="K57" s="73">
        <f t="shared" si="135"/>
        <v>0</v>
      </c>
      <c r="L57" s="40">
        <f t="shared" si="135"/>
        <v>35897</v>
      </c>
      <c r="M57" s="82">
        <f t="shared" si="135"/>
        <v>35897</v>
      </c>
      <c r="N57" s="74">
        <f t="shared" si="135"/>
        <v>0</v>
      </c>
      <c r="O57" s="40">
        <f t="shared" si="135"/>
        <v>3007</v>
      </c>
      <c r="P57" s="75">
        <f t="shared" si="135"/>
        <v>2999</v>
      </c>
      <c r="Q57" s="75">
        <f t="shared" si="135"/>
        <v>9</v>
      </c>
      <c r="R57" s="40">
        <f t="shared" si="135"/>
        <v>83623</v>
      </c>
      <c r="S57" s="60">
        <f t="shared" si="135"/>
        <v>83399</v>
      </c>
      <c r="T57" s="60">
        <f t="shared" si="135"/>
        <v>225</v>
      </c>
      <c r="U57" s="76">
        <f t="shared" si="135"/>
        <v>0</v>
      </c>
      <c r="V57" s="76">
        <f t="shared" si="135"/>
        <v>0</v>
      </c>
      <c r="W57" s="38">
        <f t="shared" si="135"/>
        <v>272723</v>
      </c>
      <c r="X57" s="55">
        <f t="shared" si="135"/>
        <v>268809</v>
      </c>
      <c r="Y57" s="77">
        <f t="shared" si="135"/>
        <v>3915</v>
      </c>
      <c r="Z57" s="55">
        <f t="shared" si="135"/>
        <v>0</v>
      </c>
      <c r="AA57" s="77">
        <f t="shared" si="135"/>
        <v>0</v>
      </c>
      <c r="AB57" s="77">
        <f t="shared" si="135"/>
        <v>0</v>
      </c>
      <c r="AC57" s="39">
        <f t="shared" si="135"/>
        <v>796734</v>
      </c>
      <c r="AD57" s="57">
        <f t="shared" si="135"/>
        <v>796734</v>
      </c>
      <c r="AE57" s="58">
        <f t="shared" si="135"/>
        <v>0</v>
      </c>
      <c r="AF57" s="58">
        <f t="shared" si="135"/>
        <v>0</v>
      </c>
      <c r="AG57" s="58">
        <f t="shared" si="135"/>
        <v>0</v>
      </c>
      <c r="AH57" s="40">
        <f t="shared" si="135"/>
        <v>0</v>
      </c>
      <c r="AI57" s="36">
        <f t="shared" si="135"/>
        <v>0</v>
      </c>
      <c r="AJ57" s="78">
        <f t="shared" si="135"/>
        <v>0</v>
      </c>
      <c r="AK57" s="78">
        <f t="shared" si="135"/>
        <v>0</v>
      </c>
      <c r="AL57" s="78">
        <f t="shared" si="135"/>
        <v>0</v>
      </c>
      <c r="AM57" s="78">
        <f t="shared" si="135"/>
        <v>0</v>
      </c>
      <c r="AN57" s="78">
        <f t="shared" si="135"/>
        <v>0</v>
      </c>
      <c r="AO57" s="78">
        <f t="shared" si="135"/>
        <v>0</v>
      </c>
      <c r="AP57" s="78">
        <f t="shared" si="135"/>
        <v>0</v>
      </c>
      <c r="AQ57" s="62">
        <f t="shared" si="135"/>
        <v>0</v>
      </c>
      <c r="AR57" s="62">
        <f t="shared" si="135"/>
        <v>0</v>
      </c>
      <c r="AS57" s="62">
        <f t="shared" si="135"/>
        <v>0</v>
      </c>
      <c r="AT57" s="37">
        <f t="shared" si="135"/>
        <v>7978858</v>
      </c>
      <c r="AU57" s="40">
        <f t="shared" si="135"/>
        <v>-1610068</v>
      </c>
      <c r="AV57" s="40">
        <f t="shared" si="135"/>
        <v>3457529</v>
      </c>
      <c r="AW57" s="37">
        <f t="shared" si="135"/>
        <v>3443434</v>
      </c>
      <c r="AX57" s="72">
        <f t="shared" si="135"/>
        <v>2484000</v>
      </c>
      <c r="AY57" s="72">
        <f t="shared" si="135"/>
        <v>768308</v>
      </c>
      <c r="AZ57" s="72">
        <f t="shared" si="135"/>
        <v>191127</v>
      </c>
      <c r="BA57" s="72">
        <f t="shared" si="135"/>
        <v>14095</v>
      </c>
      <c r="BB57" s="40">
        <f t="shared" si="135"/>
        <v>0</v>
      </c>
      <c r="BC57" s="73">
        <f t="shared" si="135"/>
        <v>0</v>
      </c>
      <c r="BD57" s="73">
        <f t="shared" si="135"/>
        <v>0</v>
      </c>
      <c r="BE57" s="40">
        <f t="shared" si="135"/>
        <v>0</v>
      </c>
      <c r="BF57" s="74">
        <f t="shared" si="135"/>
        <v>0</v>
      </c>
      <c r="BG57" s="74">
        <f t="shared" si="135"/>
        <v>0</v>
      </c>
      <c r="BH57" s="40">
        <f t="shared" si="135"/>
        <v>2763</v>
      </c>
      <c r="BI57" s="79">
        <f t="shared" si="135"/>
        <v>2752</v>
      </c>
      <c r="BJ57" s="79">
        <f t="shared" si="135"/>
        <v>12</v>
      </c>
      <c r="BK57" s="40">
        <f t="shared" si="135"/>
        <v>75974</v>
      </c>
      <c r="BL57" s="60">
        <f t="shared" ref="BL57:DQ57" si="136">ROUNDUP(BL21,0)</f>
        <v>75674</v>
      </c>
      <c r="BM57" s="60">
        <f t="shared" si="136"/>
        <v>301</v>
      </c>
      <c r="BN57" s="76">
        <f t="shared" si="136"/>
        <v>0</v>
      </c>
      <c r="BO57" s="76">
        <f t="shared" si="136"/>
        <v>0</v>
      </c>
      <c r="BP57" s="38">
        <f t="shared" si="136"/>
        <v>252567</v>
      </c>
      <c r="BQ57" s="55">
        <f t="shared" si="136"/>
        <v>0</v>
      </c>
      <c r="BR57" s="77">
        <f t="shared" si="136"/>
        <v>0</v>
      </c>
      <c r="BS57" s="77">
        <f t="shared" si="136"/>
        <v>251568</v>
      </c>
      <c r="BT57" s="77">
        <f t="shared" si="136"/>
        <v>999</v>
      </c>
      <c r="BU57" s="54">
        <f t="shared" si="136"/>
        <v>0</v>
      </c>
      <c r="BV57" s="39">
        <f t="shared" si="136"/>
        <v>2221163</v>
      </c>
      <c r="BW57" s="57">
        <f t="shared" si="136"/>
        <v>0</v>
      </c>
      <c r="BX57" s="57">
        <f t="shared" si="136"/>
        <v>2215041</v>
      </c>
      <c r="BY57" s="57">
        <f t="shared" si="136"/>
        <v>6123</v>
      </c>
      <c r="BZ57" s="56">
        <f t="shared" si="136"/>
        <v>0</v>
      </c>
      <c r="CA57" s="40">
        <f t="shared" si="136"/>
        <v>358797</v>
      </c>
      <c r="CB57" s="36">
        <f t="shared" si="136"/>
        <v>357418</v>
      </c>
      <c r="CC57" s="62">
        <f t="shared" si="136"/>
        <v>130929</v>
      </c>
      <c r="CD57" s="62">
        <f t="shared" si="136"/>
        <v>119789</v>
      </c>
      <c r="CE57" s="62">
        <f t="shared" si="136"/>
        <v>41691</v>
      </c>
      <c r="CF57" s="62">
        <f t="shared" si="136"/>
        <v>9294</v>
      </c>
      <c r="CG57" s="62">
        <f t="shared" si="136"/>
        <v>2791</v>
      </c>
      <c r="CH57" s="86">
        <f t="shared" si="136"/>
        <v>52926</v>
      </c>
      <c r="CI57" s="86">
        <f t="shared" si="136"/>
        <v>1379</v>
      </c>
      <c r="CJ57" s="62">
        <f t="shared" si="136"/>
        <v>0</v>
      </c>
      <c r="CK57" s="62">
        <f t="shared" si="136"/>
        <v>0</v>
      </c>
      <c r="CL57" s="62">
        <f t="shared" si="136"/>
        <v>0</v>
      </c>
      <c r="CM57" s="37">
        <f t="shared" si="136"/>
        <v>6368791</v>
      </c>
      <c r="CN57" s="4"/>
      <c r="CO57" s="45">
        <f t="shared" si="136"/>
        <v>-3323154</v>
      </c>
      <c r="CP57" s="46">
        <f t="shared" si="136"/>
        <v>-3337249</v>
      </c>
      <c r="CQ57" s="46">
        <f t="shared" si="136"/>
        <v>-3108366</v>
      </c>
      <c r="CR57" s="46">
        <f t="shared" si="136"/>
        <v>-181754</v>
      </c>
      <c r="CS57" s="46">
        <f t="shared" si="136"/>
        <v>-47130</v>
      </c>
      <c r="CT57" s="46">
        <f t="shared" si="136"/>
        <v>14095</v>
      </c>
      <c r="CU57" s="45">
        <f t="shared" si="136"/>
        <v>-6193</v>
      </c>
      <c r="CV57" s="46">
        <f t="shared" si="136"/>
        <v>-6193</v>
      </c>
      <c r="CW57" s="46">
        <f t="shared" si="136"/>
        <v>0</v>
      </c>
      <c r="CX57" s="45">
        <f t="shared" si="136"/>
        <v>-35897</v>
      </c>
      <c r="CY57" s="46">
        <f t="shared" si="136"/>
        <v>-35897</v>
      </c>
      <c r="CZ57" s="46">
        <f t="shared" si="136"/>
        <v>0</v>
      </c>
      <c r="DA57" s="45">
        <f t="shared" si="136"/>
        <v>-245</v>
      </c>
      <c r="DB57" s="46">
        <f t="shared" si="136"/>
        <v>-248</v>
      </c>
      <c r="DC57" s="46">
        <f t="shared" si="136"/>
        <v>3</v>
      </c>
      <c r="DD57" s="45">
        <f t="shared" si="136"/>
        <v>-7650</v>
      </c>
      <c r="DE57" s="47">
        <f t="shared" si="136"/>
        <v>-7726</v>
      </c>
      <c r="DF57" s="47">
        <f t="shared" si="136"/>
        <v>77</v>
      </c>
      <c r="DG57" s="48">
        <f t="shared" si="136"/>
        <v>0</v>
      </c>
      <c r="DH57" s="46">
        <f t="shared" si="136"/>
        <v>0</v>
      </c>
      <c r="DI57" s="49">
        <f t="shared" si="136"/>
        <v>-20156</v>
      </c>
      <c r="DJ57" s="47">
        <f t="shared" si="136"/>
        <v>-268809</v>
      </c>
      <c r="DK57" s="46">
        <f t="shared" si="136"/>
        <v>-3915</v>
      </c>
      <c r="DL57" s="46">
        <f t="shared" si="136"/>
        <v>251568</v>
      </c>
      <c r="DM57" s="46">
        <f t="shared" si="136"/>
        <v>999</v>
      </c>
      <c r="DN57" s="46">
        <f t="shared" si="136"/>
        <v>0</v>
      </c>
      <c r="DO57" s="50">
        <f t="shared" si="136"/>
        <v>1424429</v>
      </c>
      <c r="DP57" s="47">
        <f t="shared" si="136"/>
        <v>-796734</v>
      </c>
      <c r="DQ57" s="47">
        <f t="shared" si="136"/>
        <v>2215041</v>
      </c>
      <c r="DR57" s="46">
        <f t="shared" ref="DR57:EF57" si="137">ROUNDUP(DR21,0)</f>
        <v>6123</v>
      </c>
      <c r="DS57" s="46">
        <f t="shared" si="137"/>
        <v>0</v>
      </c>
      <c r="DT57" s="45">
        <f t="shared" si="137"/>
        <v>358797</v>
      </c>
      <c r="DU57" s="47">
        <f t="shared" si="137"/>
        <v>357418</v>
      </c>
      <c r="DV57" s="47">
        <f t="shared" si="137"/>
        <v>130929</v>
      </c>
      <c r="DW57" s="47">
        <f t="shared" si="137"/>
        <v>119789</v>
      </c>
      <c r="DX57" s="47">
        <f t="shared" si="137"/>
        <v>41691</v>
      </c>
      <c r="DY57" s="47">
        <f t="shared" si="137"/>
        <v>9294</v>
      </c>
      <c r="DZ57" s="47">
        <f t="shared" si="137"/>
        <v>2791</v>
      </c>
      <c r="EA57" s="47">
        <f t="shared" si="137"/>
        <v>52926</v>
      </c>
      <c r="EB57" s="47">
        <f t="shared" si="137"/>
        <v>1379</v>
      </c>
      <c r="EC57" s="47">
        <f t="shared" si="137"/>
        <v>0</v>
      </c>
      <c r="ED57" s="47">
        <f t="shared" si="137"/>
        <v>0</v>
      </c>
      <c r="EE57" s="47">
        <f t="shared" si="137"/>
        <v>0</v>
      </c>
      <c r="EF57" s="46">
        <f t="shared" si="137"/>
        <v>-1610068</v>
      </c>
    </row>
    <row r="58" spans="1:136" ht="15" customHeight="1" x14ac:dyDescent="0.3">
      <c r="A58" s="24">
        <f t="shared" si="95"/>
        <v>17</v>
      </c>
      <c r="B58" s="26">
        <v>2040</v>
      </c>
      <c r="C58" s="40">
        <f t="shared" ref="C58:BK58" si="138">ROUNDUP(C22,0)</f>
        <v>6780683</v>
      </c>
      <c r="D58" s="37">
        <f t="shared" si="138"/>
        <v>6780683</v>
      </c>
      <c r="E58" s="72">
        <f t="shared" si="138"/>
        <v>5592366</v>
      </c>
      <c r="F58" s="72">
        <f t="shared" si="138"/>
        <v>950061</v>
      </c>
      <c r="G58" s="72">
        <f t="shared" si="138"/>
        <v>238256</v>
      </c>
      <c r="H58" s="72">
        <f t="shared" si="138"/>
        <v>0</v>
      </c>
      <c r="I58" s="40">
        <f t="shared" si="138"/>
        <v>6193</v>
      </c>
      <c r="J58" s="81">
        <f t="shared" si="138"/>
        <v>6193</v>
      </c>
      <c r="K58" s="73">
        <f t="shared" si="138"/>
        <v>0</v>
      </c>
      <c r="L58" s="40">
        <f t="shared" si="138"/>
        <v>35897</v>
      </c>
      <c r="M58" s="82">
        <f t="shared" si="138"/>
        <v>35897</v>
      </c>
      <c r="N58" s="74">
        <f t="shared" si="138"/>
        <v>0</v>
      </c>
      <c r="O58" s="40">
        <f t="shared" si="138"/>
        <v>3007</v>
      </c>
      <c r="P58" s="75">
        <f t="shared" si="138"/>
        <v>2999</v>
      </c>
      <c r="Q58" s="75">
        <f t="shared" si="138"/>
        <v>9</v>
      </c>
      <c r="R58" s="40">
        <f t="shared" si="138"/>
        <v>83623</v>
      </c>
      <c r="S58" s="60">
        <f t="shared" si="138"/>
        <v>83399</v>
      </c>
      <c r="T58" s="60">
        <f t="shared" si="138"/>
        <v>225</v>
      </c>
      <c r="U58" s="76">
        <f t="shared" si="138"/>
        <v>0</v>
      </c>
      <c r="V58" s="76">
        <f t="shared" si="138"/>
        <v>0</v>
      </c>
      <c r="W58" s="38">
        <f t="shared" si="138"/>
        <v>272723</v>
      </c>
      <c r="X58" s="55">
        <f t="shared" si="138"/>
        <v>268809</v>
      </c>
      <c r="Y58" s="77">
        <f t="shared" si="138"/>
        <v>3915</v>
      </c>
      <c r="Z58" s="55">
        <f t="shared" si="138"/>
        <v>0</v>
      </c>
      <c r="AA58" s="77">
        <f t="shared" si="138"/>
        <v>0</v>
      </c>
      <c r="AB58" s="77">
        <f t="shared" si="138"/>
        <v>0</v>
      </c>
      <c r="AC58" s="39">
        <f t="shared" si="138"/>
        <v>796734</v>
      </c>
      <c r="AD58" s="57">
        <f t="shared" si="138"/>
        <v>796734</v>
      </c>
      <c r="AE58" s="58">
        <f t="shared" si="138"/>
        <v>0</v>
      </c>
      <c r="AF58" s="58">
        <f t="shared" si="138"/>
        <v>0</v>
      </c>
      <c r="AG58" s="58">
        <f t="shared" si="138"/>
        <v>0</v>
      </c>
      <c r="AH58" s="40">
        <f t="shared" si="138"/>
        <v>0</v>
      </c>
      <c r="AI58" s="36">
        <f t="shared" si="138"/>
        <v>0</v>
      </c>
      <c r="AJ58" s="78">
        <f t="shared" si="138"/>
        <v>0</v>
      </c>
      <c r="AK58" s="78">
        <f t="shared" si="138"/>
        <v>0</v>
      </c>
      <c r="AL58" s="78">
        <f t="shared" si="138"/>
        <v>0</v>
      </c>
      <c r="AM58" s="78">
        <f t="shared" si="138"/>
        <v>0</v>
      </c>
      <c r="AN58" s="78">
        <f t="shared" si="138"/>
        <v>0</v>
      </c>
      <c r="AO58" s="78">
        <f t="shared" si="138"/>
        <v>0</v>
      </c>
      <c r="AP58" s="78">
        <f t="shared" si="138"/>
        <v>0</v>
      </c>
      <c r="AQ58" s="62">
        <f t="shared" si="138"/>
        <v>0</v>
      </c>
      <c r="AR58" s="62">
        <f t="shared" si="138"/>
        <v>0</v>
      </c>
      <c r="AS58" s="62">
        <f t="shared" si="138"/>
        <v>0</v>
      </c>
      <c r="AT58" s="37">
        <f t="shared" si="138"/>
        <v>7978858</v>
      </c>
      <c r="AU58" s="40">
        <f t="shared" si="138"/>
        <v>-1610068</v>
      </c>
      <c r="AV58" s="40">
        <f t="shared" si="138"/>
        <v>3457529</v>
      </c>
      <c r="AW58" s="37">
        <f t="shared" si="138"/>
        <v>3443434</v>
      </c>
      <c r="AX58" s="72">
        <f t="shared" si="138"/>
        <v>2484000</v>
      </c>
      <c r="AY58" s="72">
        <f t="shared" si="138"/>
        <v>768308</v>
      </c>
      <c r="AZ58" s="72">
        <f t="shared" si="138"/>
        <v>191127</v>
      </c>
      <c r="BA58" s="72">
        <f t="shared" si="138"/>
        <v>14095</v>
      </c>
      <c r="BB58" s="40">
        <f t="shared" si="138"/>
        <v>0</v>
      </c>
      <c r="BC58" s="73">
        <f t="shared" si="138"/>
        <v>0</v>
      </c>
      <c r="BD58" s="73">
        <f t="shared" si="138"/>
        <v>0</v>
      </c>
      <c r="BE58" s="40">
        <f t="shared" si="138"/>
        <v>0</v>
      </c>
      <c r="BF58" s="74">
        <f t="shared" si="138"/>
        <v>0</v>
      </c>
      <c r="BG58" s="74">
        <f t="shared" si="138"/>
        <v>0</v>
      </c>
      <c r="BH58" s="40">
        <f t="shared" si="138"/>
        <v>2763</v>
      </c>
      <c r="BI58" s="79">
        <f t="shared" si="138"/>
        <v>2752</v>
      </c>
      <c r="BJ58" s="79">
        <f t="shared" si="138"/>
        <v>12</v>
      </c>
      <c r="BK58" s="40">
        <f t="shared" si="138"/>
        <v>75974</v>
      </c>
      <c r="BL58" s="60">
        <f t="shared" ref="BL58:DQ58" si="139">ROUNDUP(BL22,0)</f>
        <v>75674</v>
      </c>
      <c r="BM58" s="60">
        <f t="shared" si="139"/>
        <v>301</v>
      </c>
      <c r="BN58" s="76">
        <f t="shared" si="139"/>
        <v>0</v>
      </c>
      <c r="BO58" s="76">
        <f t="shared" si="139"/>
        <v>0</v>
      </c>
      <c r="BP58" s="38">
        <f t="shared" si="139"/>
        <v>252567</v>
      </c>
      <c r="BQ58" s="55">
        <f t="shared" si="139"/>
        <v>0</v>
      </c>
      <c r="BR58" s="77">
        <f t="shared" si="139"/>
        <v>0</v>
      </c>
      <c r="BS58" s="77">
        <f t="shared" si="139"/>
        <v>251568</v>
      </c>
      <c r="BT58" s="77">
        <f t="shared" si="139"/>
        <v>999</v>
      </c>
      <c r="BU58" s="54">
        <f t="shared" si="139"/>
        <v>0</v>
      </c>
      <c r="BV58" s="39">
        <f t="shared" si="139"/>
        <v>2221163</v>
      </c>
      <c r="BW58" s="57">
        <f t="shared" si="139"/>
        <v>0</v>
      </c>
      <c r="BX58" s="57">
        <f t="shared" si="139"/>
        <v>2215041</v>
      </c>
      <c r="BY58" s="57">
        <f t="shared" si="139"/>
        <v>6123</v>
      </c>
      <c r="BZ58" s="56">
        <f t="shared" si="139"/>
        <v>0</v>
      </c>
      <c r="CA58" s="40">
        <f t="shared" si="139"/>
        <v>358797</v>
      </c>
      <c r="CB58" s="36">
        <f t="shared" si="139"/>
        <v>357418</v>
      </c>
      <c r="CC58" s="62">
        <f t="shared" si="139"/>
        <v>130929</v>
      </c>
      <c r="CD58" s="62">
        <f t="shared" si="139"/>
        <v>119789</v>
      </c>
      <c r="CE58" s="62">
        <f t="shared" si="139"/>
        <v>41691</v>
      </c>
      <c r="CF58" s="62">
        <f t="shared" si="139"/>
        <v>9294</v>
      </c>
      <c r="CG58" s="62">
        <f t="shared" si="139"/>
        <v>2791</v>
      </c>
      <c r="CH58" s="86">
        <f t="shared" si="139"/>
        <v>52926</v>
      </c>
      <c r="CI58" s="86">
        <f t="shared" si="139"/>
        <v>1379</v>
      </c>
      <c r="CJ58" s="62">
        <f t="shared" si="139"/>
        <v>0</v>
      </c>
      <c r="CK58" s="62">
        <f t="shared" si="139"/>
        <v>0</v>
      </c>
      <c r="CL58" s="62">
        <f t="shared" si="139"/>
        <v>0</v>
      </c>
      <c r="CM58" s="37">
        <f t="shared" si="139"/>
        <v>6368791</v>
      </c>
      <c r="CN58" s="4"/>
      <c r="CO58" s="45">
        <f t="shared" si="139"/>
        <v>-3323154</v>
      </c>
      <c r="CP58" s="46">
        <f t="shared" si="139"/>
        <v>-3337249</v>
      </c>
      <c r="CQ58" s="46">
        <f t="shared" si="139"/>
        <v>-3108366</v>
      </c>
      <c r="CR58" s="46">
        <f t="shared" si="139"/>
        <v>-181754</v>
      </c>
      <c r="CS58" s="46">
        <f t="shared" si="139"/>
        <v>-47130</v>
      </c>
      <c r="CT58" s="46">
        <f t="shared" si="139"/>
        <v>14095</v>
      </c>
      <c r="CU58" s="45">
        <f t="shared" si="139"/>
        <v>-6193</v>
      </c>
      <c r="CV58" s="46">
        <f t="shared" si="139"/>
        <v>-6193</v>
      </c>
      <c r="CW58" s="46">
        <f t="shared" si="139"/>
        <v>0</v>
      </c>
      <c r="CX58" s="45">
        <f t="shared" si="139"/>
        <v>-35897</v>
      </c>
      <c r="CY58" s="46">
        <f t="shared" si="139"/>
        <v>-35897</v>
      </c>
      <c r="CZ58" s="46">
        <f t="shared" si="139"/>
        <v>0</v>
      </c>
      <c r="DA58" s="45">
        <f t="shared" si="139"/>
        <v>-245</v>
      </c>
      <c r="DB58" s="46">
        <f t="shared" si="139"/>
        <v>-248</v>
      </c>
      <c r="DC58" s="46">
        <f t="shared" si="139"/>
        <v>3</v>
      </c>
      <c r="DD58" s="45">
        <f t="shared" si="139"/>
        <v>-7650</v>
      </c>
      <c r="DE58" s="47">
        <f t="shared" si="139"/>
        <v>-7726</v>
      </c>
      <c r="DF58" s="47">
        <f t="shared" si="139"/>
        <v>77</v>
      </c>
      <c r="DG58" s="48">
        <f t="shared" si="139"/>
        <v>0</v>
      </c>
      <c r="DH58" s="46">
        <f t="shared" si="139"/>
        <v>0</v>
      </c>
      <c r="DI58" s="49">
        <f t="shared" si="139"/>
        <v>-20156</v>
      </c>
      <c r="DJ58" s="47">
        <f t="shared" si="139"/>
        <v>-268809</v>
      </c>
      <c r="DK58" s="46">
        <f t="shared" si="139"/>
        <v>-3915</v>
      </c>
      <c r="DL58" s="46">
        <f t="shared" si="139"/>
        <v>251568</v>
      </c>
      <c r="DM58" s="46">
        <f t="shared" si="139"/>
        <v>999</v>
      </c>
      <c r="DN58" s="46">
        <f t="shared" si="139"/>
        <v>0</v>
      </c>
      <c r="DO58" s="50">
        <f t="shared" si="139"/>
        <v>1424429</v>
      </c>
      <c r="DP58" s="47">
        <f t="shared" si="139"/>
        <v>-796734</v>
      </c>
      <c r="DQ58" s="47">
        <f t="shared" si="139"/>
        <v>2215041</v>
      </c>
      <c r="DR58" s="46">
        <f t="shared" ref="DR58:EF58" si="140">ROUNDUP(DR22,0)</f>
        <v>6123</v>
      </c>
      <c r="DS58" s="46">
        <f t="shared" si="140"/>
        <v>0</v>
      </c>
      <c r="DT58" s="45">
        <f t="shared" si="140"/>
        <v>358797</v>
      </c>
      <c r="DU58" s="47">
        <f t="shared" si="140"/>
        <v>357418</v>
      </c>
      <c r="DV58" s="47">
        <f t="shared" si="140"/>
        <v>130929</v>
      </c>
      <c r="DW58" s="47">
        <f t="shared" si="140"/>
        <v>119789</v>
      </c>
      <c r="DX58" s="47">
        <f t="shared" si="140"/>
        <v>41691</v>
      </c>
      <c r="DY58" s="47">
        <f t="shared" si="140"/>
        <v>9294</v>
      </c>
      <c r="DZ58" s="47">
        <f t="shared" si="140"/>
        <v>2791</v>
      </c>
      <c r="EA58" s="47">
        <f t="shared" si="140"/>
        <v>52926</v>
      </c>
      <c r="EB58" s="47">
        <f t="shared" si="140"/>
        <v>1379</v>
      </c>
      <c r="EC58" s="47">
        <f t="shared" si="140"/>
        <v>0</v>
      </c>
      <c r="ED58" s="47">
        <f t="shared" si="140"/>
        <v>0</v>
      </c>
      <c r="EE58" s="47">
        <f t="shared" si="140"/>
        <v>0</v>
      </c>
      <c r="EF58" s="46">
        <f t="shared" si="140"/>
        <v>-1610068</v>
      </c>
    </row>
    <row r="59" spans="1:136" ht="15" customHeight="1" x14ac:dyDescent="0.3">
      <c r="A59" s="24">
        <f t="shared" si="95"/>
        <v>18</v>
      </c>
      <c r="B59" s="26">
        <v>2041</v>
      </c>
      <c r="C59" s="40">
        <f t="shared" ref="C59:BK59" si="141">ROUNDUP(C23,0)</f>
        <v>6780683</v>
      </c>
      <c r="D59" s="37">
        <f t="shared" si="141"/>
        <v>6780683</v>
      </c>
      <c r="E59" s="72">
        <f t="shared" si="141"/>
        <v>5592366</v>
      </c>
      <c r="F59" s="72">
        <f t="shared" si="141"/>
        <v>950061</v>
      </c>
      <c r="G59" s="72">
        <f t="shared" si="141"/>
        <v>238256</v>
      </c>
      <c r="H59" s="72">
        <f t="shared" si="141"/>
        <v>0</v>
      </c>
      <c r="I59" s="40">
        <f t="shared" si="141"/>
        <v>6193</v>
      </c>
      <c r="J59" s="81">
        <f t="shared" si="141"/>
        <v>6193</v>
      </c>
      <c r="K59" s="73">
        <f t="shared" si="141"/>
        <v>0</v>
      </c>
      <c r="L59" s="40">
        <f t="shared" si="141"/>
        <v>35897</v>
      </c>
      <c r="M59" s="82">
        <f t="shared" si="141"/>
        <v>35897</v>
      </c>
      <c r="N59" s="74">
        <f t="shared" si="141"/>
        <v>0</v>
      </c>
      <c r="O59" s="40">
        <f t="shared" si="141"/>
        <v>3007</v>
      </c>
      <c r="P59" s="75">
        <f t="shared" si="141"/>
        <v>2999</v>
      </c>
      <c r="Q59" s="75">
        <f t="shared" si="141"/>
        <v>9</v>
      </c>
      <c r="R59" s="40">
        <f t="shared" si="141"/>
        <v>83623</v>
      </c>
      <c r="S59" s="60">
        <f t="shared" si="141"/>
        <v>83399</v>
      </c>
      <c r="T59" s="60">
        <f t="shared" si="141"/>
        <v>225</v>
      </c>
      <c r="U59" s="76">
        <f t="shared" si="141"/>
        <v>0</v>
      </c>
      <c r="V59" s="76">
        <f t="shared" si="141"/>
        <v>0</v>
      </c>
      <c r="W59" s="38">
        <f t="shared" si="141"/>
        <v>272723</v>
      </c>
      <c r="X59" s="55">
        <f t="shared" si="141"/>
        <v>268809</v>
      </c>
      <c r="Y59" s="77">
        <f t="shared" si="141"/>
        <v>3915</v>
      </c>
      <c r="Z59" s="55">
        <f t="shared" si="141"/>
        <v>0</v>
      </c>
      <c r="AA59" s="77">
        <f t="shared" si="141"/>
        <v>0</v>
      </c>
      <c r="AB59" s="77">
        <f t="shared" si="141"/>
        <v>0</v>
      </c>
      <c r="AC59" s="39">
        <f t="shared" si="141"/>
        <v>796734</v>
      </c>
      <c r="AD59" s="57">
        <f t="shared" si="141"/>
        <v>796734</v>
      </c>
      <c r="AE59" s="58">
        <f t="shared" si="141"/>
        <v>0</v>
      </c>
      <c r="AF59" s="58">
        <f t="shared" si="141"/>
        <v>0</v>
      </c>
      <c r="AG59" s="58">
        <f t="shared" si="141"/>
        <v>0</v>
      </c>
      <c r="AH59" s="40">
        <f t="shared" si="141"/>
        <v>0</v>
      </c>
      <c r="AI59" s="36">
        <f t="shared" si="141"/>
        <v>0</v>
      </c>
      <c r="AJ59" s="78">
        <f t="shared" si="141"/>
        <v>0</v>
      </c>
      <c r="AK59" s="78">
        <f t="shared" si="141"/>
        <v>0</v>
      </c>
      <c r="AL59" s="78">
        <f t="shared" si="141"/>
        <v>0</v>
      </c>
      <c r="AM59" s="78">
        <f t="shared" si="141"/>
        <v>0</v>
      </c>
      <c r="AN59" s="78">
        <f t="shared" si="141"/>
        <v>0</v>
      </c>
      <c r="AO59" s="78">
        <f t="shared" si="141"/>
        <v>0</v>
      </c>
      <c r="AP59" s="78">
        <f t="shared" si="141"/>
        <v>0</v>
      </c>
      <c r="AQ59" s="62">
        <f t="shared" si="141"/>
        <v>0</v>
      </c>
      <c r="AR59" s="62">
        <f t="shared" si="141"/>
        <v>0</v>
      </c>
      <c r="AS59" s="62">
        <f t="shared" si="141"/>
        <v>0</v>
      </c>
      <c r="AT59" s="37">
        <f t="shared" si="141"/>
        <v>7978858</v>
      </c>
      <c r="AU59" s="40">
        <f t="shared" si="141"/>
        <v>-1610068</v>
      </c>
      <c r="AV59" s="40">
        <f t="shared" si="141"/>
        <v>3457529</v>
      </c>
      <c r="AW59" s="37">
        <f t="shared" si="141"/>
        <v>3443434</v>
      </c>
      <c r="AX59" s="72">
        <f t="shared" si="141"/>
        <v>2484000</v>
      </c>
      <c r="AY59" s="72">
        <f t="shared" si="141"/>
        <v>768308</v>
      </c>
      <c r="AZ59" s="72">
        <f t="shared" si="141"/>
        <v>191127</v>
      </c>
      <c r="BA59" s="72">
        <f t="shared" si="141"/>
        <v>14095</v>
      </c>
      <c r="BB59" s="40">
        <f t="shared" si="141"/>
        <v>0</v>
      </c>
      <c r="BC59" s="73">
        <f t="shared" si="141"/>
        <v>0</v>
      </c>
      <c r="BD59" s="73">
        <f t="shared" si="141"/>
        <v>0</v>
      </c>
      <c r="BE59" s="40">
        <f t="shared" si="141"/>
        <v>0</v>
      </c>
      <c r="BF59" s="74">
        <f t="shared" si="141"/>
        <v>0</v>
      </c>
      <c r="BG59" s="74">
        <f t="shared" si="141"/>
        <v>0</v>
      </c>
      <c r="BH59" s="40">
        <f t="shared" si="141"/>
        <v>2763</v>
      </c>
      <c r="BI59" s="79">
        <f t="shared" si="141"/>
        <v>2752</v>
      </c>
      <c r="BJ59" s="79">
        <f t="shared" si="141"/>
        <v>12</v>
      </c>
      <c r="BK59" s="40">
        <f t="shared" si="141"/>
        <v>75974</v>
      </c>
      <c r="BL59" s="60">
        <f t="shared" ref="BL59:DQ59" si="142">ROUNDUP(BL23,0)</f>
        <v>75674</v>
      </c>
      <c r="BM59" s="60">
        <f t="shared" si="142"/>
        <v>301</v>
      </c>
      <c r="BN59" s="76">
        <f t="shared" si="142"/>
        <v>0</v>
      </c>
      <c r="BO59" s="76">
        <f t="shared" si="142"/>
        <v>0</v>
      </c>
      <c r="BP59" s="38">
        <f t="shared" si="142"/>
        <v>252567</v>
      </c>
      <c r="BQ59" s="55">
        <f t="shared" si="142"/>
        <v>0</v>
      </c>
      <c r="BR59" s="77">
        <f t="shared" si="142"/>
        <v>0</v>
      </c>
      <c r="BS59" s="77">
        <f t="shared" si="142"/>
        <v>251568</v>
      </c>
      <c r="BT59" s="77">
        <f t="shared" si="142"/>
        <v>999</v>
      </c>
      <c r="BU59" s="54">
        <f t="shared" si="142"/>
        <v>0</v>
      </c>
      <c r="BV59" s="39">
        <f t="shared" si="142"/>
        <v>2221163</v>
      </c>
      <c r="BW59" s="57">
        <f t="shared" si="142"/>
        <v>0</v>
      </c>
      <c r="BX59" s="57">
        <f t="shared" si="142"/>
        <v>2215041</v>
      </c>
      <c r="BY59" s="57">
        <f t="shared" si="142"/>
        <v>6123</v>
      </c>
      <c r="BZ59" s="56">
        <f t="shared" si="142"/>
        <v>0</v>
      </c>
      <c r="CA59" s="40">
        <f t="shared" si="142"/>
        <v>358797</v>
      </c>
      <c r="CB59" s="36">
        <f t="shared" si="142"/>
        <v>357418</v>
      </c>
      <c r="CC59" s="62">
        <f t="shared" si="142"/>
        <v>130929</v>
      </c>
      <c r="CD59" s="62">
        <f t="shared" si="142"/>
        <v>119789</v>
      </c>
      <c r="CE59" s="62">
        <f t="shared" si="142"/>
        <v>41691</v>
      </c>
      <c r="CF59" s="62">
        <f t="shared" si="142"/>
        <v>9294</v>
      </c>
      <c r="CG59" s="62">
        <f t="shared" si="142"/>
        <v>2791</v>
      </c>
      <c r="CH59" s="86">
        <f t="shared" si="142"/>
        <v>52926</v>
      </c>
      <c r="CI59" s="86">
        <f t="shared" si="142"/>
        <v>1379</v>
      </c>
      <c r="CJ59" s="62">
        <f t="shared" si="142"/>
        <v>0</v>
      </c>
      <c r="CK59" s="62">
        <f t="shared" si="142"/>
        <v>0</v>
      </c>
      <c r="CL59" s="62">
        <f t="shared" si="142"/>
        <v>0</v>
      </c>
      <c r="CM59" s="37">
        <f t="shared" si="142"/>
        <v>6368791</v>
      </c>
      <c r="CN59" s="4"/>
      <c r="CO59" s="45">
        <f t="shared" si="142"/>
        <v>-3323154</v>
      </c>
      <c r="CP59" s="46">
        <f t="shared" si="142"/>
        <v>-3337249</v>
      </c>
      <c r="CQ59" s="46">
        <f t="shared" si="142"/>
        <v>-3108366</v>
      </c>
      <c r="CR59" s="46">
        <f t="shared" si="142"/>
        <v>-181754</v>
      </c>
      <c r="CS59" s="46">
        <f t="shared" si="142"/>
        <v>-47130</v>
      </c>
      <c r="CT59" s="46">
        <f t="shared" si="142"/>
        <v>14095</v>
      </c>
      <c r="CU59" s="45">
        <f t="shared" si="142"/>
        <v>-6193</v>
      </c>
      <c r="CV59" s="46">
        <f t="shared" si="142"/>
        <v>-6193</v>
      </c>
      <c r="CW59" s="46">
        <f t="shared" si="142"/>
        <v>0</v>
      </c>
      <c r="CX59" s="45">
        <f t="shared" si="142"/>
        <v>-35897</v>
      </c>
      <c r="CY59" s="46">
        <f t="shared" si="142"/>
        <v>-35897</v>
      </c>
      <c r="CZ59" s="46">
        <f t="shared" si="142"/>
        <v>0</v>
      </c>
      <c r="DA59" s="45">
        <f t="shared" si="142"/>
        <v>-245</v>
      </c>
      <c r="DB59" s="46">
        <f t="shared" si="142"/>
        <v>-248</v>
      </c>
      <c r="DC59" s="46">
        <f t="shared" si="142"/>
        <v>3</v>
      </c>
      <c r="DD59" s="45">
        <f t="shared" si="142"/>
        <v>-7650</v>
      </c>
      <c r="DE59" s="47">
        <f t="shared" si="142"/>
        <v>-7726</v>
      </c>
      <c r="DF59" s="47">
        <f t="shared" si="142"/>
        <v>77</v>
      </c>
      <c r="DG59" s="48">
        <f t="shared" si="142"/>
        <v>0</v>
      </c>
      <c r="DH59" s="46">
        <f t="shared" si="142"/>
        <v>0</v>
      </c>
      <c r="DI59" s="49">
        <f t="shared" si="142"/>
        <v>-20156</v>
      </c>
      <c r="DJ59" s="47">
        <f t="shared" si="142"/>
        <v>-268809</v>
      </c>
      <c r="DK59" s="46">
        <f t="shared" si="142"/>
        <v>-3915</v>
      </c>
      <c r="DL59" s="46">
        <f t="shared" si="142"/>
        <v>251568</v>
      </c>
      <c r="DM59" s="46">
        <f t="shared" si="142"/>
        <v>999</v>
      </c>
      <c r="DN59" s="46">
        <f t="shared" si="142"/>
        <v>0</v>
      </c>
      <c r="DO59" s="50">
        <f t="shared" si="142"/>
        <v>1424429</v>
      </c>
      <c r="DP59" s="47">
        <f t="shared" si="142"/>
        <v>-796734</v>
      </c>
      <c r="DQ59" s="47">
        <f t="shared" si="142"/>
        <v>2215041</v>
      </c>
      <c r="DR59" s="46">
        <f t="shared" ref="DR59:EF59" si="143">ROUNDUP(DR23,0)</f>
        <v>6123</v>
      </c>
      <c r="DS59" s="46">
        <f t="shared" si="143"/>
        <v>0</v>
      </c>
      <c r="DT59" s="45">
        <f t="shared" si="143"/>
        <v>358797</v>
      </c>
      <c r="DU59" s="47">
        <f t="shared" si="143"/>
        <v>357418</v>
      </c>
      <c r="DV59" s="47">
        <f t="shared" si="143"/>
        <v>130929</v>
      </c>
      <c r="DW59" s="47">
        <f t="shared" si="143"/>
        <v>119789</v>
      </c>
      <c r="DX59" s="47">
        <f t="shared" si="143"/>
        <v>41691</v>
      </c>
      <c r="DY59" s="47">
        <f t="shared" si="143"/>
        <v>9294</v>
      </c>
      <c r="DZ59" s="47">
        <f t="shared" si="143"/>
        <v>2791</v>
      </c>
      <c r="EA59" s="47">
        <f t="shared" si="143"/>
        <v>52926</v>
      </c>
      <c r="EB59" s="47">
        <f t="shared" si="143"/>
        <v>1379</v>
      </c>
      <c r="EC59" s="47">
        <f t="shared" si="143"/>
        <v>0</v>
      </c>
      <c r="ED59" s="47">
        <f t="shared" si="143"/>
        <v>0</v>
      </c>
      <c r="EE59" s="47">
        <f t="shared" si="143"/>
        <v>0</v>
      </c>
      <c r="EF59" s="46">
        <f t="shared" si="143"/>
        <v>-1610068</v>
      </c>
    </row>
    <row r="60" spans="1:136" ht="15" customHeight="1" x14ac:dyDescent="0.3">
      <c r="A60" s="24">
        <f t="shared" si="95"/>
        <v>19</v>
      </c>
      <c r="B60" s="26">
        <v>2042</v>
      </c>
      <c r="C60" s="40">
        <f t="shared" ref="C60:BK60" si="144">ROUNDUP(C24,0)</f>
        <v>6780683</v>
      </c>
      <c r="D60" s="37">
        <f t="shared" si="144"/>
        <v>6780683</v>
      </c>
      <c r="E60" s="72">
        <f t="shared" si="144"/>
        <v>5592366</v>
      </c>
      <c r="F60" s="72">
        <f t="shared" si="144"/>
        <v>950061</v>
      </c>
      <c r="G60" s="72">
        <f t="shared" si="144"/>
        <v>238256</v>
      </c>
      <c r="H60" s="72">
        <f t="shared" si="144"/>
        <v>0</v>
      </c>
      <c r="I60" s="40">
        <f t="shared" si="144"/>
        <v>6193</v>
      </c>
      <c r="J60" s="81">
        <f t="shared" si="144"/>
        <v>6193</v>
      </c>
      <c r="K60" s="73">
        <f t="shared" si="144"/>
        <v>0</v>
      </c>
      <c r="L60" s="40">
        <f t="shared" si="144"/>
        <v>35897</v>
      </c>
      <c r="M60" s="82">
        <f t="shared" si="144"/>
        <v>35897</v>
      </c>
      <c r="N60" s="74">
        <f t="shared" si="144"/>
        <v>0</v>
      </c>
      <c r="O60" s="40">
        <f t="shared" si="144"/>
        <v>3007</v>
      </c>
      <c r="P60" s="75">
        <f t="shared" si="144"/>
        <v>2999</v>
      </c>
      <c r="Q60" s="75">
        <f t="shared" si="144"/>
        <v>9</v>
      </c>
      <c r="R60" s="40">
        <f t="shared" si="144"/>
        <v>83623</v>
      </c>
      <c r="S60" s="60">
        <f t="shared" si="144"/>
        <v>83399</v>
      </c>
      <c r="T60" s="60">
        <f t="shared" si="144"/>
        <v>225</v>
      </c>
      <c r="U60" s="76">
        <f t="shared" si="144"/>
        <v>0</v>
      </c>
      <c r="V60" s="76">
        <f t="shared" si="144"/>
        <v>0</v>
      </c>
      <c r="W60" s="38">
        <f t="shared" si="144"/>
        <v>272723</v>
      </c>
      <c r="X60" s="55">
        <f t="shared" si="144"/>
        <v>268809</v>
      </c>
      <c r="Y60" s="77">
        <f t="shared" si="144"/>
        <v>3915</v>
      </c>
      <c r="Z60" s="55">
        <f t="shared" si="144"/>
        <v>0</v>
      </c>
      <c r="AA60" s="77">
        <f t="shared" si="144"/>
        <v>0</v>
      </c>
      <c r="AB60" s="77">
        <f t="shared" si="144"/>
        <v>0</v>
      </c>
      <c r="AC60" s="39">
        <f t="shared" si="144"/>
        <v>796734</v>
      </c>
      <c r="AD60" s="57">
        <f t="shared" si="144"/>
        <v>796734</v>
      </c>
      <c r="AE60" s="58">
        <f t="shared" si="144"/>
        <v>0</v>
      </c>
      <c r="AF60" s="58">
        <f t="shared" si="144"/>
        <v>0</v>
      </c>
      <c r="AG60" s="58">
        <f t="shared" si="144"/>
        <v>0</v>
      </c>
      <c r="AH60" s="40">
        <f t="shared" si="144"/>
        <v>0</v>
      </c>
      <c r="AI60" s="36">
        <f t="shared" si="144"/>
        <v>0</v>
      </c>
      <c r="AJ60" s="78">
        <f t="shared" si="144"/>
        <v>0</v>
      </c>
      <c r="AK60" s="78">
        <f t="shared" si="144"/>
        <v>0</v>
      </c>
      <c r="AL60" s="78">
        <f t="shared" si="144"/>
        <v>0</v>
      </c>
      <c r="AM60" s="78">
        <f t="shared" si="144"/>
        <v>0</v>
      </c>
      <c r="AN60" s="78">
        <f t="shared" si="144"/>
        <v>0</v>
      </c>
      <c r="AO60" s="78">
        <f t="shared" si="144"/>
        <v>0</v>
      </c>
      <c r="AP60" s="78">
        <f t="shared" si="144"/>
        <v>0</v>
      </c>
      <c r="AQ60" s="62">
        <f t="shared" si="144"/>
        <v>0</v>
      </c>
      <c r="AR60" s="62">
        <f t="shared" si="144"/>
        <v>0</v>
      </c>
      <c r="AS60" s="62">
        <f t="shared" si="144"/>
        <v>0</v>
      </c>
      <c r="AT60" s="37">
        <f t="shared" si="144"/>
        <v>7978858</v>
      </c>
      <c r="AU60" s="40">
        <f t="shared" si="144"/>
        <v>-1610068</v>
      </c>
      <c r="AV60" s="40">
        <f t="shared" si="144"/>
        <v>3457529</v>
      </c>
      <c r="AW60" s="37">
        <f t="shared" si="144"/>
        <v>3443434</v>
      </c>
      <c r="AX60" s="72">
        <f t="shared" si="144"/>
        <v>2484000</v>
      </c>
      <c r="AY60" s="72">
        <f t="shared" si="144"/>
        <v>768308</v>
      </c>
      <c r="AZ60" s="72">
        <f t="shared" si="144"/>
        <v>191127</v>
      </c>
      <c r="BA60" s="72">
        <f t="shared" si="144"/>
        <v>14095</v>
      </c>
      <c r="BB60" s="40">
        <f t="shared" si="144"/>
        <v>0</v>
      </c>
      <c r="BC60" s="73">
        <f t="shared" si="144"/>
        <v>0</v>
      </c>
      <c r="BD60" s="73">
        <f t="shared" si="144"/>
        <v>0</v>
      </c>
      <c r="BE60" s="40">
        <f t="shared" si="144"/>
        <v>0</v>
      </c>
      <c r="BF60" s="74">
        <f t="shared" si="144"/>
        <v>0</v>
      </c>
      <c r="BG60" s="74">
        <f t="shared" si="144"/>
        <v>0</v>
      </c>
      <c r="BH60" s="40">
        <f t="shared" si="144"/>
        <v>2763</v>
      </c>
      <c r="BI60" s="79">
        <f t="shared" si="144"/>
        <v>2752</v>
      </c>
      <c r="BJ60" s="79">
        <f t="shared" si="144"/>
        <v>12</v>
      </c>
      <c r="BK60" s="40">
        <f t="shared" si="144"/>
        <v>75974</v>
      </c>
      <c r="BL60" s="60">
        <f t="shared" ref="BL60:DQ60" si="145">ROUNDUP(BL24,0)</f>
        <v>75674</v>
      </c>
      <c r="BM60" s="60">
        <f t="shared" si="145"/>
        <v>301</v>
      </c>
      <c r="BN60" s="76">
        <f t="shared" si="145"/>
        <v>0</v>
      </c>
      <c r="BO60" s="76">
        <f t="shared" si="145"/>
        <v>0</v>
      </c>
      <c r="BP60" s="38">
        <f t="shared" si="145"/>
        <v>252567</v>
      </c>
      <c r="BQ60" s="55">
        <f t="shared" si="145"/>
        <v>0</v>
      </c>
      <c r="BR60" s="77">
        <f t="shared" si="145"/>
        <v>0</v>
      </c>
      <c r="BS60" s="77">
        <f t="shared" si="145"/>
        <v>251568</v>
      </c>
      <c r="BT60" s="77">
        <f t="shared" si="145"/>
        <v>999</v>
      </c>
      <c r="BU60" s="54">
        <f t="shared" si="145"/>
        <v>0</v>
      </c>
      <c r="BV60" s="39">
        <f t="shared" si="145"/>
        <v>2221163</v>
      </c>
      <c r="BW60" s="57">
        <f t="shared" si="145"/>
        <v>0</v>
      </c>
      <c r="BX60" s="57">
        <f t="shared" si="145"/>
        <v>2215041</v>
      </c>
      <c r="BY60" s="57">
        <f t="shared" si="145"/>
        <v>6123</v>
      </c>
      <c r="BZ60" s="56">
        <f t="shared" si="145"/>
        <v>0</v>
      </c>
      <c r="CA60" s="40">
        <f t="shared" si="145"/>
        <v>358797</v>
      </c>
      <c r="CB60" s="36">
        <f t="shared" si="145"/>
        <v>357418</v>
      </c>
      <c r="CC60" s="62">
        <f t="shared" si="145"/>
        <v>130929</v>
      </c>
      <c r="CD60" s="62">
        <f t="shared" si="145"/>
        <v>119789</v>
      </c>
      <c r="CE60" s="62">
        <f t="shared" si="145"/>
        <v>41691</v>
      </c>
      <c r="CF60" s="62">
        <f t="shared" si="145"/>
        <v>9294</v>
      </c>
      <c r="CG60" s="62">
        <f t="shared" si="145"/>
        <v>2791</v>
      </c>
      <c r="CH60" s="86">
        <f t="shared" si="145"/>
        <v>52926</v>
      </c>
      <c r="CI60" s="86">
        <f t="shared" si="145"/>
        <v>1379</v>
      </c>
      <c r="CJ60" s="62">
        <f t="shared" si="145"/>
        <v>0</v>
      </c>
      <c r="CK60" s="62">
        <f t="shared" si="145"/>
        <v>0</v>
      </c>
      <c r="CL60" s="62">
        <f t="shared" si="145"/>
        <v>0</v>
      </c>
      <c r="CM60" s="37">
        <f t="shared" si="145"/>
        <v>6368791</v>
      </c>
      <c r="CN60" s="4"/>
      <c r="CO60" s="45">
        <f t="shared" si="145"/>
        <v>-3323154</v>
      </c>
      <c r="CP60" s="46">
        <f t="shared" si="145"/>
        <v>-3337249</v>
      </c>
      <c r="CQ60" s="46">
        <f t="shared" si="145"/>
        <v>-3108366</v>
      </c>
      <c r="CR60" s="46">
        <f t="shared" si="145"/>
        <v>-181754</v>
      </c>
      <c r="CS60" s="46">
        <f t="shared" si="145"/>
        <v>-47130</v>
      </c>
      <c r="CT60" s="46">
        <f t="shared" si="145"/>
        <v>14095</v>
      </c>
      <c r="CU60" s="45">
        <f t="shared" si="145"/>
        <v>-6193</v>
      </c>
      <c r="CV60" s="46">
        <f t="shared" si="145"/>
        <v>-6193</v>
      </c>
      <c r="CW60" s="46">
        <f t="shared" si="145"/>
        <v>0</v>
      </c>
      <c r="CX60" s="45">
        <f t="shared" si="145"/>
        <v>-35897</v>
      </c>
      <c r="CY60" s="46">
        <f t="shared" si="145"/>
        <v>-35897</v>
      </c>
      <c r="CZ60" s="46">
        <f t="shared" si="145"/>
        <v>0</v>
      </c>
      <c r="DA60" s="45">
        <f t="shared" si="145"/>
        <v>-245</v>
      </c>
      <c r="DB60" s="46">
        <f t="shared" si="145"/>
        <v>-248</v>
      </c>
      <c r="DC60" s="46">
        <f t="shared" si="145"/>
        <v>3</v>
      </c>
      <c r="DD60" s="45">
        <f t="shared" si="145"/>
        <v>-7650</v>
      </c>
      <c r="DE60" s="47">
        <f t="shared" si="145"/>
        <v>-7726</v>
      </c>
      <c r="DF60" s="47">
        <f t="shared" si="145"/>
        <v>77</v>
      </c>
      <c r="DG60" s="48">
        <f t="shared" si="145"/>
        <v>0</v>
      </c>
      <c r="DH60" s="46">
        <f t="shared" si="145"/>
        <v>0</v>
      </c>
      <c r="DI60" s="49">
        <f t="shared" si="145"/>
        <v>-20156</v>
      </c>
      <c r="DJ60" s="47">
        <f t="shared" si="145"/>
        <v>-268809</v>
      </c>
      <c r="DK60" s="46">
        <f t="shared" si="145"/>
        <v>-3915</v>
      </c>
      <c r="DL60" s="46">
        <f t="shared" si="145"/>
        <v>251568</v>
      </c>
      <c r="DM60" s="46">
        <f t="shared" si="145"/>
        <v>999</v>
      </c>
      <c r="DN60" s="46">
        <f t="shared" si="145"/>
        <v>0</v>
      </c>
      <c r="DO60" s="50">
        <f t="shared" si="145"/>
        <v>1424429</v>
      </c>
      <c r="DP60" s="47">
        <f t="shared" si="145"/>
        <v>-796734</v>
      </c>
      <c r="DQ60" s="47">
        <f t="shared" si="145"/>
        <v>2215041</v>
      </c>
      <c r="DR60" s="46">
        <f t="shared" ref="DR60:EF60" si="146">ROUNDUP(DR24,0)</f>
        <v>6123</v>
      </c>
      <c r="DS60" s="46">
        <f t="shared" si="146"/>
        <v>0</v>
      </c>
      <c r="DT60" s="45">
        <f t="shared" si="146"/>
        <v>358797</v>
      </c>
      <c r="DU60" s="47">
        <f t="shared" si="146"/>
        <v>357418</v>
      </c>
      <c r="DV60" s="47">
        <f t="shared" si="146"/>
        <v>130929</v>
      </c>
      <c r="DW60" s="47">
        <f t="shared" si="146"/>
        <v>119789</v>
      </c>
      <c r="DX60" s="47">
        <f t="shared" si="146"/>
        <v>41691</v>
      </c>
      <c r="DY60" s="47">
        <f t="shared" si="146"/>
        <v>9294</v>
      </c>
      <c r="DZ60" s="47">
        <f t="shared" si="146"/>
        <v>2791</v>
      </c>
      <c r="EA60" s="47">
        <f t="shared" si="146"/>
        <v>52926</v>
      </c>
      <c r="EB60" s="47">
        <f t="shared" si="146"/>
        <v>1379</v>
      </c>
      <c r="EC60" s="47">
        <f t="shared" si="146"/>
        <v>0</v>
      </c>
      <c r="ED60" s="47">
        <f t="shared" si="146"/>
        <v>0</v>
      </c>
      <c r="EE60" s="47">
        <f t="shared" si="146"/>
        <v>0</v>
      </c>
      <c r="EF60" s="46">
        <f t="shared" si="146"/>
        <v>-1610068</v>
      </c>
    </row>
    <row r="61" spans="1:136" ht="15" customHeight="1" x14ac:dyDescent="0.3">
      <c r="A61" s="24">
        <f t="shared" si="95"/>
        <v>20</v>
      </c>
      <c r="B61" s="26">
        <v>2043</v>
      </c>
      <c r="C61" s="40">
        <f t="shared" ref="C61:BK61" si="147">ROUNDUP(C25,0)</f>
        <v>6780683</v>
      </c>
      <c r="D61" s="37">
        <f t="shared" si="147"/>
        <v>6780683</v>
      </c>
      <c r="E61" s="72">
        <f t="shared" si="147"/>
        <v>5592366</v>
      </c>
      <c r="F61" s="72">
        <f t="shared" si="147"/>
        <v>950061</v>
      </c>
      <c r="G61" s="72">
        <f t="shared" si="147"/>
        <v>238256</v>
      </c>
      <c r="H61" s="72">
        <f t="shared" si="147"/>
        <v>0</v>
      </c>
      <c r="I61" s="40">
        <f t="shared" si="147"/>
        <v>6193</v>
      </c>
      <c r="J61" s="81">
        <f t="shared" si="147"/>
        <v>6193</v>
      </c>
      <c r="K61" s="73">
        <f t="shared" si="147"/>
        <v>0</v>
      </c>
      <c r="L61" s="40">
        <f t="shared" si="147"/>
        <v>35897</v>
      </c>
      <c r="M61" s="82">
        <f t="shared" si="147"/>
        <v>35897</v>
      </c>
      <c r="N61" s="74">
        <f t="shared" si="147"/>
        <v>0</v>
      </c>
      <c r="O61" s="40">
        <f t="shared" si="147"/>
        <v>3007</v>
      </c>
      <c r="P61" s="75">
        <f t="shared" si="147"/>
        <v>2999</v>
      </c>
      <c r="Q61" s="75">
        <f t="shared" si="147"/>
        <v>9</v>
      </c>
      <c r="R61" s="40">
        <f t="shared" si="147"/>
        <v>83623</v>
      </c>
      <c r="S61" s="60">
        <f t="shared" si="147"/>
        <v>83399</v>
      </c>
      <c r="T61" s="60">
        <f t="shared" si="147"/>
        <v>225</v>
      </c>
      <c r="U61" s="76">
        <f t="shared" si="147"/>
        <v>0</v>
      </c>
      <c r="V61" s="76">
        <f t="shared" si="147"/>
        <v>0</v>
      </c>
      <c r="W61" s="38">
        <f t="shared" si="147"/>
        <v>272723</v>
      </c>
      <c r="X61" s="55">
        <f t="shared" si="147"/>
        <v>268809</v>
      </c>
      <c r="Y61" s="77">
        <f t="shared" si="147"/>
        <v>3915</v>
      </c>
      <c r="Z61" s="55">
        <f t="shared" si="147"/>
        <v>0</v>
      </c>
      <c r="AA61" s="77">
        <f t="shared" si="147"/>
        <v>0</v>
      </c>
      <c r="AB61" s="77">
        <f t="shared" si="147"/>
        <v>0</v>
      </c>
      <c r="AC61" s="39">
        <f t="shared" si="147"/>
        <v>796734</v>
      </c>
      <c r="AD61" s="57">
        <f t="shared" si="147"/>
        <v>796734</v>
      </c>
      <c r="AE61" s="58">
        <f t="shared" si="147"/>
        <v>0</v>
      </c>
      <c r="AF61" s="58">
        <f t="shared" si="147"/>
        <v>0</v>
      </c>
      <c r="AG61" s="58">
        <f t="shared" si="147"/>
        <v>0</v>
      </c>
      <c r="AH61" s="40">
        <f t="shared" si="147"/>
        <v>0</v>
      </c>
      <c r="AI61" s="36">
        <f t="shared" si="147"/>
        <v>0</v>
      </c>
      <c r="AJ61" s="78">
        <f t="shared" si="147"/>
        <v>0</v>
      </c>
      <c r="AK61" s="78">
        <f t="shared" si="147"/>
        <v>0</v>
      </c>
      <c r="AL61" s="78">
        <f t="shared" si="147"/>
        <v>0</v>
      </c>
      <c r="AM61" s="78">
        <f t="shared" si="147"/>
        <v>0</v>
      </c>
      <c r="AN61" s="78">
        <f t="shared" si="147"/>
        <v>0</v>
      </c>
      <c r="AO61" s="78">
        <f t="shared" si="147"/>
        <v>0</v>
      </c>
      <c r="AP61" s="78">
        <f t="shared" si="147"/>
        <v>0</v>
      </c>
      <c r="AQ61" s="62">
        <f t="shared" si="147"/>
        <v>0</v>
      </c>
      <c r="AR61" s="62">
        <f t="shared" si="147"/>
        <v>0</v>
      </c>
      <c r="AS61" s="62">
        <f t="shared" si="147"/>
        <v>0</v>
      </c>
      <c r="AT61" s="37">
        <f t="shared" si="147"/>
        <v>7978858</v>
      </c>
      <c r="AU61" s="40">
        <f t="shared" si="147"/>
        <v>-1610068</v>
      </c>
      <c r="AV61" s="40">
        <f t="shared" si="147"/>
        <v>3457529</v>
      </c>
      <c r="AW61" s="37">
        <f t="shared" si="147"/>
        <v>3443434</v>
      </c>
      <c r="AX61" s="72">
        <f t="shared" si="147"/>
        <v>2484000</v>
      </c>
      <c r="AY61" s="72">
        <f t="shared" si="147"/>
        <v>768308</v>
      </c>
      <c r="AZ61" s="72">
        <f t="shared" si="147"/>
        <v>191127</v>
      </c>
      <c r="BA61" s="72">
        <f t="shared" si="147"/>
        <v>14095</v>
      </c>
      <c r="BB61" s="40">
        <f t="shared" si="147"/>
        <v>0</v>
      </c>
      <c r="BC61" s="73">
        <f t="shared" si="147"/>
        <v>0</v>
      </c>
      <c r="BD61" s="73">
        <f t="shared" si="147"/>
        <v>0</v>
      </c>
      <c r="BE61" s="40">
        <f t="shared" si="147"/>
        <v>0</v>
      </c>
      <c r="BF61" s="74">
        <f t="shared" si="147"/>
        <v>0</v>
      </c>
      <c r="BG61" s="74">
        <f t="shared" si="147"/>
        <v>0</v>
      </c>
      <c r="BH61" s="40">
        <f t="shared" si="147"/>
        <v>2763</v>
      </c>
      <c r="BI61" s="79">
        <f t="shared" si="147"/>
        <v>2752</v>
      </c>
      <c r="BJ61" s="79">
        <f t="shared" si="147"/>
        <v>12</v>
      </c>
      <c r="BK61" s="40">
        <f t="shared" si="147"/>
        <v>75974</v>
      </c>
      <c r="BL61" s="60">
        <f t="shared" ref="BL61:DQ61" si="148">ROUNDUP(BL25,0)</f>
        <v>75674</v>
      </c>
      <c r="BM61" s="60">
        <f t="shared" si="148"/>
        <v>301</v>
      </c>
      <c r="BN61" s="76">
        <f t="shared" si="148"/>
        <v>0</v>
      </c>
      <c r="BO61" s="76">
        <f t="shared" si="148"/>
        <v>0</v>
      </c>
      <c r="BP61" s="38">
        <f t="shared" si="148"/>
        <v>252567</v>
      </c>
      <c r="BQ61" s="55">
        <f t="shared" si="148"/>
        <v>0</v>
      </c>
      <c r="BR61" s="77">
        <f t="shared" si="148"/>
        <v>0</v>
      </c>
      <c r="BS61" s="77">
        <f t="shared" si="148"/>
        <v>251568</v>
      </c>
      <c r="BT61" s="77">
        <f t="shared" si="148"/>
        <v>999</v>
      </c>
      <c r="BU61" s="54">
        <f t="shared" si="148"/>
        <v>0</v>
      </c>
      <c r="BV61" s="39">
        <f t="shared" si="148"/>
        <v>2221163</v>
      </c>
      <c r="BW61" s="57">
        <f t="shared" si="148"/>
        <v>0</v>
      </c>
      <c r="BX61" s="57">
        <f t="shared" si="148"/>
        <v>2215041</v>
      </c>
      <c r="BY61" s="57">
        <f t="shared" si="148"/>
        <v>6123</v>
      </c>
      <c r="BZ61" s="56">
        <f t="shared" si="148"/>
        <v>0</v>
      </c>
      <c r="CA61" s="40">
        <f t="shared" si="148"/>
        <v>358797</v>
      </c>
      <c r="CB61" s="36">
        <f t="shared" si="148"/>
        <v>357418</v>
      </c>
      <c r="CC61" s="62">
        <f t="shared" si="148"/>
        <v>130929</v>
      </c>
      <c r="CD61" s="62">
        <f t="shared" si="148"/>
        <v>119789</v>
      </c>
      <c r="CE61" s="62">
        <f t="shared" si="148"/>
        <v>41691</v>
      </c>
      <c r="CF61" s="62">
        <f t="shared" si="148"/>
        <v>9294</v>
      </c>
      <c r="CG61" s="62">
        <f t="shared" si="148"/>
        <v>2791</v>
      </c>
      <c r="CH61" s="86">
        <f t="shared" si="148"/>
        <v>52926</v>
      </c>
      <c r="CI61" s="86">
        <f t="shared" si="148"/>
        <v>1379</v>
      </c>
      <c r="CJ61" s="62">
        <f t="shared" si="148"/>
        <v>0</v>
      </c>
      <c r="CK61" s="62">
        <f t="shared" si="148"/>
        <v>0</v>
      </c>
      <c r="CL61" s="62">
        <f t="shared" si="148"/>
        <v>0</v>
      </c>
      <c r="CM61" s="37">
        <f t="shared" si="148"/>
        <v>6368791</v>
      </c>
      <c r="CN61" s="4"/>
      <c r="CO61" s="45">
        <f t="shared" si="148"/>
        <v>-3323154</v>
      </c>
      <c r="CP61" s="46">
        <f t="shared" si="148"/>
        <v>-3337249</v>
      </c>
      <c r="CQ61" s="46">
        <f t="shared" si="148"/>
        <v>-3108366</v>
      </c>
      <c r="CR61" s="46">
        <f t="shared" si="148"/>
        <v>-181754</v>
      </c>
      <c r="CS61" s="46">
        <f t="shared" si="148"/>
        <v>-47130</v>
      </c>
      <c r="CT61" s="46">
        <f t="shared" si="148"/>
        <v>14095</v>
      </c>
      <c r="CU61" s="45">
        <f t="shared" si="148"/>
        <v>-6193</v>
      </c>
      <c r="CV61" s="46">
        <f t="shared" si="148"/>
        <v>-6193</v>
      </c>
      <c r="CW61" s="46">
        <f t="shared" si="148"/>
        <v>0</v>
      </c>
      <c r="CX61" s="45">
        <f t="shared" si="148"/>
        <v>-35897</v>
      </c>
      <c r="CY61" s="46">
        <f t="shared" si="148"/>
        <v>-35897</v>
      </c>
      <c r="CZ61" s="46">
        <f t="shared" si="148"/>
        <v>0</v>
      </c>
      <c r="DA61" s="45">
        <f t="shared" si="148"/>
        <v>-245</v>
      </c>
      <c r="DB61" s="46">
        <f t="shared" si="148"/>
        <v>-248</v>
      </c>
      <c r="DC61" s="46">
        <f t="shared" si="148"/>
        <v>3</v>
      </c>
      <c r="DD61" s="45">
        <f t="shared" si="148"/>
        <v>-7650</v>
      </c>
      <c r="DE61" s="47">
        <f t="shared" si="148"/>
        <v>-7726</v>
      </c>
      <c r="DF61" s="47">
        <f t="shared" si="148"/>
        <v>77</v>
      </c>
      <c r="DG61" s="48">
        <f t="shared" si="148"/>
        <v>0</v>
      </c>
      <c r="DH61" s="46">
        <f t="shared" si="148"/>
        <v>0</v>
      </c>
      <c r="DI61" s="49">
        <f t="shared" si="148"/>
        <v>-20156</v>
      </c>
      <c r="DJ61" s="47">
        <f t="shared" si="148"/>
        <v>-268809</v>
      </c>
      <c r="DK61" s="46">
        <f t="shared" si="148"/>
        <v>-3915</v>
      </c>
      <c r="DL61" s="46">
        <f t="shared" si="148"/>
        <v>251568</v>
      </c>
      <c r="DM61" s="46">
        <f t="shared" si="148"/>
        <v>999</v>
      </c>
      <c r="DN61" s="46">
        <f t="shared" si="148"/>
        <v>0</v>
      </c>
      <c r="DO61" s="50">
        <f t="shared" si="148"/>
        <v>1424429</v>
      </c>
      <c r="DP61" s="47">
        <f t="shared" si="148"/>
        <v>-796734</v>
      </c>
      <c r="DQ61" s="47">
        <f t="shared" si="148"/>
        <v>2215041</v>
      </c>
      <c r="DR61" s="46">
        <f t="shared" ref="DR61:EF61" si="149">ROUNDUP(DR25,0)</f>
        <v>6123</v>
      </c>
      <c r="DS61" s="46">
        <f t="shared" si="149"/>
        <v>0</v>
      </c>
      <c r="DT61" s="45">
        <f t="shared" si="149"/>
        <v>358797</v>
      </c>
      <c r="DU61" s="47">
        <f t="shared" si="149"/>
        <v>357418</v>
      </c>
      <c r="DV61" s="47">
        <f t="shared" si="149"/>
        <v>130929</v>
      </c>
      <c r="DW61" s="47">
        <f t="shared" si="149"/>
        <v>119789</v>
      </c>
      <c r="DX61" s="47">
        <f t="shared" si="149"/>
        <v>41691</v>
      </c>
      <c r="DY61" s="47">
        <f t="shared" si="149"/>
        <v>9294</v>
      </c>
      <c r="DZ61" s="47">
        <f t="shared" si="149"/>
        <v>2791</v>
      </c>
      <c r="EA61" s="47">
        <f t="shared" si="149"/>
        <v>52926</v>
      </c>
      <c r="EB61" s="47">
        <f t="shared" si="149"/>
        <v>1379</v>
      </c>
      <c r="EC61" s="47">
        <f t="shared" si="149"/>
        <v>0</v>
      </c>
      <c r="ED61" s="47">
        <f t="shared" si="149"/>
        <v>0</v>
      </c>
      <c r="EE61" s="47">
        <f t="shared" si="149"/>
        <v>0</v>
      </c>
      <c r="EF61" s="46">
        <f t="shared" si="149"/>
        <v>-1610068</v>
      </c>
    </row>
    <row r="62" spans="1:136" ht="15" customHeight="1" x14ac:dyDescent="0.3">
      <c r="A62" s="24">
        <f t="shared" si="95"/>
        <v>21</v>
      </c>
      <c r="B62" s="25" t="s">
        <v>30</v>
      </c>
      <c r="C62" s="40">
        <f t="shared" ref="C62:BK62" si="150">ROUNDUP(C26,0)</f>
        <v>1676336</v>
      </c>
      <c r="D62" s="37">
        <f t="shared" si="150"/>
        <v>1676336</v>
      </c>
      <c r="E62" s="72">
        <f t="shared" si="150"/>
        <v>1382557</v>
      </c>
      <c r="F62" s="72">
        <f t="shared" si="150"/>
        <v>234877</v>
      </c>
      <c r="G62" s="72">
        <f t="shared" si="150"/>
        <v>58903</v>
      </c>
      <c r="H62" s="72">
        <f t="shared" si="150"/>
        <v>0</v>
      </c>
      <c r="I62" s="40">
        <f t="shared" si="150"/>
        <v>1549</v>
      </c>
      <c r="J62" s="81">
        <f t="shared" si="150"/>
        <v>1549</v>
      </c>
      <c r="K62" s="73">
        <f t="shared" si="150"/>
        <v>0</v>
      </c>
      <c r="L62" s="40">
        <f t="shared" si="150"/>
        <v>8975</v>
      </c>
      <c r="M62" s="82">
        <f t="shared" si="150"/>
        <v>8975</v>
      </c>
      <c r="N62" s="74">
        <f t="shared" si="150"/>
        <v>0</v>
      </c>
      <c r="O62" s="40">
        <f t="shared" si="150"/>
        <v>752</v>
      </c>
      <c r="P62" s="75">
        <f t="shared" si="150"/>
        <v>750</v>
      </c>
      <c r="Q62" s="75">
        <f t="shared" si="150"/>
        <v>3</v>
      </c>
      <c r="R62" s="40">
        <f t="shared" si="150"/>
        <v>27857</v>
      </c>
      <c r="S62" s="60">
        <f t="shared" si="150"/>
        <v>27800</v>
      </c>
      <c r="T62" s="60">
        <f t="shared" si="150"/>
        <v>57</v>
      </c>
      <c r="U62" s="76">
        <f t="shared" si="150"/>
        <v>0</v>
      </c>
      <c r="V62" s="76">
        <f t="shared" si="150"/>
        <v>0</v>
      </c>
      <c r="W62" s="38">
        <f t="shared" si="150"/>
        <v>90908</v>
      </c>
      <c r="X62" s="55">
        <f t="shared" si="150"/>
        <v>89603</v>
      </c>
      <c r="Y62" s="77">
        <f t="shared" si="150"/>
        <v>1305</v>
      </c>
      <c r="Z62" s="55">
        <f t="shared" si="150"/>
        <v>0</v>
      </c>
      <c r="AA62" s="77">
        <f t="shared" si="150"/>
        <v>0</v>
      </c>
      <c r="AB62" s="77">
        <f t="shared" si="150"/>
        <v>0</v>
      </c>
      <c r="AC62" s="39">
        <f t="shared" si="150"/>
        <v>228501</v>
      </c>
      <c r="AD62" s="57">
        <f t="shared" si="150"/>
        <v>228501</v>
      </c>
      <c r="AE62" s="58">
        <f t="shared" si="150"/>
        <v>0</v>
      </c>
      <c r="AF62" s="58">
        <f t="shared" si="150"/>
        <v>0</v>
      </c>
      <c r="AG62" s="58">
        <f t="shared" si="150"/>
        <v>0</v>
      </c>
      <c r="AH62" s="40">
        <f t="shared" si="150"/>
        <v>0</v>
      </c>
      <c r="AI62" s="36">
        <f t="shared" si="150"/>
        <v>0</v>
      </c>
      <c r="AJ62" s="62">
        <f t="shared" si="150"/>
        <v>0</v>
      </c>
      <c r="AK62" s="62">
        <f t="shared" si="150"/>
        <v>0</v>
      </c>
      <c r="AL62" s="62">
        <f t="shared" si="150"/>
        <v>0</v>
      </c>
      <c r="AM62" s="62">
        <f t="shared" si="150"/>
        <v>0</v>
      </c>
      <c r="AN62" s="62">
        <f t="shared" si="150"/>
        <v>0</v>
      </c>
      <c r="AO62" s="62">
        <f t="shared" si="150"/>
        <v>0</v>
      </c>
      <c r="AP62" s="78">
        <f t="shared" si="150"/>
        <v>0</v>
      </c>
      <c r="AQ62" s="62">
        <f t="shared" si="150"/>
        <v>0</v>
      </c>
      <c r="AR62" s="62">
        <f t="shared" si="150"/>
        <v>0</v>
      </c>
      <c r="AS62" s="62">
        <f t="shared" si="150"/>
        <v>0</v>
      </c>
      <c r="AT62" s="37">
        <f t="shared" si="150"/>
        <v>2034875</v>
      </c>
      <c r="AU62" s="49">
        <f t="shared" si="150"/>
        <v>88058</v>
      </c>
      <c r="AV62" s="40">
        <f t="shared" si="150"/>
        <v>1152510</v>
      </c>
      <c r="AW62" s="37">
        <f t="shared" si="150"/>
        <v>1147812</v>
      </c>
      <c r="AX62" s="72">
        <f t="shared" si="150"/>
        <v>828000</v>
      </c>
      <c r="AY62" s="72">
        <f t="shared" si="150"/>
        <v>256103</v>
      </c>
      <c r="AZ62" s="72">
        <f t="shared" si="150"/>
        <v>63709</v>
      </c>
      <c r="BA62" s="72">
        <f t="shared" si="150"/>
        <v>4699</v>
      </c>
      <c r="BB62" s="40">
        <f t="shared" si="150"/>
        <v>0</v>
      </c>
      <c r="BC62" s="73">
        <f t="shared" si="150"/>
        <v>0</v>
      </c>
      <c r="BD62" s="73">
        <f t="shared" si="150"/>
        <v>0</v>
      </c>
      <c r="BE62" s="40">
        <f t="shared" si="150"/>
        <v>0</v>
      </c>
      <c r="BF62" s="74">
        <f t="shared" si="150"/>
        <v>0</v>
      </c>
      <c r="BG62" s="74">
        <f t="shared" si="150"/>
        <v>0</v>
      </c>
      <c r="BH62" s="40">
        <f t="shared" si="150"/>
        <v>921</v>
      </c>
      <c r="BI62" s="79">
        <f t="shared" si="150"/>
        <v>918</v>
      </c>
      <c r="BJ62" s="79">
        <f t="shared" si="150"/>
        <v>4</v>
      </c>
      <c r="BK62" s="40">
        <f t="shared" si="150"/>
        <v>25326</v>
      </c>
      <c r="BL62" s="60">
        <f t="shared" ref="BL62:DQ62" si="151">ROUNDUP(BL26,0)</f>
        <v>25225</v>
      </c>
      <c r="BM62" s="60">
        <f t="shared" si="151"/>
        <v>101</v>
      </c>
      <c r="BN62" s="76">
        <f t="shared" si="151"/>
        <v>0</v>
      </c>
      <c r="BO62" s="76">
        <f t="shared" si="151"/>
        <v>0</v>
      </c>
      <c r="BP62" s="38">
        <f t="shared" si="151"/>
        <v>84189</v>
      </c>
      <c r="BQ62" s="55">
        <f t="shared" si="151"/>
        <v>0</v>
      </c>
      <c r="BR62" s="77">
        <f t="shared" si="151"/>
        <v>0</v>
      </c>
      <c r="BS62" s="77">
        <f t="shared" si="151"/>
        <v>83856</v>
      </c>
      <c r="BT62" s="77">
        <f t="shared" si="151"/>
        <v>333</v>
      </c>
      <c r="BU62" s="54">
        <f t="shared" si="151"/>
        <v>0</v>
      </c>
      <c r="BV62" s="39">
        <f t="shared" si="151"/>
        <v>740388</v>
      </c>
      <c r="BW62" s="57">
        <f t="shared" si="151"/>
        <v>0</v>
      </c>
      <c r="BX62" s="57">
        <f t="shared" si="151"/>
        <v>738347</v>
      </c>
      <c r="BY62" s="57">
        <f t="shared" si="151"/>
        <v>2041</v>
      </c>
      <c r="BZ62" s="56">
        <f t="shared" si="151"/>
        <v>0</v>
      </c>
      <c r="CA62" s="40">
        <f t="shared" si="151"/>
        <v>119599</v>
      </c>
      <c r="CB62" s="36">
        <f t="shared" si="151"/>
        <v>119140</v>
      </c>
      <c r="CC62" s="62">
        <f t="shared" si="151"/>
        <v>43643</v>
      </c>
      <c r="CD62" s="62">
        <f t="shared" si="151"/>
        <v>39930</v>
      </c>
      <c r="CE62" s="62">
        <f t="shared" si="151"/>
        <v>13897</v>
      </c>
      <c r="CF62" s="62">
        <f t="shared" si="151"/>
        <v>3098</v>
      </c>
      <c r="CG62" s="62">
        <f t="shared" si="151"/>
        <v>931</v>
      </c>
      <c r="CH62" s="62">
        <f t="shared" si="151"/>
        <v>17642</v>
      </c>
      <c r="CI62" s="62">
        <f t="shared" si="151"/>
        <v>460</v>
      </c>
      <c r="CJ62" s="62">
        <f t="shared" si="151"/>
        <v>0</v>
      </c>
      <c r="CK62" s="62">
        <f t="shared" si="151"/>
        <v>0</v>
      </c>
      <c r="CL62" s="62">
        <f t="shared" si="151"/>
        <v>0</v>
      </c>
      <c r="CM62" s="37">
        <f t="shared" si="151"/>
        <v>2122932</v>
      </c>
      <c r="CN62" s="4"/>
      <c r="CO62" s="45">
        <f t="shared" si="151"/>
        <v>-523826</v>
      </c>
      <c r="CP62" s="46">
        <f t="shared" si="151"/>
        <v>-528524</v>
      </c>
      <c r="CQ62" s="46">
        <f t="shared" si="151"/>
        <v>-554557</v>
      </c>
      <c r="CR62" s="46">
        <f t="shared" si="151"/>
        <v>21227</v>
      </c>
      <c r="CS62" s="46">
        <f t="shared" si="151"/>
        <v>4807</v>
      </c>
      <c r="CT62" s="46">
        <f t="shared" si="151"/>
        <v>4699</v>
      </c>
      <c r="CU62" s="45">
        <f t="shared" si="151"/>
        <v>-1549</v>
      </c>
      <c r="CV62" s="46">
        <f t="shared" si="151"/>
        <v>-1549</v>
      </c>
      <c r="CW62" s="46">
        <f t="shared" si="151"/>
        <v>0</v>
      </c>
      <c r="CX62" s="45">
        <f t="shared" si="151"/>
        <v>-8975</v>
      </c>
      <c r="CY62" s="46">
        <f t="shared" si="151"/>
        <v>-8975</v>
      </c>
      <c r="CZ62" s="46">
        <f t="shared" si="151"/>
        <v>0</v>
      </c>
      <c r="DA62" s="45">
        <f t="shared" si="151"/>
        <v>170</v>
      </c>
      <c r="DB62" s="46">
        <f t="shared" si="151"/>
        <v>168</v>
      </c>
      <c r="DC62" s="46">
        <f t="shared" si="151"/>
        <v>2</v>
      </c>
      <c r="DD62" s="45">
        <f t="shared" si="151"/>
        <v>-2531</v>
      </c>
      <c r="DE62" s="47">
        <f t="shared" si="151"/>
        <v>-2575</v>
      </c>
      <c r="DF62" s="47">
        <f t="shared" si="151"/>
        <v>44</v>
      </c>
      <c r="DG62" s="48">
        <f t="shared" si="151"/>
        <v>0</v>
      </c>
      <c r="DH62" s="46">
        <f t="shared" si="151"/>
        <v>0</v>
      </c>
      <c r="DI62" s="49">
        <f t="shared" si="151"/>
        <v>-6719</v>
      </c>
      <c r="DJ62" s="47">
        <f t="shared" si="151"/>
        <v>-89603</v>
      </c>
      <c r="DK62" s="46">
        <f t="shared" si="151"/>
        <v>-1305</v>
      </c>
      <c r="DL62" s="46">
        <f t="shared" si="151"/>
        <v>83856</v>
      </c>
      <c r="DM62" s="46">
        <f t="shared" si="151"/>
        <v>333</v>
      </c>
      <c r="DN62" s="46">
        <f t="shared" si="151"/>
        <v>0</v>
      </c>
      <c r="DO62" s="50">
        <f t="shared" si="151"/>
        <v>511887</v>
      </c>
      <c r="DP62" s="47">
        <f t="shared" si="151"/>
        <v>-228501</v>
      </c>
      <c r="DQ62" s="47">
        <f t="shared" si="151"/>
        <v>738347</v>
      </c>
      <c r="DR62" s="46">
        <f t="shared" ref="DR62:EF62" si="152">ROUNDUP(DR26,0)</f>
        <v>2041</v>
      </c>
      <c r="DS62" s="46">
        <f t="shared" si="152"/>
        <v>0</v>
      </c>
      <c r="DT62" s="45">
        <f t="shared" si="152"/>
        <v>119599</v>
      </c>
      <c r="DU62" s="47">
        <f t="shared" si="152"/>
        <v>119140</v>
      </c>
      <c r="DV62" s="47">
        <f t="shared" si="152"/>
        <v>43643</v>
      </c>
      <c r="DW62" s="47">
        <f t="shared" si="152"/>
        <v>39930</v>
      </c>
      <c r="DX62" s="47">
        <f t="shared" si="152"/>
        <v>13897</v>
      </c>
      <c r="DY62" s="47">
        <f t="shared" si="152"/>
        <v>3098</v>
      </c>
      <c r="DZ62" s="47">
        <f t="shared" si="152"/>
        <v>931</v>
      </c>
      <c r="EA62" s="47">
        <f t="shared" si="152"/>
        <v>17642</v>
      </c>
      <c r="EB62" s="47">
        <f t="shared" si="152"/>
        <v>460</v>
      </c>
      <c r="EC62" s="47">
        <f t="shared" si="152"/>
        <v>0</v>
      </c>
      <c r="ED62" s="47">
        <f t="shared" si="152"/>
        <v>0</v>
      </c>
      <c r="EE62" s="47">
        <f t="shared" si="152"/>
        <v>0</v>
      </c>
      <c r="EF62" s="46">
        <f t="shared" si="152"/>
        <v>88058</v>
      </c>
    </row>
    <row r="63" spans="1:136" ht="15" customHeight="1" x14ac:dyDescent="0.3">
      <c r="A63" s="193" t="s">
        <v>13</v>
      </c>
      <c r="B63" s="193"/>
      <c r="C63" s="34">
        <f t="shared" ref="C63:BK63" si="153">ROUNDUP(C27,0)</f>
        <v>136464097</v>
      </c>
      <c r="D63" s="34">
        <f t="shared" si="153"/>
        <v>136464097</v>
      </c>
      <c r="E63" s="34">
        <f t="shared" si="153"/>
        <v>112403990</v>
      </c>
      <c r="F63" s="34">
        <f t="shared" si="153"/>
        <v>19236092</v>
      </c>
      <c r="G63" s="34">
        <f t="shared" si="153"/>
        <v>4824016</v>
      </c>
      <c r="H63" s="34">
        <f t="shared" si="153"/>
        <v>0</v>
      </c>
      <c r="I63" s="34">
        <f t="shared" si="153"/>
        <v>125409</v>
      </c>
      <c r="J63" s="34">
        <f t="shared" si="153"/>
        <v>125409</v>
      </c>
      <c r="K63" s="34">
        <f t="shared" si="153"/>
        <v>0</v>
      </c>
      <c r="L63" s="34">
        <f t="shared" si="153"/>
        <v>726915</v>
      </c>
      <c r="M63" s="34">
        <f t="shared" si="153"/>
        <v>726915</v>
      </c>
      <c r="N63" s="34">
        <f t="shared" si="153"/>
        <v>0</v>
      </c>
      <c r="O63" s="34">
        <f t="shared" si="153"/>
        <v>60891</v>
      </c>
      <c r="P63" s="34">
        <f t="shared" si="153"/>
        <v>60718</v>
      </c>
      <c r="Q63" s="34">
        <f t="shared" si="153"/>
        <v>174</v>
      </c>
      <c r="R63" s="35">
        <f t="shared" si="153"/>
        <v>2988559</v>
      </c>
      <c r="S63" s="34">
        <f t="shared" si="153"/>
        <v>1695774</v>
      </c>
      <c r="T63" s="34">
        <f t="shared" si="153"/>
        <v>4541</v>
      </c>
      <c r="U63" s="34">
        <f t="shared" si="153"/>
        <v>1288245</v>
      </c>
      <c r="V63" s="34">
        <f t="shared" si="153"/>
        <v>0</v>
      </c>
      <c r="W63" s="34">
        <f t="shared" si="153"/>
        <v>5545349</v>
      </c>
      <c r="X63" s="34">
        <f t="shared" si="153"/>
        <v>5465764</v>
      </c>
      <c r="Y63" s="34">
        <f t="shared" si="153"/>
        <v>79585</v>
      </c>
      <c r="Z63" s="34">
        <f t="shared" si="153"/>
        <v>0</v>
      </c>
      <c r="AA63" s="34">
        <f t="shared" si="153"/>
        <v>0</v>
      </c>
      <c r="AB63" s="34">
        <f t="shared" si="153"/>
        <v>0</v>
      </c>
      <c r="AC63" s="34">
        <f t="shared" si="153"/>
        <v>16163181</v>
      </c>
      <c r="AD63" s="34">
        <f t="shared" si="153"/>
        <v>16163181</v>
      </c>
      <c r="AE63" s="34">
        <f t="shared" si="153"/>
        <v>0</v>
      </c>
      <c r="AF63" s="34">
        <f t="shared" si="153"/>
        <v>0</v>
      </c>
      <c r="AG63" s="34">
        <f t="shared" si="153"/>
        <v>0</v>
      </c>
      <c r="AH63" s="34">
        <f t="shared" si="153"/>
        <v>38396347</v>
      </c>
      <c r="AI63" s="34">
        <f t="shared" si="153"/>
        <v>0</v>
      </c>
      <c r="AJ63" s="34">
        <f t="shared" si="153"/>
        <v>0</v>
      </c>
      <c r="AK63" s="34">
        <f t="shared" si="153"/>
        <v>0</v>
      </c>
      <c r="AL63" s="34">
        <f t="shared" si="153"/>
        <v>0</v>
      </c>
      <c r="AM63" s="34">
        <f t="shared" si="153"/>
        <v>0</v>
      </c>
      <c r="AN63" s="34">
        <f t="shared" si="153"/>
        <v>0</v>
      </c>
      <c r="AO63" s="34">
        <f t="shared" si="153"/>
        <v>0</v>
      </c>
      <c r="AP63" s="34">
        <f t="shared" si="153"/>
        <v>0</v>
      </c>
      <c r="AQ63" s="34">
        <f t="shared" si="153"/>
        <v>970397</v>
      </c>
      <c r="AR63" s="34">
        <f t="shared" si="153"/>
        <v>37342312</v>
      </c>
      <c r="AS63" s="34">
        <f t="shared" si="153"/>
        <v>83639</v>
      </c>
      <c r="AT63" s="51">
        <f t="shared" si="153"/>
        <v>200470745</v>
      </c>
      <c r="AU63" s="52">
        <f t="shared" si="153"/>
        <v>-23852485</v>
      </c>
      <c r="AV63" s="34">
        <f t="shared" si="153"/>
        <v>74668997</v>
      </c>
      <c r="AW63" s="34">
        <f t="shared" si="153"/>
        <v>74382069</v>
      </c>
      <c r="AX63" s="34">
        <f t="shared" si="153"/>
        <v>54050211</v>
      </c>
      <c r="AY63" s="34">
        <f t="shared" si="153"/>
        <v>16275269</v>
      </c>
      <c r="AZ63" s="34">
        <f t="shared" si="153"/>
        <v>4056590</v>
      </c>
      <c r="BA63" s="34">
        <f t="shared" si="153"/>
        <v>286928</v>
      </c>
      <c r="BB63" s="34">
        <f t="shared" si="153"/>
        <v>0</v>
      </c>
      <c r="BC63" s="34">
        <f t="shared" si="153"/>
        <v>0</v>
      </c>
      <c r="BD63" s="34">
        <f t="shared" si="153"/>
        <v>0</v>
      </c>
      <c r="BE63" s="34">
        <f t="shared" si="153"/>
        <v>0</v>
      </c>
      <c r="BF63" s="34">
        <f t="shared" si="153"/>
        <v>0</v>
      </c>
      <c r="BG63" s="34">
        <f t="shared" si="153"/>
        <v>0</v>
      </c>
      <c r="BH63" s="34">
        <f t="shared" si="153"/>
        <v>58117</v>
      </c>
      <c r="BI63" s="34">
        <f t="shared" si="153"/>
        <v>57885</v>
      </c>
      <c r="BJ63" s="34">
        <f t="shared" si="153"/>
        <v>233</v>
      </c>
      <c r="BK63" s="35">
        <f t="shared" si="153"/>
        <v>2950097</v>
      </c>
      <c r="BL63" s="34">
        <f t="shared" ref="BL63:DQ63" si="154">ROUNDUP(BL27,0)</f>
        <v>1591104</v>
      </c>
      <c r="BM63" s="34">
        <f t="shared" si="154"/>
        <v>6109</v>
      </c>
      <c r="BN63" s="34">
        <f t="shared" si="154"/>
        <v>1349398</v>
      </c>
      <c r="BO63" s="34">
        <f t="shared" si="154"/>
        <v>3487</v>
      </c>
      <c r="BP63" s="34">
        <f t="shared" si="154"/>
        <v>7677617</v>
      </c>
      <c r="BQ63" s="34">
        <f t="shared" si="154"/>
        <v>448014</v>
      </c>
      <c r="BR63" s="34">
        <f t="shared" si="154"/>
        <v>6524</v>
      </c>
      <c r="BS63" s="34">
        <f t="shared" si="154"/>
        <v>7168876</v>
      </c>
      <c r="BT63" s="34">
        <f t="shared" si="154"/>
        <v>19205</v>
      </c>
      <c r="BU63" s="34">
        <f t="shared" si="154"/>
        <v>35000</v>
      </c>
      <c r="BV63" s="34">
        <f t="shared" si="154"/>
        <v>46687408</v>
      </c>
      <c r="BW63" s="34">
        <f t="shared" si="154"/>
        <v>1593468</v>
      </c>
      <c r="BX63" s="34">
        <f t="shared" si="154"/>
        <v>44739000</v>
      </c>
      <c r="BY63" s="34">
        <f t="shared" si="154"/>
        <v>114940</v>
      </c>
      <c r="BZ63" s="34">
        <f t="shared" si="154"/>
        <v>240000</v>
      </c>
      <c r="CA63" s="34">
        <f t="shared" si="154"/>
        <v>44576027</v>
      </c>
      <c r="CB63" s="34">
        <f t="shared" si="154"/>
        <v>7263327</v>
      </c>
      <c r="CC63" s="34">
        <f t="shared" si="154"/>
        <v>2644522</v>
      </c>
      <c r="CD63" s="34">
        <f t="shared" si="154"/>
        <v>2381589</v>
      </c>
      <c r="CE63" s="34">
        <f t="shared" si="154"/>
        <v>937382</v>
      </c>
      <c r="CF63" s="34">
        <f t="shared" si="154"/>
        <v>194856</v>
      </c>
      <c r="CG63" s="34">
        <f t="shared" si="154"/>
        <v>58496</v>
      </c>
      <c r="CH63" s="34">
        <f t="shared" si="154"/>
        <v>1046484</v>
      </c>
      <c r="CI63" s="34">
        <f t="shared" si="154"/>
        <v>27070</v>
      </c>
      <c r="CJ63" s="34">
        <f t="shared" si="154"/>
        <v>970397</v>
      </c>
      <c r="CK63" s="34">
        <f t="shared" si="154"/>
        <v>36179150</v>
      </c>
      <c r="CL63" s="34">
        <f t="shared" si="154"/>
        <v>136084</v>
      </c>
      <c r="CM63" s="34">
        <f t="shared" si="154"/>
        <v>176618260</v>
      </c>
      <c r="CN63" s="5"/>
      <c r="CO63" s="41">
        <f t="shared" si="154"/>
        <v>-61795101</v>
      </c>
      <c r="CP63" s="41">
        <f t="shared" si="154"/>
        <v>-62082029</v>
      </c>
      <c r="CQ63" s="41">
        <f t="shared" si="154"/>
        <v>-58353780</v>
      </c>
      <c r="CR63" s="41">
        <f t="shared" si="154"/>
        <v>-2960823</v>
      </c>
      <c r="CS63" s="41">
        <f t="shared" si="154"/>
        <v>-767427</v>
      </c>
      <c r="CT63" s="41">
        <f t="shared" si="154"/>
        <v>286928</v>
      </c>
      <c r="CU63" s="41">
        <f t="shared" si="154"/>
        <v>-125409</v>
      </c>
      <c r="CV63" s="41">
        <f t="shared" si="154"/>
        <v>-125409</v>
      </c>
      <c r="CW63" s="41">
        <f t="shared" si="154"/>
        <v>0</v>
      </c>
      <c r="CX63" s="41">
        <f t="shared" si="154"/>
        <v>-726915</v>
      </c>
      <c r="CY63" s="41">
        <f t="shared" si="154"/>
        <v>-726915</v>
      </c>
      <c r="CZ63" s="41">
        <f t="shared" si="154"/>
        <v>0</v>
      </c>
      <c r="DA63" s="41">
        <f t="shared" si="154"/>
        <v>-2775</v>
      </c>
      <c r="DB63" s="41">
        <f t="shared" si="154"/>
        <v>-2833</v>
      </c>
      <c r="DC63" s="41">
        <f t="shared" si="154"/>
        <v>59</v>
      </c>
      <c r="DD63" s="42">
        <f t="shared" si="154"/>
        <v>-38463</v>
      </c>
      <c r="DE63" s="41">
        <f t="shared" si="154"/>
        <v>-104670</v>
      </c>
      <c r="DF63" s="41">
        <f t="shared" si="154"/>
        <v>1568</v>
      </c>
      <c r="DG63" s="41">
        <f t="shared" si="154"/>
        <v>61153</v>
      </c>
      <c r="DH63" s="41">
        <f t="shared" si="154"/>
        <v>3487</v>
      </c>
      <c r="DI63" s="41">
        <f t="shared" si="154"/>
        <v>2132269</v>
      </c>
      <c r="DJ63" s="41">
        <f t="shared" si="154"/>
        <v>-5017750</v>
      </c>
      <c r="DK63" s="41">
        <f t="shared" si="154"/>
        <v>-73062</v>
      </c>
      <c r="DL63" s="41">
        <f t="shared" si="154"/>
        <v>7168876</v>
      </c>
      <c r="DM63" s="41">
        <f t="shared" si="154"/>
        <v>19205</v>
      </c>
      <c r="DN63" s="41">
        <f t="shared" si="154"/>
        <v>35000</v>
      </c>
      <c r="DO63" s="41">
        <f t="shared" si="154"/>
        <v>30524227</v>
      </c>
      <c r="DP63" s="41">
        <f t="shared" si="154"/>
        <v>-14569713</v>
      </c>
      <c r="DQ63" s="41">
        <f t="shared" si="154"/>
        <v>44739000</v>
      </c>
      <c r="DR63" s="41">
        <f t="shared" ref="DR63:EF63" si="155">ROUNDUP(DR27,0)</f>
        <v>114940</v>
      </c>
      <c r="DS63" s="41">
        <f t="shared" si="155"/>
        <v>240000</v>
      </c>
      <c r="DT63" s="41">
        <f t="shared" si="155"/>
        <v>6179680</v>
      </c>
      <c r="DU63" s="41">
        <f t="shared" si="155"/>
        <v>7263327</v>
      </c>
      <c r="DV63" s="41">
        <f t="shared" si="155"/>
        <v>2644522</v>
      </c>
      <c r="DW63" s="41">
        <f t="shared" si="155"/>
        <v>2381589</v>
      </c>
      <c r="DX63" s="41">
        <f t="shared" si="155"/>
        <v>937382</v>
      </c>
      <c r="DY63" s="41">
        <f t="shared" si="155"/>
        <v>194856</v>
      </c>
      <c r="DZ63" s="41">
        <f t="shared" si="155"/>
        <v>58496</v>
      </c>
      <c r="EA63" s="41">
        <f t="shared" si="155"/>
        <v>1046484</v>
      </c>
      <c r="EB63" s="41">
        <f t="shared" si="155"/>
        <v>27070</v>
      </c>
      <c r="EC63" s="41">
        <f t="shared" si="155"/>
        <v>0</v>
      </c>
      <c r="ED63" s="41">
        <f t="shared" si="155"/>
        <v>-1163162</v>
      </c>
      <c r="EE63" s="41">
        <f t="shared" si="155"/>
        <v>52446</v>
      </c>
      <c r="EF63" s="90">
        <f t="shared" si="155"/>
        <v>-23852485</v>
      </c>
    </row>
  </sheetData>
  <mergeCells count="16">
    <mergeCell ref="AW2:CL2"/>
    <mergeCell ref="AV3:CM3"/>
    <mergeCell ref="CO3:EF3"/>
    <mergeCell ref="D2:AS2"/>
    <mergeCell ref="A27:B27"/>
    <mergeCell ref="A3:A4"/>
    <mergeCell ref="B3:B4"/>
    <mergeCell ref="AU3:AU4"/>
    <mergeCell ref="C3:AT3"/>
    <mergeCell ref="CO39:EF39"/>
    <mergeCell ref="A63:B63"/>
    <mergeCell ref="A39:A40"/>
    <mergeCell ref="B39:B40"/>
    <mergeCell ref="C39:AT39"/>
    <mergeCell ref="AU39:AU40"/>
    <mergeCell ref="AV39:CM39"/>
  </mergeCells>
  <conditionalFormatting sqref="AU6:AU27 CO6:EF27 EH6:EK27">
    <cfRule type="cellIs" dxfId="5" priority="21" operator="lessThan">
      <formula>0</formula>
    </cfRule>
    <cfRule type="cellIs" dxfId="4" priority="22" operator="greaterThan">
      <formula>0</formula>
    </cfRule>
  </conditionalFormatting>
  <conditionalFormatting sqref="AU42:AU63">
    <cfRule type="cellIs" dxfId="3" priority="1" operator="lessThan">
      <formula>0</formula>
    </cfRule>
    <cfRule type="cellIs" dxfId="2" priority="2" operator="greaterThan">
      <formula>0</formula>
    </cfRule>
  </conditionalFormatting>
  <conditionalFormatting sqref="CO42:EF63">
    <cfRule type="cellIs" dxfId="1" priority="5" operator="lessThan">
      <formula>0</formula>
    </cfRule>
    <cfRule type="cellIs" dxfId="0" priority="6" operator="greaterThan">
      <formula>0</formula>
    </cfRule>
  </conditionalFormatting>
  <printOptions horizontalCentered="1"/>
  <pageMargins left="0.25" right="0.25" top="0.75" bottom="0.75" header="0.3" footer="0.3"/>
  <pageSetup paperSize="9" scale="80" orientation="landscape" r:id="rId1"/>
  <ignoredErrors>
    <ignoredError sqref="EG5 EL5:XFD5" numberStoredAsText="1"/>
    <ignoredError sqref="D6:D12 CA6" formulaRange="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d73c6baf-9cf2-4cf2-a117-76c67141543a" xsi:nil="true"/>
    <_ip_UnifiedCompliancePolicyProperties xmlns="http://schemas.microsoft.com/sharepoint/v3" xsi:nil="true"/>
    <SharedWithUsers xmlns="b6b6b0de-984a-4a78-a39f-cb9c8b26df3b">
      <UserInfo>
        <DisplayName>Iveta Katkovska</DisplayName>
        <AccountId>309</AccountId>
        <AccountType/>
      </UserInfo>
      <UserInfo>
        <DisplayName>Gunta Ancāne</DisplayName>
        <AccountId>732</AccountId>
        <AccountType/>
      </UserInfo>
      <UserInfo>
        <DisplayName>Pēteris Bikše</DisplayName>
        <AccountId>431</AccountId>
        <AccountType/>
      </UserInfo>
      <UserInfo>
        <DisplayName>Jānis Timma</DisplayName>
        <AccountId>16</AccountId>
        <AccountType/>
      </UserInfo>
      <UserInfo>
        <DisplayName>Andrejs Milzarājs</DisplayName>
        <AccountId>78</AccountId>
        <AccountType/>
      </UserInfo>
      <UserInfo>
        <DisplayName>Kaspars Priediņš</DisplayName>
        <AccountId>200</AccountId>
        <AccountType/>
      </UserInfo>
    </SharedWithUsers>
    <lcf76f155ced4ddcb4097134ff3c332f xmlns="30f27a67-e3d9-46c1-b96c-c174a62fd7b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2E2F809A46DFFA42A1A129D98068B3E9" ma:contentTypeVersion="19" ma:contentTypeDescription="Izveidot jaunu dokumentu." ma:contentTypeScope="" ma:versionID="c69f97be5c8e47f939c57512ffdc2caf">
  <xsd:schema xmlns:xsd="http://www.w3.org/2001/XMLSchema" xmlns:xs="http://www.w3.org/2001/XMLSchema" xmlns:p="http://schemas.microsoft.com/office/2006/metadata/properties" xmlns:ns1="http://schemas.microsoft.com/sharepoint/v3" xmlns:ns2="b6b6b0de-984a-4a78-a39f-cb9c8b26df3b" xmlns:ns3="30f27a67-e3d9-46c1-b96c-c174a62fd7b5" xmlns:ns4="d73c6baf-9cf2-4cf2-a117-76c67141543a" targetNamespace="http://schemas.microsoft.com/office/2006/metadata/properties" ma:root="true" ma:fieldsID="6a215767f3ff560e54ea0982a3e0b1e7" ns1:_="" ns2:_="" ns3:_="" ns4:_="">
    <xsd:import namespace="http://schemas.microsoft.com/sharepoint/v3"/>
    <xsd:import namespace="b6b6b0de-984a-4a78-a39f-cb9c8b26df3b"/>
    <xsd:import namespace="30f27a67-e3d9-46c1-b96c-c174a62fd7b5"/>
    <xsd:import namespace="d73c6baf-9cf2-4cf2-a117-76c67141543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1:_ip_UnifiedCompliancePolicyProperties" minOccurs="0"/>
                <xsd:element ref="ns1:_ip_UnifiedCompliancePolicyUIAction" minOccurs="0"/>
                <xsd:element ref="ns3:lcf76f155ced4ddcb4097134ff3c332f" minOccurs="0"/>
                <xsd:element ref="ns4:TaxCatchAll"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Vienotās atbilstības politikas rekvizīti" ma:hidden="true" ma:internalName="_ip_UnifiedCompliancePolicyProperties">
      <xsd:simpleType>
        <xsd:restriction base="dms:Note"/>
      </xsd:simpleType>
    </xsd:element>
    <xsd:element name="_ip_UnifiedCompliancePolicyUIAction" ma:index="20" nillable="true" ma:displayName="Vienotās atbilstības politikas UI darbība"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b6b0de-984a-4a78-a39f-cb9c8b26df3b"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f27a67-e3d9-46c1-b96c-c174a62fd7b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1cba5719-2e4d-4aeb-84b2-55182196a006}"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C7E0D2-722B-4C57-B479-6A24012CBAA4}">
  <ds:schemaRefs>
    <ds:schemaRef ds:uri="http://schemas.microsoft.com/office/2006/metadata/properties"/>
    <ds:schemaRef ds:uri="http://schemas.microsoft.com/office/infopath/2007/PartnerControls"/>
    <ds:schemaRef ds:uri="http://schemas.microsoft.com/sharepoint/v3"/>
    <ds:schemaRef ds:uri="d73c6baf-9cf2-4cf2-a117-76c67141543a"/>
    <ds:schemaRef ds:uri="520dbaf5-aacb-4fa5-a9f5-32ab6e55aaf4"/>
  </ds:schemaRefs>
</ds:datastoreItem>
</file>

<file path=customXml/itemProps2.xml><?xml version="1.0" encoding="utf-8"?>
<ds:datastoreItem xmlns:ds="http://schemas.openxmlformats.org/officeDocument/2006/customXml" ds:itemID="{6B26D040-2FB3-47A4-93BF-F6E552E0A7DE}"/>
</file>

<file path=customXml/itemProps3.xml><?xml version="1.0" encoding="utf-8"?>
<ds:datastoreItem xmlns:ds="http://schemas.openxmlformats.org/officeDocument/2006/customXml" ds:itemID="{86D18A4C-0919-45E8-89BB-8E5B7F6CAE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T1 noma un pārcelšanās</vt:lpstr>
      <vt:lpstr>Talejas 1_TAP</vt:lpstr>
      <vt:lpstr>Talejas 1_anotācijai</vt:lpstr>
      <vt:lpstr>VID</vt:lpstr>
      <vt:lpstr>VI</vt:lpstr>
      <vt:lpstr>EM</vt:lpstr>
      <vt:lpstr>LRP</vt:lpstr>
      <vt:lpstr>IAUI</vt:lpstr>
      <vt:lpstr>IEM</vt:lpstr>
      <vt:lpstr>AIM</vt:lpstr>
      <vt:lpstr>LM</vt:lpstr>
      <vt:lpstr>K komponentes izmaiņas</vt:lpstr>
      <vt:lpstr>salīdzinājums</vt:lpstr>
      <vt:lpstr>Talejas 1_jauna</vt:lpstr>
      <vt:lpstr>Talejas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2024-10-09T05:51:26Z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0x0101002E2F809A46DFFA42A1A129D98068B3E9</vt:lpwstr>
  </property>
  <property fmtid="{D5CDD505-2E9C-101B-9397-08002B2CF9AE}" pid="3" name="MediaServiceImageTags">
    <vt:lpwstr/>
  </property>
</Properties>
</file>