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rīkojuma_projekti\2024\VM\IT_kapac_vienre_pasāk_080124\Precizēts_projekts_200324\"/>
    </mc:Choice>
  </mc:AlternateContent>
  <xr:revisionPtr revIDLastSave="0" documentId="13_ncr:1_{B137E5D7-E206-4598-B448-5DCDC461CAD6}" xr6:coauthVersionLast="47" xr6:coauthVersionMax="47" xr10:uidLastSave="{00000000-0000-0000-0000-000000000000}"/>
  <bookViews>
    <workbookView xWindow="57480" yWindow="-120" windowWidth="29040" windowHeight="15840" tabRatio="930" xr2:uid="{8BE22649-2B60-4F85-BB77-6572CDE910E5}"/>
  </bookViews>
  <sheets>
    <sheet name="Kopsavilkums" sheetId="30" r:id="rId1"/>
    <sheet name="1.1.RNPC_aprīk" sheetId="26" r:id="rId2"/>
    <sheet name="1.2.RNPC_auto_ieg" sheetId="18" r:id="rId3"/>
    <sheet name="1.3.RNPC_gāzes_iekr" sheetId="19" r:id="rId4"/>
    <sheet name="2.1.NVD_FI" sheetId="21" r:id="rId5"/>
    <sheet name="2.1.NVD_Man_tarifs" sheetId="20" r:id="rId6"/>
    <sheet name="3.1.VADC" sheetId="17" r:id="rId7"/>
    <sheet name="3.2.1.NMPD_rehab" sheetId="6" r:id="rId8"/>
    <sheet name="3.2.1.NMPD_OMT_apmāc" sheetId="7" r:id="rId9"/>
    <sheet name="3.2.1.NMPD_apsardz" sheetId="8" r:id="rId10"/>
    <sheet name="3.2.2.NMPD_balon" sheetId="10" r:id="rId11"/>
    <sheet name="3.2.2.NMPD_body_cam" sheetId="11" r:id="rId12"/>
    <sheet name="3.3.VTMEC_pap_niepc" sheetId="14" r:id="rId13"/>
    <sheet name="4.1. NVD_papild_uztur" sheetId="4" r:id="rId14"/>
    <sheet name="4.1.NVD_TPL" sheetId="3" r:id="rId15"/>
    <sheet name="4.2.NVD_DigiVes_jauna_funk" sheetId="5" r:id="rId16"/>
    <sheet name="4.3.IKT ZZ" sheetId="31" r:id="rId17"/>
    <sheet name="4.4. NVD_papild_eksperti" sheetId="12" r:id="rId18"/>
    <sheet name="4.5.NVD_CEF_atlīdzība" sheetId="32" r:id="rId19"/>
    <sheet name="4.6. NVD_MI" sheetId="34" r:id="rId20"/>
    <sheet name="4.7.EPIDEM_infrastruktura" sheetId="36" r:id="rId21"/>
  </sheets>
  <externalReferences>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1_2_d_NMP_lim" localSheetId="2">#REF!</definedName>
    <definedName name="_1_2_d_NMP_lim" localSheetId="3">#REF!</definedName>
    <definedName name="_1_2_d_NMP_lim" localSheetId="9">#REF!</definedName>
    <definedName name="_1_2_d_NMP_lim" localSheetId="8">#REF!</definedName>
    <definedName name="_1_2_d_NMP_lim" localSheetId="7">#REF!</definedName>
    <definedName name="_1_2_d_NMP_lim" localSheetId="10">#REF!</definedName>
    <definedName name="_1_2_d_NMP_lim" localSheetId="11">#REF!</definedName>
    <definedName name="_1_2_d_NMP_lim" localSheetId="20">#REF!</definedName>
    <definedName name="_1_2_d_NMP_lim" localSheetId="0">#REF!</definedName>
    <definedName name="_1_2_d_NMP_lim">#REF!</definedName>
    <definedName name="_ftn1" localSheetId="20">'4.7.EPIDEM_infrastruktura'!#REF!</definedName>
    <definedName name="_ftnref1" localSheetId="20">'4.7.EPIDEM_infrastruktura'!$A$27</definedName>
    <definedName name="aa" localSheetId="2">#REF!</definedName>
    <definedName name="aa" localSheetId="3">#REF!</definedName>
    <definedName name="aa" localSheetId="9">#REF!</definedName>
    <definedName name="aa" localSheetId="8">#REF!</definedName>
    <definedName name="aa" localSheetId="7">#REF!</definedName>
    <definedName name="aa" localSheetId="10">#REF!</definedName>
    <definedName name="aa" localSheetId="11">#REF!</definedName>
    <definedName name="aa" localSheetId="0">#REF!</definedName>
    <definedName name="aa">#REF!</definedName>
    <definedName name="_xlnm.Auto_Open" localSheetId="2">#REF!</definedName>
    <definedName name="_xlnm.Auto_Open" localSheetId="3">#REF!</definedName>
    <definedName name="_xlnm.Auto_Open" localSheetId="9">#REF!</definedName>
    <definedName name="_xlnm.Auto_Open" localSheetId="8">#REF!</definedName>
    <definedName name="_xlnm.Auto_Open" localSheetId="7">#REF!</definedName>
    <definedName name="_xlnm.Auto_Open" localSheetId="10">#REF!</definedName>
    <definedName name="_xlnm.Auto_Open" localSheetId="11">#REF!</definedName>
    <definedName name="_xlnm.Auto_Open" localSheetId="20">#REF!</definedName>
    <definedName name="_xlnm.Auto_Open" localSheetId="0">#REF!</definedName>
    <definedName name="_xlnm.Auto_Open">#REF!</definedName>
    <definedName name="b" localSheetId="2">#REF!</definedName>
    <definedName name="b" localSheetId="3">#REF!</definedName>
    <definedName name="b" localSheetId="9">#REF!</definedName>
    <definedName name="b" localSheetId="8">#REF!</definedName>
    <definedName name="b" localSheetId="7">#REF!</definedName>
    <definedName name="b" localSheetId="10">#REF!</definedName>
    <definedName name="b" localSheetId="11">#REF!</definedName>
    <definedName name="b" localSheetId="20">#REF!</definedName>
    <definedName name="b">#REF!</definedName>
    <definedName name="BEx3ATHHUCGCIRND8KLAREDV3L40" localSheetId="2" hidden="1">[1]HEADER!#REF!</definedName>
    <definedName name="BEx3ATHHUCGCIRND8KLAREDV3L40" localSheetId="3" hidden="1">[1]HEADER!#REF!</definedName>
    <definedName name="BEx3ATHHUCGCIRND8KLAREDV3L40" localSheetId="9" hidden="1">[1]HEADER!#REF!</definedName>
    <definedName name="BEx3ATHHUCGCIRND8KLAREDV3L40" localSheetId="8" hidden="1">[1]HEADER!#REF!</definedName>
    <definedName name="BEx3ATHHUCGCIRND8KLAREDV3L40" localSheetId="7" hidden="1">[1]HEADER!#REF!</definedName>
    <definedName name="BEx3ATHHUCGCIRND8KLAREDV3L40" localSheetId="10" hidden="1">[1]HEADER!#REF!</definedName>
    <definedName name="BEx3ATHHUCGCIRND8KLAREDV3L40" localSheetId="11" hidden="1">[1]HEADER!#REF!</definedName>
    <definedName name="BEx3ATHHUCGCIRND8KLAREDV3L40" hidden="1">[1]HEADER!#REF!</definedName>
    <definedName name="BEx3QB2RILYEXIROLAFCWQMOJXMN" localSheetId="2" hidden="1">[1]HEADER!#REF!</definedName>
    <definedName name="BEx3QB2RILYEXIROLAFCWQMOJXMN" localSheetId="3" hidden="1">[1]HEADER!#REF!</definedName>
    <definedName name="BEx3QB2RILYEXIROLAFCWQMOJXMN" localSheetId="9" hidden="1">[1]HEADER!#REF!</definedName>
    <definedName name="BEx3QB2RILYEXIROLAFCWQMOJXMN" localSheetId="8" hidden="1">[1]HEADER!#REF!</definedName>
    <definedName name="BEx3QB2RILYEXIROLAFCWQMOJXMN" localSheetId="7" hidden="1">[1]HEADER!#REF!</definedName>
    <definedName name="BEx3QB2RILYEXIROLAFCWQMOJXMN" localSheetId="10" hidden="1">[1]HEADER!#REF!</definedName>
    <definedName name="BEx3QB2RILYEXIROLAFCWQMOJXMN" localSheetId="11" hidden="1">[1]HEADER!#REF!</definedName>
    <definedName name="BEx3QB2RILYEXIROLAFCWQMOJXMN" hidden="1">[1]HEADER!#REF!</definedName>
    <definedName name="BEx3RIJ9LXPXWNF4BFBFA4ILG6AY" localSheetId="2" hidden="1">[1]HEADER!#REF!</definedName>
    <definedName name="BEx3RIJ9LXPXWNF4BFBFA4ILG6AY" localSheetId="3" hidden="1">[1]HEADER!#REF!</definedName>
    <definedName name="BEx3RIJ9LXPXWNF4BFBFA4ILG6AY" localSheetId="9" hidden="1">[1]HEADER!#REF!</definedName>
    <definedName name="BEx3RIJ9LXPXWNF4BFBFA4ILG6AY" localSheetId="8" hidden="1">[1]HEADER!#REF!</definedName>
    <definedName name="BEx3RIJ9LXPXWNF4BFBFA4ILG6AY" localSheetId="7" hidden="1">[1]HEADER!#REF!</definedName>
    <definedName name="BEx3RIJ9LXPXWNF4BFBFA4ILG6AY" localSheetId="10" hidden="1">[1]HEADER!#REF!</definedName>
    <definedName name="BEx3RIJ9LXPXWNF4BFBFA4ILG6AY" localSheetId="11" hidden="1">[1]HEADER!#REF!</definedName>
    <definedName name="BEx3RIJ9LXPXWNF4BFBFA4ILG6AY" hidden="1">[1]HEADER!#REF!</definedName>
    <definedName name="BEx3T3XEKJ0I8634YNR6MPN3OBQL" localSheetId="2" hidden="1">[1]HEADER!#REF!</definedName>
    <definedName name="BEx3T3XEKJ0I8634YNR6MPN3OBQL" localSheetId="3" hidden="1">[1]HEADER!#REF!</definedName>
    <definedName name="BEx3T3XEKJ0I8634YNR6MPN3OBQL" localSheetId="9" hidden="1">[1]HEADER!#REF!</definedName>
    <definedName name="BEx3T3XEKJ0I8634YNR6MPN3OBQL" localSheetId="8" hidden="1">[1]HEADER!#REF!</definedName>
    <definedName name="BEx3T3XEKJ0I8634YNR6MPN3OBQL" localSheetId="7" hidden="1">[1]HEADER!#REF!</definedName>
    <definedName name="BEx3T3XEKJ0I8634YNR6MPN3OBQL" localSheetId="10" hidden="1">[1]HEADER!#REF!</definedName>
    <definedName name="BEx3T3XEKJ0I8634YNR6MPN3OBQL" localSheetId="11"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2">#REF!</definedName>
    <definedName name="bt" localSheetId="3">#REF!</definedName>
    <definedName name="bt" localSheetId="9">#REF!</definedName>
    <definedName name="bt" localSheetId="8">#REF!</definedName>
    <definedName name="bt" localSheetId="7">#REF!</definedName>
    <definedName name="bt" localSheetId="10">#REF!</definedName>
    <definedName name="bt" localSheetId="11">#REF!</definedName>
    <definedName name="bt" localSheetId="20">#REF!</definedName>
    <definedName name="bt" localSheetId="0">#REF!</definedName>
    <definedName name="bt">#REF!</definedName>
    <definedName name="BX" localSheetId="2">#REF!</definedName>
    <definedName name="BX" localSheetId="3">#REF!</definedName>
    <definedName name="BX" localSheetId="9">#REF!</definedName>
    <definedName name="BX" localSheetId="8">#REF!</definedName>
    <definedName name="BX" localSheetId="7">#REF!</definedName>
    <definedName name="BX" localSheetId="10">#REF!</definedName>
    <definedName name="BX" localSheetId="11">#REF!</definedName>
    <definedName name="BX" localSheetId="0">#REF!</definedName>
    <definedName name="BX">#REF!</definedName>
    <definedName name="CalendarYear" localSheetId="2">#REF!</definedName>
    <definedName name="CalendarYear" localSheetId="3">#REF!</definedName>
    <definedName name="CalendarYear" localSheetId="9">#REF!</definedName>
    <definedName name="CalendarYear" localSheetId="8">#REF!</definedName>
    <definedName name="CalendarYear" localSheetId="7">#REF!</definedName>
    <definedName name="CalendarYear" localSheetId="10">#REF!</definedName>
    <definedName name="CalendarYear" localSheetId="11">#REF!</definedName>
    <definedName name="CalendarYear" localSheetId="0">#REF!</definedName>
    <definedName name="CalendarYear">#REF!</definedName>
    <definedName name="ccc">#REF!</definedName>
    <definedName name="d">#REF!</definedName>
    <definedName name="D_Evija3">#REF!</definedName>
    <definedName name="DaysAndWeeks" localSheetId="2">{0,1,2,3,4,5,6} + {0;1;2;3;4;5}*7</definedName>
    <definedName name="DaysAndWeeks" localSheetId="3">{0,1,2,3,4,5,6} + {0;1;2;3;4;5}*7</definedName>
    <definedName name="DaysAndWeeks" localSheetId="6">{0,1,2,3,4,5,6} + {0;1;2;3;4;5}*7</definedName>
    <definedName name="DaysAndWeeks" localSheetId="9">{0,1,2,3,4,5,6} + {0;1;2;3;4;5}*7</definedName>
    <definedName name="DaysAndWeeks" localSheetId="8">{0,1,2,3,4,5,6} + {0;1;2;3;4;5}*7</definedName>
    <definedName name="DaysAndWeeks" localSheetId="7">{0,1,2,3,4,5,6} + {0;1;2;3;4;5}*7</definedName>
    <definedName name="DaysAndWeeks" localSheetId="10">{0,1,2,3,4,5,6} + {0;1;2;3;4;5}*7</definedName>
    <definedName name="DaysAndWeeks" localSheetId="11">{0,1,2,3,4,5,6} + {0;1;2;3;4;5}*7</definedName>
    <definedName name="DaysAndWeeks" localSheetId="13">{0,1,2,3,4,5,6} + {0;1;2;3;4;5}*7</definedName>
    <definedName name="DaysAndWeeks" localSheetId="14">{0,1,2,3,4,5,6} + {0;1;2;3;4;5}*7</definedName>
    <definedName name="DaysAndWeeks" localSheetId="15">{0,1,2,3,4,5,6} + {0;1;2;3;4;5}*7</definedName>
    <definedName name="DaysAndWeeks" localSheetId="18">{0,1,2,3,4,5,6} + {0;1;2;3;4;5}*7</definedName>
    <definedName name="DaysAndWeeks" localSheetId="0">{0,1,2,3,4,5,6} + {0;1;2;3;4;5}*7</definedName>
    <definedName name="DaysAndWeeks">{0,1,2,3,4,5,6} + {0;1;2;3;4;5}*7</definedName>
    <definedName name="de" localSheetId="2">#REF!</definedName>
    <definedName name="de" localSheetId="3">#REF!</definedName>
    <definedName name="de" localSheetId="9">#REF!</definedName>
    <definedName name="de" localSheetId="8">#REF!</definedName>
    <definedName name="de" localSheetId="7">#REF!</definedName>
    <definedName name="de" localSheetId="10">#REF!</definedName>
    <definedName name="de" localSheetId="11">#REF!</definedName>
    <definedName name="de" localSheetId="0">#REF!</definedName>
    <definedName name="de">#REF!</definedName>
    <definedName name="dff">#NAME?</definedName>
    <definedName name="DRGNAMES" localSheetId="2">#REF!</definedName>
    <definedName name="DRGNAMES" localSheetId="3">#REF!</definedName>
    <definedName name="DRGNAMES" localSheetId="9">#REF!</definedName>
    <definedName name="DRGNAMES" localSheetId="8">#REF!</definedName>
    <definedName name="DRGNAMES" localSheetId="7">#REF!</definedName>
    <definedName name="DRGNAMES" localSheetId="10">#REF!</definedName>
    <definedName name="DRGNAMES" localSheetId="11">#REF!</definedName>
    <definedName name="DRGNAMES" localSheetId="20">#REF!</definedName>
    <definedName name="DRGNAMES" localSheetId="0">#REF!</definedName>
    <definedName name="DRGNAMES">#REF!</definedName>
    <definedName name="e" localSheetId="2">#REF!</definedName>
    <definedName name="e" localSheetId="3">#REF!</definedName>
    <definedName name="e" localSheetId="9">#REF!</definedName>
    <definedName name="e" localSheetId="8">#REF!</definedName>
    <definedName name="e" localSheetId="7">#REF!</definedName>
    <definedName name="e" localSheetId="10">#REF!</definedName>
    <definedName name="e" localSheetId="11">#REF!</definedName>
    <definedName name="e" localSheetId="20">#REF!</definedName>
    <definedName name="e" localSheetId="0">#REF!</definedName>
    <definedName name="e">#REF!</definedName>
    <definedName name="ee" localSheetId="2">#REF!</definedName>
    <definedName name="ee" localSheetId="3">#REF!</definedName>
    <definedName name="ee" localSheetId="9">#REF!</definedName>
    <definedName name="ee" localSheetId="8">#REF!</definedName>
    <definedName name="ee" localSheetId="7">#REF!</definedName>
    <definedName name="ee" localSheetId="10">#REF!</definedName>
    <definedName name="ee" localSheetId="11">#REF!</definedName>
    <definedName name="ee" localSheetId="20">#REF!</definedName>
    <definedName name="ee" localSheetId="0">#REF!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2">{0,1,2,3,4,5,6} + {0;1;2;3;4;5}*7</definedName>
    <definedName name="gala" localSheetId="3">{0,1,2,3,4,5,6} + {0;1;2;3;4;5}*7</definedName>
    <definedName name="gala" localSheetId="6">{0,1,2,3,4,5,6} + {0;1;2;3;4;5}*7</definedName>
    <definedName name="gala" localSheetId="9">{0,1,2,3,4,5,6} + {0;1;2;3;4;5}*7</definedName>
    <definedName name="gala" localSheetId="8">{0,1,2,3,4,5,6} + {0;1;2;3;4;5}*7</definedName>
    <definedName name="gala" localSheetId="7">{0,1,2,3,4,5,6} + {0;1;2;3;4;5}*7</definedName>
    <definedName name="gala" localSheetId="10">{0,1,2,3,4,5,6} + {0;1;2;3;4;5}*7</definedName>
    <definedName name="gala" localSheetId="11">{0,1,2,3,4,5,6} + {0;1;2;3;4;5}*7</definedName>
    <definedName name="gala" localSheetId="13">{0,1,2,3,4,5,6} + {0;1;2;3;4;5}*7</definedName>
    <definedName name="gala" localSheetId="14">{0,1,2,3,4,5,6} + {0;1;2;3;4;5}*7</definedName>
    <definedName name="gala" localSheetId="15">{0,1,2,3,4,5,6} + {0;1;2;3;4;5}*7</definedName>
    <definedName name="gala" localSheetId="18">{0,1,2,3,4,5,6} + {0;1;2;3;4;5}*7</definedName>
    <definedName name="gala" localSheetId="0">{0,1,2,3,4,5,6} + {0;1;2;3;4;5}*7</definedName>
    <definedName name="gala">{0,1,2,3,4,5,6} + {0;1;2;3;4;5}*7</definedName>
    <definedName name="Gala_kopsavilkums">#REF!</definedName>
    <definedName name="gggg" localSheetId="2">#REF!</definedName>
    <definedName name="gggg" localSheetId="3">#REF!</definedName>
    <definedName name="gggg" localSheetId="9">#REF!</definedName>
    <definedName name="gggg" localSheetId="8">#REF!</definedName>
    <definedName name="gggg" localSheetId="7">#REF!</definedName>
    <definedName name="gggg" localSheetId="10">#REF!</definedName>
    <definedName name="gggg" localSheetId="11">#REF!</definedName>
    <definedName name="gggg" localSheetId="0">#REF!</definedName>
    <definedName name="gggg">#REF!</definedName>
    <definedName name="ghy" localSheetId="2">#REF!</definedName>
    <definedName name="ghy" localSheetId="3">#REF!</definedName>
    <definedName name="ghy" localSheetId="9">#REF!</definedName>
    <definedName name="ghy" localSheetId="8">#REF!</definedName>
    <definedName name="ghy" localSheetId="7">#REF!</definedName>
    <definedName name="ghy" localSheetId="10">#REF!</definedName>
    <definedName name="ghy" localSheetId="11">#REF!</definedName>
    <definedName name="ghy" localSheetId="0">#REF!</definedName>
    <definedName name="ghy">#REF!</definedName>
    <definedName name="h">#REF!</definedName>
    <definedName name="hh">#REF!</definedName>
    <definedName name="hjh">#REF!</definedName>
    <definedName name="hyh">#REF!</definedName>
    <definedName name="i">#REF!</definedName>
    <definedName name="izm.kods">#REF!</definedName>
    <definedName name="izm.kods_1" localSheetId="2">[2]izm.posteni!$A$2:$A$216</definedName>
    <definedName name="izm.kods_1" localSheetId="3">[2]izm.posteni!$A$2:$A$216</definedName>
    <definedName name="izm.kods_1" localSheetId="9">[2]izm.posteni!$A$2:$A$216</definedName>
    <definedName name="izm.kods_1" localSheetId="8">[2]izm.posteni!$A$2:$A$216</definedName>
    <definedName name="izm.kods_1" localSheetId="7">[2]izm.posteni!$A$2:$A$216</definedName>
    <definedName name="izm.kods_1" localSheetId="10">[2]izm.posteni!$A$2:$A$216</definedName>
    <definedName name="izm.kods_1" localSheetId="11">[2]izm.posteni!$A$2:$A$216</definedName>
    <definedName name="izm.kods_1" localSheetId="20">[2]izm.posteni!$A$2:$A$216</definedName>
    <definedName name="izm.kods_1">[3]izm.posteni!$A$2:$A$216</definedName>
    <definedName name="izm.nos" localSheetId="2">#REF!</definedName>
    <definedName name="izm.nos" localSheetId="3">#REF!</definedName>
    <definedName name="izm.nos" localSheetId="9">#REF!</definedName>
    <definedName name="izm.nos" localSheetId="8">#REF!</definedName>
    <definedName name="izm.nos" localSheetId="7">#REF!</definedName>
    <definedName name="izm.nos" localSheetId="10">#REF!</definedName>
    <definedName name="izm.nos" localSheetId="11">#REF!</definedName>
    <definedName name="izm.nos" localSheetId="20">#REF!</definedName>
    <definedName name="izm.nos" localSheetId="0">#REF!</definedName>
    <definedName name="izm.nos">#REF!</definedName>
    <definedName name="izm.nos_1" localSheetId="2">[2]izm.posteni!$B$2:$B$216</definedName>
    <definedName name="izm.nos_1" localSheetId="3">[2]izm.posteni!$B$2:$B$216</definedName>
    <definedName name="izm.nos_1" localSheetId="9">[2]izm.posteni!$B$2:$B$216</definedName>
    <definedName name="izm.nos_1" localSheetId="8">[2]izm.posteni!$B$2:$B$216</definedName>
    <definedName name="izm.nos_1" localSheetId="7">[2]izm.posteni!$B$2:$B$216</definedName>
    <definedName name="izm.nos_1" localSheetId="10">[2]izm.posteni!$B$2:$B$216</definedName>
    <definedName name="izm.nos_1" localSheetId="11">[2]izm.posteni!$B$2:$B$216</definedName>
    <definedName name="izm.nos_1" localSheetId="20">[2]izm.posteni!$B$2:$B$216</definedName>
    <definedName name="izm.nos_1">[3]izm.posteni!$B$2:$B$216</definedName>
    <definedName name="jhg" localSheetId="2">#REF!</definedName>
    <definedName name="jhg" localSheetId="3">#REF!</definedName>
    <definedName name="jhg" localSheetId="9">#REF!</definedName>
    <definedName name="jhg" localSheetId="8">#REF!</definedName>
    <definedName name="jhg" localSheetId="7">#REF!</definedName>
    <definedName name="jhg" localSheetId="10">#REF!</definedName>
    <definedName name="jhg" localSheetId="11">#REF!</definedName>
    <definedName name="jhg" localSheetId="20">#REF!</definedName>
    <definedName name="jhg" localSheetId="0">#REF!</definedName>
    <definedName name="jhg">#REF!</definedName>
    <definedName name="kk" localSheetId="2">#REF!</definedName>
    <definedName name="kk" localSheetId="3">#REF!</definedName>
    <definedName name="kk" localSheetId="9">#REF!</definedName>
    <definedName name="kk" localSheetId="8">#REF!</definedName>
    <definedName name="kk" localSheetId="7">#REF!</definedName>
    <definedName name="kk" localSheetId="10">#REF!</definedName>
    <definedName name="kk" localSheetId="11">#REF!</definedName>
    <definedName name="kk" localSheetId="20">#REF!</definedName>
    <definedName name="kk" localSheetId="0">#REF!</definedName>
    <definedName name="kk">#REF!</definedName>
    <definedName name="l" localSheetId="2">#REF!</definedName>
    <definedName name="l" localSheetId="3">#REF!</definedName>
    <definedName name="l" localSheetId="9">#REF!</definedName>
    <definedName name="l" localSheetId="8">#REF!</definedName>
    <definedName name="l" localSheetId="7">#REF!</definedName>
    <definedName name="l" localSheetId="10">#REF!</definedName>
    <definedName name="l" localSheetId="11">#REF!</definedName>
    <definedName name="l" localSheetId="20">#REF!</definedName>
    <definedName name="l" localSheetId="0">#REF!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 localSheetId="2">#REF!</definedName>
    <definedName name="n" localSheetId="3">#REF!</definedName>
    <definedName name="n" localSheetId="9">#REF!</definedName>
    <definedName name="n" localSheetId="8">#REF!</definedName>
    <definedName name="n" localSheetId="7">#REF!</definedName>
    <definedName name="n" localSheetId="10">#REF!</definedName>
    <definedName name="n" localSheetId="11">#REF!</definedName>
    <definedName name="n" localSheetId="0">#REF!</definedName>
    <definedName name="n">#REF!</definedName>
    <definedName name="P_Dati_rikojums" localSheetId="2">#REF!</definedName>
    <definedName name="P_Dati_rikojums" localSheetId="3">#REF!</definedName>
    <definedName name="P_Dati_rikojums" localSheetId="9">#REF!</definedName>
    <definedName name="P_Dati_rikojums" localSheetId="8">#REF!</definedName>
    <definedName name="P_Dati_rikojums" localSheetId="7">#REF!</definedName>
    <definedName name="P_Dati_rikojums" localSheetId="10">#REF!</definedName>
    <definedName name="P_Dati_rikojums" localSheetId="11">#REF!</definedName>
    <definedName name="P_Dati_rikojums" localSheetId="0">#REF!</definedName>
    <definedName name="P_Dati_rikojums">#REF!</definedName>
    <definedName name="pp" localSheetId="2">#REF!</definedName>
    <definedName name="pp" localSheetId="3">#REF!</definedName>
    <definedName name="pp" localSheetId="9">#REF!</definedName>
    <definedName name="pp" localSheetId="8">#REF!</definedName>
    <definedName name="pp" localSheetId="7">#REF!</definedName>
    <definedName name="pp" localSheetId="10">#REF!</definedName>
    <definedName name="pp" localSheetId="11">#REF!</definedName>
    <definedName name="pp" localSheetId="0">#REF!</definedName>
    <definedName name="pp">#REF!</definedName>
    <definedName name="_xlnm.Print_Area" localSheetId="8">'3.2.1.NMPD_OMT_apmāc'!$A$1:$H$11</definedName>
    <definedName name="Recover" localSheetId="2">[4]Macro1!$A$135</definedName>
    <definedName name="Recover" localSheetId="3">[4]Macro1!$A$135</definedName>
    <definedName name="Recover" localSheetId="9">[4]Macro1!$A$135</definedName>
    <definedName name="Recover" localSheetId="8">[4]Macro1!$A$135</definedName>
    <definedName name="Recover" localSheetId="7">[4]Macro1!$A$135</definedName>
    <definedName name="Recover" localSheetId="10">[4]Macro1!$A$135</definedName>
    <definedName name="Recover" localSheetId="11">[4]Macro1!$A$135</definedName>
    <definedName name="Recover">#N/A</definedName>
    <definedName name="Rikojums2222" localSheetId="20">[5]Macro1!$A$106</definedName>
    <definedName name="Rikojums2222">[6]Macro1!$A$106</definedName>
    <definedName name="rr" localSheetId="2">#REF!</definedName>
    <definedName name="rr" localSheetId="3">#REF!</definedName>
    <definedName name="rr" localSheetId="9">#REF!</definedName>
    <definedName name="rr" localSheetId="8">#REF!</definedName>
    <definedName name="rr" localSheetId="7">#REF!</definedName>
    <definedName name="rr" localSheetId="10">#REF!</definedName>
    <definedName name="rr" localSheetId="11">#REF!</definedName>
    <definedName name="rr" localSheetId="20">#REF!</definedName>
    <definedName name="rr" localSheetId="0">#REF!</definedName>
    <definedName name="rr">#REF!</definedName>
    <definedName name="rt" localSheetId="2">#REF!</definedName>
    <definedName name="rt" localSheetId="3">#REF!</definedName>
    <definedName name="rt" localSheetId="9">#REF!</definedName>
    <definedName name="rt" localSheetId="8">#REF!</definedName>
    <definedName name="rt" localSheetId="7">#REF!</definedName>
    <definedName name="rt" localSheetId="10">#REF!</definedName>
    <definedName name="rt" localSheetId="11">#REF!</definedName>
    <definedName name="rt" localSheetId="20">#REF!</definedName>
    <definedName name="rt" localSheetId="0">#REF!</definedName>
    <definedName name="rt">#REF!</definedName>
    <definedName name="rty" localSheetId="2">#REF!</definedName>
    <definedName name="rty" localSheetId="3">#REF!</definedName>
    <definedName name="rty" localSheetId="9">#REF!</definedName>
    <definedName name="rty" localSheetId="8">#REF!</definedName>
    <definedName name="rty" localSheetId="7">#REF!</definedName>
    <definedName name="rty" localSheetId="10">#REF!</definedName>
    <definedName name="rty" localSheetId="11">#REF!</definedName>
    <definedName name="rty" localSheetId="20">#REF!</definedName>
    <definedName name="rty" localSheetId="0">#REF!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2">[2]strukturkodi!$B$2:$B$232</definedName>
    <definedName name="Struktūrvien.kodi2_1" localSheetId="3">[2]strukturkodi!$B$2:$B$232</definedName>
    <definedName name="Struktūrvien.kodi2_1" localSheetId="9">[2]strukturkodi!$B$2:$B$232</definedName>
    <definedName name="Struktūrvien.kodi2_1" localSheetId="8">[2]strukturkodi!$B$2:$B$232</definedName>
    <definedName name="Struktūrvien.kodi2_1" localSheetId="7">[2]strukturkodi!$B$2:$B$232</definedName>
    <definedName name="Struktūrvien.kodi2_1" localSheetId="10">[2]strukturkodi!$B$2:$B$232</definedName>
    <definedName name="Struktūrvien.kodi2_1" localSheetId="11">[2]strukturkodi!$B$2:$B$232</definedName>
    <definedName name="Struktūrvien.kodi2_1" localSheetId="20">[2]strukturkodi!$B$2:$B$232</definedName>
    <definedName name="Struktūrvien.kodi2_1">[3]strukturkodi!$B$2:$B$232</definedName>
    <definedName name="Struktūrvien.kods" localSheetId="2">#REF!</definedName>
    <definedName name="Struktūrvien.kods" localSheetId="3">#REF!</definedName>
    <definedName name="Struktūrvien.kods" localSheetId="9">#REF!</definedName>
    <definedName name="Struktūrvien.kods" localSheetId="8">#REF!</definedName>
    <definedName name="Struktūrvien.kods" localSheetId="7">#REF!</definedName>
    <definedName name="Struktūrvien.kods" localSheetId="10">#REF!</definedName>
    <definedName name="Struktūrvien.kods" localSheetId="11">#REF!</definedName>
    <definedName name="Struktūrvien.kods" localSheetId="20">#REF!</definedName>
    <definedName name="Struktūrvien.kods" localSheetId="0">#REF!</definedName>
    <definedName name="Struktūrvien.kods">#REF!</definedName>
    <definedName name="Struktūrvien.kods_1" localSheetId="2">[2]strukturkodi!$A$2:$A$232</definedName>
    <definedName name="Struktūrvien.kods_1" localSheetId="3">[2]strukturkodi!$A$2:$A$232</definedName>
    <definedName name="Struktūrvien.kods_1" localSheetId="9">[2]strukturkodi!$A$2:$A$232</definedName>
    <definedName name="Struktūrvien.kods_1" localSheetId="8">[2]strukturkodi!$A$2:$A$232</definedName>
    <definedName name="Struktūrvien.kods_1" localSheetId="7">[2]strukturkodi!$A$2:$A$232</definedName>
    <definedName name="Struktūrvien.kods_1" localSheetId="10">[2]strukturkodi!$A$2:$A$232</definedName>
    <definedName name="Struktūrvien.kods_1" localSheetId="11">[2]strukturkodi!$A$2:$A$232</definedName>
    <definedName name="Struktūrvien.kods_1" localSheetId="20">[2]strukturkodi!$A$2:$A$232</definedName>
    <definedName name="Struktūrvien.kods_1">[3]strukturkodi!$A$2:$A$232</definedName>
    <definedName name="T13l6">[7]ATSKAITE_2v!#REF!</definedName>
    <definedName name="TableName">"Dummy"</definedName>
    <definedName name="Tarifs_28">#REF!</definedName>
    <definedName name="TWO_LINKS">'[8]8.1.'!$C$5</definedName>
    <definedName name="ty" localSheetId="2">#REF!</definedName>
    <definedName name="ty" localSheetId="3">#REF!</definedName>
    <definedName name="ty" localSheetId="9">#REF!</definedName>
    <definedName name="ty" localSheetId="8">#REF!</definedName>
    <definedName name="ty" localSheetId="7">#REF!</definedName>
    <definedName name="ty" localSheetId="10">#REF!</definedName>
    <definedName name="ty" localSheetId="11">#REF!</definedName>
    <definedName name="ty" localSheetId="20">#REF!</definedName>
    <definedName name="ty" localSheetId="0">#REF!</definedName>
    <definedName name="ty">#REF!</definedName>
    <definedName name="tyuj" localSheetId="2">#REF!</definedName>
    <definedName name="tyuj" localSheetId="3">#REF!</definedName>
    <definedName name="tyuj" localSheetId="9">#REF!</definedName>
    <definedName name="tyuj" localSheetId="8">#REF!</definedName>
    <definedName name="tyuj" localSheetId="7">#REF!</definedName>
    <definedName name="tyuj" localSheetId="10">#REF!</definedName>
    <definedName name="tyuj" localSheetId="11">#REF!</definedName>
    <definedName name="tyuj" localSheetId="20">#REF!</definedName>
    <definedName name="tyuj" localSheetId="0">#REF!</definedName>
    <definedName name="tyuj">#REF!</definedName>
    <definedName name="u" localSheetId="2">#REF!</definedName>
    <definedName name="u" localSheetId="3">#REF!</definedName>
    <definedName name="u" localSheetId="9">#REF!</definedName>
    <definedName name="u" localSheetId="8">#REF!</definedName>
    <definedName name="u" localSheetId="7">#REF!</definedName>
    <definedName name="u" localSheetId="10">#REF!</definedName>
    <definedName name="u" localSheetId="11">#REF!</definedName>
    <definedName name="u" localSheetId="20">#REF!</definedName>
    <definedName name="u" localSheetId="0">#REF!</definedName>
    <definedName name="u">#REF!</definedName>
    <definedName name="U_N_A">#REF!</definedName>
    <definedName name="wedr">#REF!</definedName>
    <definedName name="WeekStart">#REF!</definedName>
    <definedName name="x">#REF!</definedName>
    <definedName name="XBD" localSheetId="2">[9]Dati!$B$6</definedName>
    <definedName name="XBD" localSheetId="3">[9]Dati!$B$6</definedName>
    <definedName name="XBD" localSheetId="9">[9]Dati!$B$6</definedName>
    <definedName name="XBD" localSheetId="8">[9]Dati!$B$6</definedName>
    <definedName name="XBD" localSheetId="7">[9]Dati!$B$6</definedName>
    <definedName name="XBD" localSheetId="10">[9]Dati!$B$6</definedName>
    <definedName name="XBD" localSheetId="11">[9]Dati!$B$6</definedName>
    <definedName name="XBD" localSheetId="20">[9]Dati!$B$6</definedName>
    <definedName name="XBD">[10]Dati!$B$6</definedName>
    <definedName name="XDD" localSheetId="2">[9]Dati!$B$4</definedName>
    <definedName name="XDD" localSheetId="3">[9]Dati!$B$4</definedName>
    <definedName name="XDD" localSheetId="9">[9]Dati!$B$4</definedName>
    <definedName name="XDD" localSheetId="8">[9]Dati!$B$4</definedName>
    <definedName name="XDD" localSheetId="7">[9]Dati!$B$4</definedName>
    <definedName name="XDD" localSheetId="10">[9]Dati!$B$4</definedName>
    <definedName name="XDD" localSheetId="11">[9]Dati!$B$4</definedName>
    <definedName name="XDD" localSheetId="20">[9]Dati!$B$4</definedName>
    <definedName name="XDD">[10]Dati!$B$4</definedName>
    <definedName name="XDS" localSheetId="2">[9]Dati!$B$5</definedName>
    <definedName name="XDS" localSheetId="3">[9]Dati!$B$5</definedName>
    <definedName name="XDS" localSheetId="9">[9]Dati!$B$5</definedName>
    <definedName name="XDS" localSheetId="8">[9]Dati!$B$5</definedName>
    <definedName name="XDS" localSheetId="7">[9]Dati!$B$5</definedName>
    <definedName name="XDS" localSheetId="10">[9]Dati!$B$5</definedName>
    <definedName name="XDS" localSheetId="11">[9]Dati!$B$5</definedName>
    <definedName name="XDS" localSheetId="20">[9]Dati!$B$5</definedName>
    <definedName name="XDS">[10]Dati!$B$5</definedName>
    <definedName name="XSVD" localSheetId="2">[9]Dati!$B$7</definedName>
    <definedName name="XSVD" localSheetId="3">[9]Dati!$B$7</definedName>
    <definedName name="XSVD" localSheetId="9">[9]Dati!$B$7</definedName>
    <definedName name="XSVD" localSheetId="8">[9]Dati!$B$7</definedName>
    <definedName name="XSVD" localSheetId="7">[9]Dati!$B$7</definedName>
    <definedName name="XSVD" localSheetId="10">[9]Dati!$B$7</definedName>
    <definedName name="XSVD" localSheetId="11">[9]Dati!$B$7</definedName>
    <definedName name="XSVD" localSheetId="20">[9]Dati!$B$7</definedName>
    <definedName name="XSVD">[10]Dati!$B$7</definedName>
    <definedName name="xxxx" localSheetId="2">#REF!</definedName>
    <definedName name="xxxx" localSheetId="3">#REF!</definedName>
    <definedName name="xxxx" localSheetId="9">#REF!</definedName>
    <definedName name="xxxx" localSheetId="8">#REF!</definedName>
    <definedName name="xxxx" localSheetId="7">#REF!</definedName>
    <definedName name="xxxx" localSheetId="10">#REF!</definedName>
    <definedName name="xxxx" localSheetId="11">#REF!</definedName>
    <definedName name="xxxx" localSheetId="20">#REF!</definedName>
    <definedName name="xxxx" localSheetId="0">#REF!</definedName>
    <definedName name="xxxx">#REF!</definedName>
    <definedName name="yuh" localSheetId="2">#REF!</definedName>
    <definedName name="yuh" localSheetId="3">#REF!</definedName>
    <definedName name="yuh" localSheetId="9">#REF!</definedName>
    <definedName name="yuh" localSheetId="8">#REF!</definedName>
    <definedName name="yuh" localSheetId="7">#REF!</definedName>
    <definedName name="yuh" localSheetId="10">#REF!</definedName>
    <definedName name="yuh" localSheetId="11">#REF!</definedName>
    <definedName name="yuh" localSheetId="20">#REF!</definedName>
    <definedName name="yuh" localSheetId="0">#REF!</definedName>
    <definedName name="yuh">#REF!</definedName>
    <definedName name="yyyy" localSheetId="2">#REF!</definedName>
    <definedName name="yyyy" localSheetId="3">#REF!</definedName>
    <definedName name="yyyy" localSheetId="9">#REF!</definedName>
    <definedName name="yyyy" localSheetId="8">#REF!</definedName>
    <definedName name="yyyy" localSheetId="7">#REF!</definedName>
    <definedName name="yyyy" localSheetId="10">#REF!</definedName>
    <definedName name="yyyy" localSheetId="11">#REF!</definedName>
    <definedName name="yyyy" localSheetId="20">#REF!</definedName>
    <definedName name="yyyy" localSheetId="0">#REF!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32" l="1"/>
  <c r="I16" i="32"/>
  <c r="B27" i="36" l="1"/>
  <c r="F22" i="36"/>
  <c r="E6" i="36"/>
  <c r="C137" i="36" l="1"/>
  <c r="B121" i="36"/>
  <c r="C90" i="36"/>
  <c r="B74" i="36"/>
  <c r="E36" i="30" l="1"/>
  <c r="C6" i="14"/>
  <c r="C16" i="14" l="1"/>
  <c r="D5" i="14" l="1"/>
  <c r="D12" i="14"/>
  <c r="G8" i="12"/>
  <c r="H6" i="12"/>
  <c r="H7" i="12"/>
  <c r="H5" i="12"/>
  <c r="H8" i="12" s="1"/>
  <c r="G6" i="12"/>
  <c r="G7" i="12"/>
  <c r="G5" i="12"/>
  <c r="H17" i="32"/>
  <c r="H18" i="32"/>
  <c r="H16" i="32"/>
  <c r="H6" i="32"/>
  <c r="H7" i="32"/>
  <c r="H5" i="32"/>
  <c r="I17" i="32"/>
  <c r="I18" i="32"/>
  <c r="I6" i="32"/>
  <c r="I7" i="32"/>
  <c r="D22" i="30"/>
  <c r="B135" i="36"/>
  <c r="E113" i="36"/>
  <c r="F113" i="36" s="1"/>
  <c r="E112" i="36"/>
  <c r="F112" i="36" s="1"/>
  <c r="E111" i="36"/>
  <c r="F111" i="36" s="1"/>
  <c r="E110" i="36"/>
  <c r="F110" i="36" s="1"/>
  <c r="E109" i="36"/>
  <c r="D105" i="36"/>
  <c r="E105" i="36" s="1"/>
  <c r="E101" i="36"/>
  <c r="F101" i="36" s="1"/>
  <c r="E100" i="36"/>
  <c r="F100" i="36" s="1"/>
  <c r="E99" i="36"/>
  <c r="F99" i="36" s="1"/>
  <c r="E98" i="36"/>
  <c r="E97" i="36"/>
  <c r="F97" i="36" s="1"/>
  <c r="E96" i="36"/>
  <c r="F96" i="36" s="1"/>
  <c r="E66" i="36"/>
  <c r="F66" i="36" s="1"/>
  <c r="E65" i="36"/>
  <c r="F65" i="36" s="1"/>
  <c r="E64" i="36"/>
  <c r="F64" i="36" s="1"/>
  <c r="E63" i="36"/>
  <c r="F63" i="36" s="1"/>
  <c r="E62" i="36"/>
  <c r="D58" i="36"/>
  <c r="E58" i="36" s="1"/>
  <c r="E54" i="36"/>
  <c r="F54" i="36" s="1"/>
  <c r="E53" i="36"/>
  <c r="F53" i="36" s="1"/>
  <c r="E52" i="36"/>
  <c r="F52" i="36" s="1"/>
  <c r="E51" i="36"/>
  <c r="F51" i="36" s="1"/>
  <c r="E50" i="36"/>
  <c r="E49" i="36"/>
  <c r="F49" i="36" s="1"/>
  <c r="B41" i="36"/>
  <c r="C43" i="36" s="1"/>
  <c r="E19" i="36"/>
  <c r="F19" i="36" s="1"/>
  <c r="E18" i="36"/>
  <c r="F18" i="36" s="1"/>
  <c r="E17" i="36"/>
  <c r="F17" i="36" s="1"/>
  <c r="E16" i="36"/>
  <c r="F16" i="36" s="1"/>
  <c r="E15" i="36"/>
  <c r="E11" i="36"/>
  <c r="F11" i="36" s="1"/>
  <c r="E10" i="36"/>
  <c r="F10" i="36" s="1"/>
  <c r="E9" i="36"/>
  <c r="F9" i="36" s="1"/>
  <c r="E8" i="36"/>
  <c r="F8" i="36" s="1"/>
  <c r="E7" i="36"/>
  <c r="F6" i="36"/>
  <c r="I19" i="32" l="1"/>
  <c r="D4" i="14"/>
  <c r="D23" i="14" s="1"/>
  <c r="E26" i="30" s="1"/>
  <c r="E114" i="36"/>
  <c r="F114" i="36" s="1"/>
  <c r="B88" i="36"/>
  <c r="F58" i="36"/>
  <c r="E59" i="36"/>
  <c r="F59" i="36" s="1"/>
  <c r="E20" i="36"/>
  <c r="F20" i="36" s="1"/>
  <c r="E12" i="36"/>
  <c r="F12" i="36" s="1"/>
  <c r="F15" i="36"/>
  <c r="F109" i="36"/>
  <c r="E55" i="36"/>
  <c r="F55" i="36" s="1"/>
  <c r="E67" i="36"/>
  <c r="F67" i="36" s="1"/>
  <c r="E102" i="36"/>
  <c r="F102" i="36" s="1"/>
  <c r="E106" i="36"/>
  <c r="F106" i="36" s="1"/>
  <c r="F105" i="36"/>
  <c r="F98" i="36"/>
  <c r="F7" i="36"/>
  <c r="F50" i="36"/>
  <c r="F62" i="36"/>
  <c r="E21" i="36" l="1"/>
  <c r="F21" i="36" s="1"/>
  <c r="D42" i="30" s="1"/>
  <c r="E115" i="36"/>
  <c r="F115" i="36" s="1"/>
  <c r="F116" i="36" s="1"/>
  <c r="F42" i="30" s="1"/>
  <c r="E68" i="36"/>
  <c r="F68" i="36" s="1"/>
  <c r="F69" i="36" s="1"/>
  <c r="E42" i="30" l="1"/>
  <c r="F6" i="5"/>
  <c r="C8" i="31"/>
  <c r="E40" i="30" l="1"/>
  <c r="E39" i="30" s="1"/>
  <c r="E6" i="34"/>
  <c r="E7" i="34"/>
  <c r="E5" i="34"/>
  <c r="H4" i="3"/>
  <c r="D41" i="30" l="1"/>
  <c r="F40" i="30"/>
  <c r="E8" i="34"/>
  <c r="G5" i="32"/>
  <c r="G16" i="32"/>
  <c r="J16" i="32" s="1"/>
  <c r="G17" i="32"/>
  <c r="N19" i="32"/>
  <c r="M19" i="32"/>
  <c r="L19" i="32"/>
  <c r="F19" i="32"/>
  <c r="G18" i="32"/>
  <c r="F8" i="32"/>
  <c r="G7" i="32"/>
  <c r="G6" i="32"/>
  <c r="E41" i="30" l="1"/>
  <c r="M7" i="32"/>
  <c r="E9" i="34"/>
  <c r="E10" i="34" s="1"/>
  <c r="D40" i="30" s="1"/>
  <c r="D39" i="30" s="1"/>
  <c r="F39" i="30"/>
  <c r="G40" i="30"/>
  <c r="G39" i="30" s="1"/>
  <c r="J7" i="32"/>
  <c r="K7" i="32" s="1"/>
  <c r="O7" i="32" s="1"/>
  <c r="M6" i="32"/>
  <c r="J17" i="32"/>
  <c r="K17" i="32" s="1"/>
  <c r="O17" i="32" s="1"/>
  <c r="M5" i="32"/>
  <c r="K16" i="32"/>
  <c r="O16" i="32" s="1"/>
  <c r="I8" i="32"/>
  <c r="G19" i="32"/>
  <c r="G8" i="32"/>
  <c r="H19" i="32"/>
  <c r="H8" i="32"/>
  <c r="J18" i="32"/>
  <c r="K18" i="32" s="1"/>
  <c r="O18" i="32" s="1"/>
  <c r="J6" i="32"/>
  <c r="K6" i="32" s="1"/>
  <c r="J5" i="32"/>
  <c r="N5" i="32" s="1"/>
  <c r="O19" i="32" l="1"/>
  <c r="F41" i="30"/>
  <c r="G42" i="30"/>
  <c r="M8" i="32"/>
  <c r="L7" i="32"/>
  <c r="N7" i="32"/>
  <c r="O6" i="32"/>
  <c r="L6" i="32"/>
  <c r="N6" i="32"/>
  <c r="J19" i="32"/>
  <c r="J8" i="32"/>
  <c r="K5" i="32"/>
  <c r="O5" i="32" s="1"/>
  <c r="N8" i="32" l="1"/>
  <c r="G41" i="30"/>
  <c r="L5" i="32"/>
  <c r="L8" i="32" s="1"/>
  <c r="E38" i="30"/>
  <c r="E5" i="30" s="1"/>
  <c r="K19" i="32"/>
  <c r="O8" i="32"/>
  <c r="D38" i="30" s="1"/>
  <c r="D5" i="30" s="1"/>
  <c r="K8" i="32"/>
  <c r="F38" i="30" l="1"/>
  <c r="D37" i="30"/>
  <c r="F37" i="30" l="1"/>
  <c r="F27" i="30" s="1"/>
  <c r="F5" i="30"/>
  <c r="E37" i="30"/>
  <c r="E27" i="30" s="1"/>
  <c r="G38" i="30"/>
  <c r="D13" i="30"/>
  <c r="G9" i="30"/>
  <c r="F9" i="30"/>
  <c r="E9" i="30"/>
  <c r="G37" i="30" l="1"/>
  <c r="G27" i="30" s="1"/>
  <c r="G5" i="30"/>
  <c r="E34" i="30" l="1"/>
  <c r="E8" i="30" s="1"/>
  <c r="E33" i="30"/>
  <c r="F33" i="30" s="1"/>
  <c r="D33" i="30"/>
  <c r="H6" i="7"/>
  <c r="F6" i="7"/>
  <c r="D6" i="7"/>
  <c r="G18" i="30"/>
  <c r="F18" i="30"/>
  <c r="E18" i="30"/>
  <c r="G23" i="30"/>
  <c r="F23" i="30"/>
  <c r="E23" i="30"/>
  <c r="F34" i="30" l="1"/>
  <c r="D34" i="30"/>
  <c r="G33" i="30"/>
  <c r="G34" i="30" l="1"/>
  <c r="G8" i="30" s="1"/>
  <c r="F8" i="30"/>
  <c r="E16" i="26"/>
  <c r="E15" i="26"/>
  <c r="E14" i="26"/>
  <c r="E12" i="26"/>
  <c r="E11" i="26"/>
  <c r="E10" i="26"/>
  <c r="E9" i="26"/>
  <c r="E8" i="26"/>
  <c r="E7" i="26"/>
  <c r="E6" i="26"/>
  <c r="E5" i="26"/>
  <c r="E4" i="26"/>
  <c r="E18" i="26" l="1"/>
  <c r="D10" i="30" s="1"/>
  <c r="C11" i="21" l="1"/>
  <c r="B11" i="21"/>
  <c r="C10" i="21"/>
  <c r="B10" i="21"/>
  <c r="C9" i="21"/>
  <c r="B9" i="21"/>
  <c r="C8" i="21"/>
  <c r="B8" i="21"/>
  <c r="C7" i="21"/>
  <c r="B7" i="21"/>
  <c r="C6" i="21"/>
  <c r="B6" i="21"/>
  <c r="AC16" i="20"/>
  <c r="J16" i="20"/>
  <c r="V16" i="20" s="1"/>
  <c r="AC15" i="20"/>
  <c r="J15" i="20"/>
  <c r="V15" i="20" s="1"/>
  <c r="AC14" i="20"/>
  <c r="K14" i="20"/>
  <c r="J14" i="20" s="1"/>
  <c r="V14" i="20" s="1"/>
  <c r="AC13" i="20"/>
  <c r="J13" i="20"/>
  <c r="V13" i="20" s="1"/>
  <c r="AC12" i="20"/>
  <c r="J12" i="20"/>
  <c r="V12" i="20" s="1"/>
  <c r="AC11" i="20"/>
  <c r="J11" i="20"/>
  <c r="V11" i="20" s="1"/>
  <c r="H5" i="20"/>
  <c r="H14" i="20" s="1"/>
  <c r="G5" i="20"/>
  <c r="G13" i="20" s="1"/>
  <c r="F5" i="20"/>
  <c r="F12" i="20" s="1"/>
  <c r="G12" i="20" l="1"/>
  <c r="H12" i="20"/>
  <c r="F15" i="20"/>
  <c r="F13" i="20"/>
  <c r="G15" i="20"/>
  <c r="H15" i="20"/>
  <c r="F16" i="20"/>
  <c r="F11" i="20"/>
  <c r="H13" i="20"/>
  <c r="G11" i="20"/>
  <c r="F14" i="20"/>
  <c r="G16" i="20"/>
  <c r="H11" i="20"/>
  <c r="G14" i="20"/>
  <c r="H16" i="20"/>
  <c r="T12" i="20" l="1"/>
  <c r="P12" i="20"/>
  <c r="Z12" i="20" s="1"/>
  <c r="I12" i="20"/>
  <c r="U12" i="20" s="1"/>
  <c r="O12" i="20"/>
  <c r="Y12" i="20" s="1"/>
  <c r="N12" i="20"/>
  <c r="X12" i="20" s="1"/>
  <c r="N14" i="20"/>
  <c r="X14" i="20" s="1"/>
  <c r="T14" i="20"/>
  <c r="I14" i="20"/>
  <c r="U14" i="20" s="1"/>
  <c r="P14" i="20"/>
  <c r="Z14" i="20" s="1"/>
  <c r="O14" i="20"/>
  <c r="Y14" i="20" s="1"/>
  <c r="O15" i="20"/>
  <c r="Y15" i="20" s="1"/>
  <c r="N15" i="20"/>
  <c r="X15" i="20" s="1"/>
  <c r="P15" i="20"/>
  <c r="Z15" i="20" s="1"/>
  <c r="T15" i="20"/>
  <c r="I15" i="20"/>
  <c r="U15" i="20" s="1"/>
  <c r="I11" i="20"/>
  <c r="U11" i="20" s="1"/>
  <c r="P11" i="20"/>
  <c r="Z11" i="20" s="1"/>
  <c r="T11" i="20"/>
  <c r="O11" i="20"/>
  <c r="Y11" i="20" s="1"/>
  <c r="N11" i="20"/>
  <c r="X11" i="20" s="1"/>
  <c r="N13" i="20"/>
  <c r="X13" i="20" s="1"/>
  <c r="I13" i="20"/>
  <c r="U13" i="20" s="1"/>
  <c r="T13" i="20"/>
  <c r="P13" i="20"/>
  <c r="Z13" i="20" s="1"/>
  <c r="O13" i="20"/>
  <c r="Y13" i="20" s="1"/>
  <c r="I16" i="20"/>
  <c r="U16" i="20" s="1"/>
  <c r="T16" i="20"/>
  <c r="P16" i="20"/>
  <c r="Z16" i="20" s="1"/>
  <c r="O16" i="20"/>
  <c r="Y16" i="20" s="1"/>
  <c r="N16" i="20"/>
  <c r="X16" i="20" s="1"/>
  <c r="AB12" i="20" l="1"/>
  <c r="AD12" i="20" s="1"/>
  <c r="Q12" i="20"/>
  <c r="S12" i="20" s="1"/>
  <c r="D7" i="21" s="1"/>
  <c r="F7" i="21" s="1"/>
  <c r="AB11" i="20"/>
  <c r="AD11" i="20" s="1"/>
  <c r="Q11" i="20"/>
  <c r="S11" i="20" s="1"/>
  <c r="D6" i="21" s="1"/>
  <c r="F6" i="21" s="1"/>
  <c r="Q16" i="20"/>
  <c r="S16" i="20" s="1"/>
  <c r="D11" i="21" s="1"/>
  <c r="F11" i="21" s="1"/>
  <c r="Q15" i="20"/>
  <c r="S15" i="20" s="1"/>
  <c r="D10" i="21" s="1"/>
  <c r="F10" i="21" s="1"/>
  <c r="AB13" i="20"/>
  <c r="AD13" i="20" s="1"/>
  <c r="Q14" i="20"/>
  <c r="S14" i="20" s="1"/>
  <c r="D9" i="21" s="1"/>
  <c r="F9" i="21" s="1"/>
  <c r="AB16" i="20"/>
  <c r="AD16" i="20" s="1"/>
  <c r="AB15" i="20"/>
  <c r="AD15" i="20" s="1"/>
  <c r="AB14" i="20"/>
  <c r="AD14" i="20" s="1"/>
  <c r="Q13" i="20"/>
  <c r="S13" i="20" s="1"/>
  <c r="D8" i="21" s="1"/>
  <c r="F8" i="21" s="1"/>
  <c r="F12" i="21" l="1"/>
  <c r="D16" i="30" s="1"/>
  <c r="D7" i="30" s="1"/>
  <c r="E16" i="30" l="1"/>
  <c r="E7" i="30" s="1"/>
  <c r="D15" i="30"/>
  <c r="D14" i="30" s="1"/>
  <c r="G9" i="19"/>
  <c r="G10" i="19" s="1"/>
  <c r="D12" i="30" s="1"/>
  <c r="C7" i="17"/>
  <c r="D7" i="17" s="1"/>
  <c r="D19" i="30" s="1"/>
  <c r="D18" i="30" s="1"/>
  <c r="D6" i="17"/>
  <c r="F16" i="30" l="1"/>
  <c r="F7" i="30" s="1"/>
  <c r="E15" i="30"/>
  <c r="E14" i="30" s="1"/>
  <c r="G9" i="18"/>
  <c r="G10" i="18" s="1"/>
  <c r="D11" i="30" s="1"/>
  <c r="D9" i="30" s="1"/>
  <c r="C7" i="12"/>
  <c r="E7" i="12" s="1"/>
  <c r="F7" i="12" s="1"/>
  <c r="C6" i="12"/>
  <c r="E6" i="12" s="1"/>
  <c r="F6" i="12" s="1"/>
  <c r="C5" i="12"/>
  <c r="E5" i="12" s="1"/>
  <c r="F5" i="12" s="1"/>
  <c r="F15" i="30" l="1"/>
  <c r="F14" i="30" s="1"/>
  <c r="G16" i="30"/>
  <c r="G7" i="30" s="1"/>
  <c r="D36" i="30"/>
  <c r="D35" i="30" l="1"/>
  <c r="G15" i="30"/>
  <c r="G14" i="30" s="1"/>
  <c r="C12" i="14"/>
  <c r="F8" i="11"/>
  <c r="G8" i="11" s="1"/>
  <c r="F9" i="11"/>
  <c r="G9" i="11" s="1"/>
  <c r="F10" i="11"/>
  <c r="G10" i="11" s="1"/>
  <c r="F11" i="11"/>
  <c r="G11" i="11" s="1"/>
  <c r="F12" i="11"/>
  <c r="G12" i="11" s="1"/>
  <c r="F13" i="11"/>
  <c r="G13" i="11" s="1"/>
  <c r="F7" i="11"/>
  <c r="G7" i="11" s="1"/>
  <c r="E11" i="10"/>
  <c r="E12" i="10" s="1"/>
  <c r="E15" i="6"/>
  <c r="E16" i="6" s="1"/>
  <c r="F15" i="6"/>
  <c r="F16" i="6" s="1"/>
  <c r="E8" i="6"/>
  <c r="E10" i="6" s="1"/>
  <c r="F8" i="6"/>
  <c r="F10" i="6" s="1"/>
  <c r="D8" i="6"/>
  <c r="D10" i="6" s="1"/>
  <c r="G6" i="8"/>
  <c r="G8" i="8" s="1"/>
  <c r="G11" i="8" s="1"/>
  <c r="G12" i="8" s="1"/>
  <c r="F6" i="8"/>
  <c r="F8" i="8" s="1"/>
  <c r="F11" i="8" s="1"/>
  <c r="F12" i="8" s="1"/>
  <c r="E6" i="8"/>
  <c r="E8" i="8" s="1"/>
  <c r="E11" i="8" s="1"/>
  <c r="E12" i="8" s="1"/>
  <c r="E9" i="7"/>
  <c r="E10" i="7" s="1"/>
  <c r="D9" i="7"/>
  <c r="D10" i="7" s="1"/>
  <c r="C9" i="7"/>
  <c r="C10" i="7" s="1"/>
  <c r="D15" i="6"/>
  <c r="D16" i="6" s="1"/>
  <c r="F12" i="6"/>
  <c r="F13" i="6" s="1"/>
  <c r="E12" i="6"/>
  <c r="E13" i="6" s="1"/>
  <c r="D12" i="6"/>
  <c r="D13" i="6" s="1"/>
  <c r="F7" i="6"/>
  <c r="E7" i="6"/>
  <c r="D7" i="6"/>
  <c r="F36" i="30" l="1"/>
  <c r="E35" i="30"/>
  <c r="C5" i="14"/>
  <c r="C4" i="14" s="1"/>
  <c r="C23" i="14" s="1"/>
  <c r="G6" i="11"/>
  <c r="G16" i="11" s="1"/>
  <c r="G17" i="11" s="1"/>
  <c r="D24" i="30" s="1"/>
  <c r="D18" i="6"/>
  <c r="D21" i="6" s="1"/>
  <c r="D22" i="6" s="1"/>
  <c r="F18" i="6"/>
  <c r="F21" i="6" s="1"/>
  <c r="F22" i="6" s="1"/>
  <c r="E18" i="6"/>
  <c r="E21" i="6" s="1"/>
  <c r="E22" i="6" s="1"/>
  <c r="F7" i="5"/>
  <c r="F9" i="5" s="1"/>
  <c r="D5" i="4"/>
  <c r="H5" i="4" s="1"/>
  <c r="I16" i="3"/>
  <c r="I17" i="3" s="1"/>
  <c r="I18" i="3" s="1"/>
  <c r="I20" i="3" s="1"/>
  <c r="H15" i="3"/>
  <c r="H5" i="3"/>
  <c r="H6" i="3" s="1"/>
  <c r="D21" i="30" l="1"/>
  <c r="D26" i="30"/>
  <c r="F35" i="30"/>
  <c r="G36" i="30"/>
  <c r="G35" i="30" s="1"/>
  <c r="H8" i="3"/>
  <c r="D30" i="30" s="1"/>
  <c r="D8" i="30" s="1"/>
  <c r="D23" i="30"/>
  <c r="D32" i="30"/>
  <c r="H6" i="4"/>
  <c r="H17" i="3"/>
  <c r="H18" i="3" s="1"/>
  <c r="H20" i="3" s="1"/>
  <c r="D20" i="30" l="1"/>
  <c r="E22" i="30"/>
  <c r="F22" i="30" s="1"/>
  <c r="H7" i="4"/>
  <c r="H8" i="4" s="1"/>
  <c r="H10" i="4" s="1"/>
  <c r="D31" i="30"/>
  <c r="D25" i="30"/>
  <c r="E25" i="30"/>
  <c r="F26" i="30"/>
  <c r="E21" i="30" l="1"/>
  <c r="E20" i="30" s="1"/>
  <c r="D17" i="30"/>
  <c r="E29" i="30"/>
  <c r="E6" i="30" s="1"/>
  <c r="D29" i="30"/>
  <c r="D28" i="30" s="1"/>
  <c r="D27" i="30" s="1"/>
  <c r="E17" i="30"/>
  <c r="G26" i="30"/>
  <c r="F25" i="30"/>
  <c r="F21" i="30"/>
  <c r="F20" i="30" s="1"/>
  <c r="G22" i="30"/>
  <c r="G21" i="30" s="1"/>
  <c r="G20" i="30" s="1"/>
  <c r="E28" i="30"/>
  <c r="D4" i="30" l="1"/>
  <c r="F17" i="30"/>
  <c r="D6" i="30"/>
  <c r="F29" i="30"/>
  <c r="F6" i="30" s="1"/>
  <c r="E4" i="30"/>
  <c r="G25" i="30"/>
  <c r="G17" i="30" s="1"/>
  <c r="G29" i="30" l="1"/>
  <c r="G28" i="30" s="1"/>
  <c r="G4" i="30" s="1"/>
  <c r="F28" i="30"/>
  <c r="F4" i="30" s="1"/>
  <c r="G6" i="30" l="1"/>
</calcChain>
</file>

<file path=xl/sharedStrings.xml><?xml version="1.0" encoding="utf-8"?>
<sst xmlns="http://schemas.openxmlformats.org/spreadsheetml/2006/main" count="730" uniqueCount="468">
  <si>
    <t>Pasākuma nosaukums</t>
  </si>
  <si>
    <t>Programma/apakšprogramma</t>
  </si>
  <si>
    <t>2024.g.</t>
  </si>
  <si>
    <t>2025.g</t>
  </si>
  <si>
    <t>2026.g</t>
  </si>
  <si>
    <t>Turpmāk ik gadu
(ja pasākums nav terminēts)</t>
  </si>
  <si>
    <t>39.06.00.</t>
  </si>
  <si>
    <t>45.01.00.</t>
  </si>
  <si>
    <t>39.04.00.</t>
  </si>
  <si>
    <t>Informācijas komunikācijas tehnoloģiju un vienotās veselības nozares elektroniskās informācijas sistēmas (e-veselības) uzturēšana un nepārtrauktas darbības nodrošināšana</t>
  </si>
  <si>
    <t>Nodrošināt un attīstīt sniegtos RPNC pakalpojumus atbilstoši augsti specializētas slimnīcas standartiem, kā arī pielāgotu slimnīcas telpas jaunajām epidemioloģiskajām prasībām, nepieciešams modernizēt un paplašināt RPNC infrastruktūru</t>
  </si>
  <si>
    <t>Automašīnu iegāde</t>
  </si>
  <si>
    <t>Gāzes hromatogrāfa iegādei</t>
  </si>
  <si>
    <t>Vispārējo nosūtījumu funkcionalitātes pilnveide e-veselībā</t>
  </si>
  <si>
    <t>KOPĀ:</t>
  </si>
  <si>
    <t>Nodaļa</t>
  </si>
  <si>
    <t>Papildu nepieciešamais finansējums atzinuma tehniskā palīglīdzekļa saņemšanas pilnveidošanai</t>
  </si>
  <si>
    <t>Nr.p.k.</t>
  </si>
  <si>
    <t>Nosaukums</t>
  </si>
  <si>
    <t>Precizēts apraksts</t>
  </si>
  <si>
    <t>Vienību skaits</t>
  </si>
  <si>
    <t>Vienību nosaukums</t>
  </si>
  <si>
    <t>Vienības cena</t>
  </si>
  <si>
    <t>EKK</t>
  </si>
  <si>
    <t xml:space="preserve"> Papildu nepieciešamais finansējums 2024.gadam EUR</t>
  </si>
  <si>
    <t>Pielāgošanas/ izstrādes izmaksas</t>
  </si>
  <si>
    <t>Atzinuma tehniskā palīglīdzekļa saņemšanai pilnveidošana - papildināšana ar diviem laukiem: izskatīšanas steidzamība un steidzamības iemesls.
Novērtējumā iekļauts: izmaiņu izstrāde e-veselības sistēmā, t.sk., portālā un atbalsts ĀI IS integrācijām, risinājuma dokumentēšana</t>
  </si>
  <si>
    <t>Cilvēkstunda</t>
  </si>
  <si>
    <t>Kopā bez PVN:</t>
  </si>
  <si>
    <t>Kopā ar PVN:</t>
  </si>
  <si>
    <t xml:space="preserve">t.sk., pa EKK </t>
  </si>
  <si>
    <t>EKK 5000</t>
  </si>
  <si>
    <t>Papildu nepieciešamais finansējums atzinuma tehniskā palīglīdzekļa saņemšanas uzturēšanai</t>
  </si>
  <si>
    <t xml:space="preserve"> Papildu nepieciešamais finansējums 2024.gadam, EUR</t>
  </si>
  <si>
    <t xml:space="preserve"> Papildu nepieciešamais finansējums 2025.gadam un turpmāk ik gadu, EUR</t>
  </si>
  <si>
    <t>Uzturēšanas izmaksas</t>
  </si>
  <si>
    <t>Atzinuma tehniskā palīglīdzekļa uzturēšanas nodrošināšanai 2024 gada sešiem mēnešiem</t>
  </si>
  <si>
    <t>Mēneša uzturēšanas izmaksas</t>
  </si>
  <si>
    <t>-</t>
  </si>
  <si>
    <t>Atzinuma tehniskā palīglīdzekļa uzturēšanas nodrošināšanai 2025 gada un turpmākajiem gadiem</t>
  </si>
  <si>
    <t>Kopā:</t>
  </si>
  <si>
    <t>EKK 2000</t>
  </si>
  <si>
    <t>Papildus nepieciešamais finansējums Laboratorisko izmeklējumu pārvaldības moduļa un Vēža pacienta kartes darbības nodrošināšanai</t>
  </si>
  <si>
    <t xml:space="preserve"> Papildu nepieciešamais finansējums 2024.gadamun turpmāk ik gadu, EUR</t>
  </si>
  <si>
    <t>Ekspertu pakalpojumi</t>
  </si>
  <si>
    <t>Ekspertiem jānodrošina sekojošais:
1.1. koordinēt un uzraudzīt pacientu pamatdatu un laboratorisko izmeklējumu datu elektronisko apmaiņu ar ārstniecības iestāžu un laboratoriju informācijas sistēmām (turpmāk – IS);
1.2. nodrošināt savietojamību ar ārstniecības iestāžu un laboratoriju IS;
1.3. nodrošināt izmaiņu vadību un sadarbību ar ārstniecības iestāžu un laboratoriju IS izstrādātājiem un ārstniecības iestāžu pilnvarotajām personām par plānotajām un ieviestajām izmaiņām un risinājumu funkcionalitātēm;
1.4. nodrošināt un organizēt medicīnas laboratoriju novērojumu identificēšanas nosaukumu un kodu klasifikatoru (turpmāk – LOINC klasifikators) karšu izmaiņu realizāciju un atjaunošanu saskaņā ar HL7 FHIR standartu;
1.5. vadīt un veikt problēmu risināšanu, kas saistīta ar datu apmaiņas nodrošināšanu; 
1.6. vadīt uzturēšanu, papildināšanu un izmaiņu veikšanu;
1.7. sniegt lietotājiem pirmā līmeņa konsultatīvo un tehnisko atbalstu;
1.8. pārraudzīt jaunu integrācijas risinājumu pieslēgšanu, nodrošinot testēšanu un pakalpojuma juridisko atšķirību salāgošanu;
1.9  koordinēt starpresoru jautājumu risināšanu, kas attiecas uz nepieciešamo klasifikatoru un klasifikāciju uzturēšanu;
1.10. koordinēt ārstniecības iestāžu/laboratoriju IS izstrādātāju atbalstu integrāciju nodrošināšanai;
1.11 koordinēt LOINC klasifikatoru standartizēšanu un kartēšanas rezultātu saskaņošanu;
1.12 nodrošināt IS un IKT infrastruktūras pārraudzību, administrēšanu un darbību.</t>
  </si>
  <si>
    <t>Stundas</t>
  </si>
  <si>
    <t>Papildu nepieciešamais finansējuma apjoms jaunas DigiVes funkcionalitātes ieviešanai 2024.gadā</t>
  </si>
  <si>
    <t xml:space="preserve"> Papildu nepieciešamais finansējums 2024.gadam</t>
  </si>
  <si>
    <t>E-nosūtījumu (amb. un stac.) funkcionalitātes izstrāde un ieviešana</t>
  </si>
  <si>
    <t>cilvēkstundas</t>
  </si>
  <si>
    <t>Izdevumu pozīcija</t>
  </si>
  <si>
    <t>Izmaksas NMPD darbinieku psiholoģiskās rehabilitācijas nodrošināšanai</t>
  </si>
  <si>
    <t>2026 un turpmāk ik gadu</t>
  </si>
  <si>
    <t>Ceļa izdevumi</t>
  </si>
  <si>
    <t>Darbinieku skaits</t>
  </si>
  <si>
    <t>Kopā, EUR</t>
  </si>
  <si>
    <t>Dienas nauda LV</t>
  </si>
  <si>
    <t>Dienu skaits</t>
  </si>
  <si>
    <t>Dienas nauda par vienu dienu EUR</t>
  </si>
  <si>
    <t>Kopā EUR</t>
  </si>
  <si>
    <t>Viesnīcas izmaksas divistabu numuriņā</t>
  </si>
  <si>
    <t>Izmaksas vienai diennaktij vienam cilvēkam, EUR (ar 12%PVN)</t>
  </si>
  <si>
    <t>Par 5 diennaktīm vienam cilvēkam, EUR</t>
  </si>
  <si>
    <t>Izmaksas par Psiholoģiskā atbalsta kursa  apmācībām</t>
  </si>
  <si>
    <t>Vienam cilvēkam par 1dienu, EUR</t>
  </si>
  <si>
    <t>Par 5 dienām vienam cilvēkam, EUR</t>
  </si>
  <si>
    <t>Visas izmaksas kopā, EUR</t>
  </si>
  <si>
    <t>Kopā izdevumi</t>
  </si>
  <si>
    <t>Preces un pakalpojumi</t>
  </si>
  <si>
    <t>Kopā (EUR)</t>
  </si>
  <si>
    <t xml:space="preserve">Papildus apmācība OMT vadītājiem drošā transportlīdzekļu vadīšanā </t>
  </si>
  <si>
    <t>Apmācāmo darbinieku skaits 2024. gadā</t>
  </si>
  <si>
    <t xml:space="preserve"> Kopā 2024. gadā ar PVN, EUR</t>
  </si>
  <si>
    <t>Apmācāmo darbinieku skaits 2025. gadā</t>
  </si>
  <si>
    <t xml:space="preserve"> Kopā 2025. gadā ar PVN, EUR</t>
  </si>
  <si>
    <t>Apmācāmo darbinieku skaits 2026. gadā</t>
  </si>
  <si>
    <t xml:space="preserve"> Kopā 2026. gadā ar PVN, EUR</t>
  </si>
  <si>
    <t>NMPD Sevišķās lietvedības un kritiskās infrastruktūras objektu fiziskās apsardzes nodrošināšana</t>
  </si>
  <si>
    <t>N.p.k.</t>
  </si>
  <si>
    <t>Adrese</t>
  </si>
  <si>
    <t>Apsardzes pakalpojuma veids</t>
  </si>
  <si>
    <t>Rīga, Laktas iela 8 OVC ēka</t>
  </si>
  <si>
    <t>Fiziskās apsardzes sadārdzinājums (2 apsargi x 24 st.)</t>
  </si>
  <si>
    <t>OVC ēka Daugavpils, Siguldas iela 16A</t>
  </si>
  <si>
    <t>Fiziskā apsardze (2 apsargi x 24 st.)</t>
  </si>
  <si>
    <t>Kopā (EUR):</t>
  </si>
  <si>
    <t>33.18.00.</t>
  </si>
  <si>
    <t>33.17.00.</t>
  </si>
  <si>
    <t>39.03.00.</t>
  </si>
  <si>
    <t>NMPD darbinieku baloniņa nodrošināšana</t>
  </si>
  <si>
    <t>Brigāžu skaits</t>
  </si>
  <si>
    <t>Strūklas vai gēla tipa piparu baloniņš, cena Euro/gab.</t>
  </si>
  <si>
    <t>Kopā, Euro</t>
  </si>
  <si>
    <t>Izlietoto baloniņu aizvietošana 2 gadu laikā, 20%</t>
  </si>
  <si>
    <t>skaits</t>
  </si>
  <si>
    <t>cena bez PVN, EUR</t>
  </si>
  <si>
    <t>cena ar PVN, EUR</t>
  </si>
  <si>
    <t>Izmaksas kopā, EUR</t>
  </si>
  <si>
    <t>1 mēn.maksa</t>
  </si>
  <si>
    <t>NMPD darbinieku body kameras nodrošināšana</t>
  </si>
  <si>
    <t>2024.gadam</t>
  </si>
  <si>
    <t xml:space="preserve">Body kameras </t>
  </si>
  <si>
    <t>Straumēšanas programma</t>
  </si>
  <si>
    <t>Body kameras straumēšanas serviss</t>
  </si>
  <si>
    <t xml:space="preserve">Magnēta turētājs </t>
  </si>
  <si>
    <t>Dokstacija</t>
  </si>
  <si>
    <t xml:space="preserve">Disku masīvs video ieraktiem </t>
  </si>
  <si>
    <t xml:space="preserve">Mobilie sakari </t>
  </si>
  <si>
    <t>Piesaistām ekspertu skaits</t>
  </si>
  <si>
    <t>Stundu skaits mēnesī</t>
  </si>
  <si>
    <t>Izmaksas mēnesī vienam ekspertam, euro</t>
  </si>
  <si>
    <t>Izmaksas gadā vienam ekspertam, euro</t>
  </si>
  <si>
    <t>Vadlīniju izstrāde katrai diagnozei kompensējamo zāļu sarakstā iekļautajiem medikamentiem</t>
  </si>
  <si>
    <t>Kritēriju izstrāde (nenoklātās vajadzības, jauni medikamenti, jaunas diagnozes, kādi medikamenti kur trūkst, kādas līnijas nav noklātas ar terapiju)</t>
  </si>
  <si>
    <t>DRG eksperts (esošās sistēmas audits stacionāro ārstniecības veselības aprūpes iestāžu sniegto pakalpojumu uzskaitei)</t>
  </si>
  <si>
    <t>Serveru infrastruktūrai pakalpojuma īre LRVTC</t>
  </si>
  <si>
    <t>IT drošības pārvaldnieka pakalpojumi</t>
  </si>
  <si>
    <t xml:space="preserve">ugunsmūra uzturēšana </t>
  </si>
  <si>
    <t>Konsultācijas IT jautājumos</t>
  </si>
  <si>
    <t>Divfaktoru autentifikācijas risinājuma (vai analoga) ieviešana</t>
  </si>
  <si>
    <t>SOC SIEM (Datu drošības pārvaldnieks utt.)</t>
  </si>
  <si>
    <t>ESET Endpoint Antivīruss, ESET Endpoint Proptection, Licence</t>
  </si>
  <si>
    <t>Teamviewer u.c.</t>
  </si>
  <si>
    <t>Veem rezerves kopēšanas risinājums</t>
  </si>
  <si>
    <t>IT drošības audits TMEIS</t>
  </si>
  <si>
    <t>Papildus nepieciešamais finansējums 2024.gadam un turpmāk katru gadu</t>
  </si>
  <si>
    <t>Pozīcijas nosaukums</t>
  </si>
  <si>
    <t>Pamatojums nepieciešamībai</t>
  </si>
  <si>
    <t>1.2.</t>
  </si>
  <si>
    <t>1.3.</t>
  </si>
  <si>
    <t xml:space="preserve">Kritiski nepieciešamie pasākumi pamatfunkcijas uzturēšanai esošajā līmenī </t>
  </si>
  <si>
    <t>2.1.</t>
  </si>
  <si>
    <t>Izmeklējuma veikšana nāves cēloņa precizēšanai</t>
  </si>
  <si>
    <t>1) Papildus laboratoriskie izmeklējumi virusoloģiskai diagnostikai 3456 EUR. Izmeklējumi nepieciešami akūtu respiratoru vīrusu infekciju, t.sk. COVID-19 infekcijas, gripas, adenovīrusu u.c.  diagnostikai, precīzākai nāves cēloņa noteikšanai un diagnostiskai algoritma (nāves gadījumu pēc vakcinācijas pret COVID-19 izmeklēšanai) izpildei saskaņā ar vadlīnijās "Dzīvo personu un mirušo tiesu medicīniskā ekspertīze ietvaros" noteikto.
2) Autosiju materiāla imūnhistoķīmija (ar 6 stikliņiem) 9 000 EUR, aptuveni 100 gadījumi gadā. Mirušo cilvēku tiesu medicīniskās ekspertīzēs aksonālo bojājumu diagnostikai galvas traumu gadījumos (aptuveni 100 gadījumi gadā) nepieciešams izmantot papildizmeklējumu metodi – imūnhistoķīmisko morfoloģiskās izmeklēšanas metodi.
3) Mirušo cilvēku tiesu medicīniskās ekspertīzēs šautu ievainojumu, sprādziena traumas gadījumos, bojājumu un svešķermeņu identifikācijai mirušajiem ar vēlīnām pēcnāves un augstas temperatūras radītām pārmaiņām nepieciešams pielietot radioloģiskās  izmeklēšanas metodes  1830 EUR. Aptuveni 20-30 gadījumos gadā RTG izmeklējumus, no tiem aptuveni 15 gadījumos datortomogrāfijas izmeklējums.</t>
  </si>
  <si>
    <t>Dokumentu arhivēšanas pakalpojumi</t>
  </si>
  <si>
    <t>Dokumentu arhīvu pakalpojumu nodrošināšana, lai katru gadu varētu nodrošināt pastāvīgi un ilgstoši glabājamo dokumentu sakārtošana atbilstoši MK 06.11.2012. noteikumos Nr.748 “Dokumentu un arhīvu pārvaldības” 4.nodaļā noteiktām prasībām.</t>
  </si>
  <si>
    <t xml:space="preserve">Starplaboratoriju salīdzinošā testēšana atbilstoši akreditācijas standarta prasībām, GEDNAP 54.starptautiskais pārbaudes tests </t>
  </si>
  <si>
    <t>Divu starptautisko pārbaudes testu veikšana, atbilstoši standarta LVS EN ISO/IEC 17025:2017 „Testēšanas un kalibrēšanas laboratoriju kompetences vispārīgās prasības” prasībām, lai veiksmīgi izietu ikgadējo Latvijas Nacionālā akreditācijas biroja uzraudzību</t>
  </si>
  <si>
    <t>Latvijas audu bankas nodaļas atbilstības novērtēšana</t>
  </si>
  <si>
    <t>Atbilstoši MK 22.10.2013. noteikumos Nr. 1176 "Cilvēka audu un šūnu izmantošanas kārtība" noteiktajam Zāļu valsts aģentūra, kā audu centru un ieguves organizāciju uzraugošā iestāde veic Latvijas audu bankas nodaļas   atbilstības novērtēšana un darbības atbilstības uzraudzības pārbaudi, lai novērtētu tās atbilstību noteikumos noteiktajām prasībām. Izmaksas atbilstoši  Zāļu valsts aģentūras maksas pakalpojumu cenrādim</t>
  </si>
  <si>
    <t>Pamatfunkcijas uzturēšanai - reaģentu iegādes ekspertīžu un izpēšu nodrošināšanai</t>
  </si>
  <si>
    <t>Ekspertīžu un izpēšu funkcijas nodrošināšanai nepeiciešamo reaģentu iegādes, t.sk.laboratorijas instrumenti un laboratorijas trauki.</t>
  </si>
  <si>
    <t>Informācijas tehnoloģiju pakalpojumiem, sekmējot ekspertīžu izpildes operativitāti un uzlabojot darba efektivitāti, kā arī Centra informācijas tehnoloģijas uzlabošanai</t>
  </si>
  <si>
    <t xml:space="preserve">Atbilstoši VARAM izstrādātajam informatīvajam ziņojumam „Par valsts informācijas un komunikācijas tehnoloģiju resursu un kompetenču konsolidāciju” 5. punktu, nepieciešams Valsts tiesu medicīnas ekspertīzes informācijas sistēmu “Tiesu medicīnas ekspertīžu informācijas sistēma” iekļaut Valsts elektronisko sakaru pakalpojumu centra pakalpojumu izmantotāju sarakstā. Tāpēc tos, neatkarīgi no pārvaldes nozaru piederības, var nodrošināt specializēti kompetenču centri, un viens no šādiem kompetenču centriem ir Latvijas Valsts radio un televīzijas centrs, kurš valsts elektronisko sakaru pakalpojumu centra pakalpojumu ietvaros nodrošina arī rezerves kopiju glabāšanas pakalpojumu. Papildus ņemot vērā, ka tiesu medicīniskās ekspertīzes un izpētes dati ir ierobežotas pieejamības dati, kuriem ir jānodrošinās pret datu nozaudēšanu un vai pat pilnīgu izslēgšanu.  </t>
  </si>
  <si>
    <t>VTMEC drošības un datu tīkla nodrošināšana</t>
  </si>
  <si>
    <t>Nodrošināt modernus un galvenais drošus autetifikācijas mehānismus VTMEC. MK 442 ITK noteikumi paaugstinātas drošības IS šadu pieprasa. Kā arī vieksmīgi izveidots šāds risinājums dos ne tikai papildus drošību, bet arī vienkāršos lietotāju ikdienas darbu.</t>
  </si>
  <si>
    <t>Datu aizsardzības nodrošināšanai</t>
  </si>
  <si>
    <t>Darba drošibāi/uzlabošanai - pasargā gan no nejaušas, gan tīšas datu izdzēšanas, iekšējiem un ārējiem drošības draudiem, ļauj ērti atgriezt zudušos datus, nodrošina atbilstību juridiskajām prasībām, hibrīdu e-pasta pārvaldību, izvietošanu un migrēšanu .</t>
  </si>
  <si>
    <t>Paaugstinātas drošības sistēmām nepieciešams katru gadu veikt drošības auditu - MK 442 ITK noteikumi.</t>
  </si>
  <si>
    <t>Pavisam kopā</t>
  </si>
  <si>
    <t>Kopā</t>
  </si>
  <si>
    <t>Skaits</t>
  </si>
  <si>
    <t>Preparāta nosaukums</t>
  </si>
  <si>
    <t>Apjoms gadā  </t>
  </si>
  <si>
    <t>Cena eiro par litru ( bez PVN)</t>
  </si>
  <si>
    <t>Cena eiro par litru (ar PVN) </t>
  </si>
  <si>
    <t>Garantētais (esošais) apjoms gadā,  litri</t>
  </si>
  <si>
    <t>Minimālais nepieciešamais apjoms gadā,  litri</t>
  </si>
  <si>
    <t>Starpība starp esošo un minimāli nepieciešamo daudzumu </t>
  </si>
  <si>
    <r>
      <t>Cilvēka imūnglobulīns 5%</t>
    </r>
    <r>
      <rPr>
        <sz val="11"/>
        <color rgb="FF000000"/>
        <rFont val="Calibri"/>
        <family val="2"/>
        <charset val="186"/>
        <scheme val="minor"/>
      </rPr>
      <t> </t>
    </r>
  </si>
  <si>
    <t>Kopējā cena eiro (ar PVN) </t>
  </si>
  <si>
    <t>Daudzums</t>
  </si>
  <si>
    <t>Cena ar PVN</t>
  </si>
  <si>
    <t>7697A Headspace Sampler, 12 Vial</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</si>
  <si>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</si>
  <si>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</si>
  <si>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</si>
  <si>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</si>
  <si>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</si>
  <si>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</si>
  <si>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</si>
  <si>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</si>
  <si>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</si>
  <si>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</si>
  <si>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Manipulācijas kods</t>
  </si>
  <si>
    <t>Manipulācijas nosaukums</t>
  </si>
  <si>
    <t>Mainīgās izmaksas</t>
  </si>
  <si>
    <t>Kopējās izmaksas, euro</t>
  </si>
  <si>
    <t>Pacienta līdzmaksājums, euro</t>
  </si>
  <si>
    <t>Tarifs, euro</t>
  </si>
  <si>
    <t>Darba laiks (minūtes)</t>
  </si>
  <si>
    <t>Darba samaksa D, euro</t>
  </si>
  <si>
    <t>Valsts sociālās apdrošināšanas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</si>
  <si>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</si>
  <si>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</si>
  <si>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</si>
  <si>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</si>
  <si>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</si>
  <si>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</si>
  <si>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</si>
  <si>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</si>
  <si>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</si>
  <si>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</si>
  <si>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</si>
  <si>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</si>
  <si>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</si>
  <si>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D</t>
  </si>
  <si>
    <t>S</t>
  </si>
  <si>
    <t>M</t>
  </si>
  <si>
    <t>E</t>
  </si>
  <si>
    <t>U</t>
  </si>
  <si>
    <t>A</t>
  </si>
  <si>
    <t>N</t>
  </si>
  <si>
    <t>P</t>
  </si>
  <si>
    <t>Kopējās izmaksas</t>
  </si>
  <si>
    <t>Pacienta līdzmaksājums</t>
  </si>
  <si>
    <t>Tarifs</t>
  </si>
  <si>
    <t>10 = 11 + 12</t>
  </si>
  <si>
    <t>JAUNS</t>
  </si>
  <si>
    <t>Piemaksa par spinālas deformācijas intraoperatīvu monitorēšanu</t>
  </si>
  <si>
    <t>Piemaksa par skrūvju ievietošanas intraoperatīvo monitorēšanu</t>
  </si>
  <si>
    <t>Piemaksa par kraniālo nervu monitorēšanu</t>
  </si>
  <si>
    <t>Piemaksa par introoperatīvo kontrastvielu un tās ievadīšanu</t>
  </si>
  <si>
    <t>Piemaksa par intraoperatīvo motoro mapēšanu</t>
  </si>
  <si>
    <t>Piemaksa par intramodulārā tumora monitorēšanu</t>
  </si>
  <si>
    <t>Pacientu skaits</t>
  </si>
  <si>
    <t>FI (stacionāri) papildu nepieciešams 2024.gadam un turpmāk ik gadu, euro</t>
  </si>
  <si>
    <t xml:space="preserve">Intraoperatīvās monitorēšanas manipulāciju iekļaušanu no valsts budžeta apmaksājamo pakalpojumu klāstā </t>
  </si>
  <si>
    <t>Autobusa biļešu cena 1 virzienam (līdz Dzintariem) EUR (ar PVN)</t>
  </si>
  <si>
    <t>EKK2000</t>
  </si>
  <si>
    <t>EKK3000</t>
  </si>
  <si>
    <t>EKK5000</t>
  </si>
  <si>
    <t>Mikroautobusa iegāde</t>
  </si>
  <si>
    <t>Apraksts</t>
  </si>
  <si>
    <t>Vienības cenas ieskaitot PVN</t>
  </si>
  <si>
    <t>Summa ieskaitot PVN</t>
  </si>
  <si>
    <t>Funkcionālās gultas nodaļām</t>
  </si>
  <si>
    <t>Stacionāra nodaļas</t>
  </si>
  <si>
    <t>Transkraniālā magnētiskās stimulācijas iekārta (neinvazīva psihisku un neiroloģisku saslimšanu ārstēšanas metode)</t>
  </si>
  <si>
    <t>Stacionārs</t>
  </si>
  <si>
    <t>Trenažieri rehabilitācijas nodrošināšanai</t>
  </si>
  <si>
    <t>Rehabilitācijas nodaļa</t>
  </si>
  <si>
    <t>Informatīvie tablo klientu apkalpošanai jaunajā ambulatorā centrā un vienas pieturas aģentūrā</t>
  </si>
  <si>
    <t>Jaunais ambulatorais centrs, renovētie vēsturiskie korpusi</t>
  </si>
  <si>
    <t>Planšetes darbas ar slimnīcas informācijas sistēmu (digitalizācijas procesa ietvaros), rehabilitācijai pacientiem</t>
  </si>
  <si>
    <t>Multifunkcionālie procedūru galdi</t>
  </si>
  <si>
    <t>Elektriskie sēdrati</t>
  </si>
  <si>
    <t>Uzņemšana (pacientu ar kustības traucējumiem transportēšana uz nodaļām)</t>
  </si>
  <si>
    <t>Mobilie baktericīdie caurplūdes gaisa recirkulātori</t>
  </si>
  <si>
    <t xml:space="preserve">Pacēlāji geriatrijas pacientiem </t>
  </si>
  <si>
    <t>Geriatrija</t>
  </si>
  <si>
    <t>Rehabilitācijas iekārta, multisensorā relaksācija</t>
  </si>
  <si>
    <t>Dezinfekcijas iekārtas pacientu aprūpes iekārtām (pīles, urīntrauki, šīberi)</t>
  </si>
  <si>
    <t>Kardiogrāfs uzņemšanas nodaļai</t>
  </si>
  <si>
    <t>Uzņemšana</t>
  </si>
  <si>
    <t>Alkometri</t>
  </si>
  <si>
    <t>Konteineri izlietotajām autiņbiksēm geriatrijas nodaļās</t>
  </si>
  <si>
    <t>KOPĀ</t>
  </si>
  <si>
    <t>N.P.K.</t>
  </si>
  <si>
    <t>1.1.</t>
  </si>
  <si>
    <t>3.3.</t>
  </si>
  <si>
    <t xml:space="preserve"> Apmācības kursa cena 1 cilvēkam, EUR t.sk. PVN*</t>
  </si>
  <si>
    <t>*indikatīva cena</t>
  </si>
  <si>
    <t>Ieviešanas izmaksas kopā*:</t>
  </si>
  <si>
    <t>*indikatīvas cenas</t>
  </si>
  <si>
    <t>NMPD brigāžu personāla drošības nodrošināšanai izsaukumu laikā</t>
  </si>
  <si>
    <t>RPNC pakalpojumu nepārtrauktības nodrošināšanai, kā arī to stratēģisko mērķu sasniegšanai</t>
  </si>
  <si>
    <t>3.1.</t>
  </si>
  <si>
    <t>3.2.</t>
  </si>
  <si>
    <t>4.1.</t>
  </si>
  <si>
    <t>VADC plazmas preparāta nodrošināšana</t>
  </si>
  <si>
    <t>Jaunu manipulāciju iekļaušana valsts apmaksāto pakalpojumu klāstā</t>
  </si>
  <si>
    <t>Pasākums</t>
  </si>
  <si>
    <t>2024.gads, euro</t>
  </si>
  <si>
    <t>Nacionālā veselības dienesta informācijas sistēmās "Vienotā veselības nozares informācijas sistēma (VVIS)", "Veselības aprūpes pakalpojumu apmaksas norēķinu sistēma „Vadības informācijas sistēma” (VIS)" un "Kompensējamo zāļu reģistrācijas un uzskaites informācijas sistēma (KZRU)" izmaiņu izstrāde, ieviešana un uzturēšana</t>
  </si>
  <si>
    <t>NMPD pasākumu īstenošanai</t>
  </si>
  <si>
    <t>VTMEC nepārtrauktības nodrošināšanai</t>
  </si>
  <si>
    <t xml:space="preserve">NMPD nepārtrauktības nodrošināšanai </t>
  </si>
  <si>
    <t>Nacionālā veselības dienesta informācijas sistēmas "Vienotā veselības nozares infor-mācijas sistēma (VVIS)", "Veselības aprūpes pakalpojumu apmaksas norēķinu sistēma "Vadības informācijas sistēma" (VIS)" un "Kompensējamo zāļu reģistrācijas un uzskaites informācijas sistēma (KZRU)" pielāgošana</t>
  </si>
  <si>
    <t>SPOLIS 2 papildu funkciju ieviešanai+Laboratorisko izmeklējumu pārvaldības moduļa un Vēža pacienta kartes darbību</t>
  </si>
  <si>
    <t>VADC plazmas preparāta nodrošināšanai papildus nepieciešamais finansējums 2024. gadam</t>
  </si>
  <si>
    <t>Papildus nepieciešamais finansējums RNPC papildu aprīkojuma iegādes nodrošināšanai 2024. gadam</t>
  </si>
  <si>
    <t>Papildus nepieciešamais finnasējums RNPC mikroautobusa iegādei, lai  nodrošinātu mobilās komandas - pacientu ambulatorās ārstēšanas īstenošanu dzīves vietā 2024. gadā</t>
  </si>
  <si>
    <t>Papildus nepieciešamasi finansējums RNPC pilnīgu gāzes hromatogrāfa iekārtas iegādes nodrošināšanai 2024. gadā</t>
  </si>
  <si>
    <t>Papildus nepieciešamais finnasējums intraoperatīvās monitorēšanas manipulāciju iekļaušanai no valsts budžeta apmaksājamo pakalpojumu klāstā 2024. gadam un turpmāk ik gadu</t>
  </si>
  <si>
    <t>16 stundas mēnesī, 1 stundas likme apmēram 60.50 EUR, gadā 11 616 EUR. Centram ir tikai 1 darbinieks, kas nodrošina IT funkciju. Lai pēc iespējas operatīvāk nodrošinātu IT funkcijas nepārtrauktību, VTMEC plāno piesaistīt ārpakalpojumu.</t>
  </si>
  <si>
    <t>Lai nodrošinātu MK noteikumu Nr. 442 izpildi - paaugstinātas drošības sistēmām. VTMEC nepieciešams SOC/SIEM rīks un licences, kā arī IT drošības pārvaldnieks (plānots piesaistīt ārpakalpojumu, kuru organizē NVD centralizētu iepirkumu).</t>
  </si>
  <si>
    <t>Kvalitātes pakalpojuma uzlabošana</t>
  </si>
  <si>
    <t>4.4.</t>
  </si>
  <si>
    <t>3.2.1.</t>
  </si>
  <si>
    <t>3.2.2.</t>
  </si>
  <si>
    <t>4.2.</t>
  </si>
  <si>
    <t>4.3.</t>
  </si>
  <si>
    <t>Nozares kapacitātes veicināšana (VTMEC pakalpojumi, NMPD pasākumi)</t>
  </si>
  <si>
    <t>Pielikums Nr.2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</si>
  <si>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Nr.3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</si>
  <si>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Nr.4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</si>
  <si>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Nr.5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</si>
  <si>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Nr.6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</si>
  <si>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Nr.7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</si>
  <si>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Nr.8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</si>
  <si>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Nr.9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</si>
  <si>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Nr.10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</si>
  <si>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Nr.11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</si>
  <si>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Nr.12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</si>
  <si>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Nr.13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</si>
  <si>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Nr.14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</si>
  <si>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Nr.15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</si>
  <si>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Nr.16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</si>
  <si>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Nr.17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</si>
  <si>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Nr.18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</si>
  <si>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Nr.19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</si>
  <si>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Nr.20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</si>
  <si>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Pielikums Nr.21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</si>
  <si>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Stundas izmaksa, euro*</t>
  </si>
  <si>
    <t>4.5.</t>
  </si>
  <si>
    <t>EKK1000</t>
  </si>
  <si>
    <t>Amats</t>
  </si>
  <si>
    <t>Slodžu skaits</t>
  </si>
  <si>
    <t>Saime (apakšsaime)</t>
  </si>
  <si>
    <t>Līmenis</t>
  </si>
  <si>
    <t>Mēnešalgu grupa</t>
  </si>
  <si>
    <t>Amata vietai plānotā  mēnešalga*</t>
  </si>
  <si>
    <t>Sociālā garantija 5%</t>
  </si>
  <si>
    <t>Valsts sociālās apdrošināšanas obligātās iemaksas, 23.59%</t>
  </si>
  <si>
    <t>Kopā mēnesī</t>
  </si>
  <si>
    <t xml:space="preserve">Kopā 12 mēnešiem </t>
  </si>
  <si>
    <t>Kopā 12 mēnešiem (1100)</t>
  </si>
  <si>
    <t>Kopā 12 mēnešiem (1200)</t>
  </si>
  <si>
    <t xml:space="preserve">KOPĀ atlīdzībai </t>
  </si>
  <si>
    <t>7=6*5%</t>
  </si>
  <si>
    <t>10=(6+7+8+9)*23.59%</t>
  </si>
  <si>
    <t>11=6+7+8+10+11</t>
  </si>
  <si>
    <t>16=13+14+15</t>
  </si>
  <si>
    <t xml:space="preserve">Projektu vadītājs </t>
  </si>
  <si>
    <t>IV B</t>
  </si>
  <si>
    <t>Vecākais informācijas sistēmu administrators</t>
  </si>
  <si>
    <t>V</t>
  </si>
  <si>
    <t>Vecākais eksperts</t>
  </si>
  <si>
    <t>III</t>
  </si>
  <si>
    <t>KOPÄ:</t>
  </si>
  <si>
    <t>* par pamatu tika ņemta bāzes alga 2024.gadam</t>
  </si>
  <si>
    <t>Piemaksa (5%)</t>
  </si>
  <si>
    <t>Nepieciešamā finansējuma aprēķins atlīdzībai 2024.gadam</t>
  </si>
  <si>
    <t>Nepieciešamā finansējuma aprēķins atlīdzībai 2025.gadam un turpmāk ik gadu</t>
  </si>
  <si>
    <t xml:space="preserve">Kopā 9 mēnešiem </t>
  </si>
  <si>
    <t>Kopā 9 mēnešiem (1100)</t>
  </si>
  <si>
    <t>Kopā 9 mēnešiem (1200)</t>
  </si>
  <si>
    <t>12=11*9 mēn.</t>
  </si>
  <si>
    <t>13=(6+7+8)*9 mēn</t>
  </si>
  <si>
    <t>14=(9+10)* 9 mēn</t>
  </si>
  <si>
    <t>E-veselības kontaktpunktu datu pārrobežu nodrošināšana</t>
  </si>
  <si>
    <t>Pielikums Nr.22
Ministru kabineta rīkojuma projekts “Par finanšu līdzekļu apropriācijas pārdali no budžeta resora "74. Gadskārtējā valsts budžeta izpildes procesā pārdalāmais finansējums" 20.00.00 programmas "Veselības aprūpes pasākumu īstenošana"” sākotnējās ietekmes novērtējuma ziņojumam (anotācijai)</t>
  </si>
  <si>
    <t>* cena ir atbilstoši esošajai tirgus situācijai, kā arī atbilstoša noslēgtajiem līgumiem par informācijas sistēmas attīstību un uzturēšanu</t>
  </si>
  <si>
    <t>Pilotprojekta mākslīgā intelekta tehnoloģiju attīstībai nepieciešamais finansējums</t>
  </si>
  <si>
    <t>Papildus nepieciešams finansējums 2024.gadā, euro</t>
  </si>
  <si>
    <t>Analīžu datu sagatavošana un apstrāde ar MI rīkiem</t>
  </si>
  <si>
    <t>Gab</t>
  </si>
  <si>
    <t>Funkcionalitātes pielāgošana pilotprojekta vajadzībām</t>
  </si>
  <si>
    <t>Cilvēkstundas</t>
  </si>
  <si>
    <t>Mērvienība</t>
  </si>
  <si>
    <t>Maksājums ģimenes ārstiem par piedalīšanos projektā</t>
  </si>
  <si>
    <t>Cena par vienu vienību (bez PVN)</t>
  </si>
  <si>
    <t>PVN:</t>
  </si>
  <si>
    <t>KOPĀ ar PVN:</t>
  </si>
  <si>
    <t>4.6.</t>
  </si>
  <si>
    <t>PVN</t>
  </si>
  <si>
    <t>Vienības cena (bez PVN) *</t>
  </si>
  <si>
    <t>Kopā ar PVN</t>
  </si>
  <si>
    <t>Vienības cena (bez PVN)*</t>
  </si>
  <si>
    <t>Vienības cena (bez PVN)</t>
  </si>
  <si>
    <t>Mākslīgā intelekta tehnoloģiju attīstība ģimenes ārstu praksēs (pilotprojekts)</t>
  </si>
  <si>
    <t>Paildus nepieciešamais finansējums, lai pielāgotu Nacionālā veselības dienesta informācijas sistēmas "Vienotā veselības nozares in-formācijas sistēma (VVIS)", "Veselības aprūpes pakalpojumu apmaksas norēķinu sistēma "Vadības informācijas sistēma" (VIS)" un "Kompensējamo zāļu reģistrācijas un uzskaites informācijas sistēma (KZRU)" 2024. gadam un turpmāk ik gadu</t>
  </si>
  <si>
    <t>2025.gad, euro</t>
  </si>
  <si>
    <r>
      <t xml:space="preserve">NVD Informācijas sistēmās "Vienotā veselības nozares informācijas sistēma (VVIS)", "Veselības aprūpes pakalpojumu apmaksas norēķinu sistēma „Vadības informācijas sistēma” (VIS)" un "Kompensējamo zāļu reģistrācijas un uzskaites informācijas sistēma (KZRU)" izmaiņu izstrādei un ieviešanai </t>
    </r>
    <r>
      <rPr>
        <b/>
        <sz val="12"/>
        <rFont val="Times New Roman"/>
        <family val="1"/>
      </rPr>
      <t>2024.gadā</t>
    </r>
    <r>
      <rPr>
        <sz val="12"/>
        <rFont val="Times New Roman"/>
        <family val="1"/>
      </rPr>
      <t xml:space="preserve"> nepieciešams papildus finansējums 800 000 </t>
    </r>
    <r>
      <rPr>
        <i/>
        <sz val="12"/>
        <rFont val="Times New Roman"/>
        <family val="1"/>
      </rPr>
      <t>euro</t>
    </r>
    <r>
      <rPr>
        <sz val="12"/>
        <rFont val="Times New Roman"/>
        <family val="1"/>
      </rPr>
      <t xml:space="preserve"> (ar PVN), jeb 1 032 cilvēkdienas (vienas cilvēkdienas izmaksas 775 </t>
    </r>
    <r>
      <rPr>
        <i/>
        <sz val="12"/>
        <rFont val="Times New Roman"/>
        <family val="1"/>
      </rPr>
      <t>euro</t>
    </r>
    <r>
      <rPr>
        <sz val="12"/>
        <rFont val="Times New Roman"/>
        <family val="1"/>
      </rPr>
      <t xml:space="preserve">), ietverot pozīcijas:
1. M saraksta elektronizēšana VIS, VVIS, KZRU;
2. klasifikatoru izveidošana, servisu un algoritmu izstrāde VIS, VVIS, KZRU;
3. datu apmaiņas risinājuma ar ĀI IS izstrāde;
4. datu apmaiņu starp NVD IS (VVIS, VIS) izstrāde un automatizācija.
Izmaksu aprēķinā nav iekļauti izdevumi, lai šīm izmaiņām pielagotu ārstniecības iestāžu izmantotās informācijas sistēmas.
</t>
    </r>
    <r>
      <rPr>
        <b/>
        <sz val="12"/>
        <rFont val="Times New Roman"/>
        <family val="1"/>
      </rPr>
      <t>2025.gadā un turpmākos gados</t>
    </r>
    <r>
      <rPr>
        <sz val="12"/>
        <rFont val="Times New Roman"/>
        <family val="1"/>
      </rPr>
      <t xml:space="preserve"> informācijas sistēmu uzturēšanai papildus ir nepieciešami 128 000 </t>
    </r>
    <r>
      <rPr>
        <i/>
        <sz val="12"/>
        <rFont val="Times New Roman"/>
        <family val="1"/>
      </rPr>
      <t>euro</t>
    </r>
    <r>
      <rPr>
        <sz val="12"/>
        <rFont val="Times New Roman"/>
        <family val="1"/>
      </rPr>
      <t xml:space="preserve"> ik gadu.</t>
    </r>
  </si>
  <si>
    <t>*stundas likme ārpakalpojumu ekspertiem tika noteikta pēc iepriekšējā gada NVD noslēgtā līguma “Par projekta vadības atbalsta pakalpojumu iegādi”, kā arī prognozētais izmaksu pieaugums 10% apmērā.</t>
  </si>
  <si>
    <t>EPIDEM uzturēšana</t>
  </si>
  <si>
    <t>4.7.</t>
  </si>
  <si>
    <t>EPIDEM infrastruktūras uzturēšana un funkcionalitātes paplašināšana 2024.gadā</t>
  </si>
  <si>
    <t>EPIDEM infrastruktūras uzturēšana 2024.gadā</t>
  </si>
  <si>
    <t>DC pakalpojums:</t>
  </si>
  <si>
    <t>Cena par vienību, bez PVN</t>
  </si>
  <si>
    <t>Ikmēneša abonēšanas maksa, bez PVN</t>
  </si>
  <si>
    <t>Ikmēneša abonēšanas maksa, ar PVN</t>
  </si>
  <si>
    <t>Virtuālo serveru jaudu pakalpojums, kodoli (PROD)</t>
  </si>
  <si>
    <t>vCPU, gab</t>
  </si>
  <si>
    <t>Virtuālo serveru jaudu pakalpojums, operatīvā atmiņa (PROD)</t>
  </si>
  <si>
    <t>RAM, 1GB</t>
  </si>
  <si>
    <t>Virtuālo serveru jaudu pakalpojums, diska vieta (PROD)</t>
  </si>
  <si>
    <t>SSD, 1TB</t>
  </si>
  <si>
    <t>Virtuālo serveru jaudu pakalpojums, kodoli (TEST)</t>
  </si>
  <si>
    <t>Virtuālo serveru jaudu pakalpojums, operatīvā atmiņa (TEST)</t>
  </si>
  <si>
    <t>Virtuālo serveru jaudu pakalpojums, diska vieta (TEST)</t>
  </si>
  <si>
    <t>Rezerves kopēšana:</t>
  </si>
  <si>
    <t>Mārvienība</t>
  </si>
  <si>
    <t>Cena EUR kopā mēnesī, bez PVN</t>
  </si>
  <si>
    <t>Cena EUR kopā mēnesī, ar PVN</t>
  </si>
  <si>
    <t>Datubāzes/aplikācijas rezerves kopēšanas aģents</t>
  </si>
  <si>
    <t>gab</t>
  </si>
  <si>
    <t>Operētājsistēmas/Failsistēmas rezerves kopēšanas aģents</t>
  </si>
  <si>
    <t>Virtuālā servera rezerves kopēšana aģents</t>
  </si>
  <si>
    <t>Datu glabātuve</t>
  </si>
  <si>
    <t>1TB</t>
  </si>
  <si>
    <t>Kiberdrošības pakalpojuma “Vairogs+” abonēšana</t>
  </si>
  <si>
    <t>Viss kopā eur bez PVN mēnesī:</t>
  </si>
  <si>
    <t>2024. gadā:</t>
  </si>
  <si>
    <t>Izmaiņas raksturojums</t>
  </si>
  <si>
    <t>Izmaksas 2024,gadam, EUR</t>
  </si>
  <si>
    <t>Darbietilpība, stundas</t>
  </si>
  <si>
    <t>Sutndas izmaksu likme, EUR</t>
  </si>
  <si>
    <t xml:space="preserve">NVD pilna piekļuve noliktavu datiem </t>
  </si>
  <si>
    <t>Datu sinhronizācija ar ārstniecības iestāžu reģistru – likvidēto iestāžu automātiska statusa nomaiņa EPIDEM sistēmā.</t>
  </si>
  <si>
    <t>Pasūtījumu konsolidācijas procesa papildināšana ar iespēju izslēgt atsevišķus ĀI iestāžu pasūtījumus no konkrētā apstrādes cikla (atgriezt pasūtījumu sagatavošanas stadijā iestādei vai SPKC)</t>
  </si>
  <si>
    <t>Pārskats par konkrētās iestādes vakcinācijas faktu automātiskās ielādes procesa rezultātu (ielādētie CDA dokumenti, ielādes statuss). Pārskats nepieciešams gan kā pārskats lietotāju saskarnē gan arī kā API attēlošanai e-veselības portālā un ārstniecības iestāžu informācijas sistēmās.</t>
  </si>
  <si>
    <t>Papildināt ārstniecības iestāžu API (pasūtījuma nolasīšana), lieltirgotavu API (transakciju atskaite) un lietotāja saskarni ar informāciju par pasūtījumam attiecinātajiem konkrētajiem piegādes dokumentiem.</t>
  </si>
  <si>
    <t>EPIDEM integrācija ar SFTP klasifikatoru failu publicēšanas mehānismu (pēc SFTP ieviešanas ražošanā).</t>
  </si>
  <si>
    <t>EPIDEM integrācija ar MS365 e-pastu izsūtīšanas mehānismu (aizvietojot esošo SMTP izsūtīšanas mehānismu)</t>
  </si>
  <si>
    <t>Ziņojumu moduļa šablonu izstrādes un korekcijas, ziņojumu moduļa ieviešana pasūtījumiem un vakcinācijas iestāžu apziņošanai.</t>
  </si>
  <si>
    <t>Papildus pasūtījumu pārbaužu (validāciju) izstrāde un ieviešana. Pārbaudes balstās uz iepriekšējo iestādes pasūtījumu un atlikumu vēsturi.</t>
  </si>
  <si>
    <t>Mehānisma izstrāde testa vides datu (produktu un sēriju klasifikatoru) aktualizācijai no ražošanas vides testēšanas vajadzībām (lieltirgotavu un ārstniecības iestāžu integratoru testi)</t>
  </si>
  <si>
    <t>Automātiska papildmateriālu pasūtījuma veidošana. Pasūtot noteikta veida vakcīnas sistēma pēc noteikta veida likumiem pievieno pasūtījumam dažādus nepieciešamos papildus materiālus (šļirces, šķīdinātāju un tml.)</t>
  </si>
  <si>
    <t>Atbalsts un konsultācijas integratoriem</t>
  </si>
  <si>
    <t>Konsultācijas SPKC, NVD, ZVA EPIDEM lietotājiem</t>
  </si>
  <si>
    <t>Izpētes rezultātā konstatēto uzlabojumu veikšana</t>
  </si>
  <si>
    <t>EPIDEM infrastruktūras uzturēšana un funkcionalitātes paplašināšana 2024.gadā kopā:</t>
  </si>
  <si>
    <t>EPIDEM infrastruktūras uzturēšana un funkcionalitātes paplašināšana 2025.gadā</t>
  </si>
  <si>
    <t>EPIDEM infrastruktūras uzturēšana 2025.gadā</t>
  </si>
  <si>
    <t>Oracle licences + 1 gada uzturēšana</t>
  </si>
  <si>
    <t>Gada maksa, bez PVN</t>
  </si>
  <si>
    <t>Gada maksa, ar PVN</t>
  </si>
  <si>
    <t>Oracle Database Standard Edition - Processor Perpetual</t>
  </si>
  <si>
    <t xml:space="preserve">Rezerves kopēšana : </t>
  </si>
  <si>
    <t>2025. gadā:</t>
  </si>
  <si>
    <t>Izmaksas 2025,gadam, EUR</t>
  </si>
  <si>
    <t>EPIDEM infrastruktūras uzturēšana un funkcionalitātes paplašināšana 2025.gadā kopā:</t>
  </si>
  <si>
    <t>EPIDEM infrastruktūras uzturēšana un funkcionalitātes paplašināšana 2026.gadā un turpmāk ik gadu</t>
  </si>
  <si>
    <t>EPIDEM infrastruktūras uzturēšana 2026.gadā un turpmāk ik gadu</t>
  </si>
  <si>
    <t>Oracle licences</t>
  </si>
  <si>
    <t>2026. gadā un turpmāk ik gadu:</t>
  </si>
  <si>
    <t>EPIDEM infrastruktūras funkcionalitātes paplašināšana 2026.gadā un turpmāk ik gadu</t>
  </si>
  <si>
    <t>Izmaksas 2026,gadam un turpmāk ik gadu, EUR</t>
  </si>
  <si>
    <t>EPIDEM infrastruktūras uzturēšana un funkcionalitātes paplašināšana 2026.gadā un turpmāk ik gadu kopā:</t>
  </si>
  <si>
    <t>EPIDEM infrastruktūras uzturēšana un funkcionalitātes paplašināšanai papildu nepieciešamais finansējums</t>
  </si>
  <si>
    <t>1.1.3</t>
  </si>
  <si>
    <t>1.1.4</t>
  </si>
  <si>
    <t>1.1.5</t>
  </si>
  <si>
    <t>1.1.6</t>
  </si>
  <si>
    <t>1.1.7</t>
  </si>
  <si>
    <t>1.1.8</t>
  </si>
  <si>
    <t>1.2.1</t>
  </si>
  <si>
    <t>1.2.2</t>
  </si>
  <si>
    <t>1.2.3</t>
  </si>
  <si>
    <t>1.2.4</t>
  </si>
  <si>
    <t>1.2.5</t>
  </si>
  <si>
    <t>1.2.6</t>
  </si>
  <si>
    <t>1.2.7</t>
  </si>
  <si>
    <t>1.2.8</t>
  </si>
  <si>
    <t>1.2.9</t>
  </si>
  <si>
    <t>1.2.10</t>
  </si>
  <si>
    <t>Prēmijas un naudas balvas 10%</t>
  </si>
  <si>
    <t>8=6*10%</t>
  </si>
  <si>
    <t>Aprēķins kvalitātes pakalpojuma  uzlabošanai</t>
  </si>
  <si>
    <t>Papildus nepieciešams finansējums 2025.gadā un turpmāk ik gadu, euro</t>
  </si>
  <si>
    <t>2024.gadam EUR</t>
  </si>
  <si>
    <t>2025.gadam un turpmāk ik gadu</t>
  </si>
  <si>
    <t>9=6*5%</t>
  </si>
  <si>
    <t>Izdevumi  reģionu infrastruktūras uzturēšanai, lai izvairītos no ārkārtas avārijas stāvokļa iestāšanās</t>
  </si>
  <si>
    <t>Izdevumi reģionu infrastruktūras uzturēšanai, lai izvairītos no ārkārtas avārijas stāvokļa iestāšanās</t>
  </si>
  <si>
    <t>VTMEC IT darbinieka attālinātā atbalsta sniegšana pārējiem darbinikiem saistībā ar VTMEC funkciju darbības nepārtrauktības nodrošināšanu.</t>
  </si>
  <si>
    <t>Lai nodrošinātu MK 28.07.2015 noteikumu Nr. 442 "Kārtība, kādā tiek nodrošināta informācijas un komunikācijas tehnoloģiju sistēmu atbilstība minimālajām drošības prasībām" izpildi - paaugstinātas drošības sistēmām. IT drošības nodrošināšanai, IT sistēmu analīzei (t.sk.kiberdrošības risinājumu nodrošināšanai).</t>
  </si>
  <si>
    <t>2024*</t>
  </si>
  <si>
    <t>* summas ir atbilstoši noslēgtajiem līgumiem</t>
  </si>
  <si>
    <t>Laboratoriju un nodaļu tehnoloģiju uzturēšanai, lai nodrošinātu pamatfunkciju nepārtrauktību un  ilgtspēju</t>
  </si>
  <si>
    <t>Finansējums nepieciešams 7 reģionu infrastruktūras uzturēšanai (avārījas sistuāciju novēršanai, nolietotas aukstuma saldēšanas sistēmas, bojāto sanitāro mezglu labošanai, apgaismojuma nomaiņai, nolietoto mēbeļu (krēslu, u.c.) u.c.), lai nodrošinātu funkciju nepārtrauktību, ~  9 202.32 EUR gadā katrai struktūrvienībai, kas vidēji mēnesī ir ~ 766, 86 EUR ar PVN, tādā veidā arī nodrošinot darba aizsardzības prasību ievērošanu.</t>
  </si>
  <si>
    <t>Stundas izmaksu likme, EUR</t>
  </si>
  <si>
    <t>Amata vietai plānotā  mēnešalga**</t>
  </si>
  <si>
    <t>** par pamatu tika ņemta bāzes alga 2025.gadam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</si>
</sst>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_ ;\-#,##0\ "/>
    <numFmt numFmtId="165" formatCode="_-* #,##0.00\ _€_-;\-* #,##0.00\ _€_-;_-* &quot;-&quot;??\ _€_-;_-@_-"/>
    <numFmt numFmtId="166" formatCode="0.0000"/>
    <numFmt numFmtId="167" formatCode="_-* #,##0_-;\-* #,##0_-;_-* &quot;-&quot;??_-;_-@_-"/>
    <numFmt numFmtId="168" formatCode="#,##0.00\ &quot;€&quot;"/>
  </numFmts>
  <fonts count="71" x14ac:knownFonts="1">
    <font>
      <sz val="11"/>
      <color theme="1"/>
      <name val="Calibri"/>
      <family val="2"/>
      <charset val="186"/>
      <scheme val="minor"/>
    </font>
    <font>
      <sz val="11"/>
      <color theme="1"/>
      <name val="Calibri"/>
      <family val="2"/>
      <charset val="186"/>
      <scheme val="minor"/>
    </font>
    <font>
      <b/>
      <sz val="11"/>
      <color theme="1"/>
      <name val="Calibri"/>
      <family val="2"/>
      <scheme val="minor"/>
    </font>
    <font>
      <sz val="11"/>
      <color theme="1"/>
      <name val="Calibri"/>
      <family val="2"/>
      <scheme val="minor"/>
    </font>
    <font>
      <i/>
      <sz val="11"/>
      <color theme="1"/>
      <name val="Calibri"/>
      <family val="2"/>
      <scheme val="minor"/>
    </font>
    <font>
      <sz val="11"/>
      <color rgb="FF000000"/>
      <name val="Calibri"/>
      <family val="2"/>
      <charset val="186"/>
      <scheme val="minor"/>
    </font>
    <font>
      <sz val="12"/>
      <color theme="1"/>
      <name val="Times New Roman"/>
      <family val="1"/>
      <charset val="186"/>
    </font>
    <font>
      <b/>
      <sz val="12"/>
      <color theme="1"/>
      <name val="Times New Roman"/>
      <family val="1"/>
      <charset val="186"/>
    </font>
    <font>
      <sz val="10"/>
      <color theme="1"/>
      <name val="Times New Roman"/>
      <family val="1"/>
      <charset val="186"/>
    </font>
    <font>
      <b/>
      <sz val="10"/>
      <color theme="1"/>
      <name val="Times New Roman"/>
      <family val="1"/>
      <charset val="186"/>
    </font>
    <font>
      <sz val="11"/>
      <color theme="1"/>
      <name val="Times New Roman"/>
      <family val="1"/>
      <charset val="186"/>
    </font>
    <font>
      <sz val="10"/>
      <color theme="1"/>
      <name val="Times New Roman"/>
      <family val="1"/>
    </font>
    <font>
      <b/>
      <sz val="16"/>
      <color indexed="8"/>
      <name val="Times New Roman"/>
      <family val="1"/>
      <charset val="186"/>
    </font>
    <font>
      <b/>
      <sz val="8"/>
      <color indexed="8"/>
      <name val="Times New Roman"/>
      <family val="1"/>
      <charset val="186"/>
    </font>
    <font>
      <sz val="8"/>
      <color theme="1"/>
      <name val="Calibri"/>
      <family val="2"/>
      <charset val="186"/>
      <scheme val="minor"/>
    </font>
    <font>
      <sz val="8"/>
      <color indexed="8"/>
      <name val="Times New Roman"/>
      <family val="1"/>
      <charset val="186"/>
    </font>
    <font>
      <sz val="8"/>
      <name val="Times New Roman"/>
      <family val="1"/>
      <charset val="186"/>
    </font>
    <font>
      <b/>
      <sz val="9"/>
      <color indexed="8"/>
      <name val="Times New Roman"/>
      <family val="1"/>
      <charset val="186"/>
    </font>
    <font>
      <sz val="9"/>
      <color theme="1"/>
      <name val="Times New Roman"/>
      <family val="1"/>
      <charset val="186"/>
    </font>
    <font>
      <b/>
      <sz val="8"/>
      <color indexed="8"/>
      <name val="Times New Roman"/>
      <family val="1"/>
    </font>
    <font>
      <sz val="9"/>
      <name val="Times New Roman"/>
      <family val="1"/>
      <charset val="186"/>
    </font>
    <font>
      <b/>
      <sz val="14"/>
      <color indexed="8"/>
      <name val="Times New Roman"/>
      <family val="1"/>
      <charset val="186"/>
    </font>
    <font>
      <sz val="9"/>
      <name val="Arial"/>
      <family val="2"/>
      <charset val="186"/>
    </font>
    <font>
      <sz val="8"/>
      <name val="Times New Roman"/>
      <family val="1"/>
    </font>
    <font>
      <b/>
      <sz val="11"/>
      <color theme="1"/>
      <name val="Times New Roman"/>
      <family val="1"/>
      <charset val="186"/>
    </font>
    <font>
      <b/>
      <sz val="11"/>
      <color indexed="8"/>
      <name val="Times New Roman"/>
      <family val="1"/>
      <charset val="186"/>
    </font>
    <font>
      <sz val="10"/>
      <name val="Arial"/>
      <family val="2"/>
      <charset val="186"/>
    </font>
    <font>
      <sz val="11"/>
      <name val="Times New Roman"/>
      <family val="1"/>
      <charset val="186"/>
    </font>
    <font>
      <sz val="11"/>
      <color indexed="8"/>
      <name val="Times New Roman"/>
      <family val="1"/>
      <charset val="186"/>
    </font>
    <font>
      <sz val="10"/>
      <name val="Times New Roman"/>
      <family val="1"/>
      <charset val="186"/>
    </font>
    <font>
      <b/>
      <sz val="13"/>
      <color theme="1"/>
      <name val="Times New Roman"/>
      <family val="1"/>
      <charset val="186"/>
    </font>
    <font>
      <b/>
      <sz val="11"/>
      <name val="Times New Roman"/>
      <family val="1"/>
      <charset val="186"/>
    </font>
    <font>
      <b/>
      <sz val="13"/>
      <name val="Times New Roman"/>
      <family val="1"/>
      <charset val="186"/>
    </font>
    <font>
      <b/>
      <i/>
      <sz val="11"/>
      <name val="Times New Roman"/>
      <family val="1"/>
      <charset val="186"/>
    </font>
    <font>
      <b/>
      <sz val="12"/>
      <name val="Times New Roman"/>
      <family val="1"/>
      <charset val="186"/>
    </font>
    <font>
      <sz val="12"/>
      <name val="Times New Roman"/>
      <family val="1"/>
      <charset val="186"/>
    </font>
    <font>
      <sz val="10"/>
      <color theme="1"/>
      <name val="Calibri"/>
      <family val="2"/>
      <scheme val="minor"/>
    </font>
    <font>
      <sz val="12"/>
      <color theme="1"/>
      <name val="Times New Roman"/>
      <family val="1"/>
    </font>
    <font>
      <b/>
      <sz val="11"/>
      <color theme="1"/>
      <name val="Times New Roman"/>
      <family val="1"/>
    </font>
    <font>
      <sz val="11"/>
      <color theme="1"/>
      <name val="Times New Roman"/>
      <family val="1"/>
    </font>
    <font>
      <sz val="11"/>
      <name val="Times New Roman"/>
      <family val="1"/>
    </font>
    <font>
      <sz val="12"/>
      <name val="Times New Roman"/>
      <family val="1"/>
    </font>
    <font>
      <b/>
      <sz val="11"/>
      <name val="Times New Roman"/>
      <family val="1"/>
    </font>
    <font>
      <sz val="8"/>
      <color rgb="FF000000"/>
      <name val="Times New Roman"/>
      <family val="1"/>
      <charset val="186"/>
    </font>
    <font>
      <b/>
      <sz val="8"/>
      <color rgb="FF000000"/>
      <name val="Times New Roman"/>
      <family val="1"/>
      <charset val="186"/>
    </font>
    <font>
      <sz val="11"/>
      <color rgb="FF000000"/>
      <name val="Calibri"/>
      <family val="2"/>
      <charset val="186"/>
    </font>
    <font>
      <i/>
      <sz val="12"/>
      <name val="Times New Roman"/>
      <family val="1"/>
      <charset val="186"/>
    </font>
    <font>
      <b/>
      <sz val="12"/>
      <color rgb="FF000000"/>
      <name val="Times New Roman"/>
      <family val="1"/>
      <charset val="186"/>
    </font>
    <font>
      <sz val="12"/>
      <color rgb="FF000000"/>
      <name val="Times New Roman"/>
      <family val="1"/>
      <charset val="186"/>
    </font>
    <font>
      <i/>
      <sz val="12"/>
      <name val="Times New Roman"/>
      <family val="1"/>
    </font>
    <font>
      <sz val="12"/>
      <color rgb="FF00B0F0"/>
      <name val="Times New Roman"/>
      <family val="1"/>
      <charset val="186"/>
    </font>
    <font>
      <sz val="12"/>
      <color rgb="FFFF66FF"/>
      <name val="Times New Roman"/>
      <family val="1"/>
      <charset val="186"/>
    </font>
    <font>
      <sz val="10"/>
      <color rgb="FF000000"/>
      <name val="Calibri"/>
      <family val="2"/>
      <scheme val="minor"/>
    </font>
    <font>
      <sz val="10"/>
      <color rgb="FF000000"/>
      <name val="Times New Roman"/>
      <family val="1"/>
      <charset val="186"/>
    </font>
    <font>
      <b/>
      <sz val="10"/>
      <color rgb="FF000000"/>
      <name val="Times New Roman"/>
      <family val="1"/>
      <charset val="186"/>
    </font>
    <font>
      <b/>
      <sz val="8"/>
      <color rgb="FFFF0000"/>
      <name val="Times New Roman"/>
      <family val="1"/>
      <charset val="186"/>
    </font>
    <font>
      <b/>
      <sz val="12"/>
      <color theme="1"/>
      <name val="Times New Roman"/>
      <family val="1"/>
    </font>
    <font>
      <b/>
      <sz val="14"/>
      <color theme="1"/>
      <name val="Times New Roman"/>
      <family val="1"/>
    </font>
    <font>
      <b/>
      <sz val="12"/>
      <name val="Times New Roman"/>
      <family val="1"/>
    </font>
    <font>
      <sz val="9"/>
      <color theme="1"/>
      <name val="Times New Roman"/>
      <family val="1"/>
    </font>
    <font>
      <b/>
      <i/>
      <sz val="11"/>
      <color theme="1"/>
      <name val="Calibri"/>
      <family val="2"/>
      <scheme val="minor"/>
    </font>
    <font>
      <sz val="8"/>
      <color theme="1"/>
      <name val="Times New Roman"/>
      <family val="1"/>
      <charset val="186"/>
    </font>
    <font>
      <b/>
      <sz val="8"/>
      <color theme="1"/>
      <name val="Times New Roman"/>
      <family val="1"/>
      <charset val="186"/>
    </font>
    <font>
      <i/>
      <sz val="8"/>
      <color theme="1"/>
      <name val="Times New Roman"/>
      <family val="1"/>
      <charset val="186"/>
    </font>
    <font>
      <i/>
      <sz val="8"/>
      <color rgb="FF000000"/>
      <name val="Times New Roman"/>
      <family val="1"/>
      <charset val="186"/>
    </font>
    <font>
      <sz val="8"/>
      <color theme="1"/>
      <name val="Times New Roman"/>
      <family val="1"/>
    </font>
    <font>
      <sz val="8"/>
      <name val="Calibri"/>
      <family val="2"/>
      <charset val="186"/>
      <scheme val="minor"/>
    </font>
    <font>
      <sz val="10"/>
      <name val="Arial"/>
      <family val="2"/>
    </font>
    <font>
      <b/>
      <sz val="11"/>
      <color rgb="FF000000"/>
      <name val="Times New Roman"/>
      <family val="1"/>
      <charset val="186"/>
    </font>
    <font>
      <sz val="11"/>
      <color rgb="FF000000"/>
      <name val="Times New Roman"/>
      <family val="1"/>
      <charset val="186"/>
    </font>
    <font>
      <u/>
      <sz val="10"/>
      <color theme="10"/>
      <name val="Arial"/>
      <family val="2"/>
      <charset val="186"/>
    </font>
  </fonts>
  <fills count="13">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indexed="9"/>
        <bgColor indexed="64"/>
      </patternFill>
    </fill>
    <fill>
      <patternFill patternType="solid">
        <fgColor theme="0"/>
        <bgColor indexed="64"/>
      </patternFill>
    </fill>
    <fill>
      <patternFill patternType="solid">
        <fgColor theme="3" tint="0.59999389629810485"/>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diagonalUp="1" diagonalDown="1">
      <left style="thin">
        <color indexed="64"/>
      </left>
      <right/>
      <top style="thin">
        <color indexed="64"/>
      </top>
      <bottom style="thin">
        <color indexed="64"/>
      </bottom>
      <diagonal style="thin">
        <color indexed="64"/>
      </diagonal>
    </border>
    <border diagonalUp="1" diagonalDown="1">
      <left/>
      <right/>
      <top style="thin">
        <color indexed="64"/>
      </top>
      <bottom style="thin">
        <color indexed="64"/>
      </bottom>
      <diagonal style="thin">
        <color indexed="64"/>
      </diagonal>
    </border>
    <border diagonalUp="1" diagonalDown="1">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5">
    <xf numFmtId="0" fontId="0" fillId="0" borderId="0"/>
    <xf numFmtId="43" fontId="1" fillId="0" borderId="0" applyFont="0" applyFill="0" applyBorder="0" applyAlignment="0" applyProtection="0"/>
    <xf numFmtId="0" fontId="1" fillId="0" borderId="0"/>
    <xf numFmtId="0" fontId="26" fillId="0" borderId="0"/>
    <xf numFmtId="0" fontId="3" fillId="0" borderId="0"/>
    <xf numFmtId="0" fontId="45" fillId="0" borderId="0"/>
    <xf numFmtId="0" fontId="52" fillId="0" borderId="0"/>
    <xf numFmtId="0" fontId="1" fillId="0" borderId="0"/>
    <xf numFmtId="0" fontId="26" fillId="0" borderId="0"/>
    <xf numFmtId="0" fontId="1" fillId="0" borderId="0"/>
    <xf numFmtId="43" fontId="3" fillId="0" borderId="0" applyFont="0" applyFill="0" applyBorder="0" applyAlignment="0" applyProtection="0"/>
    <xf numFmtId="0" fontId="1" fillId="0" borderId="0"/>
    <xf numFmtId="0" fontId="67" fillId="0" borderId="0"/>
    <xf numFmtId="0" fontId="70" fillId="0" borderId="0" applyNumberFormat="0" applyFill="0" applyBorder="0" applyAlignment="0" applyProtection="0"/>
    <xf numFmtId="0" fontId="26" fillId="0" borderId="0"/>
  </cellStyleXfs>
  <cellXfs count="453">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3" fontId="0" fillId="0" borderId="0" xfId="0" applyNumberFormat="1"/>
    <xf numFmtId="0" fontId="9" fillId="0" borderId="0" xfId="0" applyFont="1"/>
    <xf numFmtId="0" fontId="1" fillId="0" borderId="0" xfId="2"/>
    <xf numFmtId="0" fontId="13" fillId="6" borderId="1" xfId="2" applyFont="1" applyFill="1" applyBorder="1" applyAlignment="1">
      <alignment horizontal="center" vertical="center" wrapText="1"/>
    </xf>
    <xf numFmtId="0" fontId="13" fillId="0" borderId="1" xfId="2" applyFont="1" applyBorder="1" applyAlignment="1">
      <alignment horizontal="center" vertical="center" wrapText="1"/>
    </xf>
    <xf numFmtId="0" fontId="14" fillId="0" borderId="0" xfId="0" applyFont="1"/>
    <xf numFmtId="0" fontId="15" fillId="0" borderId="1" xfId="2" applyFont="1" applyBorder="1" applyAlignment="1">
      <alignment horizontal="center" vertical="center"/>
    </xf>
    <xf numFmtId="0" fontId="15" fillId="0" borderId="1" xfId="2" applyFont="1" applyBorder="1" applyAlignment="1">
      <alignment horizontal="left" vertical="center" wrapText="1"/>
    </xf>
    <xf numFmtId="0" fontId="16" fillId="0" borderId="1" xfId="2" applyFont="1" applyBorder="1" applyAlignment="1">
      <alignment horizontal="left" vertical="center" wrapText="1"/>
    </xf>
    <xf numFmtId="3" fontId="15" fillId="0" borderId="1" xfId="2" applyNumberFormat="1" applyFont="1" applyBorder="1" applyAlignment="1">
      <alignment horizontal="center" vertical="center"/>
    </xf>
    <xf numFmtId="0" fontId="13" fillId="6" borderId="4" xfId="2" applyFont="1" applyFill="1" applyBorder="1" applyAlignment="1">
      <alignment horizontal="right" vertical="center"/>
    </xf>
    <xf numFmtId="3" fontId="13" fillId="6" borderId="1" xfId="2" applyNumberFormat="1" applyFont="1" applyFill="1" applyBorder="1" applyAlignment="1">
      <alignment horizontal="center"/>
    </xf>
    <xf numFmtId="0" fontId="13" fillId="6" borderId="4" xfId="2" applyFont="1" applyFill="1" applyBorder="1" applyAlignment="1">
      <alignment horizontal="center" vertical="center"/>
    </xf>
    <xf numFmtId="0" fontId="13" fillId="6" borderId="5" xfId="2" applyFont="1" applyFill="1" applyBorder="1" applyAlignment="1">
      <alignment horizontal="center" vertical="center"/>
    </xf>
    <xf numFmtId="3" fontId="14" fillId="0" borderId="0" xfId="0" applyNumberFormat="1" applyFont="1"/>
    <xf numFmtId="165" fontId="0" fillId="0" borderId="0" xfId="0" applyNumberFormat="1"/>
    <xf numFmtId="43" fontId="0" fillId="0" borderId="0" xfId="1" applyFont="1"/>
    <xf numFmtId="0" fontId="18" fillId="0" borderId="0" xfId="2" applyFont="1"/>
    <xf numFmtId="0" fontId="19" fillId="6" borderId="1" xfId="2" applyFont="1" applyFill="1" applyBorder="1" applyAlignment="1">
      <alignment horizontal="center" vertical="center" wrapText="1"/>
    </xf>
    <xf numFmtId="0" fontId="19" fillId="0" borderId="1" xfId="2" applyFont="1" applyBorder="1" applyAlignment="1">
      <alignment horizontal="center" vertical="center" wrapText="1"/>
    </xf>
    <xf numFmtId="0" fontId="20" fillId="0" borderId="0" xfId="0" applyFont="1"/>
    <xf numFmtId="0" fontId="15" fillId="0" borderId="1" xfId="2" applyFont="1" applyBorder="1" applyAlignment="1">
      <alignment vertical="top" wrapText="1"/>
    </xf>
    <xf numFmtId="0" fontId="15" fillId="0" borderId="1" xfId="2" applyFont="1" applyBorder="1" applyAlignment="1">
      <alignment horizontal="center" vertical="center" wrapText="1"/>
    </xf>
    <xf numFmtId="2" fontId="15" fillId="0" borderId="1" xfId="2" applyNumberFormat="1" applyFont="1" applyBorder="1" applyAlignment="1">
      <alignment horizontal="center" vertical="center"/>
    </xf>
    <xf numFmtId="0" fontId="16" fillId="0" borderId="1" xfId="0" applyFont="1" applyBorder="1" applyAlignment="1">
      <alignment horizontal="center" vertical="center"/>
    </xf>
    <xf numFmtId="0" fontId="15" fillId="0" borderId="4" xfId="2" applyFont="1" applyBorder="1" applyAlignment="1">
      <alignment horizontal="center" vertical="center"/>
    </xf>
    <xf numFmtId="0" fontId="17" fillId="6" borderId="4" xfId="2" applyFont="1" applyFill="1" applyBorder="1" applyAlignment="1">
      <alignment horizontal="center" vertical="center"/>
    </xf>
    <xf numFmtId="0" fontId="17" fillId="6" borderId="5" xfId="2" applyFont="1" applyFill="1" applyBorder="1" applyAlignment="1">
      <alignment horizontal="center" vertical="center"/>
    </xf>
    <xf numFmtId="3" fontId="17" fillId="6" borderId="1" xfId="2" applyNumberFormat="1" applyFont="1" applyFill="1" applyBorder="1" applyAlignment="1">
      <alignment horizontal="center"/>
    </xf>
    <xf numFmtId="0" fontId="22" fillId="0" borderId="0" xfId="0" applyFont="1"/>
    <xf numFmtId="164" fontId="15" fillId="0" borderId="1" xfId="1" applyNumberFormat="1" applyFont="1" applyFill="1" applyBorder="1" applyAlignment="1">
      <alignment horizontal="center" vertical="center"/>
    </xf>
    <xf numFmtId="3" fontId="23" fillId="0" borderId="1" xfId="0" applyNumberFormat="1" applyFont="1" applyBorder="1" applyAlignment="1">
      <alignment horizontal="center" vertical="center"/>
    </xf>
    <xf numFmtId="0" fontId="13" fillId="6" borderId="1" xfId="2" applyFont="1" applyFill="1" applyBorder="1" applyAlignment="1">
      <alignment vertical="center"/>
    </xf>
    <xf numFmtId="0" fontId="13" fillId="6" borderId="1" xfId="2" applyFont="1" applyFill="1" applyBorder="1" applyAlignment="1">
      <alignment horizontal="center" vertical="center"/>
    </xf>
    <xf numFmtId="0" fontId="8" fillId="0" borderId="0" xfId="0" applyFont="1" applyAlignment="1">
      <alignment vertical="center" wrapText="1"/>
    </xf>
    <xf numFmtId="0" fontId="10" fillId="0" borderId="0" xfId="0" applyFont="1"/>
    <xf numFmtId="0" fontId="24" fillId="7" borderId="0" xfId="0" applyFont="1" applyFill="1"/>
    <xf numFmtId="0" fontId="25" fillId="0" borderId="1" xfId="2" applyFont="1" applyBorder="1" applyAlignment="1">
      <alignment horizontal="center" vertical="center" wrapText="1"/>
    </xf>
    <xf numFmtId="0" fontId="27" fillId="0" borderId="0" xfId="3" applyFont="1"/>
    <xf numFmtId="0" fontId="28" fillId="0" borderId="1" xfId="2" applyFont="1" applyBorder="1" applyAlignment="1">
      <alignment vertical="center" wrapText="1"/>
    </xf>
    <xf numFmtId="0" fontId="28" fillId="0" borderId="1" xfId="2" applyFont="1" applyBorder="1" applyAlignment="1">
      <alignment horizontal="center" vertical="center"/>
    </xf>
    <xf numFmtId="3" fontId="28" fillId="0" borderId="1" xfId="2" applyNumberFormat="1" applyFont="1" applyBorder="1" applyAlignment="1">
      <alignment horizontal="center" vertical="center"/>
    </xf>
    <xf numFmtId="0" fontId="27" fillId="0" borderId="0" xfId="3" applyFont="1" applyAlignment="1">
      <alignment vertical="center"/>
    </xf>
    <xf numFmtId="0" fontId="25" fillId="6" borderId="4" xfId="2" applyFont="1" applyFill="1" applyBorder="1" applyAlignment="1">
      <alignment vertical="center"/>
    </xf>
    <xf numFmtId="0" fontId="25" fillId="6" borderId="5" xfId="2" applyFont="1" applyFill="1" applyBorder="1" applyAlignment="1">
      <alignment vertical="center"/>
    </xf>
    <xf numFmtId="3" fontId="25" fillId="6" borderId="1" xfId="2" applyNumberFormat="1" applyFont="1" applyFill="1" applyBorder="1" applyAlignment="1">
      <alignment horizontal="center"/>
    </xf>
    <xf numFmtId="0" fontId="25" fillId="6" borderId="4" xfId="2" applyFont="1" applyFill="1" applyBorder="1" applyAlignment="1">
      <alignment horizontal="center" vertical="center"/>
    </xf>
    <xf numFmtId="3" fontId="25" fillId="6" borderId="1" xfId="2" applyNumberFormat="1" applyFont="1" applyFill="1" applyBorder="1" applyAlignment="1">
      <alignment horizontal="center" vertical="center"/>
    </xf>
    <xf numFmtId="0" fontId="10" fillId="7" borderId="0" xfId="0" applyFont="1" applyFill="1"/>
    <xf numFmtId="0" fontId="3" fillId="0" borderId="0" xfId="4"/>
    <xf numFmtId="0" fontId="29" fillId="0" borderId="0" xfId="3" applyFont="1" applyAlignment="1">
      <alignment vertical="top"/>
    </xf>
    <xf numFmtId="0" fontId="10" fillId="0" borderId="0" xfId="4" applyFont="1"/>
    <xf numFmtId="0" fontId="24" fillId="0" borderId="1" xfId="4" applyFont="1" applyBorder="1" applyAlignment="1">
      <alignment horizontal="center" vertical="center"/>
    </xf>
    <xf numFmtId="0" fontId="24" fillId="0" borderId="1" xfId="4" applyFont="1" applyBorder="1" applyAlignment="1">
      <alignment horizontal="center" vertical="center" wrapText="1"/>
    </xf>
    <xf numFmtId="0" fontId="10" fillId="0" borderId="1" xfId="4" applyFont="1" applyBorder="1"/>
    <xf numFmtId="0" fontId="24" fillId="4" borderId="1" xfId="4" applyFont="1" applyFill="1" applyBorder="1"/>
    <xf numFmtId="4" fontId="10" fillId="0" borderId="1" xfId="4" applyNumberFormat="1" applyFont="1" applyBorder="1" applyAlignment="1">
      <alignment horizontal="center"/>
    </xf>
    <xf numFmtId="0" fontId="7" fillId="4" borderId="1" xfId="4" applyFont="1" applyFill="1" applyBorder="1"/>
    <xf numFmtId="0" fontId="31" fillId="0" borderId="9" xfId="3" applyFont="1" applyBorder="1"/>
    <xf numFmtId="0" fontId="27" fillId="0" borderId="10" xfId="3" applyFont="1" applyBorder="1"/>
    <xf numFmtId="0" fontId="31" fillId="8" borderId="12" xfId="3" applyFont="1" applyFill="1" applyBorder="1"/>
    <xf numFmtId="0" fontId="29" fillId="0" borderId="0" xfId="3" applyFont="1"/>
    <xf numFmtId="0" fontId="32" fillId="0" borderId="0" xfId="3" applyFont="1" applyAlignment="1">
      <alignment vertical="top"/>
    </xf>
    <xf numFmtId="0" fontId="31" fillId="4" borderId="1" xfId="3" applyFont="1" applyFill="1" applyBorder="1" applyAlignment="1">
      <alignment horizontal="center" vertical="center" wrapText="1"/>
    </xf>
    <xf numFmtId="0" fontId="25" fillId="4" borderId="2" xfId="3" applyFont="1" applyFill="1" applyBorder="1" applyAlignment="1">
      <alignment horizontal="center" vertical="center" wrapText="1"/>
    </xf>
    <xf numFmtId="0" fontId="31" fillId="0" borderId="1" xfId="3" applyFont="1" applyBorder="1" applyAlignment="1">
      <alignment horizontal="center" vertical="center"/>
    </xf>
    <xf numFmtId="3" fontId="27" fillId="0" borderId="1" xfId="3" applyNumberFormat="1" applyFont="1" applyBorder="1" applyAlignment="1">
      <alignment horizontal="center" vertical="center"/>
    </xf>
    <xf numFmtId="4" fontId="27" fillId="7" borderId="1" xfId="3" applyNumberFormat="1" applyFont="1" applyFill="1" applyBorder="1" applyAlignment="1">
      <alignment horizontal="center" vertical="center" wrapText="1"/>
    </xf>
    <xf numFmtId="3" fontId="27" fillId="7" borderId="1" xfId="3" applyNumberFormat="1" applyFont="1" applyFill="1" applyBorder="1" applyAlignment="1">
      <alignment horizontal="center" vertical="center"/>
    </xf>
    <xf numFmtId="0" fontId="33" fillId="0" borderId="0" xfId="3" applyFont="1"/>
    <xf numFmtId="0" fontId="24" fillId="0" borderId="14" xfId="4" applyFont="1" applyBorder="1" applyAlignment="1">
      <alignment horizontal="center" vertical="center"/>
    </xf>
    <xf numFmtId="0" fontId="24" fillId="0" borderId="15" xfId="4" applyFont="1" applyBorder="1" applyAlignment="1">
      <alignment horizontal="center" vertical="center" wrapText="1"/>
    </xf>
    <xf numFmtId="1" fontId="29" fillId="0" borderId="0" xfId="3" applyNumberFormat="1" applyFont="1" applyAlignment="1">
      <alignment vertical="top"/>
    </xf>
    <xf numFmtId="0" fontId="7" fillId="0" borderId="0" xfId="4" applyFont="1"/>
    <xf numFmtId="0" fontId="6" fillId="0" borderId="0" xfId="4" applyFont="1"/>
    <xf numFmtId="0" fontId="24" fillId="4" borderId="1" xfId="4" applyFont="1" applyFill="1" applyBorder="1" applyAlignment="1">
      <alignment horizontal="center" vertical="center"/>
    </xf>
    <xf numFmtId="0" fontId="24" fillId="4" borderId="1" xfId="4" applyFont="1" applyFill="1" applyBorder="1" applyAlignment="1">
      <alignment horizontal="center" vertical="center" wrapText="1"/>
    </xf>
    <xf numFmtId="0" fontId="24" fillId="4" borderId="14" xfId="4" applyFont="1" applyFill="1" applyBorder="1" applyAlignment="1">
      <alignment horizontal="center" vertical="center"/>
    </xf>
    <xf numFmtId="0" fontId="24" fillId="4" borderId="15" xfId="4" applyFont="1" applyFill="1" applyBorder="1" applyAlignment="1">
      <alignment horizontal="center" vertical="center" wrapText="1"/>
    </xf>
    <xf numFmtId="1" fontId="10" fillId="0" borderId="1" xfId="4" applyNumberFormat="1" applyFont="1" applyBorder="1" applyAlignment="1">
      <alignment horizontal="center"/>
    </xf>
    <xf numFmtId="3" fontId="27" fillId="0" borderId="1" xfId="4" applyNumberFormat="1" applyFont="1" applyBorder="1" applyAlignment="1">
      <alignment horizontal="center" vertical="center"/>
    </xf>
    <xf numFmtId="1" fontId="10" fillId="0" borderId="1" xfId="4" applyNumberFormat="1" applyFont="1" applyBorder="1" applyAlignment="1">
      <alignment horizontal="center" vertical="center"/>
    </xf>
    <xf numFmtId="0" fontId="24" fillId="0" borderId="1" xfId="4" applyFont="1" applyBorder="1" applyAlignment="1">
      <alignment horizontal="left" wrapText="1"/>
    </xf>
    <xf numFmtId="3" fontId="31" fillId="0" borderId="1" xfId="4" applyNumberFormat="1" applyFont="1" applyBorder="1" applyAlignment="1">
      <alignment horizontal="center"/>
    </xf>
    <xf numFmtId="1" fontId="6" fillId="0" borderId="0" xfId="4" applyNumberFormat="1" applyFont="1" applyAlignment="1">
      <alignment horizontal="center" vertical="center"/>
    </xf>
    <xf numFmtId="1" fontId="6" fillId="0" borderId="0" xfId="4" applyNumberFormat="1" applyFont="1" applyAlignment="1">
      <alignment horizontal="center" vertical="top"/>
    </xf>
    <xf numFmtId="0" fontId="6" fillId="0" borderId="0" xfId="4" applyFont="1" applyAlignment="1">
      <alignment vertical="top"/>
    </xf>
    <xf numFmtId="0" fontId="34" fillId="0" borderId="9" xfId="3" applyFont="1" applyBorder="1" applyAlignment="1">
      <alignment vertical="top"/>
    </xf>
    <xf numFmtId="0" fontId="35" fillId="0" borderId="10" xfId="3" applyFont="1" applyBorder="1"/>
    <xf numFmtId="3" fontId="35" fillId="0" borderId="11" xfId="3" applyNumberFormat="1" applyFont="1" applyBorder="1" applyAlignment="1">
      <alignment horizontal="center"/>
    </xf>
    <xf numFmtId="0" fontId="6" fillId="0" borderId="0" xfId="4" applyFont="1" applyAlignment="1">
      <alignment horizontal="left" vertical="center" wrapText="1"/>
    </xf>
    <xf numFmtId="0" fontId="34" fillId="8" borderId="12" xfId="3" applyFont="1" applyFill="1" applyBorder="1"/>
    <xf numFmtId="3" fontId="34" fillId="8" borderId="16" xfId="3" applyNumberFormat="1" applyFont="1" applyFill="1" applyBorder="1" applyAlignment="1">
      <alignment horizontal="center"/>
    </xf>
    <xf numFmtId="1" fontId="10" fillId="0" borderId="0" xfId="4" applyNumberFormat="1" applyFont="1" applyAlignment="1">
      <alignment horizontal="center" vertical="center"/>
    </xf>
    <xf numFmtId="0" fontId="10" fillId="0" borderId="1" xfId="4" applyFont="1" applyBorder="1" applyAlignment="1">
      <alignment horizontal="center" vertical="center" wrapText="1"/>
    </xf>
    <xf numFmtId="0" fontId="10" fillId="0" borderId="1" xfId="4" applyFont="1" applyBorder="1" applyAlignment="1">
      <alignment horizontal="center" vertical="center"/>
    </xf>
    <xf numFmtId="0" fontId="27" fillId="0" borderId="1" xfId="4" applyFont="1" applyBorder="1" applyAlignment="1">
      <alignment horizontal="center" vertical="center"/>
    </xf>
    <xf numFmtId="0" fontId="27" fillId="0" borderId="1" xfId="4" applyFont="1" applyBorder="1" applyAlignment="1">
      <alignment horizontal="center" vertical="center" wrapText="1"/>
    </xf>
    <xf numFmtId="3" fontId="10" fillId="0" borderId="1" xfId="4" applyNumberFormat="1" applyFont="1" applyBorder="1" applyAlignment="1">
      <alignment horizontal="center" vertical="center"/>
    </xf>
    <xf numFmtId="3" fontId="27" fillId="0" borderId="1" xfId="4" applyNumberFormat="1" applyFont="1" applyBorder="1" applyAlignment="1">
      <alignment horizontal="center" vertical="center" wrapText="1"/>
    </xf>
    <xf numFmtId="3" fontId="10" fillId="0" borderId="1" xfId="4" applyNumberFormat="1" applyFont="1" applyBorder="1" applyAlignment="1">
      <alignment horizontal="center" vertical="center" wrapText="1"/>
    </xf>
    <xf numFmtId="0" fontId="24" fillId="4" borderId="14" xfId="4" applyFont="1" applyFill="1" applyBorder="1" applyAlignment="1">
      <alignment horizontal="center" vertical="center" wrapText="1"/>
    </xf>
    <xf numFmtId="1" fontId="38" fillId="0" borderId="1" xfId="4" applyNumberFormat="1" applyFont="1" applyBorder="1" applyAlignment="1">
      <alignment horizontal="center"/>
    </xf>
    <xf numFmtId="0" fontId="34" fillId="0" borderId="9" xfId="3" applyFont="1" applyBorder="1" applyAlignment="1">
      <alignment horizontal="center" vertical="center"/>
    </xf>
    <xf numFmtId="0" fontId="24" fillId="0" borderId="0" xfId="4" applyFont="1" applyAlignment="1">
      <alignment horizontal="center" vertical="center"/>
    </xf>
    <xf numFmtId="1" fontId="10" fillId="0" borderId="0" xfId="4" applyNumberFormat="1" applyFont="1" applyAlignment="1">
      <alignment horizontal="center"/>
    </xf>
    <xf numFmtId="0" fontId="39" fillId="0" borderId="1" xfId="4" applyFont="1" applyBorder="1" applyAlignment="1">
      <alignment horizontal="center" vertical="center"/>
    </xf>
    <xf numFmtId="0" fontId="39" fillId="0" borderId="1" xfId="4" applyFont="1" applyBorder="1" applyAlignment="1">
      <alignment horizontal="center" vertical="center" wrapText="1"/>
    </xf>
    <xf numFmtId="3" fontId="40" fillId="0" borderId="1" xfId="4" applyNumberFormat="1" applyFont="1" applyBorder="1" applyAlignment="1">
      <alignment horizontal="center" vertical="center"/>
    </xf>
    <xf numFmtId="0" fontId="40" fillId="0" borderId="1" xfId="4" applyFont="1" applyBorder="1" applyAlignment="1">
      <alignment horizontal="center" vertical="center"/>
    </xf>
    <xf numFmtId="0" fontId="39" fillId="0" borderId="1" xfId="4" applyFont="1" applyBorder="1" applyAlignment="1">
      <alignment horizontal="left" wrapText="1"/>
    </xf>
    <xf numFmtId="3" fontId="40" fillId="0" borderId="1" xfId="4" applyNumberFormat="1" applyFont="1" applyBorder="1" applyAlignment="1">
      <alignment horizontal="center"/>
    </xf>
    <xf numFmtId="1" fontId="37" fillId="0" borderId="1" xfId="4" applyNumberFormat="1" applyFont="1" applyBorder="1" applyAlignment="1">
      <alignment horizontal="center" vertical="center"/>
    </xf>
    <xf numFmtId="3" fontId="41" fillId="0" borderId="1" xfId="3" applyNumberFormat="1" applyFont="1" applyBorder="1" applyAlignment="1">
      <alignment horizontal="center"/>
    </xf>
    <xf numFmtId="0" fontId="39" fillId="0" borderId="1" xfId="4" applyFont="1" applyBorder="1" applyAlignment="1">
      <alignment horizontal="left" vertical="center" wrapText="1"/>
    </xf>
    <xf numFmtId="0" fontId="37" fillId="0" borderId="1" xfId="4" applyFont="1" applyBorder="1" applyAlignment="1">
      <alignment horizontal="left" wrapText="1"/>
    </xf>
    <xf numFmtId="0" fontId="37" fillId="0" borderId="1" xfId="4" applyFont="1" applyBorder="1" applyAlignment="1">
      <alignment horizontal="left" vertical="top" wrapText="1"/>
    </xf>
    <xf numFmtId="0" fontId="37" fillId="0" borderId="1" xfId="4" applyFont="1" applyBorder="1" applyAlignment="1">
      <alignment horizontal="center" vertical="center"/>
    </xf>
    <xf numFmtId="0" fontId="41" fillId="0" borderId="1" xfId="3" applyFont="1" applyBorder="1" applyAlignment="1">
      <alignment horizontal="center" vertical="center"/>
    </xf>
    <xf numFmtId="0" fontId="38" fillId="0" borderId="1" xfId="4" applyFont="1" applyBorder="1" applyAlignment="1">
      <alignment horizontal="left" vertical="center" wrapText="1"/>
    </xf>
    <xf numFmtId="3" fontId="42" fillId="0" borderId="1" xfId="4" applyNumberFormat="1" applyFont="1" applyBorder="1" applyAlignment="1">
      <alignment horizontal="center" vertical="center"/>
    </xf>
    <xf numFmtId="0" fontId="38" fillId="0" borderId="1" xfId="4" applyFont="1" applyBorder="1" applyAlignment="1">
      <alignment horizontal="center" vertical="center"/>
    </xf>
    <xf numFmtId="0" fontId="38" fillId="0" borderId="1" xfId="4" applyFont="1" applyBorder="1" applyAlignment="1">
      <alignment horizontal="center" vertical="center" wrapText="1"/>
    </xf>
    <xf numFmtId="0" fontId="38" fillId="3" borderId="1" xfId="4" applyFont="1" applyFill="1" applyBorder="1" applyAlignment="1">
      <alignment horizontal="left" vertical="center" wrapText="1"/>
    </xf>
    <xf numFmtId="0" fontId="42" fillId="3" borderId="1" xfId="4" applyFont="1" applyFill="1" applyBorder="1" applyAlignment="1">
      <alignment horizontal="center" vertical="center" wrapText="1"/>
    </xf>
    <xf numFmtId="3" fontId="42" fillId="3" borderId="1" xfId="4" applyNumberFormat="1" applyFont="1" applyFill="1" applyBorder="1" applyAlignment="1">
      <alignment horizontal="center" vertical="center"/>
    </xf>
    <xf numFmtId="0" fontId="24" fillId="0" borderId="0" xfId="0" applyFont="1"/>
    <xf numFmtId="0" fontId="43" fillId="0" borderId="1" xfId="0" applyFont="1" applyBorder="1" applyAlignment="1">
      <alignment horizontal="center" vertical="center" wrapText="1"/>
    </xf>
    <xf numFmtId="3" fontId="44" fillId="9" borderId="1" xfId="0" applyNumberFormat="1" applyFont="1" applyFill="1" applyBorder="1" applyAlignment="1">
      <alignment horizontal="center" vertical="center" wrapText="1"/>
    </xf>
    <xf numFmtId="0" fontId="10" fillId="0" borderId="0" xfId="0" applyFont="1" applyAlignment="1">
      <alignment horizontal="center" vertical="center" wrapText="1"/>
    </xf>
    <xf numFmtId="0" fontId="43" fillId="0" borderId="1" xfId="0" applyFont="1" applyBorder="1" applyAlignment="1">
      <alignment vertical="center" wrapText="1"/>
    </xf>
    <xf numFmtId="3" fontId="44" fillId="9" borderId="1" xfId="0" applyNumberFormat="1" applyFont="1" applyFill="1" applyBorder="1" applyAlignment="1">
      <alignment horizontal="right" vertical="center"/>
    </xf>
    <xf numFmtId="0" fontId="44" fillId="7" borderId="1" xfId="0" applyFont="1" applyFill="1" applyBorder="1" applyAlignment="1">
      <alignment horizontal="right" vertical="center" wrapText="1"/>
    </xf>
    <xf numFmtId="0" fontId="44" fillId="7" borderId="1" xfId="0" applyFont="1" applyFill="1" applyBorder="1" applyAlignment="1">
      <alignment vertical="center"/>
    </xf>
    <xf numFmtId="3" fontId="44" fillId="7" borderId="1" xfId="0" applyNumberFormat="1" applyFont="1" applyFill="1" applyBorder="1" applyAlignment="1">
      <alignment horizontal="center" vertical="center" wrapText="1"/>
    </xf>
    <xf numFmtId="0" fontId="48" fillId="0" borderId="0" xfId="5" applyFont="1"/>
    <xf numFmtId="0" fontId="47" fillId="10" borderId="1" xfId="5" applyFont="1" applyFill="1" applyBorder="1" applyAlignment="1">
      <alignment horizontal="center" wrapText="1"/>
    </xf>
    <xf numFmtId="0" fontId="47" fillId="10" borderId="1" xfId="5" applyFont="1" applyFill="1" applyBorder="1" applyAlignment="1">
      <alignment horizontal="center" vertical="center" wrapText="1"/>
    </xf>
    <xf numFmtId="0" fontId="34" fillId="2" borderId="1" xfId="5" applyFont="1" applyFill="1" applyBorder="1" applyAlignment="1">
      <alignment horizontal="left" vertical="center" wrapText="1"/>
    </xf>
    <xf numFmtId="0" fontId="35" fillId="2" borderId="1" xfId="5" applyFont="1" applyFill="1" applyBorder="1" applyAlignment="1">
      <alignment vertical="center"/>
    </xf>
    <xf numFmtId="4" fontId="34" fillId="2" borderId="1" xfId="5" applyNumberFormat="1" applyFont="1" applyFill="1" applyBorder="1" applyAlignment="1">
      <alignment horizontal="center" vertical="center"/>
    </xf>
    <xf numFmtId="0" fontId="35" fillId="3" borderId="1" xfId="5" applyFont="1" applyFill="1" applyBorder="1" applyAlignment="1">
      <alignment horizontal="center" vertical="center" wrapText="1"/>
    </xf>
    <xf numFmtId="0" fontId="35" fillId="3" borderId="1" xfId="5" applyFont="1" applyFill="1" applyBorder="1" applyAlignment="1">
      <alignment horizontal="left" vertical="center" wrapText="1"/>
    </xf>
    <xf numFmtId="4" fontId="35" fillId="3" borderId="1" xfId="5" applyNumberFormat="1" applyFont="1" applyFill="1" applyBorder="1" applyAlignment="1">
      <alignment horizontal="center" vertical="center"/>
    </xf>
    <xf numFmtId="0" fontId="35" fillId="3" borderId="1" xfId="5" applyFont="1" applyFill="1" applyBorder="1" applyAlignment="1">
      <alignment vertical="center"/>
    </xf>
    <xf numFmtId="49" fontId="46" fillId="0" borderId="1" xfId="5" applyNumberFormat="1" applyFont="1" applyBorder="1" applyAlignment="1">
      <alignment horizontal="right" vertical="center"/>
    </xf>
    <xf numFmtId="0" fontId="46" fillId="7" borderId="1" xfId="5" applyFont="1" applyFill="1" applyBorder="1" applyAlignment="1">
      <alignment horizontal="right" vertical="center" wrapText="1"/>
    </xf>
    <xf numFmtId="0" fontId="46" fillId="0" borderId="1" xfId="5" applyFont="1" applyBorder="1" applyAlignment="1">
      <alignment vertical="center"/>
    </xf>
    <xf numFmtId="0" fontId="49" fillId="7" borderId="1" xfId="5" applyFont="1" applyFill="1" applyBorder="1" applyAlignment="1">
      <alignment horizontal="right" vertical="center" wrapText="1"/>
    </xf>
    <xf numFmtId="0" fontId="35" fillId="7" borderId="1" xfId="5" applyFont="1" applyFill="1" applyBorder="1" applyAlignment="1">
      <alignment vertical="center"/>
    </xf>
    <xf numFmtId="0" fontId="50" fillId="0" borderId="0" xfId="5" applyFont="1"/>
    <xf numFmtId="0" fontId="51" fillId="0" borderId="0" xfId="5" applyFont="1"/>
    <xf numFmtId="4" fontId="47" fillId="5" borderId="1" xfId="5" applyNumberFormat="1" applyFont="1" applyFill="1" applyBorder="1"/>
    <xf numFmtId="0" fontId="47" fillId="5" borderId="1" xfId="5" applyFont="1" applyFill="1" applyBorder="1" applyAlignment="1">
      <alignment horizontal="center" vertical="center"/>
    </xf>
    <xf numFmtId="4" fontId="48" fillId="0" borderId="0" xfId="5" applyNumberFormat="1" applyFont="1"/>
    <xf numFmtId="4" fontId="41" fillId="0" borderId="1" xfId="5" applyNumberFormat="1" applyFont="1" applyBorder="1" applyAlignment="1">
      <alignment horizontal="right" vertical="center"/>
    </xf>
    <xf numFmtId="4" fontId="41" fillId="7" borderId="1" xfId="5" applyNumberFormat="1" applyFont="1" applyFill="1" applyBorder="1" applyAlignment="1">
      <alignment horizontal="right" vertical="center"/>
    </xf>
    <xf numFmtId="3" fontId="42" fillId="0" borderId="1" xfId="4" applyNumberFormat="1" applyFont="1" applyBorder="1" applyAlignment="1">
      <alignment horizontal="center" vertical="center" wrapText="1"/>
    </xf>
    <xf numFmtId="0" fontId="54" fillId="0" borderId="1" xfId="0" applyFont="1" applyBorder="1" applyAlignment="1">
      <alignment horizontal="center" vertical="center" wrapText="1"/>
    </xf>
    <xf numFmtId="0" fontId="54" fillId="0" borderId="1" xfId="0" applyFont="1" applyBorder="1" applyAlignment="1">
      <alignment vertical="center" wrapText="1"/>
    </xf>
    <xf numFmtId="0" fontId="53" fillId="0" borderId="1" xfId="0" applyFont="1" applyBorder="1" applyAlignment="1">
      <alignment horizontal="center" vertical="center" wrapText="1"/>
    </xf>
    <xf numFmtId="3" fontId="54" fillId="0" borderId="1" xfId="0" applyNumberFormat="1" applyFont="1" applyBorder="1" applyAlignment="1">
      <alignment horizontal="center" vertical="center" wrapText="1"/>
    </xf>
    <xf numFmtId="3" fontId="53" fillId="0" borderId="1" xfId="0" applyNumberFormat="1" applyFont="1" applyBorder="1" applyAlignment="1">
      <alignment horizontal="center" vertical="center" wrapText="1"/>
    </xf>
    <xf numFmtId="0" fontId="54" fillId="0" borderId="1" xfId="0" applyFont="1" applyBorder="1" applyAlignment="1">
      <alignment horizontal="justify" vertical="center" wrapText="1"/>
    </xf>
    <xf numFmtId="0" fontId="53" fillId="0" borderId="1" xfId="0" applyFont="1" applyBorder="1" applyAlignment="1">
      <alignment vertical="center" wrapText="1"/>
    </xf>
    <xf numFmtId="0" fontId="38" fillId="3" borderId="1" xfId="4" applyFont="1" applyFill="1" applyBorder="1" applyAlignment="1">
      <alignment horizontal="center" vertical="center"/>
    </xf>
    <xf numFmtId="0" fontId="38" fillId="3" borderId="1" xfId="4" applyFont="1" applyFill="1" applyBorder="1" applyAlignment="1">
      <alignment horizontal="center" vertical="center" wrapText="1"/>
    </xf>
    <xf numFmtId="0" fontId="10" fillId="7" borderId="0" xfId="7" applyFont="1" applyFill="1"/>
    <xf numFmtId="0" fontId="10" fillId="7" borderId="0" xfId="7" applyFont="1" applyFill="1" applyAlignment="1">
      <alignment horizontal="right"/>
    </xf>
    <xf numFmtId="0" fontId="10" fillId="7" borderId="1" xfId="7" applyFont="1" applyFill="1" applyBorder="1" applyAlignment="1">
      <alignment horizontal="center" vertical="center" wrapText="1"/>
    </xf>
    <xf numFmtId="0" fontId="10" fillId="7" borderId="0" xfId="7" applyFont="1" applyFill="1" applyAlignment="1">
      <alignment vertical="center" wrapText="1"/>
    </xf>
    <xf numFmtId="2" fontId="34" fillId="0" borderId="1" xfId="8" applyNumberFormat="1" applyFont="1" applyBorder="1" applyAlignment="1" applyProtection="1">
      <alignment horizontal="center" wrapText="1"/>
      <protection locked="0"/>
    </xf>
    <xf numFmtId="0" fontId="10" fillId="7" borderId="22" xfId="7" applyFont="1" applyFill="1" applyBorder="1" applyAlignment="1">
      <alignment horizontal="center" vertical="center"/>
    </xf>
    <xf numFmtId="166" fontId="35" fillId="0" borderId="1" xfId="8" applyNumberFormat="1" applyFont="1" applyBorder="1" applyAlignment="1" applyProtection="1">
      <alignment horizontal="center" wrapText="1"/>
      <protection locked="0"/>
    </xf>
    <xf numFmtId="0" fontId="10" fillId="12" borderId="22" xfId="7" applyFont="1" applyFill="1" applyBorder="1" applyAlignment="1">
      <alignment horizontal="center" vertical="center" wrapText="1"/>
    </xf>
    <xf numFmtId="0" fontId="10" fillId="12" borderId="22" xfId="7" applyFont="1" applyFill="1" applyBorder="1"/>
    <xf numFmtId="0" fontId="10" fillId="12" borderId="22" xfId="7" applyFont="1" applyFill="1" applyBorder="1" applyAlignment="1">
      <alignment horizontal="center"/>
    </xf>
    <xf numFmtId="0" fontId="10" fillId="12" borderId="22" xfId="9" applyFont="1" applyFill="1" applyBorder="1" applyAlignment="1">
      <alignment horizontal="center" vertical="center" wrapText="1"/>
    </xf>
    <xf numFmtId="0" fontId="10" fillId="12" borderId="22" xfId="7" applyFont="1" applyFill="1" applyBorder="1" applyAlignment="1">
      <alignment horizontal="center" wrapText="1"/>
    </xf>
    <xf numFmtId="49" fontId="35" fillId="4" borderId="22" xfId="8" applyNumberFormat="1" applyFont="1" applyFill="1" applyBorder="1" applyAlignment="1">
      <alignment horizontal="center" vertical="center" wrapText="1"/>
    </xf>
    <xf numFmtId="49" fontId="27" fillId="4" borderId="22" xfId="8" applyNumberFormat="1" applyFont="1" applyFill="1" applyBorder="1" applyAlignment="1">
      <alignment horizontal="left" vertical="center" wrapText="1"/>
    </xf>
    <xf numFmtId="0" fontId="27" fillId="7" borderId="22" xfId="7" applyFont="1" applyFill="1" applyBorder="1" applyAlignment="1" applyProtection="1">
      <alignment horizontal="center" vertical="center" wrapText="1"/>
      <protection locked="0"/>
    </xf>
    <xf numFmtId="2" fontId="27" fillId="7" borderId="22" xfId="7" applyNumberFormat="1" applyFont="1" applyFill="1" applyBorder="1" applyAlignment="1" applyProtection="1">
      <alignment horizontal="center" vertical="center" wrapText="1"/>
      <protection locked="0"/>
    </xf>
    <xf numFmtId="2" fontId="10" fillId="7" borderId="22" xfId="7" applyNumberFormat="1" applyFont="1" applyFill="1" applyBorder="1" applyAlignment="1">
      <alignment horizontal="center" vertical="center"/>
    </xf>
    <xf numFmtId="2" fontId="24" fillId="4" borderId="22" xfId="7" applyNumberFormat="1" applyFont="1" applyFill="1" applyBorder="1" applyAlignment="1">
      <alignment horizontal="center" vertical="center"/>
    </xf>
    <xf numFmtId="0" fontId="10" fillId="7" borderId="0" xfId="7" applyFont="1" applyFill="1" applyAlignment="1">
      <alignment horizontal="left"/>
    </xf>
    <xf numFmtId="49" fontId="6" fillId="0" borderId="1" xfId="4" applyNumberFormat="1" applyFont="1" applyBorder="1"/>
    <xf numFmtId="49" fontId="6" fillId="0" borderId="1" xfId="4" applyNumberFormat="1" applyFont="1" applyBorder="1" applyAlignment="1">
      <alignment wrapText="1"/>
    </xf>
    <xf numFmtId="43" fontId="7" fillId="3" borderId="1" xfId="10" applyFont="1" applyFill="1" applyBorder="1"/>
    <xf numFmtId="0" fontId="6" fillId="3" borderId="1" xfId="4" applyFont="1" applyFill="1" applyBorder="1" applyAlignment="1">
      <alignment horizontal="center" vertical="center"/>
    </xf>
    <xf numFmtId="2" fontId="6" fillId="0" borderId="1" xfId="4" applyNumberFormat="1" applyFont="1" applyBorder="1" applyAlignment="1">
      <alignment horizontal="center" vertical="center"/>
    </xf>
    <xf numFmtId="0" fontId="6" fillId="0" borderId="1" xfId="4" applyFont="1" applyBorder="1" applyAlignment="1">
      <alignment horizontal="center" vertical="center"/>
    </xf>
    <xf numFmtId="43" fontId="6" fillId="0" borderId="1" xfId="10" applyFont="1" applyBorder="1" applyAlignment="1">
      <alignment horizontal="center" vertical="center"/>
    </xf>
    <xf numFmtId="0" fontId="7" fillId="0" borderId="1" xfId="4" applyFont="1" applyBorder="1" applyAlignment="1">
      <alignment horizontal="center" vertical="center" wrapText="1"/>
    </xf>
    <xf numFmtId="4" fontId="40" fillId="0" borderId="1" xfId="4" applyNumberFormat="1" applyFont="1" applyBorder="1" applyAlignment="1">
      <alignment horizontal="center" vertical="center"/>
    </xf>
    <xf numFmtId="0" fontId="10" fillId="0" borderId="0" xfId="0" applyFont="1" applyAlignment="1">
      <alignment horizontal="left"/>
    </xf>
    <xf numFmtId="43" fontId="10" fillId="0" borderId="0" xfId="1" applyFont="1" applyAlignment="1">
      <alignment horizontal="right"/>
    </xf>
    <xf numFmtId="0" fontId="10" fillId="0" borderId="0" xfId="0" applyFont="1" applyAlignment="1">
      <alignment horizontal="left" wrapText="1"/>
    </xf>
    <xf numFmtId="0" fontId="10" fillId="0" borderId="1" xfId="0" applyFont="1" applyBorder="1" applyAlignment="1">
      <alignment horizontal="left" wrapText="1"/>
    </xf>
    <xf numFmtId="0" fontId="10" fillId="0" borderId="10" xfId="0" applyFont="1" applyBorder="1" applyAlignment="1">
      <alignment wrapText="1"/>
    </xf>
    <xf numFmtId="0" fontId="24" fillId="3" borderId="26" xfId="0" applyFont="1" applyFill="1" applyBorder="1"/>
    <xf numFmtId="0" fontId="24" fillId="3" borderId="27" xfId="0" applyFont="1" applyFill="1" applyBorder="1" applyAlignment="1">
      <alignment horizontal="left"/>
    </xf>
    <xf numFmtId="43" fontId="24" fillId="3" borderId="27" xfId="1" applyFont="1" applyFill="1" applyBorder="1"/>
    <xf numFmtId="43" fontId="24" fillId="3" borderId="28" xfId="1" applyFont="1" applyFill="1" applyBorder="1" applyAlignment="1">
      <alignment horizontal="right"/>
    </xf>
    <xf numFmtId="167" fontId="10" fillId="0" borderId="6" xfId="1" applyNumberFormat="1" applyFont="1" applyBorder="1" applyAlignment="1">
      <alignment horizontal="center" vertical="center"/>
    </xf>
    <xf numFmtId="167" fontId="10" fillId="0" borderId="11" xfId="1" applyNumberFormat="1" applyFont="1" applyBorder="1" applyAlignment="1">
      <alignment horizontal="center" vertical="center"/>
    </xf>
    <xf numFmtId="167" fontId="10" fillId="0" borderId="1" xfId="1" applyNumberFormat="1" applyFont="1" applyBorder="1" applyAlignment="1">
      <alignment horizontal="center" vertical="center"/>
    </xf>
    <xf numFmtId="0" fontId="24" fillId="11" borderId="29" xfId="0" applyFont="1" applyFill="1" applyBorder="1" applyAlignment="1">
      <alignment vertical="center"/>
    </xf>
    <xf numFmtId="0" fontId="24" fillId="11" borderId="3" xfId="0" applyFont="1" applyFill="1" applyBorder="1" applyAlignment="1">
      <alignment horizontal="left" vertical="center" wrapText="1"/>
    </xf>
    <xf numFmtId="0" fontId="24" fillId="11" borderId="3" xfId="0" applyFont="1" applyFill="1" applyBorder="1" applyAlignment="1">
      <alignment horizontal="center" vertical="center" wrapText="1"/>
    </xf>
    <xf numFmtId="43" fontId="24" fillId="11" borderId="30" xfId="1" applyFont="1" applyFill="1" applyBorder="1" applyAlignment="1">
      <alignment horizontal="center" vertical="center" wrapText="1"/>
    </xf>
    <xf numFmtId="4" fontId="0" fillId="0" borderId="0" xfId="0" applyNumberFormat="1"/>
    <xf numFmtId="4" fontId="27" fillId="7" borderId="1" xfId="4" applyNumberFormat="1" applyFont="1" applyFill="1" applyBorder="1" applyAlignment="1">
      <alignment horizontal="center" vertical="center"/>
    </xf>
    <xf numFmtId="4" fontId="6" fillId="0" borderId="0" xfId="4" applyNumberFormat="1" applyFont="1" applyAlignment="1">
      <alignment horizontal="center" vertical="center"/>
    </xf>
    <xf numFmtId="4" fontId="24" fillId="0" borderId="15" xfId="4" applyNumberFormat="1" applyFont="1" applyBorder="1" applyAlignment="1">
      <alignment horizontal="center" vertical="center" wrapText="1"/>
    </xf>
    <xf numFmtId="4" fontId="35" fillId="0" borderId="11" xfId="3" applyNumberFormat="1" applyFont="1" applyBorder="1" applyAlignment="1">
      <alignment horizontal="center"/>
    </xf>
    <xf numFmtId="4" fontId="34" fillId="8" borderId="16" xfId="3" applyNumberFormat="1" applyFont="1" applyFill="1" applyBorder="1" applyAlignment="1">
      <alignment horizontal="center"/>
    </xf>
    <xf numFmtId="4" fontId="27" fillId="0" borderId="4" xfId="3" applyNumberFormat="1" applyFont="1" applyBorder="1" applyAlignment="1">
      <alignment horizontal="center"/>
    </xf>
    <xf numFmtId="4" fontId="27" fillId="0" borderId="11" xfId="3" applyNumberFormat="1" applyFont="1" applyBorder="1" applyAlignment="1">
      <alignment horizontal="center"/>
    </xf>
    <xf numFmtId="4" fontId="31" fillId="8" borderId="13" xfId="3" applyNumberFormat="1" applyFont="1" applyFill="1" applyBorder="1" applyAlignment="1">
      <alignment horizontal="center"/>
    </xf>
    <xf numFmtId="4" fontId="27" fillId="0" borderId="1" xfId="4" applyNumberFormat="1" applyFont="1" applyBorder="1" applyAlignment="1">
      <alignment horizontal="center" vertical="center"/>
    </xf>
    <xf numFmtId="4" fontId="31" fillId="0" borderId="1" xfId="4" applyNumberFormat="1" applyFont="1" applyBorder="1" applyAlignment="1">
      <alignment horizontal="center"/>
    </xf>
    <xf numFmtId="4" fontId="24" fillId="0" borderId="14" xfId="4" applyNumberFormat="1" applyFont="1" applyBorder="1" applyAlignment="1">
      <alignment horizontal="center" vertical="center"/>
    </xf>
    <xf numFmtId="4" fontId="35" fillId="0" borderId="1" xfId="3" applyNumberFormat="1" applyFont="1" applyBorder="1" applyAlignment="1">
      <alignment horizontal="center"/>
    </xf>
    <xf numFmtId="4" fontId="3" fillId="0" borderId="0" xfId="4" applyNumberFormat="1"/>
    <xf numFmtId="4" fontId="24" fillId="4" borderId="1" xfId="4" applyNumberFormat="1" applyFont="1" applyFill="1" applyBorder="1" applyAlignment="1">
      <alignment horizontal="center"/>
    </xf>
    <xf numFmtId="4" fontId="10" fillId="0" borderId="0" xfId="4" applyNumberFormat="1" applyFont="1"/>
    <xf numFmtId="4" fontId="7" fillId="4" borderId="1" xfId="4" applyNumberFormat="1" applyFont="1" applyFill="1" applyBorder="1" applyAlignment="1">
      <alignment horizontal="center"/>
    </xf>
    <xf numFmtId="4" fontId="24" fillId="0" borderId="1" xfId="4" applyNumberFormat="1" applyFont="1" applyBorder="1" applyAlignment="1">
      <alignment horizontal="center" vertical="center"/>
    </xf>
    <xf numFmtId="4" fontId="24" fillId="0" borderId="1" xfId="4" applyNumberFormat="1" applyFont="1" applyBorder="1" applyAlignment="1">
      <alignment horizontal="center" vertical="center" wrapText="1"/>
    </xf>
    <xf numFmtId="4" fontId="27" fillId="0" borderId="4" xfId="3" applyNumberFormat="1" applyFont="1" applyBorder="1" applyAlignment="1">
      <alignment horizontal="center" vertical="center"/>
    </xf>
    <xf numFmtId="4" fontId="27" fillId="0" borderId="11" xfId="3" applyNumberFormat="1" applyFont="1" applyBorder="1" applyAlignment="1">
      <alignment horizontal="center" vertical="center"/>
    </xf>
    <xf numFmtId="4" fontId="31" fillId="8" borderId="13" xfId="3" applyNumberFormat="1" applyFont="1" applyFill="1" applyBorder="1" applyAlignment="1">
      <alignment horizontal="center" vertical="center"/>
    </xf>
    <xf numFmtId="4" fontId="37" fillId="0" borderId="1" xfId="4" applyNumberFormat="1" applyFont="1" applyBorder="1" applyAlignment="1">
      <alignment horizontal="center" vertical="center"/>
    </xf>
    <xf numFmtId="0" fontId="36" fillId="0" borderId="0" xfId="4" applyFont="1"/>
    <xf numFmtId="0" fontId="55" fillId="7" borderId="1" xfId="0" applyFont="1" applyFill="1" applyBorder="1" applyAlignment="1">
      <alignment horizontal="center" vertical="center" wrapText="1"/>
    </xf>
    <xf numFmtId="3" fontId="55" fillId="7" borderId="1" xfId="0" applyNumberFormat="1" applyFont="1" applyFill="1" applyBorder="1" applyAlignment="1">
      <alignment horizontal="center" vertical="center" wrapText="1"/>
    </xf>
    <xf numFmtId="0" fontId="55" fillId="7" borderId="1" xfId="0" applyFont="1" applyFill="1" applyBorder="1" applyAlignment="1">
      <alignment vertical="center"/>
    </xf>
    <xf numFmtId="0" fontId="16" fillId="7" borderId="1" xfId="0" applyFont="1" applyFill="1" applyBorder="1" applyAlignment="1">
      <alignment horizontal="center" vertical="center" wrapText="1"/>
    </xf>
    <xf numFmtId="0" fontId="16" fillId="0" borderId="1" xfId="0" applyFont="1" applyBorder="1" applyAlignment="1">
      <alignment horizontal="center" vertical="center" wrapText="1"/>
    </xf>
    <xf numFmtId="3" fontId="16" fillId="9" borderId="1" xfId="0" applyNumberFormat="1" applyFont="1" applyFill="1" applyBorder="1" applyAlignment="1">
      <alignment horizontal="center" vertical="center" wrapText="1"/>
    </xf>
    <xf numFmtId="1" fontId="16" fillId="0" borderId="1" xfId="0" applyNumberFormat="1" applyFont="1" applyBorder="1" applyAlignment="1">
      <alignment horizontal="center" vertical="center"/>
    </xf>
    <xf numFmtId="3" fontId="16" fillId="0" borderId="1" xfId="0" applyNumberFormat="1" applyFont="1" applyBorder="1" applyAlignment="1">
      <alignment horizontal="right" vertical="center" wrapText="1"/>
    </xf>
    <xf numFmtId="3" fontId="16" fillId="9" borderId="1" xfId="0" applyNumberFormat="1" applyFont="1" applyFill="1" applyBorder="1" applyAlignment="1">
      <alignment horizontal="right" vertical="center" wrapText="1"/>
    </xf>
    <xf numFmtId="4" fontId="15" fillId="0" borderId="1" xfId="2" applyNumberFormat="1" applyFont="1" applyBorder="1" applyAlignment="1">
      <alignment horizontal="center" vertical="center"/>
    </xf>
    <xf numFmtId="4" fontId="13" fillId="6" borderId="1" xfId="2" applyNumberFormat="1" applyFont="1" applyFill="1" applyBorder="1" applyAlignment="1">
      <alignment horizontal="center"/>
    </xf>
    <xf numFmtId="4" fontId="13" fillId="6" borderId="6" xfId="2" applyNumberFormat="1" applyFont="1" applyFill="1" applyBorder="1" applyAlignment="1">
      <alignment horizontal="center"/>
    </xf>
    <xf numFmtId="4" fontId="13" fillId="6" borderId="6" xfId="2" applyNumberFormat="1" applyFont="1" applyFill="1" applyBorder="1" applyAlignment="1">
      <alignment horizontal="center" vertical="center"/>
    </xf>
    <xf numFmtId="4" fontId="16" fillId="0" borderId="1" xfId="0" applyNumberFormat="1" applyFont="1" applyBorder="1" applyAlignment="1">
      <alignment horizontal="center" vertical="center"/>
    </xf>
    <xf numFmtId="4" fontId="13" fillId="6" borderId="1" xfId="1" applyNumberFormat="1" applyFont="1" applyFill="1" applyBorder="1" applyAlignment="1">
      <alignment horizontal="center"/>
    </xf>
    <xf numFmtId="4" fontId="17" fillId="6" borderId="1" xfId="2" applyNumberFormat="1" applyFont="1" applyFill="1" applyBorder="1" applyAlignment="1">
      <alignment horizontal="center"/>
    </xf>
    <xf numFmtId="4" fontId="17" fillId="6" borderId="1" xfId="1" applyNumberFormat="1" applyFont="1" applyFill="1" applyBorder="1" applyAlignment="1">
      <alignment horizontal="center"/>
    </xf>
    <xf numFmtId="4" fontId="13" fillId="6" borderId="1" xfId="1" applyNumberFormat="1" applyFont="1" applyFill="1" applyBorder="1" applyAlignment="1">
      <alignment horizontal="center" vertical="center"/>
    </xf>
    <xf numFmtId="4" fontId="17" fillId="6" borderId="6" xfId="1" applyNumberFormat="1" applyFont="1" applyFill="1" applyBorder="1" applyAlignment="1">
      <alignment horizontal="center" vertical="center"/>
    </xf>
    <xf numFmtId="0" fontId="37" fillId="0" borderId="0" xfId="0" applyFont="1"/>
    <xf numFmtId="0" fontId="57" fillId="0" borderId="0" xfId="0" applyFont="1" applyAlignment="1">
      <alignment vertical="center" wrapText="1"/>
    </xf>
    <xf numFmtId="0" fontId="37" fillId="0" borderId="1" xfId="0" applyFont="1" applyBorder="1" applyAlignment="1">
      <alignment horizontal="center" vertical="center"/>
    </xf>
    <xf numFmtId="0" fontId="37" fillId="0" borderId="1" xfId="0" applyFont="1" applyBorder="1" applyAlignment="1">
      <alignment horizontal="center" vertical="center" wrapText="1"/>
    </xf>
    <xf numFmtId="0" fontId="41" fillId="0" borderId="1" xfId="0" applyFont="1" applyBorder="1" applyAlignment="1">
      <alignment wrapText="1"/>
    </xf>
    <xf numFmtId="3" fontId="41" fillId="0" borderId="1" xfId="0" applyNumberFormat="1" applyFont="1" applyBorder="1" applyAlignment="1">
      <alignment horizontal="center" vertical="center"/>
    </xf>
    <xf numFmtId="0" fontId="11" fillId="0" borderId="0" xfId="4" applyFont="1" applyAlignment="1">
      <alignment horizontal="right" wrapText="1"/>
    </xf>
    <xf numFmtId="0" fontId="38" fillId="0" borderId="0" xfId="0" applyFont="1"/>
    <xf numFmtId="0" fontId="11" fillId="0" borderId="0" xfId="4" applyFont="1" applyAlignment="1">
      <alignment horizontal="right"/>
    </xf>
    <xf numFmtId="0" fontId="38" fillId="0" borderId="7" xfId="4" applyFont="1" applyBorder="1" applyAlignment="1">
      <alignment horizontal="center" wrapText="1"/>
    </xf>
    <xf numFmtId="0" fontId="2" fillId="0" borderId="1" xfId="0" applyFont="1" applyBorder="1" applyAlignment="1">
      <alignment horizontal="right"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xf>
    <xf numFmtId="0" fontId="2" fillId="0" borderId="1" xfId="0" applyFont="1" applyBorder="1" applyAlignment="1">
      <alignment horizontal="left" vertical="center" wrapText="1"/>
    </xf>
    <xf numFmtId="0" fontId="4" fillId="0" borderId="1" xfId="0" applyFont="1" applyBorder="1" applyAlignment="1">
      <alignment horizontal="left"/>
    </xf>
    <xf numFmtId="0" fontId="4" fillId="0" borderId="1" xfId="0" applyFont="1" applyBorder="1" applyAlignment="1">
      <alignment horizontal="center" vertical="center"/>
    </xf>
    <xf numFmtId="3" fontId="4" fillId="0" borderId="1" xfId="0" applyNumberFormat="1" applyFont="1" applyBorder="1" applyAlignment="1">
      <alignment horizontal="center" vertical="center"/>
    </xf>
    <xf numFmtId="0" fontId="4" fillId="0" borderId="1" xfId="0" applyFont="1" applyBorder="1" applyAlignment="1">
      <alignment horizontal="right"/>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0" fontId="60" fillId="0" borderId="1" xfId="0" applyFont="1" applyBorder="1" applyAlignment="1">
      <alignment horizontal="left"/>
    </xf>
    <xf numFmtId="0" fontId="2" fillId="0" borderId="1" xfId="0" applyFont="1" applyBorder="1" applyAlignment="1">
      <alignment horizontal="center" vertical="center"/>
    </xf>
    <xf numFmtId="3" fontId="60" fillId="0" borderId="1" xfId="0" applyNumberFormat="1" applyFont="1" applyBorder="1" applyAlignment="1">
      <alignment horizontal="center" vertical="center"/>
    </xf>
    <xf numFmtId="0" fontId="4" fillId="0" borderId="2" xfId="0" applyFont="1" applyBorder="1" applyAlignment="1">
      <alignment horizontal="right" wrapText="1"/>
    </xf>
    <xf numFmtId="3" fontId="4" fillId="0" borderId="2" xfId="0" applyNumberFormat="1" applyFont="1" applyBorder="1" applyAlignment="1">
      <alignment horizontal="center" vertical="center"/>
    </xf>
    <xf numFmtId="3" fontId="0" fillId="0" borderId="2" xfId="0" applyNumberFormat="1" applyBorder="1" applyAlignment="1">
      <alignment horizontal="center" vertical="center"/>
    </xf>
    <xf numFmtId="0" fontId="4" fillId="0" borderId="1" xfId="0" applyFont="1" applyBorder="1" applyAlignment="1">
      <alignment horizontal="left" vertical="top" wrapText="1"/>
    </xf>
    <xf numFmtId="0" fontId="4" fillId="0" borderId="1" xfId="0" applyFont="1" applyBorder="1" applyAlignment="1">
      <alignment horizontal="right" wrapText="1"/>
    </xf>
    <xf numFmtId="3" fontId="0" fillId="0" borderId="1" xfId="0" applyNumberFormat="1" applyBorder="1" applyAlignment="1">
      <alignment horizontal="center" vertical="center"/>
    </xf>
    <xf numFmtId="0" fontId="60" fillId="0" borderId="1" xfId="0" applyFont="1" applyBorder="1" applyAlignment="1">
      <alignment horizontal="center" vertical="center"/>
    </xf>
    <xf numFmtId="0" fontId="4" fillId="0" borderId="3" xfId="0" applyFont="1" applyBorder="1" applyAlignment="1">
      <alignment horizontal="right" vertical="center" wrapText="1"/>
    </xf>
    <xf numFmtId="0" fontId="4" fillId="0" borderId="3" xfId="0" applyFont="1" applyBorder="1" applyAlignment="1">
      <alignment horizontal="center" vertical="center"/>
    </xf>
    <xf numFmtId="0" fontId="2" fillId="0" borderId="1" xfId="0" applyFont="1" applyBorder="1" applyAlignment="1">
      <alignment wrapText="1"/>
    </xf>
    <xf numFmtId="3" fontId="4" fillId="0" borderId="1" xfId="0" applyNumberFormat="1"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xf>
    <xf numFmtId="0" fontId="61" fillId="0" borderId="0" xfId="0" applyFont="1"/>
    <xf numFmtId="0" fontId="61" fillId="0" borderId="1" xfId="0" applyFont="1" applyBorder="1" applyAlignment="1">
      <alignment horizontal="center" vertical="center" wrapText="1"/>
    </xf>
    <xf numFmtId="0" fontId="64" fillId="9" borderId="1" xfId="0" applyFont="1" applyFill="1" applyBorder="1" applyAlignment="1">
      <alignment horizontal="center" vertical="center" wrapText="1"/>
    </xf>
    <xf numFmtId="0" fontId="43" fillId="9" borderId="1" xfId="0" applyFont="1" applyFill="1" applyBorder="1" applyAlignment="1">
      <alignment vertical="center" wrapText="1"/>
    </xf>
    <xf numFmtId="0" fontId="43" fillId="9" borderId="1" xfId="0" applyFont="1" applyFill="1" applyBorder="1" applyAlignment="1">
      <alignment horizontal="center" vertical="center" wrapText="1"/>
    </xf>
    <xf numFmtId="3" fontId="43" fillId="9" borderId="1" xfId="0" applyNumberFormat="1" applyFont="1" applyFill="1" applyBorder="1" applyAlignment="1">
      <alignment horizontal="center" vertical="center" wrapText="1"/>
    </xf>
    <xf numFmtId="3" fontId="43" fillId="9" borderId="1" xfId="0" applyNumberFormat="1" applyFont="1" applyFill="1" applyBorder="1" applyAlignment="1">
      <alignment horizontal="center" vertical="center"/>
    </xf>
    <xf numFmtId="0" fontId="43" fillId="0" borderId="1" xfId="0" applyFont="1" applyBorder="1" applyAlignment="1">
      <alignment horizontal="center" vertical="center"/>
    </xf>
    <xf numFmtId="3" fontId="43" fillId="0" borderId="1" xfId="0" applyNumberFormat="1" applyFont="1" applyBorder="1" applyAlignment="1">
      <alignment horizontal="center" vertical="center"/>
    </xf>
    <xf numFmtId="0" fontId="44" fillId="7" borderId="1" xfId="0" applyFont="1" applyFill="1" applyBorder="1" applyAlignment="1">
      <alignment horizontal="center" vertical="center" wrapText="1"/>
    </xf>
    <xf numFmtId="0" fontId="62" fillId="0" borderId="1" xfId="0" applyFont="1" applyBorder="1" applyAlignment="1">
      <alignment horizontal="center" vertical="center" wrapText="1"/>
    </xf>
    <xf numFmtId="0" fontId="65" fillId="0" borderId="7" xfId="0" applyFont="1" applyBorder="1" applyAlignment="1">
      <alignment horizontal="center" vertical="center" wrapText="1"/>
    </xf>
    <xf numFmtId="0" fontId="65" fillId="0" borderId="1" xfId="0" applyFont="1" applyBorder="1" applyAlignment="1">
      <alignment horizontal="center" vertical="center" wrapText="1"/>
    </xf>
    <xf numFmtId="0" fontId="63" fillId="0" borderId="1" xfId="0" applyFont="1" applyBorder="1" applyAlignment="1">
      <alignment horizontal="center" vertical="center" wrapText="1"/>
    </xf>
    <xf numFmtId="3" fontId="13" fillId="6" borderId="1" xfId="2" applyNumberFormat="1" applyFont="1" applyFill="1" applyBorder="1" applyAlignment="1">
      <alignment horizontal="center" vertical="center"/>
    </xf>
    <xf numFmtId="4" fontId="13" fillId="6" borderId="6" xfId="1" applyNumberFormat="1" applyFont="1" applyFill="1" applyBorder="1" applyAlignment="1">
      <alignment horizontal="center" vertical="center"/>
    </xf>
    <xf numFmtId="2" fontId="37" fillId="0" borderId="0" xfId="0" applyNumberFormat="1" applyFont="1"/>
    <xf numFmtId="0" fontId="10" fillId="0" borderId="0" xfId="11" applyFont="1"/>
    <xf numFmtId="0" fontId="25" fillId="0" borderId="0" xfId="2" applyFont="1" applyAlignment="1">
      <alignment horizontal="center" vertical="center" wrapText="1"/>
    </xf>
    <xf numFmtId="0" fontId="24" fillId="2" borderId="1" xfId="11" applyFont="1" applyFill="1" applyBorder="1" applyAlignment="1">
      <alignment horizontal="center" vertical="center" wrapText="1"/>
    </xf>
    <xf numFmtId="0" fontId="10" fillId="0" borderId="1" xfId="11" applyFont="1" applyBorder="1" applyAlignment="1">
      <alignment horizontal="center" wrapText="1"/>
    </xf>
    <xf numFmtId="0" fontId="10" fillId="0" borderId="1" xfId="11" applyFont="1" applyBorder="1" applyAlignment="1">
      <alignment horizontal="center"/>
    </xf>
    <xf numFmtId="168" fontId="10" fillId="0" borderId="1" xfId="11" applyNumberFormat="1" applyFont="1" applyBorder="1" applyAlignment="1">
      <alignment horizontal="center"/>
    </xf>
    <xf numFmtId="0" fontId="6" fillId="0" borderId="1" xfId="11" applyFont="1" applyBorder="1" applyAlignment="1">
      <alignment horizontal="center"/>
    </xf>
    <xf numFmtId="2" fontId="10" fillId="0" borderId="1" xfId="11" applyNumberFormat="1" applyFont="1" applyBorder="1" applyAlignment="1">
      <alignment horizontal="right"/>
    </xf>
    <xf numFmtId="0" fontId="10" fillId="0" borderId="1" xfId="11" applyFont="1" applyBorder="1"/>
    <xf numFmtId="0" fontId="24" fillId="0" borderId="1" xfId="11" applyFont="1" applyBorder="1" applyAlignment="1">
      <alignment horizontal="right"/>
    </xf>
    <xf numFmtId="2" fontId="24" fillId="0" borderId="1" xfId="11" applyNumberFormat="1" applyFont="1" applyBorder="1" applyAlignment="1">
      <alignment horizontal="right"/>
    </xf>
    <xf numFmtId="0" fontId="10" fillId="0" borderId="0" xfId="11" applyFont="1" applyAlignment="1">
      <alignment horizontal="center"/>
    </xf>
    <xf numFmtId="0" fontId="68" fillId="2" borderId="1" xfId="11" applyFont="1" applyFill="1" applyBorder="1" applyAlignment="1">
      <alignment horizontal="center" vertical="center" wrapText="1"/>
    </xf>
    <xf numFmtId="0" fontId="24" fillId="2" borderId="1" xfId="11" applyFont="1" applyFill="1" applyBorder="1" applyAlignment="1">
      <alignment horizontal="center" vertical="center"/>
    </xf>
    <xf numFmtId="0" fontId="69" fillId="7" borderId="1" xfId="11" applyFont="1" applyFill="1" applyBorder="1" applyAlignment="1">
      <alignment horizontal="center" vertical="center" wrapText="1"/>
    </xf>
    <xf numFmtId="2" fontId="69" fillId="7" borderId="1" xfId="11" applyNumberFormat="1" applyFont="1" applyFill="1" applyBorder="1" applyAlignment="1">
      <alignment horizontal="center" vertical="center" wrapText="1"/>
    </xf>
    <xf numFmtId="1" fontId="69" fillId="7" borderId="1" xfId="11" applyNumberFormat="1" applyFont="1" applyFill="1" applyBorder="1" applyAlignment="1">
      <alignment horizontal="center" vertical="center" wrapText="1"/>
    </xf>
    <xf numFmtId="0" fontId="10" fillId="7" borderId="1" xfId="11" applyFont="1" applyFill="1" applyBorder="1" applyAlignment="1">
      <alignment horizontal="center"/>
    </xf>
    <xf numFmtId="2" fontId="10" fillId="7" borderId="1" xfId="11" applyNumberFormat="1" applyFont="1" applyFill="1" applyBorder="1" applyAlignment="1">
      <alignment horizontal="center"/>
    </xf>
    <xf numFmtId="1" fontId="10" fillId="7" borderId="1" xfId="11" applyNumberFormat="1" applyFont="1" applyFill="1" applyBorder="1" applyAlignment="1">
      <alignment horizontal="center"/>
    </xf>
    <xf numFmtId="0" fontId="10" fillId="0" borderId="1" xfId="11" applyFont="1" applyBorder="1" applyAlignment="1">
      <alignment horizontal="center" vertical="center" wrapText="1"/>
    </xf>
    <xf numFmtId="0" fontId="10" fillId="0" borderId="1" xfId="11" applyFont="1" applyBorder="1" applyAlignment="1">
      <alignment horizontal="center" vertical="center"/>
    </xf>
    <xf numFmtId="0" fontId="10" fillId="0" borderId="0" xfId="11" applyFont="1" applyAlignment="1">
      <alignment wrapText="1"/>
    </xf>
    <xf numFmtId="0" fontId="10" fillId="0" borderId="0" xfId="11" applyFont="1" applyAlignment="1">
      <alignment horizontal="center" vertical="center"/>
    </xf>
    <xf numFmtId="2" fontId="24" fillId="0" borderId="1" xfId="11" applyNumberFormat="1" applyFont="1" applyBorder="1" applyAlignment="1">
      <alignment horizontal="right" vertical="center"/>
    </xf>
    <xf numFmtId="0" fontId="24" fillId="0" borderId="1" xfId="11" applyFont="1" applyBorder="1" applyAlignment="1">
      <alignment horizontal="right" vertical="center" wrapText="1"/>
    </xf>
    <xf numFmtId="0" fontId="24" fillId="7" borderId="1" xfId="11" applyFont="1" applyFill="1" applyBorder="1" applyAlignment="1">
      <alignment horizontal="right"/>
    </xf>
    <xf numFmtId="0" fontId="24" fillId="7" borderId="1" xfId="11" applyFont="1" applyFill="1" applyBorder="1"/>
    <xf numFmtId="4" fontId="24" fillId="7" borderId="1" xfId="11" applyNumberFormat="1" applyFont="1" applyFill="1" applyBorder="1" applyAlignment="1">
      <alignment horizontal="right" vertical="center"/>
    </xf>
    <xf numFmtId="0" fontId="69" fillId="7" borderId="1" xfId="12" applyFont="1" applyFill="1" applyBorder="1" applyAlignment="1">
      <alignment horizontal="center" vertical="center" wrapText="1"/>
    </xf>
    <xf numFmtId="0" fontId="29" fillId="0" borderId="1" xfId="13" applyFont="1" applyBorder="1" applyAlignment="1">
      <alignment vertical="center" wrapText="1"/>
    </xf>
    <xf numFmtId="0" fontId="27" fillId="0" borderId="1" xfId="12" applyFont="1" applyBorder="1" applyAlignment="1">
      <alignment vertical="center" wrapText="1"/>
    </xf>
    <xf numFmtId="0" fontId="31" fillId="0" borderId="1" xfId="12" applyFont="1" applyBorder="1" applyAlignment="1">
      <alignment vertical="center" wrapText="1"/>
    </xf>
    <xf numFmtId="4" fontId="31" fillId="0" borderId="1" xfId="12" applyNumberFormat="1" applyFont="1" applyBorder="1" applyAlignment="1">
      <alignment vertical="center" wrapText="1"/>
    </xf>
    <xf numFmtId="0" fontId="24" fillId="0" borderId="1" xfId="11" applyFont="1" applyBorder="1"/>
    <xf numFmtId="0" fontId="24" fillId="0" borderId="0" xfId="11" applyFont="1"/>
    <xf numFmtId="0" fontId="67" fillId="0" borderId="0" xfId="12"/>
    <xf numFmtId="0" fontId="24" fillId="0" borderId="0" xfId="11" applyFont="1" applyAlignment="1">
      <alignment horizontal="right"/>
    </xf>
    <xf numFmtId="168" fontId="24" fillId="0" borderId="0" xfId="11" applyNumberFormat="1" applyFont="1" applyAlignment="1">
      <alignment horizontal="center"/>
    </xf>
    <xf numFmtId="4" fontId="10" fillId="0" borderId="1" xfId="11" applyNumberFormat="1" applyFont="1" applyBorder="1" applyAlignment="1">
      <alignment horizontal="right"/>
    </xf>
    <xf numFmtId="4" fontId="24" fillId="0" borderId="1" xfId="11" applyNumberFormat="1" applyFont="1" applyBorder="1" applyAlignment="1">
      <alignment horizontal="right"/>
    </xf>
    <xf numFmtId="0" fontId="24" fillId="7" borderId="0" xfId="11" applyFont="1" applyFill="1" applyAlignment="1">
      <alignment horizontal="right"/>
    </xf>
    <xf numFmtId="0" fontId="24" fillId="7" borderId="0" xfId="11" applyFont="1" applyFill="1"/>
    <xf numFmtId="168" fontId="24" fillId="7" borderId="0" xfId="11" applyNumberFormat="1" applyFont="1" applyFill="1" applyAlignment="1">
      <alignment horizontal="center"/>
    </xf>
    <xf numFmtId="2" fontId="24" fillId="0" borderId="0" xfId="11" applyNumberFormat="1" applyFont="1" applyAlignment="1">
      <alignment horizontal="right" vertical="center" wrapText="1"/>
    </xf>
    <xf numFmtId="4" fontId="31" fillId="0" borderId="0" xfId="12" applyNumberFormat="1" applyFont="1" applyAlignment="1">
      <alignment vertical="center" wrapText="1"/>
    </xf>
    <xf numFmtId="0" fontId="24" fillId="7" borderId="1" xfId="11" applyFont="1" applyFill="1" applyBorder="1" applyAlignment="1">
      <alignment horizontal="right" vertical="center" wrapText="1"/>
    </xf>
    <xf numFmtId="0" fontId="10" fillId="7" borderId="0" xfId="11" applyFont="1" applyFill="1"/>
    <xf numFmtId="2" fontId="24" fillId="7" borderId="0" xfId="11" applyNumberFormat="1" applyFont="1" applyFill="1" applyAlignment="1">
      <alignment horizontal="right" vertical="center"/>
    </xf>
    <xf numFmtId="0" fontId="29" fillId="0" borderId="0" xfId="12" applyFont="1" applyAlignment="1">
      <alignment horizontal="left"/>
    </xf>
    <xf numFmtId="2" fontId="10" fillId="0" borderId="0" xfId="11" applyNumberFormat="1" applyFont="1"/>
    <xf numFmtId="4" fontId="10" fillId="0" borderId="0" xfId="11" applyNumberFormat="1" applyFont="1"/>
    <xf numFmtId="0" fontId="11" fillId="0" borderId="0" xfId="0" applyFont="1" applyAlignment="1">
      <alignment horizontal="right" wrapText="1"/>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8" fillId="0" borderId="0" xfId="0" applyFont="1" applyAlignment="1">
      <alignment horizontal="right" wrapText="1"/>
    </xf>
    <xf numFmtId="0" fontId="8" fillId="0" borderId="0" xfId="0" applyFont="1" applyAlignment="1">
      <alignment horizontal="right"/>
    </xf>
    <xf numFmtId="0" fontId="57" fillId="0" borderId="9" xfId="0" applyFont="1" applyBorder="1" applyAlignment="1">
      <alignment horizontal="center"/>
    </xf>
    <xf numFmtId="0" fontId="57" fillId="0" borderId="14" xfId="0" applyFont="1" applyBorder="1" applyAlignment="1">
      <alignment horizontal="center"/>
    </xf>
    <xf numFmtId="0" fontId="57" fillId="0" borderId="15" xfId="0" applyFont="1" applyBorder="1" applyAlignment="1">
      <alignment horizontal="center"/>
    </xf>
    <xf numFmtId="0" fontId="11" fillId="0" borderId="0" xfId="4" applyFont="1" applyAlignment="1">
      <alignment horizontal="right" wrapText="1"/>
    </xf>
    <xf numFmtId="0" fontId="34" fillId="0" borderId="0" xfId="4" applyFont="1" applyAlignment="1">
      <alignment horizontal="center" wrapText="1"/>
    </xf>
    <xf numFmtId="0" fontId="11" fillId="0" borderId="0" xfId="4" applyFont="1" applyAlignment="1">
      <alignment horizontal="right"/>
    </xf>
    <xf numFmtId="0" fontId="38" fillId="0" borderId="7" xfId="4" applyFont="1" applyBorder="1" applyAlignment="1">
      <alignment horizontal="center" wrapText="1"/>
    </xf>
    <xf numFmtId="0" fontId="10" fillId="7" borderId="22" xfId="7" applyFont="1" applyFill="1" applyBorder="1" applyAlignment="1">
      <alignment horizontal="center" vertical="center" wrapText="1"/>
    </xf>
    <xf numFmtId="0" fontId="10" fillId="7" borderId="22" xfId="7" applyFont="1" applyFill="1" applyBorder="1" applyAlignment="1">
      <alignment horizontal="center" vertical="center"/>
    </xf>
    <xf numFmtId="0" fontId="10" fillId="12" borderId="22" xfId="7" applyFont="1" applyFill="1" applyBorder="1" applyAlignment="1">
      <alignment horizontal="center" vertical="center" wrapText="1"/>
    </xf>
    <xf numFmtId="0" fontId="8" fillId="7" borderId="0" xfId="7" applyFont="1" applyFill="1" applyAlignment="1">
      <alignment horizontal="right" wrapText="1"/>
    </xf>
    <xf numFmtId="0" fontId="8" fillId="7" borderId="0" xfId="7" applyFont="1" applyFill="1" applyAlignment="1">
      <alignment horizontal="right"/>
    </xf>
    <xf numFmtId="0" fontId="10" fillId="12" borderId="23" xfId="7" applyFont="1" applyFill="1" applyBorder="1" applyAlignment="1">
      <alignment horizontal="center" vertical="center" wrapText="1"/>
    </xf>
    <xf numFmtId="0" fontId="10" fillId="12" borderId="24" xfId="7" applyFont="1" applyFill="1" applyBorder="1" applyAlignment="1">
      <alignment horizontal="center" vertical="center" wrapText="1"/>
    </xf>
    <xf numFmtId="0" fontId="10" fillId="12" borderId="25" xfId="7" applyFont="1" applyFill="1" applyBorder="1" applyAlignment="1">
      <alignment horizontal="center" vertical="center" wrapText="1"/>
    </xf>
    <xf numFmtId="0" fontId="54" fillId="0" borderId="1" xfId="0" applyFont="1" applyBorder="1" applyAlignment="1">
      <alignment horizontal="center" vertical="center" wrapText="1"/>
    </xf>
    <xf numFmtId="0" fontId="59" fillId="0" borderId="0" xfId="0" applyFont="1" applyAlignment="1">
      <alignment horizontal="right" wrapText="1"/>
    </xf>
    <xf numFmtId="0" fontId="59" fillId="0" borderId="0" xfId="0" applyFont="1" applyAlignment="1">
      <alignment horizontal="right"/>
    </xf>
    <xf numFmtId="0" fontId="24" fillId="0" borderId="1" xfId="4" applyFont="1" applyBorder="1" applyAlignment="1">
      <alignment horizontal="center" vertical="center" wrapText="1"/>
    </xf>
    <xf numFmtId="0" fontId="36" fillId="0" borderId="0" xfId="4" applyFont="1" applyAlignment="1">
      <alignment horizontal="right" wrapText="1"/>
    </xf>
    <xf numFmtId="0" fontId="30" fillId="0" borderId="0" xfId="4" applyFont="1" applyAlignment="1">
      <alignment horizontal="center" wrapText="1"/>
    </xf>
    <xf numFmtId="0" fontId="29" fillId="0" borderId="0" xfId="3" applyFont="1" applyAlignment="1">
      <alignment horizontal="right" wrapText="1"/>
    </xf>
    <xf numFmtId="0" fontId="29" fillId="0" borderId="0" xfId="3" applyFont="1" applyAlignment="1">
      <alignment horizontal="right"/>
    </xf>
    <xf numFmtId="0" fontId="34" fillId="0" borderId="0" xfId="4" applyFont="1" applyAlignment="1">
      <alignment horizontal="center"/>
    </xf>
    <xf numFmtId="1" fontId="18" fillId="0" borderId="0" xfId="4" applyNumberFormat="1" applyFont="1" applyAlignment="1">
      <alignment horizontal="left" vertical="center"/>
    </xf>
    <xf numFmtId="0" fontId="35" fillId="7" borderId="4" xfId="5" applyFont="1" applyFill="1" applyBorder="1" applyAlignment="1">
      <alignment horizontal="left" vertical="center" wrapText="1"/>
    </xf>
    <xf numFmtId="0" fontId="35" fillId="7" borderId="5" xfId="5" applyFont="1" applyFill="1" applyBorder="1" applyAlignment="1">
      <alignment horizontal="left" vertical="center" wrapText="1"/>
    </xf>
    <xf numFmtId="0" fontId="35" fillId="7" borderId="6" xfId="5" applyFont="1" applyFill="1" applyBorder="1" applyAlignment="1">
      <alignment horizontal="left" vertical="center" wrapText="1"/>
    </xf>
    <xf numFmtId="0" fontId="47" fillId="5" borderId="1" xfId="5" applyFont="1" applyFill="1" applyBorder="1" applyAlignment="1">
      <alignment horizontal="right"/>
    </xf>
    <xf numFmtId="0" fontId="48" fillId="5" borderId="1" xfId="5" applyFont="1" applyFill="1" applyBorder="1" applyAlignment="1">
      <alignment horizontal="left" vertical="center" wrapText="1"/>
    </xf>
    <xf numFmtId="0" fontId="35" fillId="3" borderId="21" xfId="5" applyFont="1" applyFill="1" applyBorder="1" applyAlignment="1">
      <alignment horizontal="left" vertical="center" wrapText="1"/>
    </xf>
    <xf numFmtId="0" fontId="53" fillId="0" borderId="0" xfId="5" applyFont="1" applyAlignment="1">
      <alignment horizontal="right" wrapText="1"/>
    </xf>
    <xf numFmtId="0" fontId="53" fillId="0" borderId="0" xfId="5" applyFont="1" applyAlignment="1">
      <alignment horizontal="right"/>
    </xf>
    <xf numFmtId="0" fontId="35" fillId="7" borderId="1" xfId="5" applyFont="1" applyFill="1" applyBorder="1" applyAlignment="1">
      <alignment horizontal="left" vertical="center" wrapText="1"/>
    </xf>
    <xf numFmtId="0" fontId="35" fillId="0" borderId="1" xfId="5" applyFont="1" applyBorder="1" applyAlignment="1">
      <alignment horizontal="left" vertical="center" wrapText="1"/>
    </xf>
    <xf numFmtId="0" fontId="47" fillId="0" borderId="17" xfId="5" applyFont="1" applyBorder="1" applyAlignment="1">
      <alignment horizontal="center" vertical="center" wrapText="1"/>
    </xf>
    <xf numFmtId="0" fontId="47" fillId="0" borderId="7" xfId="5" applyFont="1" applyBorder="1" applyAlignment="1">
      <alignment horizontal="center" vertical="center" wrapText="1"/>
    </xf>
    <xf numFmtId="0" fontId="47" fillId="10" borderId="1" xfId="5" applyFont="1" applyFill="1" applyBorder="1" applyAlignment="1">
      <alignment horizontal="center"/>
    </xf>
    <xf numFmtId="0" fontId="35" fillId="2" borderId="21" xfId="5" applyFont="1" applyFill="1" applyBorder="1" applyAlignment="1">
      <alignment horizontal="left" vertical="center" wrapText="1"/>
    </xf>
    <xf numFmtId="0" fontId="35" fillId="3" borderId="18" xfId="5" applyFont="1" applyFill="1" applyBorder="1" applyAlignment="1">
      <alignment horizontal="left" vertical="center" wrapText="1"/>
    </xf>
    <xf numFmtId="0" fontId="35" fillId="3" borderId="19" xfId="5" applyFont="1" applyFill="1" applyBorder="1" applyAlignment="1">
      <alignment horizontal="left" vertical="center" wrapText="1"/>
    </xf>
    <xf numFmtId="0" fontId="35" fillId="3" borderId="20" xfId="5" applyFont="1" applyFill="1" applyBorder="1" applyAlignment="1">
      <alignment horizontal="left" vertical="center" wrapText="1"/>
    </xf>
    <xf numFmtId="0" fontId="61" fillId="0" borderId="0" xfId="0" applyFont="1" applyAlignment="1">
      <alignment horizontal="left" vertical="center" wrapText="1"/>
    </xf>
    <xf numFmtId="0" fontId="21" fillId="0" borderId="7" xfId="2" applyFont="1" applyBorder="1" applyAlignment="1">
      <alignment horizontal="center" vertical="center" wrapText="1"/>
    </xf>
    <xf numFmtId="0" fontId="13" fillId="6" borderId="1" xfId="2" applyFont="1" applyFill="1" applyBorder="1" applyAlignment="1">
      <alignment horizontal="right" vertical="center"/>
    </xf>
    <xf numFmtId="0" fontId="13" fillId="6" borderId="4" xfId="2" applyFont="1" applyFill="1" applyBorder="1" applyAlignment="1">
      <alignment horizontal="right" vertical="center"/>
    </xf>
    <xf numFmtId="0" fontId="13" fillId="6" borderId="5" xfId="2" applyFont="1" applyFill="1" applyBorder="1" applyAlignment="1">
      <alignment horizontal="right" vertical="center"/>
    </xf>
    <xf numFmtId="0" fontId="13" fillId="6" borderId="6" xfId="2" applyFont="1" applyFill="1" applyBorder="1" applyAlignment="1">
      <alignment horizontal="right" vertical="center"/>
    </xf>
    <xf numFmtId="0" fontId="12" fillId="0" borderId="7" xfId="2" applyFont="1" applyBorder="1" applyAlignment="1">
      <alignment horizontal="center" vertical="center" wrapText="1"/>
    </xf>
    <xf numFmtId="0" fontId="17" fillId="6" borderId="5" xfId="2" applyFont="1" applyFill="1" applyBorder="1" applyAlignment="1">
      <alignment horizontal="right" vertical="center"/>
    </xf>
    <xf numFmtId="0" fontId="17" fillId="6" borderId="6" xfId="2" applyFont="1" applyFill="1" applyBorder="1" applyAlignment="1">
      <alignment horizontal="right" vertical="center"/>
    </xf>
    <xf numFmtId="0" fontId="17" fillId="6" borderId="1" xfId="2" applyFont="1" applyFill="1" applyBorder="1" applyAlignment="1">
      <alignment horizontal="right" vertical="center"/>
    </xf>
    <xf numFmtId="0" fontId="24" fillId="7" borderId="0" xfId="0" applyFont="1" applyFill="1" applyAlignment="1">
      <alignment horizontal="center"/>
    </xf>
    <xf numFmtId="0" fontId="25" fillId="6" borderId="5" xfId="2" applyFont="1" applyFill="1" applyBorder="1" applyAlignment="1">
      <alignment horizontal="right" vertical="center"/>
    </xf>
    <xf numFmtId="0" fontId="25" fillId="6" borderId="6" xfId="2" applyFont="1" applyFill="1" applyBorder="1" applyAlignment="1">
      <alignment horizontal="right" vertical="center"/>
    </xf>
    <xf numFmtId="0" fontId="25" fillId="6" borderId="4" xfId="2" applyFont="1" applyFill="1" applyBorder="1" applyAlignment="1">
      <alignment horizontal="right" vertical="center"/>
    </xf>
    <xf numFmtId="0" fontId="8" fillId="7" borderId="0" xfId="0" applyFont="1" applyFill="1" applyAlignment="1">
      <alignment horizontal="right" wrapText="1"/>
    </xf>
    <xf numFmtId="0" fontId="8" fillId="7" borderId="0" xfId="0" applyFont="1" applyFill="1" applyAlignment="1">
      <alignment horizontal="right"/>
    </xf>
    <xf numFmtId="0" fontId="59" fillId="7" borderId="0" xfId="0" applyFont="1" applyFill="1" applyAlignment="1">
      <alignment horizontal="left"/>
    </xf>
    <xf numFmtId="0" fontId="56" fillId="0" borderId="0" xfId="0" applyFont="1" applyAlignment="1">
      <alignment horizontal="center" vertical="center" wrapText="1"/>
    </xf>
    <xf numFmtId="0" fontId="41" fillId="0" borderId="0" xfId="0" applyFont="1" applyAlignment="1">
      <alignment horizontal="left" vertical="center" wrapText="1"/>
    </xf>
    <xf numFmtId="0" fontId="42" fillId="0" borderId="0" xfId="0" applyFont="1" applyAlignment="1">
      <alignment horizontal="center"/>
    </xf>
    <xf numFmtId="0" fontId="18" fillId="0" borderId="0" xfId="0" applyFont="1" applyAlignment="1">
      <alignment horizontal="right" wrapText="1"/>
    </xf>
    <xf numFmtId="0" fontId="18" fillId="0" borderId="0" xfId="0" applyFont="1" applyAlignment="1">
      <alignment horizontal="right"/>
    </xf>
    <xf numFmtId="0" fontId="61" fillId="0" borderId="0" xfId="0" applyFont="1" applyAlignment="1">
      <alignment horizontal="right" wrapText="1"/>
    </xf>
    <xf numFmtId="0" fontId="44" fillId="7" borderId="1" xfId="0" applyFont="1" applyFill="1" applyBorder="1" applyAlignment="1">
      <alignment horizontal="center" vertical="center"/>
    </xf>
    <xf numFmtId="0" fontId="7" fillId="0" borderId="7" xfId="0" applyFont="1" applyBorder="1" applyAlignment="1">
      <alignment horizontal="center" vertical="center" wrapText="1"/>
    </xf>
    <xf numFmtId="2" fontId="24" fillId="0" borderId="4" xfId="11" applyNumberFormat="1" applyFont="1" applyBorder="1" applyAlignment="1">
      <alignment horizontal="right" vertical="center" wrapText="1"/>
    </xf>
    <xf numFmtId="2" fontId="24" fillId="0" borderId="6" xfId="11" applyNumberFormat="1" applyFont="1" applyBorder="1" applyAlignment="1">
      <alignment horizontal="right" vertical="center" wrapText="1"/>
    </xf>
    <xf numFmtId="0" fontId="61" fillId="0" borderId="0" xfId="11" applyFont="1" applyAlignment="1">
      <alignment horizontal="right" wrapText="1"/>
    </xf>
    <xf numFmtId="0" fontId="61" fillId="0" borderId="0" xfId="11" applyFont="1" applyAlignment="1">
      <alignment horizontal="right"/>
    </xf>
    <xf numFmtId="0" fontId="25" fillId="0" borderId="0" xfId="2" applyFont="1" applyAlignment="1">
      <alignment horizontal="center" vertical="center" wrapText="1"/>
    </xf>
    <xf numFmtId="0" fontId="24" fillId="0" borderId="0" xfId="11" applyFont="1" applyAlignment="1">
      <alignment horizontal="center"/>
    </xf>
    <xf numFmtId="4" fontId="27" fillId="0" borderId="2" xfId="12" applyNumberFormat="1" applyFont="1" applyBorder="1" applyAlignment="1">
      <alignment horizontal="center" vertical="center" wrapText="1"/>
    </xf>
    <xf numFmtId="4" fontId="27" fillId="0" borderId="8" xfId="12" applyNumberFormat="1" applyFont="1" applyBorder="1" applyAlignment="1">
      <alignment horizontal="center" vertical="center" wrapText="1"/>
    </xf>
    <xf numFmtId="4" fontId="27" fillId="0" borderId="3" xfId="12" applyNumberFormat="1" applyFont="1" applyBorder="1" applyAlignment="1">
      <alignment horizontal="center" vertical="center" wrapText="1"/>
    </xf>
    <xf numFmtId="4" fontId="10" fillId="0" borderId="2" xfId="11" applyNumberFormat="1" applyFont="1" applyBorder="1" applyAlignment="1">
      <alignment horizontal="center" vertical="center"/>
    </xf>
    <xf numFmtId="4" fontId="10" fillId="0" borderId="8" xfId="11" applyNumberFormat="1" applyFont="1" applyBorder="1" applyAlignment="1">
      <alignment horizontal="center" vertical="center"/>
    </xf>
    <xf numFmtId="4" fontId="10" fillId="0" borderId="3" xfId="11" applyNumberFormat="1" applyFont="1" applyBorder="1" applyAlignment="1">
      <alignment horizontal="center" vertical="center"/>
    </xf>
    <xf numFmtId="0" fontId="21" fillId="0" borderId="0" xfId="2" applyFont="1" applyAlignment="1">
      <alignment horizontal="center" vertical="center" wrapText="1"/>
    </xf>
    <xf numFmtId="3" fontId="10" fillId="0" borderId="2" xfId="11" applyNumberFormat="1" applyFont="1" applyBorder="1" applyAlignment="1">
      <alignment horizontal="center" vertical="center"/>
    </xf>
    <xf numFmtId="3" fontId="10" fillId="0" borderId="8" xfId="11" applyNumberFormat="1" applyFont="1" applyBorder="1" applyAlignment="1">
      <alignment horizontal="center" vertical="center"/>
    </xf>
    <xf numFmtId="3" fontId="10" fillId="0" borderId="3" xfId="11" applyNumberFormat="1" applyFont="1" applyBorder="1" applyAlignment="1">
      <alignment horizontal="center" vertical="center"/>
    </xf>
  </cellXfs>
  <cellStyles count="15">
    <cellStyle name="Comma" xfId="1" builtinId="3"/>
    <cellStyle name="Comma 2" xfId="10" xr:uid="{C03446A3-797C-41C7-8D4F-CB80F3A256C1}"/>
    <cellStyle name="Hyperlink 2" xfId="13" xr:uid="{61CE1DF0-23C2-47D0-8B0F-40B1D489FC40}"/>
    <cellStyle name="Normal" xfId="0" builtinId="0"/>
    <cellStyle name="Normal 10 2 2" xfId="8" xr:uid="{19247448-6DA5-459A-92B5-B05D6CF1CB14}"/>
    <cellStyle name="Normal 2" xfId="4" xr:uid="{ED0C284E-302B-4086-B0A6-C57127387BC9}"/>
    <cellStyle name="Normal 2 2" xfId="3" xr:uid="{3655B2F1-F2BF-449F-85F2-EAA88B5C036C}"/>
    <cellStyle name="Normal 2 2 2" xfId="14" xr:uid="{2C9887F9-4FEB-4592-A36D-F03B3A424CEE}"/>
    <cellStyle name="Normal 3" xfId="5" xr:uid="{DFBAD7EC-0AB4-46B3-9FB0-15792A14B61C}"/>
    <cellStyle name="Normal 3 2" xfId="7" xr:uid="{89999609-2B8F-4774-89D4-D393D3A27A7B}"/>
    <cellStyle name="Normal 3 3" xfId="9" xr:uid="{BB31933B-BC4E-40BA-8C5F-4CE10E580349}"/>
    <cellStyle name="Normal 4" xfId="6" xr:uid="{84AF2D13-30BF-484D-AD2A-851F43499C4E}"/>
    <cellStyle name="Normal 5" xfId="12" xr:uid="{115D5E66-9B39-45ED-B774-F898606650CD}"/>
    <cellStyle name="Normal 6 10 2" xfId="2" xr:uid="{42D841A2-65D3-4657-846F-BEB5B52EDE62}"/>
    <cellStyle name="Normal 6 3" xfId="11" xr:uid="{9D2089ED-28EA-4002-8A18-2FDC03ABAAD7}"/>
  </cellStyles>
  <dxfs count="1">
    <dxf>
      <font>
        <color rgb="FF9C0006"/>
      </font>
      <fill>
        <patternFill>
          <bgColor rgb="FFFFC7CE"/>
        </patternFill>
      </fill>
    </dxf>
  </dxfs>
  <tableStyles count="0" defaultTableStyle="TableStyleMedium2" defaultPivotStyle="PivotStyleLight16"/>
  <colors>
    <mruColors>
      <color rgb="FFFED4E3"/>
      <color rgb="FFF7DBE9"/>
      <color rgb="FFFC30C7"/>
      <color rgb="FFD1FAFB"/>
      <color rgb="FFF9EEFC"/>
      <color rgb="FFE5E6ED"/>
      <color rgb="FF3399FF"/>
      <color rgb="FFEFF7D5"/>
      <color rgb="FFE4EC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32"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externalLink" Target="externalLinks/externalLink7.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externalLink" Target="externalLinks/externalLink9.xml"/><Relationship Id="rId35" Type="http://schemas.openxmlformats.org/officeDocument/2006/relationships/sharedStrings" Target="sharedStrings.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liga.citskovska/Documents/2016/Aknu_transp_04.2016/Aknu_transp_kops.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C:\Users\Arina%20Bistrova\Desktop\Tarifi_atbildes%20v&#275;stules\par%20intraoperat&#299;vu%20monitor&#275;&#353;anu\Darba%20faili\2024.gada%20alga\2024_Piemaksa%20par%20introoperat&#299;vo%20kontrastvielu%20un%20t&#257;s%20ievad&#299;&#353;anu.xlsx" TargetMode="External"/><Relationship Id="rId1" Type="http://schemas.openxmlformats.org/officeDocument/2006/relationships/externalLinkPath" Target="/Redirect_profiles/VM_Igors_Belovs/My%20Documents/Darba%20mape/MK_r&#299;kojuma_projekti/2024/VM/IT_kapac_vienre_pas&#257;k_080124/Darba_fails/NVD/2024_Piemaksa%20par%20introoperat&#299;vo%20kontrastvielu%20un%20t&#257;s%20ievad&#299;&#353;an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n_tarifs"/>
      <sheetName val="Ārstn.pers."/>
      <sheetName val="Ārstn.līdz."/>
      <sheetName val="Nolietojums"/>
      <sheetName val="FInanšu ietekmes kopsavilkums"/>
    </sheetNames>
    <sheetDataSet>
      <sheetData sheetId="0"/>
      <sheetData sheetId="1"/>
      <sheetData sheetId="2">
        <row r="11">
          <cell r="G11">
            <v>1176</v>
          </cell>
        </row>
      </sheetData>
      <sheetData sheetId="3"/>
      <sheetData sheetId="4"/>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B81D9-449C-4FCE-B372-3DCA1E4FB061}">
  <sheetPr>
    <tabColor rgb="FFFFC000"/>
  </sheetPr>
  <dimension ref="A1:H42"/>
  <sheetViews>
    <sheetView tabSelected="1" view="pageBreakPreview" zoomScale="78" zoomScaleNormal="78" zoomScaleSheetLayoutView="78" workbookViewId="0">
      <selection activeCell="W9" sqref="W9"/>
    </sheetView>
  </sheetViews>
  <sheetFormatPr defaultRowHeight="15" x14ac:dyDescent="0.25"/>
  <cols>
    <col min="1" max="1" width="7.5703125" customWidth="1"/>
    <col min="2" max="2" width="39.5703125" customWidth="1"/>
    <col min="3" max="3" width="19.140625" customWidth="1"/>
    <col min="4" max="4" width="13.7109375" customWidth="1"/>
    <col min="5" max="5" width="15.140625" customWidth="1"/>
    <col min="6" max="6" width="15.42578125" customWidth="1"/>
    <col min="7" max="7" width="16.7109375" customWidth="1"/>
  </cols>
  <sheetData>
    <row r="1" spans="1:8" ht="88.5" customHeight="1" x14ac:dyDescent="0.25">
      <c r="E1" s="364" t="s">
        <v>285</v>
      </c>
      <c r="F1" s="364"/>
      <c r="G1" s="364"/>
    </row>
    <row r="3" spans="1:8" ht="45" x14ac:dyDescent="0.25">
      <c r="A3" s="293" t="s">
        <v>249</v>
      </c>
      <c r="B3" s="1" t="s">
        <v>0</v>
      </c>
      <c r="C3" s="2" t="s">
        <v>1</v>
      </c>
      <c r="D3" s="1" t="s">
        <v>2</v>
      </c>
      <c r="E3" s="1" t="s">
        <v>3</v>
      </c>
      <c r="F3" s="1" t="s">
        <v>4</v>
      </c>
      <c r="G3" s="2" t="s">
        <v>5</v>
      </c>
    </row>
    <row r="4" spans="1:8" x14ac:dyDescent="0.25">
      <c r="A4" s="293"/>
      <c r="B4" s="267" t="s">
        <v>14</v>
      </c>
      <c r="C4" s="268"/>
      <c r="D4" s="269">
        <f>D17+D27+D9+D14</f>
        <v>5129009.7730302494</v>
      </c>
      <c r="E4" s="269">
        <f>E17+E27+E9+E14</f>
        <v>2309069</v>
      </c>
      <c r="F4" s="269">
        <f t="shared" ref="F4:G4" si="0">F17+F27+F9+F14</f>
        <v>2309069</v>
      </c>
      <c r="G4" s="269">
        <f t="shared" si="0"/>
        <v>2309069</v>
      </c>
    </row>
    <row r="5" spans="1:8" x14ac:dyDescent="0.25">
      <c r="A5" s="293"/>
      <c r="B5" s="267" t="s">
        <v>307</v>
      </c>
      <c r="C5" s="268"/>
      <c r="D5" s="269">
        <f>D38</f>
        <v>83570.074919999999</v>
      </c>
      <c r="E5" s="269">
        <f t="shared" ref="E5:G5" si="1">E38</f>
        <v>113882.74704</v>
      </c>
      <c r="F5" s="269">
        <f t="shared" si="1"/>
        <v>113882.74704</v>
      </c>
      <c r="G5" s="269">
        <f t="shared" si="1"/>
        <v>113882.74704</v>
      </c>
      <c r="H5" s="3"/>
    </row>
    <row r="6" spans="1:8" x14ac:dyDescent="0.25">
      <c r="A6" s="293"/>
      <c r="B6" s="267" t="s">
        <v>220</v>
      </c>
      <c r="C6" s="268"/>
      <c r="D6" s="269">
        <f>D26+D22+D24+D19+D29+D36+D40</f>
        <v>2540898.2981102499</v>
      </c>
      <c r="E6" s="269">
        <f>E26+E22+E24+E19+E29+E36</f>
        <v>1498879.5962204998</v>
      </c>
      <c r="F6" s="269">
        <f t="shared" ref="F6:G6" si="2">F26+F22+F24+F19+F29+F36</f>
        <v>1498879.5962204998</v>
      </c>
      <c r="G6" s="269">
        <f t="shared" si="2"/>
        <v>1498879.5962204998</v>
      </c>
    </row>
    <row r="7" spans="1:8" x14ac:dyDescent="0.25">
      <c r="A7" s="293"/>
      <c r="B7" s="267" t="s">
        <v>221</v>
      </c>
      <c r="C7" s="268"/>
      <c r="D7" s="269">
        <f>D16+D13</f>
        <v>822554</v>
      </c>
      <c r="E7" s="269">
        <f t="shared" ref="E7:G7" si="3">E16+E13</f>
        <v>497554</v>
      </c>
      <c r="F7" s="269">
        <f t="shared" si="3"/>
        <v>497554</v>
      </c>
      <c r="G7" s="269">
        <f t="shared" si="3"/>
        <v>497554</v>
      </c>
    </row>
    <row r="8" spans="1:8" x14ac:dyDescent="0.25">
      <c r="A8" s="293"/>
      <c r="B8" s="267" t="s">
        <v>222</v>
      </c>
      <c r="C8" s="268"/>
      <c r="D8" s="269">
        <f>D30+D32+D34+D42</f>
        <v>1681987.4</v>
      </c>
      <c r="E8" s="269">
        <f t="shared" ref="E8:G8" si="4">E30+E32+E34+E42</f>
        <v>198752</v>
      </c>
      <c r="F8" s="269">
        <f t="shared" si="4"/>
        <v>198752</v>
      </c>
      <c r="G8" s="269">
        <f t="shared" si="4"/>
        <v>198752</v>
      </c>
    </row>
    <row r="9" spans="1:8" ht="45" x14ac:dyDescent="0.25">
      <c r="A9" s="293">
        <v>1</v>
      </c>
      <c r="B9" s="270" t="s">
        <v>257</v>
      </c>
      <c r="C9" s="268"/>
      <c r="D9" s="269">
        <f>D10+D11+D12</f>
        <v>325000</v>
      </c>
      <c r="E9" s="269">
        <f>E10+E11+E12</f>
        <v>0</v>
      </c>
      <c r="F9" s="269">
        <f>F10+F11+F12</f>
        <v>0</v>
      </c>
      <c r="G9" s="269">
        <f>G10+G11+G12</f>
        <v>0</v>
      </c>
    </row>
    <row r="10" spans="1:8" ht="105" x14ac:dyDescent="0.25">
      <c r="A10" s="293" t="s">
        <v>250</v>
      </c>
      <c r="B10" s="284" t="s">
        <v>10</v>
      </c>
      <c r="C10" s="365" t="s">
        <v>88</v>
      </c>
      <c r="D10" s="290">
        <f>'1.1.RNPC_aprīk'!E18</f>
        <v>250000</v>
      </c>
      <c r="E10" s="285">
        <v>0</v>
      </c>
      <c r="F10" s="285">
        <v>0</v>
      </c>
      <c r="G10" s="285">
        <v>0</v>
      </c>
    </row>
    <row r="11" spans="1:8" x14ac:dyDescent="0.25">
      <c r="A11" s="293" t="s">
        <v>129</v>
      </c>
      <c r="B11" s="284" t="s">
        <v>11</v>
      </c>
      <c r="C11" s="366"/>
      <c r="D11" s="290">
        <f>'1.2.RNPC_auto_ieg'!G10</f>
        <v>50000</v>
      </c>
      <c r="E11" s="285">
        <v>0</v>
      </c>
      <c r="F11" s="285">
        <v>0</v>
      </c>
      <c r="G11" s="285">
        <v>0</v>
      </c>
    </row>
    <row r="12" spans="1:8" x14ac:dyDescent="0.25">
      <c r="A12" s="293" t="s">
        <v>130</v>
      </c>
      <c r="B12" s="284" t="s">
        <v>12</v>
      </c>
      <c r="C12" s="367"/>
      <c r="D12" s="290">
        <f>'1.3.RNPC_gāzes_iekr'!G10</f>
        <v>25000</v>
      </c>
      <c r="E12" s="285">
        <v>0</v>
      </c>
      <c r="F12" s="285">
        <v>0</v>
      </c>
      <c r="G12" s="285">
        <v>0</v>
      </c>
    </row>
    <row r="13" spans="1:8" x14ac:dyDescent="0.25">
      <c r="A13" s="293"/>
      <c r="B13" s="284" t="s">
        <v>221</v>
      </c>
      <c r="C13" s="291"/>
      <c r="D13" s="290">
        <f>325000</f>
        <v>325000</v>
      </c>
      <c r="E13" s="285">
        <v>0</v>
      </c>
      <c r="F13" s="285">
        <v>0</v>
      </c>
      <c r="G13" s="285">
        <v>0</v>
      </c>
    </row>
    <row r="14" spans="1:8" ht="30" x14ac:dyDescent="0.25">
      <c r="A14" s="293">
        <v>2</v>
      </c>
      <c r="B14" s="270" t="s">
        <v>262</v>
      </c>
      <c r="C14" s="268"/>
      <c r="D14" s="269">
        <f t="shared" ref="D14:G15" si="5">D15</f>
        <v>497554</v>
      </c>
      <c r="E14" s="269">
        <f t="shared" si="5"/>
        <v>497554</v>
      </c>
      <c r="F14" s="269">
        <f t="shared" si="5"/>
        <v>497554</v>
      </c>
      <c r="G14" s="269">
        <f t="shared" si="5"/>
        <v>497554</v>
      </c>
    </row>
    <row r="15" spans="1:8" ht="29.25" customHeight="1" x14ac:dyDescent="0.25">
      <c r="A15" s="293" t="s">
        <v>132</v>
      </c>
      <c r="B15" s="284" t="s">
        <v>218</v>
      </c>
      <c r="C15" s="292" t="s">
        <v>87</v>
      </c>
      <c r="D15" s="276">
        <f t="shared" si="5"/>
        <v>497554</v>
      </c>
      <c r="E15" s="276">
        <f t="shared" si="5"/>
        <v>497554</v>
      </c>
      <c r="F15" s="276">
        <f t="shared" si="5"/>
        <v>497554</v>
      </c>
      <c r="G15" s="276">
        <f t="shared" si="5"/>
        <v>497554</v>
      </c>
    </row>
    <row r="16" spans="1:8" x14ac:dyDescent="0.25">
      <c r="A16" s="293"/>
      <c r="B16" s="284" t="s">
        <v>221</v>
      </c>
      <c r="C16" s="275"/>
      <c r="D16" s="276">
        <f>'2.1.NVD_FI'!F12</f>
        <v>497554</v>
      </c>
      <c r="E16" s="276">
        <f>D16</f>
        <v>497554</v>
      </c>
      <c r="F16" s="276">
        <f>E16</f>
        <v>497554</v>
      </c>
      <c r="G16" s="276">
        <f>F16</f>
        <v>497554</v>
      </c>
    </row>
    <row r="17" spans="1:7" ht="30" x14ac:dyDescent="0.25">
      <c r="A17" s="294">
        <v>3</v>
      </c>
      <c r="B17" s="270" t="s">
        <v>284</v>
      </c>
      <c r="C17" s="268"/>
      <c r="D17" s="269">
        <f>D18+D20+D25</f>
        <v>1617615</v>
      </c>
      <c r="E17" s="269">
        <f>E18+E20+E25</f>
        <v>508993</v>
      </c>
      <c r="F17" s="269">
        <f t="shared" ref="F17:G17" si="6">F18+F20+F25</f>
        <v>508993</v>
      </c>
      <c r="G17" s="269">
        <f t="shared" si="6"/>
        <v>508993</v>
      </c>
    </row>
    <row r="18" spans="1:7" x14ac:dyDescent="0.25">
      <c r="A18" s="293" t="s">
        <v>258</v>
      </c>
      <c r="B18" s="277" t="s">
        <v>261</v>
      </c>
      <c r="C18" s="278" t="s">
        <v>89</v>
      </c>
      <c r="D18" s="279">
        <f>D19</f>
        <v>806400</v>
      </c>
      <c r="E18" s="279">
        <f t="shared" ref="E18:G18" si="7">E19</f>
        <v>0</v>
      </c>
      <c r="F18" s="279">
        <f t="shared" si="7"/>
        <v>0</v>
      </c>
      <c r="G18" s="279">
        <f t="shared" si="7"/>
        <v>0</v>
      </c>
    </row>
    <row r="19" spans="1:7" x14ac:dyDescent="0.25">
      <c r="A19" s="293"/>
      <c r="B19" s="280" t="s">
        <v>220</v>
      </c>
      <c r="C19" s="275"/>
      <c r="D19" s="281">
        <f>'3.1.VADC'!D7</f>
        <v>806400</v>
      </c>
      <c r="E19" s="282">
        <v>0</v>
      </c>
      <c r="F19" s="282">
        <v>0</v>
      </c>
      <c r="G19" s="282">
        <v>0</v>
      </c>
    </row>
    <row r="20" spans="1:7" x14ac:dyDescent="0.25">
      <c r="A20" s="293" t="s">
        <v>259</v>
      </c>
      <c r="B20" s="270" t="s">
        <v>266</v>
      </c>
      <c r="C20" s="268"/>
      <c r="D20" s="269">
        <f>D21+D23</f>
        <v>622068</v>
      </c>
      <c r="E20" s="269">
        <f t="shared" ref="E20:G20" si="8">E21+E23</f>
        <v>300838</v>
      </c>
      <c r="F20" s="269">
        <f t="shared" si="8"/>
        <v>300838</v>
      </c>
      <c r="G20" s="269">
        <f t="shared" si="8"/>
        <v>300838</v>
      </c>
    </row>
    <row r="21" spans="1:7" x14ac:dyDescent="0.25">
      <c r="A21" s="293" t="s">
        <v>280</v>
      </c>
      <c r="B21" s="271" t="s">
        <v>268</v>
      </c>
      <c r="C21" s="272" t="s">
        <v>8</v>
      </c>
      <c r="D21" s="273">
        <f>D22</f>
        <v>300838</v>
      </c>
      <c r="E21" s="273">
        <f t="shared" ref="E21:G21" si="9">E22</f>
        <v>300838</v>
      </c>
      <c r="F21" s="273">
        <f t="shared" si="9"/>
        <v>300838</v>
      </c>
      <c r="G21" s="273">
        <f t="shared" si="9"/>
        <v>300838</v>
      </c>
    </row>
    <row r="22" spans="1:7" x14ac:dyDescent="0.25">
      <c r="A22" s="293"/>
      <c r="B22" s="274" t="s">
        <v>220</v>
      </c>
      <c r="C22" s="272"/>
      <c r="D22" s="273">
        <f>'3.2.1.NMPD_rehab'!D22+'3.2.1.NMPD_OMT_apmāc'!C10+'3.2.1.NMPD_apsardz'!E12</f>
        <v>300838</v>
      </c>
      <c r="E22" s="273">
        <f>D22</f>
        <v>300838</v>
      </c>
      <c r="F22" s="273">
        <f>E22</f>
        <v>300838</v>
      </c>
      <c r="G22" s="273">
        <f>F22</f>
        <v>300838</v>
      </c>
    </row>
    <row r="23" spans="1:7" ht="30" x14ac:dyDescent="0.25">
      <c r="A23" s="293" t="s">
        <v>281</v>
      </c>
      <c r="B23" s="283" t="s">
        <v>256</v>
      </c>
      <c r="C23" s="275" t="s">
        <v>8</v>
      </c>
      <c r="D23" s="273">
        <f>D24</f>
        <v>321230</v>
      </c>
      <c r="E23" s="273">
        <f t="shared" ref="E23:G23" si="10">E24</f>
        <v>0</v>
      </c>
      <c r="F23" s="273">
        <f t="shared" si="10"/>
        <v>0</v>
      </c>
      <c r="G23" s="273">
        <f t="shared" si="10"/>
        <v>0</v>
      </c>
    </row>
    <row r="24" spans="1:7" x14ac:dyDescent="0.25">
      <c r="A24" s="293"/>
      <c r="B24" s="284" t="s">
        <v>220</v>
      </c>
      <c r="C24" s="275"/>
      <c r="D24" s="273">
        <f>'3.2.2.NMPD_balon'!E12+'3.2.2.NMPD_body_cam'!G17</f>
        <v>321230</v>
      </c>
      <c r="E24" s="285">
        <v>0</v>
      </c>
      <c r="F24" s="285">
        <v>0</v>
      </c>
      <c r="G24" s="285">
        <v>0</v>
      </c>
    </row>
    <row r="25" spans="1:7" x14ac:dyDescent="0.25">
      <c r="A25" s="293" t="s">
        <v>251</v>
      </c>
      <c r="B25" s="277" t="s">
        <v>267</v>
      </c>
      <c r="C25" s="286" t="s">
        <v>6</v>
      </c>
      <c r="D25" s="279">
        <f>D26</f>
        <v>189147</v>
      </c>
      <c r="E25" s="279">
        <f>E26</f>
        <v>208155</v>
      </c>
      <c r="F25" s="279">
        <f t="shared" ref="F25:G25" si="11">F26</f>
        <v>208155</v>
      </c>
      <c r="G25" s="279">
        <f t="shared" si="11"/>
        <v>208155</v>
      </c>
    </row>
    <row r="26" spans="1:7" x14ac:dyDescent="0.25">
      <c r="A26" s="293"/>
      <c r="B26" s="274" t="s">
        <v>220</v>
      </c>
      <c r="C26" s="272"/>
      <c r="D26" s="273">
        <f>'3.3.VTMEC_pap_niepc'!C23</f>
        <v>189147</v>
      </c>
      <c r="E26" s="273">
        <f>'3.3.VTMEC_pap_niepc'!D23</f>
        <v>208155</v>
      </c>
      <c r="F26" s="273">
        <f>E26</f>
        <v>208155</v>
      </c>
      <c r="G26" s="273">
        <f>F26</f>
        <v>208155</v>
      </c>
    </row>
    <row r="27" spans="1:7" ht="75" x14ac:dyDescent="0.25">
      <c r="A27" s="293">
        <v>4</v>
      </c>
      <c r="B27" s="289" t="s">
        <v>9</v>
      </c>
      <c r="C27" s="278"/>
      <c r="D27" s="269">
        <f>D28+D31+D33+D35+D37+D39+D41</f>
        <v>2688840.7730302499</v>
      </c>
      <c r="E27" s="269">
        <f>ROUNDUP(E28+E31+E33+E35+E37+E39+E41,0)</f>
        <v>1302522</v>
      </c>
      <c r="F27" s="269">
        <f t="shared" ref="F27:G27" si="12">ROUNDUP(F28+F31+F33+F35+F37+F39+F41,0)</f>
        <v>1302522</v>
      </c>
      <c r="G27" s="269">
        <f t="shared" si="12"/>
        <v>1302522</v>
      </c>
    </row>
    <row r="28" spans="1:7" ht="60" x14ac:dyDescent="0.25">
      <c r="A28" s="293" t="s">
        <v>260</v>
      </c>
      <c r="B28" s="284" t="s">
        <v>270</v>
      </c>
      <c r="C28" s="275" t="s">
        <v>7</v>
      </c>
      <c r="D28" s="273">
        <f>D29+D30</f>
        <v>617201.69811025006</v>
      </c>
      <c r="E28" s="273">
        <f>E29+E30</f>
        <v>606558.59622049995</v>
      </c>
      <c r="F28" s="273">
        <f t="shared" ref="F28:G28" si="13">F29+F30</f>
        <v>606558.59622049995</v>
      </c>
      <c r="G28" s="273">
        <f t="shared" si="13"/>
        <v>606558.59622049995</v>
      </c>
    </row>
    <row r="29" spans="1:7" x14ac:dyDescent="0.25">
      <c r="A29" s="293"/>
      <c r="B29" s="284" t="s">
        <v>220</v>
      </c>
      <c r="C29" s="275"/>
      <c r="D29" s="273">
        <f>'4.1. NVD_papild_uztur'!H10+'4.1.NVD_TPL'!H20</f>
        <v>604327.29811025003</v>
      </c>
      <c r="E29" s="273">
        <f>'4.1. NVD_papild_uztur'!H10+'4.1.NVD_TPL'!I20</f>
        <v>606558.59622049995</v>
      </c>
      <c r="F29" s="273">
        <f>E29</f>
        <v>606558.59622049995</v>
      </c>
      <c r="G29" s="273">
        <f>F29</f>
        <v>606558.59622049995</v>
      </c>
    </row>
    <row r="30" spans="1:7" x14ac:dyDescent="0.25">
      <c r="A30" s="293"/>
      <c r="B30" s="284" t="s">
        <v>222</v>
      </c>
      <c r="C30" s="275"/>
      <c r="D30" s="273">
        <f>'4.1.NVD_TPL'!H8</f>
        <v>12874.4</v>
      </c>
      <c r="E30" s="273">
        <v>0</v>
      </c>
      <c r="F30" s="273">
        <v>0</v>
      </c>
      <c r="G30" s="273">
        <v>0</v>
      </c>
    </row>
    <row r="31" spans="1:7" ht="30" x14ac:dyDescent="0.25">
      <c r="A31" s="293" t="s">
        <v>282</v>
      </c>
      <c r="B31" s="284" t="s">
        <v>13</v>
      </c>
      <c r="C31" s="275" t="s">
        <v>7</v>
      </c>
      <c r="D31" s="273">
        <f>D32</f>
        <v>798600</v>
      </c>
      <c r="E31" s="273">
        <v>0</v>
      </c>
      <c r="F31" s="273">
        <v>0</v>
      </c>
      <c r="G31" s="273">
        <v>0</v>
      </c>
    </row>
    <row r="32" spans="1:7" x14ac:dyDescent="0.25">
      <c r="A32" s="293"/>
      <c r="B32" s="284" t="s">
        <v>222</v>
      </c>
      <c r="C32" s="275"/>
      <c r="D32" s="281">
        <f>'4.2.NVD_DigiVes_jauna_funk'!F9</f>
        <v>798600</v>
      </c>
      <c r="E32" s="282">
        <v>0</v>
      </c>
      <c r="F32" s="282">
        <v>0</v>
      </c>
      <c r="G32" s="282">
        <v>0</v>
      </c>
    </row>
    <row r="33" spans="1:7" ht="123.75" customHeight="1" x14ac:dyDescent="0.25">
      <c r="A33" s="293" t="s">
        <v>283</v>
      </c>
      <c r="B33" s="284" t="s">
        <v>269</v>
      </c>
      <c r="C33" s="275" t="s">
        <v>7</v>
      </c>
      <c r="D33" s="273">
        <f>'4.3.IKT ZZ'!C8</f>
        <v>800000</v>
      </c>
      <c r="E33" s="273">
        <f>'4.3.IKT ZZ'!D8</f>
        <v>128000</v>
      </c>
      <c r="F33" s="273">
        <f>E33</f>
        <v>128000</v>
      </c>
      <c r="G33" s="273">
        <f>E33</f>
        <v>128000</v>
      </c>
    </row>
    <row r="34" spans="1:7" x14ac:dyDescent="0.25">
      <c r="A34" s="293"/>
      <c r="B34" s="284" t="s">
        <v>222</v>
      </c>
      <c r="C34" s="275"/>
      <c r="D34" s="281">
        <f>'4.3.IKT ZZ'!C8</f>
        <v>800000</v>
      </c>
      <c r="E34" s="281">
        <f>'4.3.IKT ZZ'!D8</f>
        <v>128000</v>
      </c>
      <c r="F34" s="281">
        <f>E34</f>
        <v>128000</v>
      </c>
      <c r="G34" s="281">
        <f>F34</f>
        <v>128000</v>
      </c>
    </row>
    <row r="35" spans="1:7" x14ac:dyDescent="0.25">
      <c r="A35" s="293" t="s">
        <v>279</v>
      </c>
      <c r="B35" s="284" t="s">
        <v>278</v>
      </c>
      <c r="C35" s="275"/>
      <c r="D35" s="281">
        <f>D36</f>
        <v>287496</v>
      </c>
      <c r="E35" s="281">
        <f t="shared" ref="E35:G41" si="14">E36</f>
        <v>383328</v>
      </c>
      <c r="F35" s="281">
        <f t="shared" si="14"/>
        <v>383328</v>
      </c>
      <c r="G35" s="281">
        <f t="shared" si="14"/>
        <v>383328</v>
      </c>
    </row>
    <row r="36" spans="1:7" x14ac:dyDescent="0.25">
      <c r="A36" s="293"/>
      <c r="B36" s="287" t="s">
        <v>220</v>
      </c>
      <c r="C36" s="288"/>
      <c r="D36" s="273">
        <f>'4.4. NVD_papild_eksperti'!G8</f>
        <v>287496</v>
      </c>
      <c r="E36" s="273">
        <f>'4.4. NVD_papild_eksperti'!H8</f>
        <v>383328</v>
      </c>
      <c r="F36" s="273">
        <f t="shared" ref="F36" si="15">E36</f>
        <v>383328</v>
      </c>
      <c r="G36" s="273">
        <f t="shared" ref="G36" si="16">F36</f>
        <v>383328</v>
      </c>
    </row>
    <row r="37" spans="1:7" ht="30" x14ac:dyDescent="0.25">
      <c r="A37" s="293" t="s">
        <v>306</v>
      </c>
      <c r="B37" s="284" t="s">
        <v>342</v>
      </c>
      <c r="C37" s="275"/>
      <c r="D37" s="281">
        <f>D38</f>
        <v>83570.074919999999</v>
      </c>
      <c r="E37" s="281">
        <f t="shared" si="14"/>
        <v>113882.74704</v>
      </c>
      <c r="F37" s="281">
        <f t="shared" si="14"/>
        <v>113882.74704</v>
      </c>
      <c r="G37" s="281">
        <f t="shared" si="14"/>
        <v>113882.74704</v>
      </c>
    </row>
    <row r="38" spans="1:7" x14ac:dyDescent="0.25">
      <c r="A38" s="293"/>
      <c r="B38" s="287" t="s">
        <v>307</v>
      </c>
      <c r="C38" s="288"/>
      <c r="D38" s="273">
        <f>'4.5.NVD_CEF_atlīdzība'!O8</f>
        <v>83570.074919999999</v>
      </c>
      <c r="E38" s="273">
        <f>'4.5.NVD_CEF_atlīdzība'!O19</f>
        <v>113882.74704</v>
      </c>
      <c r="F38" s="273">
        <f t="shared" ref="F38" si="17">E38</f>
        <v>113882.74704</v>
      </c>
      <c r="G38" s="273">
        <f t="shared" ref="G38" si="18">F38</f>
        <v>113882.74704</v>
      </c>
    </row>
    <row r="39" spans="1:7" ht="30" x14ac:dyDescent="0.25">
      <c r="A39" s="293" t="s">
        <v>356</v>
      </c>
      <c r="B39" s="284" t="s">
        <v>362</v>
      </c>
      <c r="C39" s="275"/>
      <c r="D39" s="281">
        <f>D40</f>
        <v>31460</v>
      </c>
      <c r="E39" s="281">
        <f t="shared" si="14"/>
        <v>0</v>
      </c>
      <c r="F39" s="281">
        <f t="shared" si="14"/>
        <v>0</v>
      </c>
      <c r="G39" s="281">
        <f t="shared" si="14"/>
        <v>0</v>
      </c>
    </row>
    <row r="40" spans="1:7" x14ac:dyDescent="0.25">
      <c r="A40" s="293"/>
      <c r="B40" s="287" t="s">
        <v>220</v>
      </c>
      <c r="C40" s="288"/>
      <c r="D40" s="273">
        <f>'4.6. NVD_MI'!E10</f>
        <v>31460</v>
      </c>
      <c r="E40" s="273">
        <f>'4.5.NVD_CEF_atlīdzība'!O21</f>
        <v>0</v>
      </c>
      <c r="F40" s="273">
        <f t="shared" ref="F40" si="19">E40</f>
        <v>0</v>
      </c>
      <c r="G40" s="273">
        <f t="shared" ref="G40" si="20">F40</f>
        <v>0</v>
      </c>
    </row>
    <row r="41" spans="1:7" x14ac:dyDescent="0.25">
      <c r="A41" s="293" t="s">
        <v>368</v>
      </c>
      <c r="B41" s="284" t="s">
        <v>367</v>
      </c>
      <c r="C41" s="275"/>
      <c r="D41" s="281">
        <f>D42</f>
        <v>70513</v>
      </c>
      <c r="E41" s="281">
        <f t="shared" si="14"/>
        <v>70752</v>
      </c>
      <c r="F41" s="281">
        <f t="shared" si="14"/>
        <v>70752</v>
      </c>
      <c r="G41" s="281">
        <f t="shared" si="14"/>
        <v>70752</v>
      </c>
    </row>
    <row r="42" spans="1:7" x14ac:dyDescent="0.25">
      <c r="A42" s="293"/>
      <c r="B42" s="287" t="s">
        <v>222</v>
      </c>
      <c r="C42" s="288"/>
      <c r="D42" s="273">
        <f>'4.7.EPIDEM_infrastruktura'!C43</f>
        <v>70513</v>
      </c>
      <c r="E42" s="273">
        <f>'4.7.EPIDEM_infrastruktura'!C90</f>
        <v>70752</v>
      </c>
      <c r="F42" s="273">
        <f>'4.7.EPIDEM_infrastruktura'!C137</f>
        <v>70752</v>
      </c>
      <c r="G42" s="273">
        <f t="shared" ref="G42" si="21">F42</f>
        <v>70752</v>
      </c>
    </row>
  </sheetData>
  <mergeCells count="2">
    <mergeCell ref="E1:G1"/>
    <mergeCell ref="C10:C12"/>
  </mergeCells>
  <phoneticPr fontId="66" type="noConversion"/>
  <printOptions horizontalCentered="1"/>
  <pageMargins left="0.19685039370078741" right="0.11811023622047245" top="0.19685039370078741" bottom="0.15748031496062992" header="0.31496062992125984" footer="0.31496062992125984"/>
  <pageSetup scale="7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93A9-750A-4914-95B9-31D6E16A4ECA}">
  <sheetPr>
    <tabColor theme="5" tint="0.59999389629810485"/>
    <pageSetUpPr fitToPage="1"/>
  </sheetPr>
  <dimension ref="A1:F24"/>
  <sheetViews>
    <sheetView view="pageBreakPreview" zoomScaleNormal="100" zoomScaleSheetLayoutView="100" workbookViewId="0">
      <pane ySplit="3" topLeftCell="A4" activePane="bottomLeft" state="frozen"/>
      <selection activeCell="B3" sqref="B3:G3"/>
      <selection pane="bottomLeft" activeCell="A2" sqref="A2:E2"/>
    </sheetView>
  </sheetViews>
  <sheetFormatPr defaultColWidth="9.140625" defaultRowHeight="15" x14ac:dyDescent="0.25"/>
  <cols>
    <col min="1" max="1" width="71.5703125" style="38" customWidth="1"/>
    <col min="2" max="2" width="32.7109375" style="198" customWidth="1"/>
    <col min="3" max="4" width="14.7109375" style="38" customWidth="1"/>
    <col min="5" max="5" width="14.7109375" style="199" customWidth="1"/>
    <col min="6" max="16384" width="9.140625" style="38"/>
  </cols>
  <sheetData>
    <row r="1" spans="1:5" ht="92.25" customHeight="1" thickBot="1" x14ac:dyDescent="0.3">
      <c r="C1" s="368" t="s">
        <v>286</v>
      </c>
      <c r="D1" s="369"/>
      <c r="E1" s="369"/>
    </row>
    <row r="2" spans="1:5" ht="18.75" x14ac:dyDescent="0.3">
      <c r="A2" s="370" t="s">
        <v>272</v>
      </c>
      <c r="B2" s="371"/>
      <c r="C2" s="371"/>
      <c r="D2" s="371"/>
      <c r="E2" s="372"/>
    </row>
    <row r="3" spans="1:5" ht="42.75" x14ac:dyDescent="0.25">
      <c r="A3" s="210" t="s">
        <v>224</v>
      </c>
      <c r="B3" s="211" t="s">
        <v>15</v>
      </c>
      <c r="C3" s="212" t="s">
        <v>225</v>
      </c>
      <c r="D3" s="212" t="s">
        <v>152</v>
      </c>
      <c r="E3" s="213" t="s">
        <v>226</v>
      </c>
    </row>
    <row r="4" spans="1:5" x14ac:dyDescent="0.25">
      <c r="A4" s="202" t="s">
        <v>227</v>
      </c>
      <c r="B4" s="201" t="s">
        <v>228</v>
      </c>
      <c r="C4" s="207">
        <v>2000</v>
      </c>
      <c r="D4" s="209">
        <v>35</v>
      </c>
      <c r="E4" s="208">
        <f t="shared" ref="E4:E12" si="0">+C4*D4</f>
        <v>70000</v>
      </c>
    </row>
    <row r="5" spans="1:5" ht="30" x14ac:dyDescent="0.25">
      <c r="A5" s="202" t="s">
        <v>229</v>
      </c>
      <c r="B5" s="201" t="s">
        <v>230</v>
      </c>
      <c r="C5" s="207">
        <v>50000</v>
      </c>
      <c r="D5" s="209">
        <v>1</v>
      </c>
      <c r="E5" s="208">
        <f t="shared" si="0"/>
        <v>50000</v>
      </c>
    </row>
    <row r="6" spans="1:5" x14ac:dyDescent="0.25">
      <c r="A6" s="202" t="s">
        <v>231</v>
      </c>
      <c r="B6" s="201" t="s">
        <v>232</v>
      </c>
      <c r="C6" s="207">
        <v>2000</v>
      </c>
      <c r="D6" s="209">
        <v>15</v>
      </c>
      <c r="E6" s="208">
        <f t="shared" si="0"/>
        <v>30000</v>
      </c>
    </row>
    <row r="7" spans="1:5" ht="30" x14ac:dyDescent="0.25">
      <c r="A7" s="202" t="s">
        <v>233</v>
      </c>
      <c r="B7" s="201" t="s">
        <v>234</v>
      </c>
      <c r="C7" s="207">
        <v>10000</v>
      </c>
      <c r="D7" s="209">
        <v>2</v>
      </c>
      <c r="E7" s="208">
        <f t="shared" si="0"/>
        <v>20000</v>
      </c>
    </row>
    <row r="8" spans="1:5" ht="30" x14ac:dyDescent="0.25">
      <c r="A8" s="202" t="s">
        <v>235</v>
      </c>
      <c r="B8" s="201" t="s">
        <v>228</v>
      </c>
      <c r="C8" s="207">
        <v>800</v>
      </c>
      <c r="D8" s="209">
        <v>25</v>
      </c>
      <c r="E8" s="208">
        <f t="shared" si="0"/>
        <v>20000</v>
      </c>
    </row>
    <row r="9" spans="1:5" x14ac:dyDescent="0.25">
      <c r="A9" s="202" t="s">
        <v>236</v>
      </c>
      <c r="B9" s="201" t="s">
        <v>228</v>
      </c>
      <c r="C9" s="207">
        <v>2875</v>
      </c>
      <c r="D9" s="209">
        <v>4</v>
      </c>
      <c r="E9" s="208">
        <f t="shared" si="0"/>
        <v>11500</v>
      </c>
    </row>
    <row r="10" spans="1:5" ht="45" x14ac:dyDescent="0.25">
      <c r="A10" s="202" t="s">
        <v>237</v>
      </c>
      <c r="B10" s="201" t="s">
        <v>238</v>
      </c>
      <c r="C10" s="207">
        <v>3500</v>
      </c>
      <c r="D10" s="209">
        <v>3</v>
      </c>
      <c r="E10" s="208">
        <f t="shared" si="0"/>
        <v>10500</v>
      </c>
    </row>
    <row r="11" spans="1:5" x14ac:dyDescent="0.25">
      <c r="A11" s="202" t="s">
        <v>239</v>
      </c>
      <c r="B11" s="201" t="s">
        <v>228</v>
      </c>
      <c r="C11" s="207">
        <v>500</v>
      </c>
      <c r="D11" s="209">
        <v>20</v>
      </c>
      <c r="E11" s="208">
        <f t="shared" si="0"/>
        <v>10000</v>
      </c>
    </row>
    <row r="12" spans="1:5" x14ac:dyDescent="0.25">
      <c r="A12" s="202" t="s">
        <v>240</v>
      </c>
      <c r="B12" s="201" t="s">
        <v>241</v>
      </c>
      <c r="C12" s="207">
        <v>2250</v>
      </c>
      <c r="D12" s="209">
        <v>4</v>
      </c>
      <c r="E12" s="208">
        <f t="shared" si="0"/>
        <v>9000</v>
      </c>
    </row>
    <row r="13" spans="1:5" x14ac:dyDescent="0.25">
      <c r="A13" s="202" t="s">
        <v>242</v>
      </c>
      <c r="B13" s="201" t="s">
        <v>232</v>
      </c>
      <c r="C13" s="207">
        <v>7000</v>
      </c>
      <c r="D13" s="209">
        <v>1</v>
      </c>
      <c r="E13" s="208">
        <v>7000</v>
      </c>
    </row>
    <row r="14" spans="1:5" x14ac:dyDescent="0.25">
      <c r="A14" s="202" t="s">
        <v>243</v>
      </c>
      <c r="B14" s="201" t="s">
        <v>241</v>
      </c>
      <c r="C14" s="207">
        <v>2500</v>
      </c>
      <c r="D14" s="209">
        <v>2</v>
      </c>
      <c r="E14" s="208">
        <f>+C14*D14</f>
        <v>5000</v>
      </c>
    </row>
    <row r="15" spans="1:5" x14ac:dyDescent="0.25">
      <c r="A15" s="202" t="s">
        <v>244</v>
      </c>
      <c r="B15" s="201" t="s">
        <v>245</v>
      </c>
      <c r="C15" s="207">
        <v>3000</v>
      </c>
      <c r="D15" s="209">
        <v>1</v>
      </c>
      <c r="E15" s="208">
        <f>+C15*D15</f>
        <v>3000</v>
      </c>
    </row>
    <row r="16" spans="1:5" x14ac:dyDescent="0.25">
      <c r="A16" s="202" t="s">
        <v>246</v>
      </c>
      <c r="B16" s="201" t="s">
        <v>245</v>
      </c>
      <c r="C16" s="207">
        <v>1000</v>
      </c>
      <c r="D16" s="209">
        <v>2</v>
      </c>
      <c r="E16" s="208">
        <f>+C16*D16</f>
        <v>2000</v>
      </c>
    </row>
    <row r="17" spans="1:6" x14ac:dyDescent="0.25">
      <c r="A17" s="202" t="s">
        <v>247</v>
      </c>
      <c r="B17" s="201" t="s">
        <v>241</v>
      </c>
      <c r="C17" s="207">
        <v>1000</v>
      </c>
      <c r="D17" s="209">
        <v>2</v>
      </c>
      <c r="E17" s="208">
        <v>2000</v>
      </c>
    </row>
    <row r="18" spans="1:6" ht="15.75" thickBot="1" x14ac:dyDescent="0.3">
      <c r="A18" s="203" t="s">
        <v>248</v>
      </c>
      <c r="B18" s="204"/>
      <c r="C18" s="205"/>
      <c r="D18" s="205"/>
      <c r="E18" s="206">
        <f>SUM(E4:E17)</f>
        <v>250000</v>
      </c>
    </row>
    <row r="19" spans="1:6" s="198" customFormat="1" x14ac:dyDescent="0.25">
      <c r="A19" s="38"/>
      <c r="C19" s="38"/>
      <c r="D19" s="38"/>
      <c r="E19" s="199"/>
      <c r="F19" s="38"/>
    </row>
    <row r="24" spans="1:6" x14ac:dyDescent="0.25">
      <c r="B24" s="200"/>
    </row>
  </sheetData>
  <mergeCells count="2">
    <mergeCell ref="C1:E1"/>
    <mergeCell ref="A2:E2"/>
  </mergeCells>
  <conditionalFormatting sqref="A3:E3">
    <cfRule type="duplicateValues" dxfId="0" priority="2"/>
  </conditionalFormatting>
  <pageMargins left="0.7" right="0.7" top="0.75" bottom="0.75" header="0.3" footer="0.3"/>
  <pageSetup paperSize="9" scale="8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64AF5-AA0E-4D0F-B3C8-9D95C8DECA86}">
  <sheetPr>
    <tabColor theme="5" tint="0.59999389629810485"/>
  </sheetPr>
  <dimension ref="B1:J10"/>
  <sheetViews>
    <sheetView view="pageBreakPreview" zoomScale="115" zoomScaleNormal="100" zoomScaleSheetLayoutView="115" workbookViewId="0">
      <selection activeCell="E2" sqref="E2"/>
    </sheetView>
  </sheetViews>
  <sheetFormatPr defaultColWidth="9.140625" defaultRowHeight="15" x14ac:dyDescent="0.25"/>
  <cols>
    <col min="1" max="1" width="1.5703125" style="52" customWidth="1"/>
    <col min="2" max="2" width="6.28515625" style="52" customWidth="1"/>
    <col min="3" max="3" width="25.7109375" style="52" customWidth="1"/>
    <col min="4" max="4" width="12.42578125" style="52" bestFit="1" customWidth="1"/>
    <col min="5" max="5" width="14.42578125" style="52" customWidth="1"/>
    <col min="6" max="6" width="23" style="52" customWidth="1"/>
    <col min="7" max="7" width="16.42578125" style="52" customWidth="1"/>
    <col min="8" max="8" width="20.28515625" style="52" customWidth="1"/>
    <col min="9" max="16384" width="9.140625" style="52"/>
  </cols>
  <sheetData>
    <row r="1" spans="2:10" ht="84" customHeight="1" x14ac:dyDescent="0.25">
      <c r="E1" s="373" t="s">
        <v>287</v>
      </c>
      <c r="F1" s="373"/>
      <c r="G1" s="373"/>
    </row>
    <row r="3" spans="2:10" ht="33" customHeight="1" x14ac:dyDescent="0.25">
      <c r="B3" s="374" t="s">
        <v>273</v>
      </c>
      <c r="C3" s="374"/>
      <c r="D3" s="374"/>
      <c r="E3" s="374"/>
      <c r="F3" s="374"/>
      <c r="G3" s="374"/>
      <c r="H3" s="76"/>
    </row>
    <row r="4" spans="2:10" ht="15.75" x14ac:dyDescent="0.25">
      <c r="B4" s="77"/>
      <c r="C4" s="77"/>
      <c r="D4" s="77"/>
      <c r="E4" s="77"/>
      <c r="F4" s="77"/>
      <c r="G4" s="77"/>
      <c r="H4" s="77"/>
    </row>
    <row r="5" spans="2:10" ht="28.5" x14ac:dyDescent="0.25">
      <c r="B5" s="107"/>
      <c r="C5" s="168" t="s">
        <v>127</v>
      </c>
      <c r="D5" s="169" t="s">
        <v>22</v>
      </c>
      <c r="E5" s="169" t="s">
        <v>162</v>
      </c>
      <c r="F5" s="169" t="s">
        <v>163</v>
      </c>
      <c r="G5" s="169" t="s">
        <v>151</v>
      </c>
      <c r="H5" s="77"/>
    </row>
    <row r="6" spans="2:10" ht="15.75" x14ac:dyDescent="0.25">
      <c r="B6" s="108"/>
      <c r="C6" s="125" t="s">
        <v>223</v>
      </c>
      <c r="D6" s="160">
        <v>50000</v>
      </c>
      <c r="E6" s="123">
        <v>1</v>
      </c>
      <c r="F6" s="123">
        <v>50000</v>
      </c>
      <c r="G6" s="123">
        <v>50000</v>
      </c>
      <c r="H6" s="77"/>
    </row>
    <row r="7" spans="2:10" ht="15.75" thickBot="1" x14ac:dyDescent="0.3">
      <c r="B7" s="96"/>
      <c r="C7" s="54"/>
      <c r="D7" s="54"/>
      <c r="E7" s="54"/>
      <c r="F7" s="54"/>
      <c r="G7" s="54"/>
      <c r="H7" s="54"/>
      <c r="I7" s="54"/>
      <c r="J7" s="54"/>
    </row>
    <row r="8" spans="2:10" ht="15.75" x14ac:dyDescent="0.25">
      <c r="F8" s="106" t="s">
        <v>68</v>
      </c>
      <c r="G8" s="74" t="s">
        <v>101</v>
      </c>
    </row>
    <row r="9" spans="2:10" ht="16.5" thickBot="1" x14ac:dyDescent="0.3">
      <c r="F9" s="91" t="s">
        <v>69</v>
      </c>
      <c r="G9" s="92">
        <f>G6</f>
        <v>50000</v>
      </c>
    </row>
    <row r="10" spans="2:10" ht="16.5" thickBot="1" x14ac:dyDescent="0.3">
      <c r="F10" s="94" t="s">
        <v>70</v>
      </c>
      <c r="G10" s="95">
        <f t="shared" ref="G10" si="0">G9</f>
        <v>50000</v>
      </c>
    </row>
  </sheetData>
  <mergeCells count="2">
    <mergeCell ref="E1:G1"/>
    <mergeCell ref="B3:G3"/>
  </mergeCells>
  <pageMargins left="0.32291666666666669" right="0.156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467B0-A53C-4417-AF78-51C9AAC12ECC}">
  <sheetPr>
    <tabColor theme="5" tint="0.59999389629810485"/>
  </sheetPr>
  <dimension ref="B1:J10"/>
  <sheetViews>
    <sheetView view="pageBreakPreview" zoomScale="115" zoomScaleNormal="100" zoomScaleSheetLayoutView="115" workbookViewId="0">
      <selection activeCell="E2" sqref="E2"/>
    </sheetView>
  </sheetViews>
  <sheetFormatPr defaultColWidth="9.140625" defaultRowHeight="15" x14ac:dyDescent="0.25"/>
  <cols>
    <col min="1" max="1" width="1.5703125" style="52" customWidth="1"/>
    <col min="2" max="2" width="6.28515625" style="52" customWidth="1"/>
    <col min="3" max="3" width="25.7109375" style="52" customWidth="1"/>
    <col min="4" max="4" width="12.42578125" style="52" bestFit="1" customWidth="1"/>
    <col min="5" max="5" width="14.42578125" style="52" customWidth="1"/>
    <col min="6" max="6" width="23" style="52" customWidth="1"/>
    <col min="7" max="7" width="16.42578125" style="52" customWidth="1"/>
    <col min="8" max="8" width="20.28515625" style="52" customWidth="1"/>
    <col min="9" max="16384" width="9.140625" style="52"/>
  </cols>
  <sheetData>
    <row r="1" spans="2:10" ht="84" customHeight="1" x14ac:dyDescent="0.25">
      <c r="E1" s="373" t="s">
        <v>288</v>
      </c>
      <c r="F1" s="373"/>
      <c r="G1" s="373"/>
    </row>
    <row r="3" spans="2:10" ht="30" customHeight="1" x14ac:dyDescent="0.25">
      <c r="B3" s="374" t="s">
        <v>274</v>
      </c>
      <c r="C3" s="374"/>
      <c r="D3" s="374"/>
      <c r="E3" s="374"/>
      <c r="F3" s="374"/>
      <c r="G3" s="374"/>
      <c r="H3" s="76"/>
    </row>
    <row r="4" spans="2:10" ht="15.75" x14ac:dyDescent="0.25">
      <c r="B4" s="77"/>
      <c r="C4" s="77"/>
      <c r="D4" s="77"/>
      <c r="E4" s="77"/>
      <c r="F4" s="77"/>
      <c r="G4" s="77"/>
      <c r="H4" s="77"/>
    </row>
    <row r="5" spans="2:10" ht="28.5" x14ac:dyDescent="0.25">
      <c r="B5" s="107"/>
      <c r="C5" s="168" t="s">
        <v>127</v>
      </c>
      <c r="D5" s="169" t="s">
        <v>22</v>
      </c>
      <c r="E5" s="169" t="s">
        <v>162</v>
      </c>
      <c r="F5" s="169" t="s">
        <v>163</v>
      </c>
      <c r="G5" s="169" t="s">
        <v>151</v>
      </c>
      <c r="H5" s="77"/>
    </row>
    <row r="6" spans="2:10" ht="29.25" customHeight="1" x14ac:dyDescent="0.25">
      <c r="B6" s="108"/>
      <c r="C6" s="122" t="s">
        <v>164</v>
      </c>
      <c r="D6" s="160">
        <v>25000</v>
      </c>
      <c r="E6" s="123">
        <v>1</v>
      </c>
      <c r="F6" s="123">
        <v>25000</v>
      </c>
      <c r="G6" s="123">
        <v>25000</v>
      </c>
      <c r="H6" s="77"/>
    </row>
    <row r="7" spans="2:10" ht="15.75" thickBot="1" x14ac:dyDescent="0.3">
      <c r="B7" s="96"/>
      <c r="C7" s="54"/>
      <c r="D7" s="54"/>
      <c r="E7" s="54"/>
      <c r="F7" s="54"/>
      <c r="G7" s="54"/>
      <c r="H7" s="54"/>
      <c r="I7" s="54"/>
      <c r="J7" s="54"/>
    </row>
    <row r="8" spans="2:10" ht="15.75" x14ac:dyDescent="0.25">
      <c r="F8" s="106" t="s">
        <v>68</v>
      </c>
      <c r="G8" s="74" t="s">
        <v>101</v>
      </c>
    </row>
    <row r="9" spans="2:10" ht="16.5" thickBot="1" x14ac:dyDescent="0.3">
      <c r="F9" s="91" t="s">
        <v>69</v>
      </c>
      <c r="G9" s="92">
        <f>G6</f>
        <v>25000</v>
      </c>
    </row>
    <row r="10" spans="2:10" ht="16.5" thickBot="1" x14ac:dyDescent="0.3">
      <c r="F10" s="94" t="s">
        <v>70</v>
      </c>
      <c r="G10" s="95">
        <f t="shared" ref="G10" si="0">G9</f>
        <v>25000</v>
      </c>
    </row>
  </sheetData>
  <mergeCells count="2">
    <mergeCell ref="E1:G1"/>
    <mergeCell ref="B3:G3"/>
  </mergeCells>
  <pageMargins left="0.32291666666666669" right="0.15625"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55B46-B6F1-4A48-9E58-8E5DEE3427E6}">
  <sheetPr>
    <tabColor rgb="FFD1FAFB"/>
  </sheetPr>
  <dimension ref="B1:F12"/>
  <sheetViews>
    <sheetView view="pageBreakPreview" zoomScaleNormal="100" zoomScaleSheetLayoutView="100" workbookViewId="0">
      <selection activeCell="D2" sqref="D2"/>
    </sheetView>
  </sheetViews>
  <sheetFormatPr defaultColWidth="9.140625" defaultRowHeight="15" x14ac:dyDescent="0.25"/>
  <cols>
    <col min="1" max="1" width="9.140625" style="52"/>
    <col min="2" max="2" width="17.28515625" style="52" customWidth="1"/>
    <col min="3" max="3" width="34.140625" style="52" customWidth="1"/>
    <col min="4" max="4" width="17.28515625" style="52" customWidth="1"/>
    <col min="5" max="5" width="17.42578125" style="52" customWidth="1"/>
    <col min="6" max="6" width="25.140625" style="52" customWidth="1"/>
    <col min="7" max="16384" width="9.140625" style="52"/>
  </cols>
  <sheetData>
    <row r="1" spans="2:6" ht="63.75" customHeight="1" x14ac:dyDescent="0.25">
      <c r="D1" s="373" t="s">
        <v>289</v>
      </c>
      <c r="E1" s="375"/>
      <c r="F1" s="375"/>
    </row>
    <row r="2" spans="2:6" ht="16.5" customHeight="1" x14ac:dyDescent="0.25">
      <c r="D2" s="263"/>
      <c r="E2" s="265"/>
      <c r="F2" s="265"/>
    </row>
    <row r="3" spans="2:6" ht="32.25" customHeight="1" x14ac:dyDescent="0.25">
      <c r="B3" s="376" t="s">
        <v>275</v>
      </c>
      <c r="C3" s="376"/>
      <c r="D3" s="376"/>
      <c r="E3" s="376"/>
      <c r="F3" s="376"/>
    </row>
    <row r="4" spans="2:6" ht="32.25" customHeight="1" x14ac:dyDescent="0.25">
      <c r="B4" s="266"/>
      <c r="C4" s="266"/>
      <c r="D4" s="266"/>
      <c r="E4" s="266"/>
      <c r="F4" s="266"/>
    </row>
    <row r="5" spans="2:6" ht="63" x14ac:dyDescent="0.25">
      <c r="B5" s="196" t="s">
        <v>175</v>
      </c>
      <c r="C5" s="196" t="s">
        <v>176</v>
      </c>
      <c r="D5" s="196" t="s">
        <v>207</v>
      </c>
      <c r="E5" s="196" t="s">
        <v>216</v>
      </c>
      <c r="F5" s="196" t="s">
        <v>217</v>
      </c>
    </row>
    <row r="6" spans="2:6" ht="31.5" x14ac:dyDescent="0.25">
      <c r="B6" s="189" t="str">
        <f>'2.1.NVD_Man_tarifs'!A11</f>
        <v>JAUNS</v>
      </c>
      <c r="C6" s="190" t="str">
        <f>'2.1.NVD_Man_tarifs'!B11</f>
        <v>Piemaksa par spinālas deformācijas intraoperatīvu monitorēšanu</v>
      </c>
      <c r="D6" s="193">
        <f>'2.1.NVD_Man_tarifs'!S11</f>
        <v>163.16999999999999</v>
      </c>
      <c r="E6" s="194">
        <v>200</v>
      </c>
      <c r="F6" s="195">
        <f>D6*E6</f>
        <v>32633.999999999996</v>
      </c>
    </row>
    <row r="7" spans="2:6" ht="31.5" x14ac:dyDescent="0.25">
      <c r="B7" s="189" t="str">
        <f>'2.1.NVD_Man_tarifs'!A12</f>
        <v>JAUNS</v>
      </c>
      <c r="C7" s="190" t="str">
        <f>'2.1.NVD_Man_tarifs'!B12</f>
        <v>Piemaksa par skrūvju ievietošanas intraoperatīvo monitorēšanu</v>
      </c>
      <c r="D7" s="193">
        <f>'2.1.NVD_Man_tarifs'!S12</f>
        <v>163.16999999999999</v>
      </c>
      <c r="E7" s="194">
        <v>200</v>
      </c>
      <c r="F7" s="195">
        <f t="shared" ref="F7:F11" si="0">D7*E7</f>
        <v>32633.999999999996</v>
      </c>
    </row>
    <row r="8" spans="2:6" ht="31.5" x14ac:dyDescent="0.25">
      <c r="B8" s="189" t="str">
        <f>'2.1.NVD_Man_tarifs'!A13</f>
        <v>JAUNS</v>
      </c>
      <c r="C8" s="190" t="str">
        <f>'2.1.NVD_Man_tarifs'!B13</f>
        <v>Piemaksa par kraniālo nervu monitorēšanu</v>
      </c>
      <c r="D8" s="193">
        <f>'2.1.NVD_Man_tarifs'!S13</f>
        <v>464.46</v>
      </c>
      <c r="E8" s="194">
        <v>200</v>
      </c>
      <c r="F8" s="195">
        <f t="shared" si="0"/>
        <v>92892</v>
      </c>
    </row>
    <row r="9" spans="2:6" ht="31.5" x14ac:dyDescent="0.25">
      <c r="B9" s="189" t="str">
        <f>'2.1.NVD_Man_tarifs'!A14</f>
        <v>JAUNS</v>
      </c>
      <c r="C9" s="190" t="str">
        <f>'2.1.NVD_Man_tarifs'!B14</f>
        <v>Piemaksa par introoperatīvo kontrastvielu un tās ievadīšanu</v>
      </c>
      <c r="D9" s="193">
        <f>'2.1.NVD_Man_tarifs'!S14</f>
        <v>1194.1600000000001</v>
      </c>
      <c r="E9" s="194">
        <v>50</v>
      </c>
      <c r="F9" s="195">
        <f t="shared" si="0"/>
        <v>59708.000000000007</v>
      </c>
    </row>
    <row r="10" spans="2:6" ht="31.5" x14ac:dyDescent="0.25">
      <c r="B10" s="189" t="str">
        <f>'2.1.NVD_Man_tarifs'!A15</f>
        <v>JAUNS</v>
      </c>
      <c r="C10" s="190" t="str">
        <f>'2.1.NVD_Man_tarifs'!B15</f>
        <v>Piemaksa par intraoperatīvo motoro mapēšanu</v>
      </c>
      <c r="D10" s="193">
        <f>'2.1.NVD_Man_tarifs'!S15</f>
        <v>817.66</v>
      </c>
      <c r="E10" s="194">
        <v>200</v>
      </c>
      <c r="F10" s="195">
        <f t="shared" si="0"/>
        <v>163532</v>
      </c>
    </row>
    <row r="11" spans="2:6" ht="31.5" x14ac:dyDescent="0.25">
      <c r="B11" s="189" t="str">
        <f>'2.1.NVD_Man_tarifs'!A16</f>
        <v>JAUNS</v>
      </c>
      <c r="C11" s="190" t="str">
        <f>'2.1.NVD_Man_tarifs'!B16</f>
        <v>Piemaksa par intramodulārā tumora monitorēšanu</v>
      </c>
      <c r="D11" s="193">
        <f>'2.1.NVD_Man_tarifs'!S16</f>
        <v>580.77</v>
      </c>
      <c r="E11" s="194">
        <v>200</v>
      </c>
      <c r="F11" s="195">
        <f t="shared" si="0"/>
        <v>116154</v>
      </c>
    </row>
    <row r="12" spans="2:6" ht="15.75" x14ac:dyDescent="0.25">
      <c r="B12" s="77"/>
      <c r="C12" s="77"/>
      <c r="D12" s="77"/>
      <c r="E12" s="192" t="s">
        <v>14</v>
      </c>
      <c r="F12" s="191">
        <f>SUM(F6:F11)</f>
        <v>497554</v>
      </c>
    </row>
  </sheetData>
  <mergeCells count="2">
    <mergeCell ref="D1:F1"/>
    <mergeCell ref="B3:F3"/>
  </mergeCells>
  <pageMargins left="0.7" right="0.7" top="0.75" bottom="0.75" header="0.3" footer="0.3"/>
  <pageSetup scale="75"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949A7-4B5A-43DC-BC83-1A97749139A1}">
  <sheetPr>
    <tabColor rgb="FFD1FAFB"/>
    <pageSetUpPr fitToPage="1"/>
  </sheetPr>
  <dimension ref="A1:AD16"/>
  <sheetViews>
    <sheetView view="pageBreakPreview" zoomScale="60" zoomScaleNormal="100" workbookViewId="0">
      <pane ySplit="9" topLeftCell="A10" activePane="bottomLeft" state="frozen"/>
      <selection activeCell="B3" sqref="B3:G3"/>
      <selection pane="bottomLeft" activeCell="Q2" sqref="Q2"/>
    </sheetView>
  </sheetViews>
  <sheetFormatPr defaultColWidth="9.140625" defaultRowHeight="15" x14ac:dyDescent="0.25"/>
  <cols>
    <col min="1" max="1" width="13.85546875" style="170" customWidth="1"/>
    <col min="2" max="2" width="30.28515625" style="170" customWidth="1"/>
    <col min="3" max="3" width="7.5703125" style="170" bestFit="1" customWidth="1"/>
    <col min="4" max="4" width="7.140625" style="170" customWidth="1"/>
    <col min="5" max="7" width="11.140625" style="170" customWidth="1"/>
    <col min="8" max="8" width="14.85546875" style="170" customWidth="1"/>
    <col min="9" max="9" width="16" style="170" bestFit="1" customWidth="1"/>
    <col min="10" max="10" width="11.5703125" style="170" customWidth="1"/>
    <col min="11" max="11" width="13.140625" style="170" customWidth="1"/>
    <col min="12" max="12" width="9" style="170" bestFit="1" customWidth="1"/>
    <col min="13" max="13" width="11.42578125" style="170" customWidth="1"/>
    <col min="14" max="14" width="12.5703125" style="170" bestFit="1" customWidth="1"/>
    <col min="15" max="15" width="14.85546875" style="170" bestFit="1" customWidth="1"/>
    <col min="16" max="16" width="15" style="170" customWidth="1"/>
    <col min="17" max="17" width="10.5703125" style="170" customWidth="1"/>
    <col min="18" max="18" width="13.28515625" style="170" customWidth="1"/>
    <col min="19" max="19" width="10.5703125" style="170" customWidth="1"/>
    <col min="20" max="20" width="10.140625" style="170" bestFit="1" customWidth="1"/>
    <col min="21" max="16384" width="9.140625" style="170"/>
  </cols>
  <sheetData>
    <row r="1" spans="1:30" ht="97.5" customHeight="1" x14ac:dyDescent="0.25">
      <c r="Q1" s="380" t="s">
        <v>290</v>
      </c>
      <c r="R1" s="381"/>
      <c r="S1" s="381"/>
      <c r="T1" s="381"/>
    </row>
    <row r="2" spans="1:30" x14ac:dyDescent="0.25">
      <c r="Q2" s="171"/>
      <c r="R2" s="171"/>
      <c r="S2" s="171"/>
    </row>
    <row r="3" spans="1:30" ht="44.25" customHeight="1" x14ac:dyDescent="0.25">
      <c r="F3" s="172" t="s">
        <v>165</v>
      </c>
      <c r="G3" s="172" t="s">
        <v>166</v>
      </c>
      <c r="H3" s="172" t="s">
        <v>167</v>
      </c>
      <c r="I3" s="172" t="s">
        <v>168</v>
      </c>
      <c r="J3" s="173"/>
      <c r="N3" s="377" t="s">
        <v>169</v>
      </c>
      <c r="O3" s="377" t="s">
        <v>170</v>
      </c>
      <c r="P3" s="377" t="s">
        <v>171</v>
      </c>
    </row>
    <row r="4" spans="1:30" ht="15.75" x14ac:dyDescent="0.25">
      <c r="E4" s="171" t="s">
        <v>172</v>
      </c>
      <c r="F4" s="174">
        <v>2304</v>
      </c>
      <c r="G4" s="174">
        <v>1388</v>
      </c>
      <c r="H4" s="174">
        <v>925</v>
      </c>
      <c r="I4" s="172"/>
      <c r="N4" s="378"/>
      <c r="O4" s="378"/>
      <c r="P4" s="378"/>
    </row>
    <row r="5" spans="1:30" ht="21" customHeight="1" x14ac:dyDescent="0.25">
      <c r="E5" s="171" t="s">
        <v>173</v>
      </c>
      <c r="F5" s="176">
        <f>ROUND(F4/9600,4)</f>
        <v>0.24</v>
      </c>
      <c r="G5" s="176">
        <f t="shared" ref="G5:H5" si="0">ROUND(G4/9600,4)</f>
        <v>0.14460000000000001</v>
      </c>
      <c r="H5" s="176">
        <f t="shared" si="0"/>
        <v>9.64E-2</v>
      </c>
      <c r="I5" s="172">
        <v>0.2359</v>
      </c>
      <c r="M5" s="171" t="s">
        <v>174</v>
      </c>
      <c r="N5" s="172">
        <v>0.28570000000000001</v>
      </c>
      <c r="O5" s="172">
        <v>2.0199999999999999E-2</v>
      </c>
      <c r="P5" s="172">
        <v>3.2199999999999999E-2</v>
      </c>
    </row>
    <row r="7" spans="1:30" ht="15" customHeight="1" x14ac:dyDescent="0.25">
      <c r="A7" s="379" t="s">
        <v>175</v>
      </c>
      <c r="B7" s="379" t="s">
        <v>176</v>
      </c>
      <c r="C7" s="379" t="s">
        <v>177</v>
      </c>
      <c r="D7" s="379"/>
      <c r="E7" s="379"/>
      <c r="F7" s="379"/>
      <c r="G7" s="379"/>
      <c r="H7" s="379"/>
      <c r="I7" s="379"/>
      <c r="J7" s="379"/>
      <c r="K7" s="379"/>
      <c r="L7" s="379"/>
      <c r="M7" s="379"/>
      <c r="N7" s="379"/>
      <c r="O7" s="379"/>
      <c r="P7" s="379"/>
      <c r="Q7" s="379" t="s">
        <v>178</v>
      </c>
      <c r="R7" s="379" t="s">
        <v>179</v>
      </c>
      <c r="S7" s="379" t="s">
        <v>180</v>
      </c>
      <c r="T7" s="178"/>
      <c r="U7" s="178"/>
      <c r="V7" s="178"/>
      <c r="W7" s="178"/>
      <c r="X7" s="178"/>
      <c r="Y7" s="178"/>
      <c r="Z7" s="178"/>
      <c r="AA7" s="178"/>
      <c r="AB7" s="178"/>
      <c r="AC7" s="178"/>
      <c r="AD7" s="178"/>
    </row>
    <row r="8" spans="1:30" ht="60" x14ac:dyDescent="0.25">
      <c r="A8" s="379"/>
      <c r="B8" s="379"/>
      <c r="C8" s="379" t="s">
        <v>181</v>
      </c>
      <c r="D8" s="379"/>
      <c r="E8" s="379"/>
      <c r="F8" s="382" t="s">
        <v>182</v>
      </c>
      <c r="G8" s="383"/>
      <c r="H8" s="384"/>
      <c r="I8" s="177" t="s">
        <v>183</v>
      </c>
      <c r="J8" s="379" t="s">
        <v>184</v>
      </c>
      <c r="K8" s="379"/>
      <c r="L8" s="379"/>
      <c r="M8" s="379" t="s">
        <v>185</v>
      </c>
      <c r="N8" s="379" t="s">
        <v>186</v>
      </c>
      <c r="O8" s="379" t="s">
        <v>187</v>
      </c>
      <c r="P8" s="379" t="s">
        <v>188</v>
      </c>
      <c r="Q8" s="379"/>
      <c r="R8" s="379"/>
      <c r="S8" s="379"/>
      <c r="T8" s="178"/>
      <c r="U8" s="178"/>
      <c r="V8" s="178"/>
      <c r="W8" s="178"/>
      <c r="X8" s="178"/>
      <c r="Y8" s="178"/>
      <c r="Z8" s="179"/>
      <c r="AA8" s="179"/>
      <c r="AB8" s="179"/>
      <c r="AC8" s="179"/>
      <c r="AD8" s="179"/>
    </row>
    <row r="9" spans="1:30" ht="45" x14ac:dyDescent="0.25">
      <c r="A9" s="379"/>
      <c r="B9" s="379"/>
      <c r="C9" s="177" t="s">
        <v>189</v>
      </c>
      <c r="D9" s="177" t="s">
        <v>190</v>
      </c>
      <c r="E9" s="177" t="s">
        <v>191</v>
      </c>
      <c r="F9" s="177" t="s">
        <v>189</v>
      </c>
      <c r="G9" s="177" t="s">
        <v>190</v>
      </c>
      <c r="H9" s="177" t="s">
        <v>192</v>
      </c>
      <c r="I9" s="177" t="s">
        <v>193</v>
      </c>
      <c r="J9" s="177" t="s">
        <v>194</v>
      </c>
      <c r="K9" s="180" t="s">
        <v>195</v>
      </c>
      <c r="L9" s="177" t="s">
        <v>196</v>
      </c>
      <c r="M9" s="379"/>
      <c r="N9" s="379"/>
      <c r="O9" s="379"/>
      <c r="P9" s="379"/>
      <c r="Q9" s="379"/>
      <c r="R9" s="379"/>
      <c r="S9" s="379"/>
      <c r="T9" s="179" t="s">
        <v>197</v>
      </c>
      <c r="U9" s="179" t="s">
        <v>198</v>
      </c>
      <c r="V9" s="179" t="s">
        <v>199</v>
      </c>
      <c r="W9" s="179" t="s">
        <v>200</v>
      </c>
      <c r="X9" s="179" t="s">
        <v>201</v>
      </c>
      <c r="Y9" s="179" t="s">
        <v>202</v>
      </c>
      <c r="Z9" s="179" t="s">
        <v>203</v>
      </c>
      <c r="AA9" s="179" t="s">
        <v>204</v>
      </c>
      <c r="AB9" s="181" t="s">
        <v>205</v>
      </c>
      <c r="AC9" s="181" t="s">
        <v>206</v>
      </c>
      <c r="AD9" s="179" t="s">
        <v>207</v>
      </c>
    </row>
    <row r="10" spans="1:30" x14ac:dyDescent="0.25">
      <c r="A10" s="175">
        <v>1</v>
      </c>
      <c r="B10" s="175">
        <v>2</v>
      </c>
      <c r="C10" s="175">
        <v>3</v>
      </c>
      <c r="D10" s="175">
        <v>4</v>
      </c>
      <c r="E10" s="175">
        <v>5</v>
      </c>
      <c r="F10" s="175">
        <v>6</v>
      </c>
      <c r="G10" s="175">
        <v>7</v>
      </c>
      <c r="H10" s="175">
        <v>8</v>
      </c>
      <c r="I10" s="175">
        <v>9</v>
      </c>
      <c r="J10" s="175" t="s">
        <v>208</v>
      </c>
      <c r="K10" s="175">
        <v>11</v>
      </c>
      <c r="L10" s="175">
        <v>12</v>
      </c>
      <c r="M10" s="175">
        <v>13</v>
      </c>
      <c r="N10" s="175">
        <v>14</v>
      </c>
      <c r="O10" s="175">
        <v>15</v>
      </c>
      <c r="P10" s="175">
        <v>16</v>
      </c>
      <c r="Q10" s="175">
        <v>17</v>
      </c>
      <c r="R10" s="175">
        <v>18</v>
      </c>
      <c r="S10" s="175">
        <v>19</v>
      </c>
      <c r="T10" s="175">
        <v>20</v>
      </c>
      <c r="U10" s="175">
        <v>21</v>
      </c>
      <c r="V10" s="175">
        <v>22</v>
      </c>
      <c r="W10" s="175">
        <v>23</v>
      </c>
      <c r="X10" s="175">
        <v>24</v>
      </c>
      <c r="Y10" s="175">
        <v>25</v>
      </c>
      <c r="Z10" s="175">
        <v>26</v>
      </c>
      <c r="AA10" s="175">
        <v>27</v>
      </c>
      <c r="AB10" s="175">
        <v>28</v>
      </c>
      <c r="AC10" s="175">
        <v>29</v>
      </c>
      <c r="AD10" s="175">
        <v>30</v>
      </c>
    </row>
    <row r="11" spans="1:30" s="188" customFormat="1" ht="41.25" customHeight="1" x14ac:dyDescent="0.25">
      <c r="A11" s="182" t="s">
        <v>209</v>
      </c>
      <c r="B11" s="183" t="s">
        <v>210</v>
      </c>
      <c r="C11" s="184">
        <v>175</v>
      </c>
      <c r="D11" s="184">
        <v>0</v>
      </c>
      <c r="E11" s="184">
        <v>0</v>
      </c>
      <c r="F11" s="185">
        <f>ROUND((C11*$F$5),2)</f>
        <v>42</v>
      </c>
      <c r="G11" s="184">
        <f>ROUND((D11*$G$5),2)</f>
        <v>0</v>
      </c>
      <c r="H11" s="184">
        <f>ROUND((E11*$H$5),2)</f>
        <v>0</v>
      </c>
      <c r="I11" s="185">
        <f>ROUND(((F11+G11+H11)*$I$5),2)</f>
        <v>9.91</v>
      </c>
      <c r="J11" s="186">
        <f>K11+L11</f>
        <v>83.18</v>
      </c>
      <c r="K11" s="186">
        <v>0.26</v>
      </c>
      <c r="L11" s="186">
        <v>82.92</v>
      </c>
      <c r="M11" s="185">
        <v>13.88</v>
      </c>
      <c r="N11" s="185">
        <f>ROUND((F11+G11+H11)*$N$5,2)</f>
        <v>12</v>
      </c>
      <c r="O11" s="185">
        <f>ROUND((F11+G11+H11)*$O$5,2)</f>
        <v>0.85</v>
      </c>
      <c r="P11" s="185">
        <f>ROUND((F11+G11+H11)*$P$5,2)</f>
        <v>1.35</v>
      </c>
      <c r="Q11" s="187">
        <f>ROUND((F11+G11+H11+I11+J11+M11+N11+O11+P11),2)</f>
        <v>163.16999999999999</v>
      </c>
      <c r="R11" s="187">
        <v>0</v>
      </c>
      <c r="S11" s="187">
        <f>Q11-R11</f>
        <v>163.16999999999999</v>
      </c>
      <c r="T11" s="186">
        <f>F11+G11+H11</f>
        <v>42</v>
      </c>
      <c r="U11" s="186">
        <f>I11</f>
        <v>9.91</v>
      </c>
      <c r="V11" s="186">
        <f>J11</f>
        <v>83.18</v>
      </c>
      <c r="W11" s="175"/>
      <c r="X11" s="186">
        <f>N11</f>
        <v>12</v>
      </c>
      <c r="Y11" s="186">
        <f>O11</f>
        <v>0.85</v>
      </c>
      <c r="Z11" s="186">
        <f>M11+P11</f>
        <v>15.23</v>
      </c>
      <c r="AA11" s="175"/>
      <c r="AB11" s="186">
        <f>SUM(T11:AA11)</f>
        <v>163.16999999999999</v>
      </c>
      <c r="AC11" s="186">
        <f>R11</f>
        <v>0</v>
      </c>
      <c r="AD11" s="186">
        <f>AB11-AC11</f>
        <v>163.16999999999999</v>
      </c>
    </row>
    <row r="12" spans="1:30" ht="45" x14ac:dyDescent="0.25">
      <c r="A12" s="182" t="s">
        <v>209</v>
      </c>
      <c r="B12" s="183" t="s">
        <v>211</v>
      </c>
      <c r="C12" s="184">
        <v>175</v>
      </c>
      <c r="D12" s="184">
        <v>0</v>
      </c>
      <c r="E12" s="184">
        <v>0</v>
      </c>
      <c r="F12" s="185">
        <f t="shared" ref="F12:F16" si="1">ROUND((C12*$F$5),2)</f>
        <v>42</v>
      </c>
      <c r="G12" s="184">
        <f t="shared" ref="G12:G16" si="2">ROUND((D12*$G$5),2)</f>
        <v>0</v>
      </c>
      <c r="H12" s="184">
        <f t="shared" ref="H12:H16" si="3">ROUND((E12*$H$5),2)</f>
        <v>0</v>
      </c>
      <c r="I12" s="185">
        <f t="shared" ref="I12:I16" si="4">ROUND(((F12+G12+H12)*$I$5),2)</f>
        <v>9.91</v>
      </c>
      <c r="J12" s="186">
        <f t="shared" ref="J12:J16" si="5">K12+L12</f>
        <v>83.18</v>
      </c>
      <c r="K12" s="186">
        <v>0.26</v>
      </c>
      <c r="L12" s="186">
        <v>82.92</v>
      </c>
      <c r="M12" s="185">
        <v>13.88</v>
      </c>
      <c r="N12" s="185">
        <f t="shared" ref="N12:N16" si="6">ROUND((F12+G12+H12)*$N$5,2)</f>
        <v>12</v>
      </c>
      <c r="O12" s="185">
        <f t="shared" ref="O12:O16" si="7">ROUND((F12+G12+H12)*$O$5,2)</f>
        <v>0.85</v>
      </c>
      <c r="P12" s="185">
        <f t="shared" ref="P12:P16" si="8">ROUND((F12+G12+H12)*$P$5,2)</f>
        <v>1.35</v>
      </c>
      <c r="Q12" s="187">
        <f t="shared" ref="Q12:Q16" si="9">ROUND((F12+G12+H12+I12+J12+M12+N12+O12+P12),2)</f>
        <v>163.16999999999999</v>
      </c>
      <c r="R12" s="187">
        <v>0</v>
      </c>
      <c r="S12" s="187">
        <f t="shared" ref="S12:S16" si="10">Q12-R12</f>
        <v>163.16999999999999</v>
      </c>
      <c r="T12" s="186">
        <f t="shared" ref="T12:T16" si="11">F12+G12+H12</f>
        <v>42</v>
      </c>
      <c r="U12" s="186">
        <f t="shared" ref="U12:V16" si="12">I12</f>
        <v>9.91</v>
      </c>
      <c r="V12" s="186">
        <f t="shared" si="12"/>
        <v>83.18</v>
      </c>
      <c r="W12" s="175"/>
      <c r="X12" s="186">
        <f t="shared" ref="X12:Y16" si="13">N12</f>
        <v>12</v>
      </c>
      <c r="Y12" s="186">
        <f t="shared" si="13"/>
        <v>0.85</v>
      </c>
      <c r="Z12" s="186">
        <f t="shared" ref="Z12:Z16" si="14">M12+P12</f>
        <v>15.23</v>
      </c>
      <c r="AA12" s="175"/>
      <c r="AB12" s="186">
        <f t="shared" ref="AB12:AB16" si="15">SUM(T12:AA12)</f>
        <v>163.16999999999999</v>
      </c>
      <c r="AC12" s="186">
        <f t="shared" ref="AC12:AC16" si="16">R12</f>
        <v>0</v>
      </c>
      <c r="AD12" s="186">
        <f t="shared" ref="AD12:AD16" si="17">AB12-AC12</f>
        <v>163.16999999999999</v>
      </c>
    </row>
    <row r="13" spans="1:30" ht="30" x14ac:dyDescent="0.25">
      <c r="A13" s="182" t="s">
        <v>209</v>
      </c>
      <c r="B13" s="183" t="s">
        <v>212</v>
      </c>
      <c r="C13" s="184">
        <v>175</v>
      </c>
      <c r="D13" s="184">
        <v>0</v>
      </c>
      <c r="E13" s="184">
        <v>0</v>
      </c>
      <c r="F13" s="185">
        <f t="shared" si="1"/>
        <v>42</v>
      </c>
      <c r="G13" s="184">
        <f t="shared" si="2"/>
        <v>0</v>
      </c>
      <c r="H13" s="184">
        <f t="shared" si="3"/>
        <v>0</v>
      </c>
      <c r="I13" s="185">
        <f t="shared" si="4"/>
        <v>9.91</v>
      </c>
      <c r="J13" s="186">
        <f t="shared" si="5"/>
        <v>384.46999999999997</v>
      </c>
      <c r="K13" s="186">
        <v>0.26</v>
      </c>
      <c r="L13" s="186">
        <v>384.21</v>
      </c>
      <c r="M13" s="185">
        <v>13.88</v>
      </c>
      <c r="N13" s="185">
        <f t="shared" si="6"/>
        <v>12</v>
      </c>
      <c r="O13" s="185">
        <f t="shared" si="7"/>
        <v>0.85</v>
      </c>
      <c r="P13" s="185">
        <f t="shared" si="8"/>
        <v>1.35</v>
      </c>
      <c r="Q13" s="187">
        <f t="shared" si="9"/>
        <v>464.46</v>
      </c>
      <c r="R13" s="187">
        <v>0</v>
      </c>
      <c r="S13" s="187">
        <f t="shared" si="10"/>
        <v>464.46</v>
      </c>
      <c r="T13" s="186">
        <f t="shared" si="11"/>
        <v>42</v>
      </c>
      <c r="U13" s="186">
        <f t="shared" si="12"/>
        <v>9.91</v>
      </c>
      <c r="V13" s="186">
        <f t="shared" si="12"/>
        <v>384.46999999999997</v>
      </c>
      <c r="W13" s="175"/>
      <c r="X13" s="186">
        <f t="shared" si="13"/>
        <v>12</v>
      </c>
      <c r="Y13" s="186">
        <f t="shared" si="13"/>
        <v>0.85</v>
      </c>
      <c r="Z13" s="186">
        <f t="shared" si="14"/>
        <v>15.23</v>
      </c>
      <c r="AA13" s="175"/>
      <c r="AB13" s="186">
        <f t="shared" si="15"/>
        <v>464.46000000000004</v>
      </c>
      <c r="AC13" s="186">
        <f t="shared" si="16"/>
        <v>0</v>
      </c>
      <c r="AD13" s="186">
        <f t="shared" si="17"/>
        <v>464.46000000000004</v>
      </c>
    </row>
    <row r="14" spans="1:30" ht="30" x14ac:dyDescent="0.25">
      <c r="A14" s="182" t="s">
        <v>209</v>
      </c>
      <c r="B14" s="183" t="s">
        <v>213</v>
      </c>
      <c r="C14" s="184">
        <v>30</v>
      </c>
      <c r="D14" s="184">
        <v>30</v>
      </c>
      <c r="E14" s="184">
        <v>0</v>
      </c>
      <c r="F14" s="185">
        <f t="shared" si="1"/>
        <v>7.2</v>
      </c>
      <c r="G14" s="184">
        <f t="shared" si="2"/>
        <v>4.34</v>
      </c>
      <c r="H14" s="184">
        <f t="shared" si="3"/>
        <v>0</v>
      </c>
      <c r="I14" s="185">
        <f t="shared" si="4"/>
        <v>2.72</v>
      </c>
      <c r="J14" s="186">
        <f t="shared" si="5"/>
        <v>1176</v>
      </c>
      <c r="K14" s="186">
        <f>'[11]Ārstn.līdz.'!$G$11</f>
        <v>1176</v>
      </c>
      <c r="L14" s="186">
        <v>0</v>
      </c>
      <c r="M14" s="185">
        <v>0</v>
      </c>
      <c r="N14" s="185">
        <f t="shared" si="6"/>
        <v>3.3</v>
      </c>
      <c r="O14" s="185">
        <f t="shared" si="7"/>
        <v>0.23</v>
      </c>
      <c r="P14" s="185">
        <f t="shared" si="8"/>
        <v>0.37</v>
      </c>
      <c r="Q14" s="187">
        <f t="shared" si="9"/>
        <v>1194.1600000000001</v>
      </c>
      <c r="R14" s="187">
        <v>0</v>
      </c>
      <c r="S14" s="187">
        <f t="shared" si="10"/>
        <v>1194.1600000000001</v>
      </c>
      <c r="T14" s="186">
        <f t="shared" si="11"/>
        <v>11.54</v>
      </c>
      <c r="U14" s="186">
        <f t="shared" si="12"/>
        <v>2.72</v>
      </c>
      <c r="V14" s="186">
        <f t="shared" si="12"/>
        <v>1176</v>
      </c>
      <c r="W14" s="175"/>
      <c r="X14" s="186">
        <f t="shared" si="13"/>
        <v>3.3</v>
      </c>
      <c r="Y14" s="186">
        <f t="shared" si="13"/>
        <v>0.23</v>
      </c>
      <c r="Z14" s="186">
        <f t="shared" si="14"/>
        <v>0.37</v>
      </c>
      <c r="AA14" s="175"/>
      <c r="AB14" s="186">
        <f t="shared" si="15"/>
        <v>1194.1599999999999</v>
      </c>
      <c r="AC14" s="186">
        <f t="shared" si="16"/>
        <v>0</v>
      </c>
      <c r="AD14" s="186">
        <f t="shared" si="17"/>
        <v>1194.1599999999999</v>
      </c>
    </row>
    <row r="15" spans="1:30" ht="30" x14ac:dyDescent="0.25">
      <c r="A15" s="182" t="s">
        <v>209</v>
      </c>
      <c r="B15" s="183" t="s">
        <v>214</v>
      </c>
      <c r="C15" s="184">
        <v>175</v>
      </c>
      <c r="D15" s="184">
        <v>0</v>
      </c>
      <c r="E15" s="184">
        <v>0</v>
      </c>
      <c r="F15" s="185">
        <f t="shared" si="1"/>
        <v>42</v>
      </c>
      <c r="G15" s="184">
        <f t="shared" si="2"/>
        <v>0</v>
      </c>
      <c r="H15" s="184">
        <f t="shared" si="3"/>
        <v>0</v>
      </c>
      <c r="I15" s="185">
        <f t="shared" si="4"/>
        <v>9.91</v>
      </c>
      <c r="J15" s="186">
        <f t="shared" si="5"/>
        <v>737.79</v>
      </c>
      <c r="K15" s="186">
        <v>0.26</v>
      </c>
      <c r="L15" s="186">
        <v>737.53</v>
      </c>
      <c r="M15" s="185">
        <v>13.76</v>
      </c>
      <c r="N15" s="185">
        <f t="shared" si="6"/>
        <v>12</v>
      </c>
      <c r="O15" s="185">
        <f t="shared" si="7"/>
        <v>0.85</v>
      </c>
      <c r="P15" s="185">
        <f t="shared" si="8"/>
        <v>1.35</v>
      </c>
      <c r="Q15" s="187">
        <f t="shared" si="9"/>
        <v>817.66</v>
      </c>
      <c r="R15" s="187">
        <v>0</v>
      </c>
      <c r="S15" s="187">
        <f t="shared" si="10"/>
        <v>817.66</v>
      </c>
      <c r="T15" s="186">
        <f t="shared" si="11"/>
        <v>42</v>
      </c>
      <c r="U15" s="186">
        <f t="shared" si="12"/>
        <v>9.91</v>
      </c>
      <c r="V15" s="186">
        <f t="shared" si="12"/>
        <v>737.79</v>
      </c>
      <c r="W15" s="175"/>
      <c r="X15" s="186">
        <f t="shared" si="13"/>
        <v>12</v>
      </c>
      <c r="Y15" s="186">
        <f t="shared" si="13"/>
        <v>0.85</v>
      </c>
      <c r="Z15" s="186">
        <f t="shared" si="14"/>
        <v>15.11</v>
      </c>
      <c r="AA15" s="175"/>
      <c r="AB15" s="186">
        <f t="shared" si="15"/>
        <v>817.66</v>
      </c>
      <c r="AC15" s="186">
        <f t="shared" si="16"/>
        <v>0</v>
      </c>
      <c r="AD15" s="186">
        <f t="shared" si="17"/>
        <v>817.66</v>
      </c>
    </row>
    <row r="16" spans="1:30" ht="30" x14ac:dyDescent="0.25">
      <c r="A16" s="182" t="s">
        <v>209</v>
      </c>
      <c r="B16" s="183" t="s">
        <v>215</v>
      </c>
      <c r="C16" s="184">
        <v>175</v>
      </c>
      <c r="D16" s="184">
        <v>0</v>
      </c>
      <c r="E16" s="184">
        <v>0</v>
      </c>
      <c r="F16" s="185">
        <f t="shared" si="1"/>
        <v>42</v>
      </c>
      <c r="G16" s="184">
        <f t="shared" si="2"/>
        <v>0</v>
      </c>
      <c r="H16" s="184">
        <f t="shared" si="3"/>
        <v>0</v>
      </c>
      <c r="I16" s="185">
        <f t="shared" si="4"/>
        <v>9.91</v>
      </c>
      <c r="J16" s="186">
        <f t="shared" si="5"/>
        <v>503.05</v>
      </c>
      <c r="K16" s="186">
        <v>0.26</v>
      </c>
      <c r="L16" s="186">
        <v>502.79</v>
      </c>
      <c r="M16" s="185">
        <v>11.61</v>
      </c>
      <c r="N16" s="185">
        <f t="shared" si="6"/>
        <v>12</v>
      </c>
      <c r="O16" s="185">
        <f t="shared" si="7"/>
        <v>0.85</v>
      </c>
      <c r="P16" s="185">
        <f t="shared" si="8"/>
        <v>1.35</v>
      </c>
      <c r="Q16" s="187">
        <f t="shared" si="9"/>
        <v>580.77</v>
      </c>
      <c r="R16" s="187">
        <v>0</v>
      </c>
      <c r="S16" s="187">
        <f t="shared" si="10"/>
        <v>580.77</v>
      </c>
      <c r="T16" s="186">
        <f t="shared" si="11"/>
        <v>42</v>
      </c>
      <c r="U16" s="186">
        <f t="shared" si="12"/>
        <v>9.91</v>
      </c>
      <c r="V16" s="186">
        <f t="shared" si="12"/>
        <v>503.05</v>
      </c>
      <c r="W16" s="175"/>
      <c r="X16" s="186">
        <f t="shared" si="13"/>
        <v>12</v>
      </c>
      <c r="Y16" s="186">
        <f t="shared" si="13"/>
        <v>0.85</v>
      </c>
      <c r="Z16" s="186">
        <f t="shared" si="14"/>
        <v>12.959999999999999</v>
      </c>
      <c r="AA16" s="175"/>
      <c r="AB16" s="186">
        <f t="shared" si="15"/>
        <v>580.7700000000001</v>
      </c>
      <c r="AC16" s="186">
        <f t="shared" si="16"/>
        <v>0</v>
      </c>
      <c r="AD16" s="186">
        <f t="shared" si="17"/>
        <v>580.7700000000001</v>
      </c>
    </row>
  </sheetData>
  <mergeCells count="18">
    <mergeCell ref="Q1:T1"/>
    <mergeCell ref="Q7:Q9"/>
    <mergeCell ref="R7:R9"/>
    <mergeCell ref="S7:S9"/>
    <mergeCell ref="C8:E8"/>
    <mergeCell ref="F8:H8"/>
    <mergeCell ref="J8:L8"/>
    <mergeCell ref="M8:M9"/>
    <mergeCell ref="N8:N9"/>
    <mergeCell ref="O8:O9"/>
    <mergeCell ref="P8:P9"/>
    <mergeCell ref="N3:N4"/>
    <mergeCell ref="O3:O4"/>
    <mergeCell ref="P3:P4"/>
    <mergeCell ref="A7:A9"/>
    <mergeCell ref="B7:B9"/>
    <mergeCell ref="C7:L7"/>
    <mergeCell ref="M7:P7"/>
  </mergeCells>
  <pageMargins left="0.7" right="0.7" top="0.75" bottom="0.75" header="0.3" footer="0.3"/>
  <pageSetup paperSize="9" scale="3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73EF8-F5BF-4C78-965C-2C6AD7B54D84}">
  <sheetPr>
    <tabColor rgb="FF00B050"/>
  </sheetPr>
  <dimension ref="A1:F7"/>
  <sheetViews>
    <sheetView view="pageBreakPreview" zoomScale="130" zoomScaleNormal="100" zoomScaleSheetLayoutView="130" workbookViewId="0">
      <selection activeCell="D2" sqref="D2"/>
    </sheetView>
  </sheetViews>
  <sheetFormatPr defaultRowHeight="15" x14ac:dyDescent="0.25"/>
  <cols>
    <col min="1" max="1" width="33.140625" customWidth="1"/>
    <col min="2" max="2" width="13.140625" customWidth="1"/>
    <col min="3" max="3" width="20" customWidth="1"/>
    <col min="4" max="5" width="23.28515625" customWidth="1"/>
  </cols>
  <sheetData>
    <row r="1" spans="1:6" ht="63" customHeight="1" x14ac:dyDescent="0.25">
      <c r="D1" s="386" t="s">
        <v>291</v>
      </c>
      <c r="E1" s="387"/>
      <c r="F1" s="387"/>
    </row>
    <row r="2" spans="1:6" x14ac:dyDescent="0.25">
      <c r="B2" s="264" t="s">
        <v>271</v>
      </c>
    </row>
    <row r="3" spans="1:6" x14ac:dyDescent="0.25">
      <c r="B3" s="264"/>
    </row>
    <row r="4" spans="1:6" x14ac:dyDescent="0.25">
      <c r="A4" s="385" t="s">
        <v>153</v>
      </c>
      <c r="B4" s="385" t="s">
        <v>154</v>
      </c>
      <c r="C4" s="385"/>
      <c r="D4" s="385"/>
      <c r="E4" s="385" t="s">
        <v>155</v>
      </c>
      <c r="F4" s="385" t="s">
        <v>156</v>
      </c>
    </row>
    <row r="5" spans="1:6" ht="51" x14ac:dyDescent="0.25">
      <c r="A5" s="385"/>
      <c r="B5" s="161" t="s">
        <v>157</v>
      </c>
      <c r="C5" s="161" t="s">
        <v>158</v>
      </c>
      <c r="D5" s="161" t="s">
        <v>159</v>
      </c>
      <c r="E5" s="385"/>
      <c r="F5" s="385"/>
    </row>
    <row r="6" spans="1:6" x14ac:dyDescent="0.25">
      <c r="A6" s="162" t="s">
        <v>160</v>
      </c>
      <c r="B6" s="163">
        <v>187</v>
      </c>
      <c r="C6" s="161">
        <v>487</v>
      </c>
      <c r="D6" s="161">
        <f>C6-B6</f>
        <v>300</v>
      </c>
      <c r="E6" s="164">
        <v>2400</v>
      </c>
      <c r="F6" s="165">
        <v>2688</v>
      </c>
    </row>
    <row r="7" spans="1:6" x14ac:dyDescent="0.25">
      <c r="A7" s="166" t="s">
        <v>161</v>
      </c>
      <c r="B7" s="165">
        <v>502656</v>
      </c>
      <c r="C7" s="164">
        <f>C6*F6</f>
        <v>1309056</v>
      </c>
      <c r="D7" s="164">
        <f>C7-B7</f>
        <v>806400</v>
      </c>
      <c r="E7" s="164"/>
      <c r="F7" s="167"/>
    </row>
  </sheetData>
  <mergeCells count="5">
    <mergeCell ref="A4:A5"/>
    <mergeCell ref="B4:D4"/>
    <mergeCell ref="E4:E5"/>
    <mergeCell ref="F4:F5"/>
    <mergeCell ref="D1:F1"/>
  </mergeCells>
  <pageMargins left="0.7" right="0.7" top="0.75" bottom="0.75" header="0.3" footer="0.3"/>
  <pageSetup scale="7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C3123-52E3-4D80-A1C2-E6155FC56587}">
  <sheetPr>
    <tabColor theme="5" tint="0.79998168889431442"/>
    <pageSetUpPr fitToPage="1"/>
  </sheetPr>
  <dimension ref="B1:F22"/>
  <sheetViews>
    <sheetView view="pageBreakPreview" zoomScaleNormal="100" zoomScaleSheetLayoutView="100" workbookViewId="0">
      <selection activeCell="C2" sqref="C2"/>
    </sheetView>
  </sheetViews>
  <sheetFormatPr defaultColWidth="9.140625" defaultRowHeight="15" x14ac:dyDescent="0.25"/>
  <cols>
    <col min="1" max="1" width="1.85546875" style="52" customWidth="1"/>
    <col min="2" max="2" width="24.85546875" style="52" customWidth="1"/>
    <col min="3" max="3" width="70.28515625" style="52" bestFit="1" customWidth="1"/>
    <col min="4" max="4" width="12.140625" style="52" customWidth="1"/>
    <col min="5" max="5" width="10.42578125" style="52" customWidth="1"/>
    <col min="6" max="6" width="13" style="52" customWidth="1"/>
    <col min="7" max="16384" width="9.140625" style="52"/>
  </cols>
  <sheetData>
    <row r="1" spans="2:6" ht="61.5" customHeight="1" x14ac:dyDescent="0.25">
      <c r="C1" s="389" t="s">
        <v>292</v>
      </c>
      <c r="D1" s="389"/>
      <c r="E1" s="389"/>
      <c r="F1" s="389"/>
    </row>
    <row r="3" spans="2:6" ht="16.5" x14ac:dyDescent="0.25">
      <c r="B3" s="390" t="s">
        <v>52</v>
      </c>
      <c r="C3" s="390"/>
      <c r="D3" s="390"/>
      <c r="E3" s="390"/>
      <c r="F3" s="390"/>
    </row>
    <row r="4" spans="2:6" ht="42.75" x14ac:dyDescent="0.25">
      <c r="B4" s="54"/>
      <c r="C4" s="54"/>
      <c r="D4" s="55">
        <v>2024</v>
      </c>
      <c r="E4" s="55">
        <v>2025</v>
      </c>
      <c r="F4" s="56" t="s">
        <v>53</v>
      </c>
    </row>
    <row r="5" spans="2:6" x14ac:dyDescent="0.25">
      <c r="B5" s="388" t="s">
        <v>54</v>
      </c>
      <c r="C5" s="57" t="s">
        <v>55</v>
      </c>
      <c r="D5" s="59">
        <v>150</v>
      </c>
      <c r="E5" s="59">
        <v>150</v>
      </c>
      <c r="F5" s="59">
        <v>150</v>
      </c>
    </row>
    <row r="6" spans="2:6" x14ac:dyDescent="0.25">
      <c r="B6" s="388"/>
      <c r="C6" s="57" t="s">
        <v>219</v>
      </c>
      <c r="D6" s="59">
        <v>15.55</v>
      </c>
      <c r="E6" s="59">
        <v>15.55</v>
      </c>
      <c r="F6" s="59">
        <v>15.55</v>
      </c>
    </row>
    <row r="7" spans="2:6" x14ac:dyDescent="0.25">
      <c r="B7" s="388"/>
      <c r="C7" s="58" t="s">
        <v>56</v>
      </c>
      <c r="D7" s="228">
        <f>D5*D6*2</f>
        <v>4665</v>
      </c>
      <c r="E7" s="228">
        <f t="shared" ref="E7:F7" si="0">E5*E6*2</f>
        <v>4665</v>
      </c>
      <c r="F7" s="228">
        <f t="shared" si="0"/>
        <v>4665</v>
      </c>
    </row>
    <row r="8" spans="2:6" x14ac:dyDescent="0.25">
      <c r="B8" s="388" t="s">
        <v>57</v>
      </c>
      <c r="C8" s="57" t="s">
        <v>58</v>
      </c>
      <c r="D8" s="59">
        <f>D5*5</f>
        <v>750</v>
      </c>
      <c r="E8" s="59">
        <f t="shared" ref="E8:F8" si="1">E5*5</f>
        <v>750</v>
      </c>
      <c r="F8" s="59">
        <f t="shared" si="1"/>
        <v>750</v>
      </c>
    </row>
    <row r="9" spans="2:6" x14ac:dyDescent="0.25">
      <c r="B9" s="388"/>
      <c r="C9" s="57" t="s">
        <v>59</v>
      </c>
      <c r="D9" s="59">
        <v>8</v>
      </c>
      <c r="E9" s="59">
        <v>8</v>
      </c>
      <c r="F9" s="59">
        <v>8</v>
      </c>
    </row>
    <row r="10" spans="2:6" x14ac:dyDescent="0.25">
      <c r="B10" s="388"/>
      <c r="C10" s="58" t="s">
        <v>60</v>
      </c>
      <c r="D10" s="228">
        <f>D8*D9</f>
        <v>6000</v>
      </c>
      <c r="E10" s="228">
        <f t="shared" ref="E10:F10" si="2">E8*E9</f>
        <v>6000</v>
      </c>
      <c r="F10" s="228">
        <f t="shared" si="2"/>
        <v>6000</v>
      </c>
    </row>
    <row r="11" spans="2:6" x14ac:dyDescent="0.25">
      <c r="B11" s="388" t="s">
        <v>61</v>
      </c>
      <c r="C11" s="57" t="s">
        <v>62</v>
      </c>
      <c r="D11" s="59">
        <v>26.4</v>
      </c>
      <c r="E11" s="59">
        <v>26.4</v>
      </c>
      <c r="F11" s="59">
        <v>26.4</v>
      </c>
    </row>
    <row r="12" spans="2:6" x14ac:dyDescent="0.25">
      <c r="B12" s="388"/>
      <c r="C12" s="57" t="s">
        <v>63</v>
      </c>
      <c r="D12" s="59">
        <f>D11*5</f>
        <v>132</v>
      </c>
      <c r="E12" s="59">
        <f t="shared" ref="E12:F12" si="3">E11*5</f>
        <v>132</v>
      </c>
      <c r="F12" s="59">
        <f t="shared" si="3"/>
        <v>132</v>
      </c>
    </row>
    <row r="13" spans="2:6" x14ac:dyDescent="0.25">
      <c r="B13" s="388"/>
      <c r="C13" s="58" t="s">
        <v>56</v>
      </c>
      <c r="D13" s="228">
        <f>D5*D12</f>
        <v>19800</v>
      </c>
      <c r="E13" s="228">
        <f t="shared" ref="E13:F13" si="4">E5*E12</f>
        <v>19800</v>
      </c>
      <c r="F13" s="228">
        <f t="shared" si="4"/>
        <v>19800</v>
      </c>
    </row>
    <row r="14" spans="2:6" x14ac:dyDescent="0.25">
      <c r="B14" s="388" t="s">
        <v>64</v>
      </c>
      <c r="C14" s="57" t="s">
        <v>65</v>
      </c>
      <c r="D14" s="59">
        <v>62.3</v>
      </c>
      <c r="E14" s="59">
        <v>62.3</v>
      </c>
      <c r="F14" s="59">
        <v>62.3</v>
      </c>
    </row>
    <row r="15" spans="2:6" x14ac:dyDescent="0.25">
      <c r="B15" s="388"/>
      <c r="C15" s="57" t="s">
        <v>66</v>
      </c>
      <c r="D15" s="59">
        <f>D14*5</f>
        <v>311.5</v>
      </c>
      <c r="E15" s="59">
        <f>E14*5</f>
        <v>311.5</v>
      </c>
      <c r="F15" s="59">
        <f t="shared" ref="F15" si="5">F14*5</f>
        <v>311.5</v>
      </c>
    </row>
    <row r="16" spans="2:6" x14ac:dyDescent="0.25">
      <c r="B16" s="388"/>
      <c r="C16" s="58" t="s">
        <v>56</v>
      </c>
      <c r="D16" s="228">
        <f>D15*D5</f>
        <v>46725</v>
      </c>
      <c r="E16" s="228">
        <f t="shared" ref="E16:F16" si="6">E15*E5</f>
        <v>46725</v>
      </c>
      <c r="F16" s="228">
        <f t="shared" si="6"/>
        <v>46725</v>
      </c>
    </row>
    <row r="17" spans="2:6" ht="5.25" customHeight="1" x14ac:dyDescent="0.25">
      <c r="B17" s="54"/>
      <c r="C17" s="54"/>
      <c r="D17" s="229"/>
      <c r="E17" s="229"/>
      <c r="F17" s="229"/>
    </row>
    <row r="18" spans="2:6" ht="15.75" x14ac:dyDescent="0.25">
      <c r="B18" s="54"/>
      <c r="C18" s="60" t="s">
        <v>67</v>
      </c>
      <c r="D18" s="230">
        <f>D7+D10+D13+D16</f>
        <v>77190</v>
      </c>
      <c r="E18" s="230">
        <f t="shared" ref="E18:F18" si="7">E7+E10+E13+E16</f>
        <v>77190</v>
      </c>
      <c r="F18" s="230">
        <f t="shared" si="7"/>
        <v>77190</v>
      </c>
    </row>
    <row r="19" spans="2:6" ht="15.75" thickBot="1" x14ac:dyDescent="0.3">
      <c r="D19" s="227"/>
      <c r="E19" s="227"/>
      <c r="F19" s="227"/>
    </row>
    <row r="20" spans="2:6" ht="42.75" x14ac:dyDescent="0.25">
      <c r="C20" s="61" t="s">
        <v>68</v>
      </c>
      <c r="D20" s="231">
        <v>2024</v>
      </c>
      <c r="E20" s="231">
        <v>2025</v>
      </c>
      <c r="F20" s="232" t="s">
        <v>53</v>
      </c>
    </row>
    <row r="21" spans="2:6" ht="15.75" thickBot="1" x14ac:dyDescent="0.3">
      <c r="C21" s="62" t="s">
        <v>69</v>
      </c>
      <c r="D21" s="233">
        <f>D18</f>
        <v>77190</v>
      </c>
      <c r="E21" s="233">
        <f>E18</f>
        <v>77190</v>
      </c>
      <c r="F21" s="234">
        <f>F18</f>
        <v>77190</v>
      </c>
    </row>
    <row r="22" spans="2:6" ht="15.75" thickBot="1" x14ac:dyDescent="0.3">
      <c r="C22" s="63" t="s">
        <v>70</v>
      </c>
      <c r="D22" s="235">
        <f>D21</f>
        <v>77190</v>
      </c>
      <c r="E22" s="235">
        <f t="shared" ref="E22:F22" si="8">E21</f>
        <v>77190</v>
      </c>
      <c r="F22" s="235">
        <f t="shared" si="8"/>
        <v>77190</v>
      </c>
    </row>
  </sheetData>
  <mergeCells count="6">
    <mergeCell ref="B14:B16"/>
    <mergeCell ref="C1:F1"/>
    <mergeCell ref="B3:F3"/>
    <mergeCell ref="B5:B7"/>
    <mergeCell ref="B8:B10"/>
    <mergeCell ref="B11:B13"/>
  </mergeCells>
  <pageMargins left="0.7" right="0.20833333333333334" top="0.75" bottom="0.75" header="0.3" footer="0.3"/>
  <pageSetup paperSize="9"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E1A4B-2476-4F43-B09B-93C9379678A4}">
  <sheetPr>
    <tabColor theme="5" tint="0.79998168889431442"/>
  </sheetPr>
  <dimension ref="B1:I26"/>
  <sheetViews>
    <sheetView view="pageBreakPreview" zoomScale="115" zoomScaleNormal="100" zoomScaleSheetLayoutView="115" workbookViewId="0">
      <selection activeCell="E2" sqref="E2"/>
    </sheetView>
  </sheetViews>
  <sheetFormatPr defaultColWidth="9.140625" defaultRowHeight="12.75" x14ac:dyDescent="0.2"/>
  <cols>
    <col min="1" max="1" width="2" style="64" customWidth="1"/>
    <col min="2" max="2" width="32.140625" style="53" customWidth="1"/>
    <col min="3" max="3" width="14.7109375" style="53" customWidth="1"/>
    <col min="4" max="5" width="14" style="53" customWidth="1"/>
    <col min="6" max="8" width="14" style="64" customWidth="1"/>
    <col min="9" max="16384" width="9.140625" style="64"/>
  </cols>
  <sheetData>
    <row r="1" spans="2:9" ht="77.25" customHeight="1" x14ac:dyDescent="0.2">
      <c r="E1" s="391" t="s">
        <v>293</v>
      </c>
      <c r="F1" s="392"/>
      <c r="G1" s="392"/>
      <c r="H1" s="392"/>
    </row>
    <row r="3" spans="2:9" ht="16.5" x14ac:dyDescent="0.2">
      <c r="B3" s="65" t="s">
        <v>71</v>
      </c>
    </row>
    <row r="5" spans="2:9" ht="63.75" customHeight="1" x14ac:dyDescent="0.2">
      <c r="B5" s="66" t="s">
        <v>252</v>
      </c>
      <c r="C5" s="66" t="s">
        <v>72</v>
      </c>
      <c r="D5" s="67" t="s">
        <v>73</v>
      </c>
      <c r="E5" s="66" t="s">
        <v>74</v>
      </c>
      <c r="F5" s="67" t="s">
        <v>75</v>
      </c>
      <c r="G5" s="66" t="s">
        <v>76</v>
      </c>
      <c r="H5" s="67" t="s">
        <v>77</v>
      </c>
    </row>
    <row r="6" spans="2:9" ht="15" x14ac:dyDescent="0.2">
      <c r="B6" s="68">
        <v>293.06</v>
      </c>
      <c r="C6" s="69">
        <v>80</v>
      </c>
      <c r="D6" s="70">
        <f>ROUNDUP(C6*B6,0)</f>
        <v>23445</v>
      </c>
      <c r="E6" s="71">
        <v>80</v>
      </c>
      <c r="F6" s="70">
        <f>ROUNDUP(E6*B6,0)</f>
        <v>23445</v>
      </c>
      <c r="G6" s="71">
        <v>80</v>
      </c>
      <c r="H6" s="70">
        <f>ROUNDUP(G6*B6,0)</f>
        <v>23445</v>
      </c>
    </row>
    <row r="7" spans="2:9" ht="15.75" thickBot="1" x14ac:dyDescent="0.3">
      <c r="B7" s="72"/>
      <c r="C7" s="41"/>
      <c r="D7" s="41"/>
      <c r="E7" s="41"/>
      <c r="F7" s="41"/>
      <c r="G7" s="41"/>
      <c r="H7" s="41"/>
      <c r="I7" s="41"/>
    </row>
    <row r="8" spans="2:9" ht="42.75" x14ac:dyDescent="0.2">
      <c r="B8" s="61" t="s">
        <v>68</v>
      </c>
      <c r="C8" s="73">
        <v>2024</v>
      </c>
      <c r="D8" s="73">
        <v>2025</v>
      </c>
      <c r="E8" s="74" t="s">
        <v>53</v>
      </c>
    </row>
    <row r="9" spans="2:9" ht="15.75" thickBot="1" x14ac:dyDescent="0.3">
      <c r="B9" s="62" t="s">
        <v>69</v>
      </c>
      <c r="C9" s="220">
        <f>D6</f>
        <v>23445</v>
      </c>
      <c r="D9" s="220">
        <f>F6</f>
        <v>23445</v>
      </c>
      <c r="E9" s="221">
        <f>H6</f>
        <v>23445</v>
      </c>
    </row>
    <row r="10" spans="2:9" ht="15" thickBot="1" x14ac:dyDescent="0.25">
      <c r="B10" s="63" t="s">
        <v>70</v>
      </c>
      <c r="C10" s="222">
        <f>C9</f>
        <v>23445</v>
      </c>
      <c r="D10" s="222">
        <f t="shared" ref="D10:E10" si="0">D9</f>
        <v>23445</v>
      </c>
      <c r="E10" s="222">
        <f t="shared" si="0"/>
        <v>23445</v>
      </c>
    </row>
    <row r="11" spans="2:9" x14ac:dyDescent="0.2">
      <c r="B11" s="53" t="s">
        <v>253</v>
      </c>
    </row>
    <row r="12" spans="2:9" x14ac:dyDescent="0.2">
      <c r="C12" s="75"/>
      <c r="D12" s="75"/>
    </row>
    <row r="13" spans="2:9" s="53" customFormat="1" x14ac:dyDescent="0.2">
      <c r="C13" s="75"/>
      <c r="D13" s="75"/>
      <c r="F13" s="64"/>
      <c r="G13" s="64"/>
      <c r="H13" s="64"/>
      <c r="I13" s="64"/>
    </row>
    <row r="14" spans="2:9" s="53" customFormat="1" x14ac:dyDescent="0.2">
      <c r="C14" s="75"/>
      <c r="D14" s="75"/>
      <c r="F14" s="64"/>
      <c r="G14" s="64"/>
      <c r="H14" s="64"/>
      <c r="I14" s="64"/>
    </row>
    <row r="15" spans="2:9" s="53" customFormat="1" x14ac:dyDescent="0.2">
      <c r="C15" s="75"/>
      <c r="D15" s="75"/>
      <c r="F15" s="64"/>
      <c r="G15" s="64"/>
      <c r="H15" s="64"/>
      <c r="I15" s="64"/>
    </row>
    <row r="16" spans="2:9" s="53" customFormat="1" x14ac:dyDescent="0.2">
      <c r="C16" s="75"/>
      <c r="D16" s="75"/>
      <c r="F16" s="64"/>
      <c r="G16" s="64"/>
      <c r="H16" s="64"/>
      <c r="I16" s="64"/>
    </row>
    <row r="17" spans="3:9" s="53" customFormat="1" x14ac:dyDescent="0.2">
      <c r="C17" s="75"/>
      <c r="D17" s="75"/>
      <c r="F17" s="64"/>
      <c r="G17" s="64"/>
      <c r="H17" s="64"/>
      <c r="I17" s="64"/>
    </row>
    <row r="18" spans="3:9" s="53" customFormat="1" x14ac:dyDescent="0.2">
      <c r="C18" s="75"/>
      <c r="D18" s="75"/>
      <c r="F18" s="64"/>
      <c r="G18" s="64"/>
      <c r="H18" s="64"/>
      <c r="I18" s="64"/>
    </row>
    <row r="19" spans="3:9" s="53" customFormat="1" x14ac:dyDescent="0.2">
      <c r="C19" s="75"/>
      <c r="D19" s="75"/>
      <c r="F19" s="64"/>
      <c r="G19" s="64"/>
      <c r="H19" s="64"/>
      <c r="I19" s="64"/>
    </row>
    <row r="20" spans="3:9" s="53" customFormat="1" x14ac:dyDescent="0.2">
      <c r="C20" s="75"/>
      <c r="D20" s="75"/>
      <c r="F20" s="64"/>
      <c r="G20" s="64"/>
      <c r="H20" s="64"/>
      <c r="I20" s="64"/>
    </row>
    <row r="21" spans="3:9" s="53" customFormat="1" x14ac:dyDescent="0.2">
      <c r="C21" s="75"/>
      <c r="D21" s="75"/>
      <c r="F21" s="64"/>
      <c r="G21" s="64"/>
      <c r="H21" s="64"/>
      <c r="I21" s="64"/>
    </row>
    <row r="22" spans="3:9" s="53" customFormat="1" x14ac:dyDescent="0.2">
      <c r="C22" s="75"/>
      <c r="D22" s="75"/>
      <c r="F22" s="64"/>
      <c r="G22" s="64"/>
      <c r="H22" s="64"/>
      <c r="I22" s="64"/>
    </row>
    <row r="23" spans="3:9" s="53" customFormat="1" x14ac:dyDescent="0.2">
      <c r="C23" s="75"/>
      <c r="D23" s="75"/>
      <c r="F23" s="64"/>
      <c r="G23" s="64"/>
      <c r="H23" s="64"/>
      <c r="I23" s="64"/>
    </row>
    <row r="24" spans="3:9" s="53" customFormat="1" x14ac:dyDescent="0.2">
      <c r="C24" s="75"/>
      <c r="D24" s="75"/>
      <c r="F24" s="64"/>
      <c r="G24" s="64"/>
      <c r="H24" s="64"/>
      <c r="I24" s="64"/>
    </row>
    <row r="25" spans="3:9" s="53" customFormat="1" x14ac:dyDescent="0.2">
      <c r="C25" s="75"/>
      <c r="D25" s="75"/>
      <c r="F25" s="64"/>
      <c r="G25" s="64"/>
      <c r="H25" s="64"/>
      <c r="I25" s="64"/>
    </row>
    <row r="26" spans="3:9" s="53" customFormat="1" x14ac:dyDescent="0.2">
      <c r="C26" s="75"/>
      <c r="D26" s="75"/>
      <c r="F26" s="64"/>
      <c r="G26" s="64"/>
      <c r="H26" s="64"/>
      <c r="I26" s="64"/>
    </row>
  </sheetData>
  <mergeCells count="1">
    <mergeCell ref="E1:H1"/>
  </mergeCell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E6B91-A73E-42F7-BF77-376BD7912B80}">
  <sheetPr>
    <tabColor theme="5" tint="0.79998168889431442"/>
  </sheetPr>
  <dimension ref="B1:J14"/>
  <sheetViews>
    <sheetView view="pageBreakPreview" zoomScale="115" zoomScaleNormal="100" zoomScaleSheetLayoutView="115" workbookViewId="0">
      <selection activeCell="I14" sqref="I14"/>
    </sheetView>
  </sheetViews>
  <sheetFormatPr defaultColWidth="9.140625" defaultRowHeight="15" x14ac:dyDescent="0.25"/>
  <cols>
    <col min="1" max="1" width="1.5703125" style="52" customWidth="1"/>
    <col min="2" max="2" width="6.28515625" style="52" customWidth="1"/>
    <col min="3" max="3" width="25.7109375" style="52" customWidth="1"/>
    <col min="4" max="4" width="34.140625" style="52" customWidth="1"/>
    <col min="5" max="5" width="18.85546875" style="52" customWidth="1"/>
    <col min="6" max="7" width="16.42578125" style="52" customWidth="1"/>
    <col min="8" max="8" width="20.28515625" style="52" customWidth="1"/>
    <col min="9" max="16384" width="9.140625" style="52"/>
  </cols>
  <sheetData>
    <row r="1" spans="2:10" ht="84" customHeight="1" x14ac:dyDescent="0.25">
      <c r="E1" s="389" t="s">
        <v>294</v>
      </c>
      <c r="F1" s="389"/>
      <c r="G1" s="389"/>
    </row>
    <row r="3" spans="2:10" ht="15.75" x14ac:dyDescent="0.25">
      <c r="B3" s="393" t="s">
        <v>78</v>
      </c>
      <c r="C3" s="393"/>
      <c r="D3" s="393"/>
      <c r="E3" s="393"/>
      <c r="F3" s="393"/>
      <c r="G3" s="393"/>
      <c r="H3" s="76"/>
    </row>
    <row r="4" spans="2:10" ht="16.5" thickBot="1" x14ac:dyDescent="0.3">
      <c r="B4" s="77"/>
      <c r="C4" s="77"/>
      <c r="D4" s="77"/>
      <c r="E4" s="77"/>
      <c r="F4" s="77"/>
      <c r="G4" s="77"/>
      <c r="H4" s="77"/>
    </row>
    <row r="5" spans="2:10" ht="55.5" customHeight="1" x14ac:dyDescent="0.25">
      <c r="B5" s="78" t="s">
        <v>79</v>
      </c>
      <c r="C5" s="78" t="s">
        <v>80</v>
      </c>
      <c r="D5" s="79" t="s">
        <v>81</v>
      </c>
      <c r="E5" s="80" t="s">
        <v>461</v>
      </c>
      <c r="F5" s="80">
        <v>2025</v>
      </c>
      <c r="G5" s="81" t="s">
        <v>53</v>
      </c>
      <c r="H5" s="77"/>
    </row>
    <row r="6" spans="2:10" ht="30" x14ac:dyDescent="0.25">
      <c r="B6" s="82">
        <v>1</v>
      </c>
      <c r="C6" s="98" t="s">
        <v>82</v>
      </c>
      <c r="D6" s="100" t="s">
        <v>83</v>
      </c>
      <c r="E6" s="215">
        <f>53899+4212</f>
        <v>58111</v>
      </c>
      <c r="F6" s="215">
        <f t="shared" ref="F6:G6" si="0">53899+4212</f>
        <v>58111</v>
      </c>
      <c r="G6" s="215">
        <f t="shared" si="0"/>
        <v>58111</v>
      </c>
      <c r="H6" s="77"/>
    </row>
    <row r="7" spans="2:10" ht="26.45" customHeight="1" x14ac:dyDescent="0.25">
      <c r="B7" s="84">
        <v>2</v>
      </c>
      <c r="C7" s="97" t="s">
        <v>84</v>
      </c>
      <c r="D7" s="99" t="s">
        <v>85</v>
      </c>
      <c r="E7" s="223">
        <v>142092</v>
      </c>
      <c r="F7" s="223">
        <v>142092</v>
      </c>
      <c r="G7" s="223">
        <v>142092</v>
      </c>
      <c r="H7" s="77"/>
    </row>
    <row r="8" spans="2:10" ht="15.75" x14ac:dyDescent="0.25">
      <c r="B8" s="82"/>
      <c r="C8" s="85" t="s">
        <v>86</v>
      </c>
      <c r="D8" s="85"/>
      <c r="E8" s="224">
        <f>SUM(E6:E7)</f>
        <v>200203</v>
      </c>
      <c r="F8" s="224">
        <f>SUM(F6:F7)</f>
        <v>200203</v>
      </c>
      <c r="G8" s="224">
        <f>SUM(G6:G7)</f>
        <v>200203</v>
      </c>
      <c r="H8" s="77"/>
    </row>
    <row r="9" spans="2:10" ht="16.5" thickBot="1" x14ac:dyDescent="0.3">
      <c r="B9" s="87"/>
      <c r="C9" s="77"/>
      <c r="D9" s="77"/>
      <c r="E9" s="216"/>
      <c r="F9" s="216"/>
      <c r="G9" s="216"/>
      <c r="H9" s="77"/>
    </row>
    <row r="10" spans="2:10" ht="28.5" x14ac:dyDescent="0.25">
      <c r="B10" s="88"/>
      <c r="C10" s="89"/>
      <c r="D10" s="90" t="s">
        <v>68</v>
      </c>
      <c r="E10" s="225">
        <v>2024</v>
      </c>
      <c r="F10" s="225">
        <v>2025</v>
      </c>
      <c r="G10" s="217" t="s">
        <v>53</v>
      </c>
      <c r="H10" s="77"/>
    </row>
    <row r="11" spans="2:10" ht="16.5" thickBot="1" x14ac:dyDescent="0.3">
      <c r="B11" s="87"/>
      <c r="C11" s="77"/>
      <c r="D11" s="91" t="s">
        <v>69</v>
      </c>
      <c r="E11" s="226">
        <f>E8</f>
        <v>200203</v>
      </c>
      <c r="F11" s="226">
        <f>F8</f>
        <v>200203</v>
      </c>
      <c r="G11" s="218">
        <f>G8</f>
        <v>200203</v>
      </c>
      <c r="H11" s="93"/>
    </row>
    <row r="12" spans="2:10" ht="16.5" thickBot="1" x14ac:dyDescent="0.3">
      <c r="B12" s="87"/>
      <c r="C12" s="77"/>
      <c r="D12" s="94" t="s">
        <v>70</v>
      </c>
      <c r="E12" s="219">
        <f>E11</f>
        <v>200203</v>
      </c>
      <c r="F12" s="219">
        <f t="shared" ref="F12:G12" si="1">F11</f>
        <v>200203</v>
      </c>
      <c r="G12" s="219">
        <f t="shared" si="1"/>
        <v>200203</v>
      </c>
      <c r="H12" s="93"/>
    </row>
    <row r="13" spans="2:10" ht="15.75" x14ac:dyDescent="0.25">
      <c r="B13" s="87"/>
      <c r="C13" s="77"/>
      <c r="D13" s="77"/>
      <c r="E13" s="87"/>
      <c r="F13" s="87"/>
      <c r="G13" s="87"/>
      <c r="H13" s="93"/>
    </row>
    <row r="14" spans="2:10" x14ac:dyDescent="0.25">
      <c r="B14" s="394" t="s">
        <v>462</v>
      </c>
      <c r="C14" s="394"/>
      <c r="D14" s="394"/>
      <c r="E14" s="54"/>
      <c r="F14" s="54"/>
      <c r="G14" s="54"/>
      <c r="H14" s="54"/>
      <c r="I14" s="54"/>
      <c r="J14" s="54"/>
    </row>
  </sheetData>
  <mergeCells count="3">
    <mergeCell ref="B3:G3"/>
    <mergeCell ref="E1:G1"/>
    <mergeCell ref="B14:D14"/>
  </mergeCells>
  <pageMargins left="0.32291666666666669" right="0.15625"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EC4F7-A24C-4CCC-9905-CBB920D83DF4}">
  <sheetPr>
    <tabColor theme="5" tint="0.79998168889431442"/>
  </sheetPr>
  <dimension ref="B1:H14"/>
  <sheetViews>
    <sheetView view="pageBreakPreview" zoomScale="115" zoomScaleNormal="100" zoomScaleSheetLayoutView="115" workbookViewId="0">
      <selection activeCell="D2" sqref="D2"/>
    </sheetView>
  </sheetViews>
  <sheetFormatPr defaultColWidth="9.140625" defaultRowHeight="15" x14ac:dyDescent="0.25"/>
  <cols>
    <col min="1" max="1" width="1.5703125" style="52" customWidth="1"/>
    <col min="2" max="2" width="25.7109375" style="52" bestFit="1" customWidth="1"/>
    <col min="3" max="3" width="16.5703125" style="52" customWidth="1"/>
    <col min="4" max="4" width="22.5703125" style="52" customWidth="1"/>
    <col min="5" max="5" width="21.7109375" style="52" customWidth="1"/>
    <col min="6" max="6" width="20.28515625" style="52" customWidth="1"/>
    <col min="7" max="16384" width="9.140625" style="52"/>
  </cols>
  <sheetData>
    <row r="1" spans="2:8" ht="91.5" customHeight="1" x14ac:dyDescent="0.25">
      <c r="D1" s="389" t="s">
        <v>295</v>
      </c>
      <c r="E1" s="389"/>
    </row>
    <row r="3" spans="2:8" ht="15.75" x14ac:dyDescent="0.25">
      <c r="B3" s="393" t="s">
        <v>90</v>
      </c>
      <c r="C3" s="393"/>
      <c r="D3" s="393"/>
      <c r="E3" s="393"/>
      <c r="F3" s="76"/>
    </row>
    <row r="4" spans="2:8" ht="16.5" thickBot="1" x14ac:dyDescent="0.3">
      <c r="B4" s="77"/>
      <c r="C4" s="77"/>
      <c r="D4" s="77"/>
      <c r="E4" s="77"/>
      <c r="F4" s="77"/>
    </row>
    <row r="5" spans="2:8" ht="48" customHeight="1" x14ac:dyDescent="0.25">
      <c r="B5" s="78" t="s">
        <v>91</v>
      </c>
      <c r="C5" s="79" t="s">
        <v>55</v>
      </c>
      <c r="D5" s="79" t="s">
        <v>92</v>
      </c>
      <c r="E5" s="104" t="s">
        <v>93</v>
      </c>
      <c r="F5" s="77"/>
    </row>
    <row r="6" spans="2:8" ht="15.75" x14ac:dyDescent="0.25">
      <c r="B6" s="82">
        <v>196</v>
      </c>
      <c r="C6" s="101">
        <v>540</v>
      </c>
      <c r="D6" s="102">
        <v>30</v>
      </c>
      <c r="E6" s="215">
        <v>16200</v>
      </c>
      <c r="F6" s="77"/>
    </row>
    <row r="7" spans="2:8" ht="26.45" customHeight="1" x14ac:dyDescent="0.25">
      <c r="B7" s="84"/>
      <c r="C7" s="103"/>
      <c r="D7" s="83" t="s">
        <v>94</v>
      </c>
      <c r="E7" s="223">
        <v>3240</v>
      </c>
      <c r="F7" s="77"/>
    </row>
    <row r="8" spans="2:8" ht="15.75" x14ac:dyDescent="0.25">
      <c r="B8" s="105"/>
      <c r="C8" s="86"/>
      <c r="D8" s="86" t="s">
        <v>40</v>
      </c>
      <c r="E8" s="224">
        <v>19440</v>
      </c>
      <c r="F8" s="77"/>
    </row>
    <row r="9" spans="2:8" ht="16.5" thickBot="1" x14ac:dyDescent="0.3">
      <c r="B9" s="87"/>
      <c r="C9" s="77"/>
      <c r="D9" s="77"/>
      <c r="E9" s="87"/>
      <c r="F9" s="77"/>
    </row>
    <row r="10" spans="2:8" ht="36" customHeight="1" x14ac:dyDescent="0.25">
      <c r="B10" s="88"/>
      <c r="C10" s="89"/>
      <c r="D10" s="106" t="s">
        <v>68</v>
      </c>
      <c r="E10" s="74" t="s">
        <v>101</v>
      </c>
    </row>
    <row r="11" spans="2:8" ht="16.5" thickBot="1" x14ac:dyDescent="0.3">
      <c r="B11" s="87"/>
      <c r="C11" s="77"/>
      <c r="D11" s="91" t="s">
        <v>69</v>
      </c>
      <c r="E11" s="218">
        <f>E8</f>
        <v>19440</v>
      </c>
    </row>
    <row r="12" spans="2:8" ht="16.5" thickBot="1" x14ac:dyDescent="0.3">
      <c r="B12" s="87"/>
      <c r="C12" s="77"/>
      <c r="D12" s="94" t="s">
        <v>70</v>
      </c>
      <c r="E12" s="219">
        <f t="shared" ref="E12" si="0">E11</f>
        <v>19440</v>
      </c>
    </row>
    <row r="13" spans="2:8" ht="15.75" x14ac:dyDescent="0.25">
      <c r="B13" s="87"/>
      <c r="C13" s="77"/>
      <c r="D13" s="77"/>
      <c r="E13" s="87"/>
      <c r="F13" s="93"/>
    </row>
    <row r="14" spans="2:8" x14ac:dyDescent="0.25">
      <c r="B14" s="96"/>
      <c r="C14" s="54"/>
      <c r="D14" s="54"/>
      <c r="E14" s="54"/>
      <c r="F14" s="54"/>
      <c r="G14" s="54"/>
      <c r="H14" s="54"/>
    </row>
  </sheetData>
  <mergeCells count="2">
    <mergeCell ref="B3:E3"/>
    <mergeCell ref="D1:E1"/>
  </mergeCells>
  <pageMargins left="0.32291666666666669" right="0.15625"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B5218-1EF0-46EF-A3EF-E69CBF0331A5}">
  <sheetPr>
    <tabColor theme="5" tint="0.79998168889431442"/>
  </sheetPr>
  <dimension ref="B1:J17"/>
  <sheetViews>
    <sheetView view="pageBreakPreview" zoomScale="115" zoomScaleNormal="100" zoomScaleSheetLayoutView="115" workbookViewId="0">
      <selection activeCell="E1" sqref="E1:G1"/>
    </sheetView>
  </sheetViews>
  <sheetFormatPr defaultColWidth="9.140625" defaultRowHeight="15" x14ac:dyDescent="0.25"/>
  <cols>
    <col min="1" max="1" width="1.5703125" style="52" customWidth="1"/>
    <col min="2" max="2" width="6.28515625" style="52" customWidth="1"/>
    <col min="3" max="3" width="25.7109375" style="52" customWidth="1"/>
    <col min="4" max="4" width="12.42578125" style="52" bestFit="1" customWidth="1"/>
    <col min="5" max="5" width="14.42578125" style="52" customWidth="1"/>
    <col min="6" max="6" width="23" style="52" customWidth="1"/>
    <col min="7" max="7" width="16.42578125" style="52" customWidth="1"/>
    <col min="8" max="8" width="20.28515625" style="52" customWidth="1"/>
    <col min="9" max="16384" width="9.140625" style="52"/>
  </cols>
  <sheetData>
    <row r="1" spans="2:10" ht="84" customHeight="1" x14ac:dyDescent="0.25">
      <c r="E1" s="389" t="s">
        <v>296</v>
      </c>
      <c r="F1" s="389"/>
      <c r="G1" s="389"/>
    </row>
    <row r="3" spans="2:10" ht="15.75" x14ac:dyDescent="0.25">
      <c r="B3" s="393" t="s">
        <v>100</v>
      </c>
      <c r="C3" s="393"/>
      <c r="D3" s="393"/>
      <c r="E3" s="393"/>
      <c r="F3" s="393"/>
      <c r="G3" s="393"/>
      <c r="H3" s="76"/>
    </row>
    <row r="4" spans="2:10" ht="15.75" x14ac:dyDescent="0.25">
      <c r="B4" s="77"/>
      <c r="C4" s="77"/>
      <c r="D4" s="77"/>
      <c r="E4" s="77"/>
      <c r="F4" s="77"/>
      <c r="G4" s="77"/>
      <c r="H4" s="77"/>
    </row>
    <row r="5" spans="2:10" ht="28.5" x14ac:dyDescent="0.25">
      <c r="B5" s="107"/>
      <c r="C5" s="124" t="s">
        <v>18</v>
      </c>
      <c r="D5" s="125" t="s">
        <v>95</v>
      </c>
      <c r="E5" s="125" t="s">
        <v>96</v>
      </c>
      <c r="F5" s="125" t="s">
        <v>97</v>
      </c>
      <c r="G5" s="125" t="s">
        <v>98</v>
      </c>
      <c r="H5" s="77"/>
    </row>
    <row r="6" spans="2:10" ht="28.5" x14ac:dyDescent="0.25">
      <c r="B6" s="108"/>
      <c r="C6" s="126" t="s">
        <v>254</v>
      </c>
      <c r="D6" s="127"/>
      <c r="E6" s="128"/>
      <c r="F6" s="128"/>
      <c r="G6" s="128">
        <f>ROUNDUP(SUM(G7:G13),0)</f>
        <v>301790</v>
      </c>
      <c r="H6" s="77"/>
    </row>
    <row r="7" spans="2:10" ht="15" customHeight="1" x14ac:dyDescent="0.25">
      <c r="B7" s="96"/>
      <c r="C7" s="117" t="s">
        <v>102</v>
      </c>
      <c r="D7" s="112">
        <v>200</v>
      </c>
      <c r="E7" s="111">
        <v>800</v>
      </c>
      <c r="F7" s="111">
        <f>E7*1.21</f>
        <v>968</v>
      </c>
      <c r="G7" s="197">
        <f>F7*D7</f>
        <v>193600</v>
      </c>
      <c r="H7" s="77"/>
    </row>
    <row r="8" spans="2:10" ht="15.75" x14ac:dyDescent="0.25">
      <c r="B8" s="108"/>
      <c r="C8" s="113" t="s">
        <v>103</v>
      </c>
      <c r="D8" s="110">
        <v>1</v>
      </c>
      <c r="E8" s="114">
        <v>503</v>
      </c>
      <c r="F8" s="111">
        <f t="shared" ref="F8:F13" si="0">E8*1.21</f>
        <v>608.63</v>
      </c>
      <c r="G8" s="197">
        <f t="shared" ref="G8:G12" si="1">F8*D8</f>
        <v>608.63</v>
      </c>
      <c r="H8" s="77"/>
    </row>
    <row r="9" spans="2:10" ht="31.5" x14ac:dyDescent="0.25">
      <c r="B9" s="87"/>
      <c r="C9" s="118" t="s">
        <v>104</v>
      </c>
      <c r="D9" s="120">
        <v>200</v>
      </c>
      <c r="E9" s="115">
        <v>62</v>
      </c>
      <c r="F9" s="111">
        <f t="shared" si="0"/>
        <v>75.02</v>
      </c>
      <c r="G9" s="197">
        <f t="shared" si="1"/>
        <v>15004</v>
      </c>
      <c r="H9" s="77"/>
    </row>
    <row r="10" spans="2:10" ht="15.75" x14ac:dyDescent="0.25">
      <c r="B10" s="88"/>
      <c r="C10" s="119" t="s">
        <v>105</v>
      </c>
      <c r="D10" s="121">
        <v>200</v>
      </c>
      <c r="E10" s="109">
        <v>78</v>
      </c>
      <c r="F10" s="111">
        <f t="shared" si="0"/>
        <v>94.38</v>
      </c>
      <c r="G10" s="197">
        <f t="shared" si="1"/>
        <v>18876</v>
      </c>
      <c r="H10" s="77"/>
    </row>
    <row r="11" spans="2:10" ht="15.75" x14ac:dyDescent="0.25">
      <c r="B11" s="87"/>
      <c r="C11" s="118" t="s">
        <v>106</v>
      </c>
      <c r="D11" s="121">
        <v>15</v>
      </c>
      <c r="E11" s="116">
        <v>314</v>
      </c>
      <c r="F11" s="111">
        <f t="shared" si="0"/>
        <v>379.94</v>
      </c>
      <c r="G11" s="197">
        <f t="shared" si="1"/>
        <v>5699.1</v>
      </c>
      <c r="H11" s="93"/>
    </row>
    <row r="12" spans="2:10" ht="15.75" customHeight="1" x14ac:dyDescent="0.25">
      <c r="B12" s="87"/>
      <c r="C12" s="118" t="s">
        <v>107</v>
      </c>
      <c r="D12" s="121">
        <v>1</v>
      </c>
      <c r="E12" s="116">
        <v>40000</v>
      </c>
      <c r="F12" s="111">
        <f t="shared" si="0"/>
        <v>48400</v>
      </c>
      <c r="G12" s="197">
        <f t="shared" si="1"/>
        <v>48400</v>
      </c>
      <c r="H12" s="93"/>
    </row>
    <row r="13" spans="2:10" ht="15.75" x14ac:dyDescent="0.25">
      <c r="B13" s="87"/>
      <c r="C13" s="118" t="s">
        <v>108</v>
      </c>
      <c r="D13" s="120" t="s">
        <v>99</v>
      </c>
      <c r="E13" s="115">
        <v>1800</v>
      </c>
      <c r="F13" s="111">
        <f t="shared" si="0"/>
        <v>2178</v>
      </c>
      <c r="G13" s="236">
        <f>F13*9</f>
        <v>19602</v>
      </c>
      <c r="H13" s="93"/>
    </row>
    <row r="14" spans="2:10" ht="15.75" thickBot="1" x14ac:dyDescent="0.3">
      <c r="B14" s="96"/>
      <c r="C14" s="54"/>
      <c r="D14" s="54"/>
      <c r="E14" s="54"/>
      <c r="F14" s="54"/>
      <c r="G14" s="229"/>
      <c r="H14" s="54"/>
      <c r="I14" s="54"/>
      <c r="J14" s="54"/>
    </row>
    <row r="15" spans="2:10" ht="15.75" x14ac:dyDescent="0.25">
      <c r="F15" s="106" t="s">
        <v>68</v>
      </c>
      <c r="G15" s="217" t="s">
        <v>101</v>
      </c>
    </row>
    <row r="16" spans="2:10" ht="16.5" thickBot="1" x14ac:dyDescent="0.3">
      <c r="F16" s="91" t="s">
        <v>69</v>
      </c>
      <c r="G16" s="218">
        <f>G6</f>
        <v>301790</v>
      </c>
    </row>
    <row r="17" spans="2:7" ht="16.5" thickBot="1" x14ac:dyDescent="0.3">
      <c r="B17" s="237" t="s">
        <v>255</v>
      </c>
      <c r="F17" s="94" t="s">
        <v>70</v>
      </c>
      <c r="G17" s="219">
        <f t="shared" ref="G17" si="2">G16</f>
        <v>301790</v>
      </c>
    </row>
  </sheetData>
  <mergeCells count="2">
    <mergeCell ref="E1:G1"/>
    <mergeCell ref="B3:G3"/>
  </mergeCells>
  <pageMargins left="0.32291666666666669" right="0.15625"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F0C7B-7F1C-4413-9C9A-C8AF8B71BBD5}">
  <sheetPr>
    <tabColor theme="8" tint="0.79998168889431442"/>
  </sheetPr>
  <dimension ref="A1:K68"/>
  <sheetViews>
    <sheetView view="pageBreakPreview" topLeftCell="B1" zoomScaleNormal="100" zoomScaleSheetLayoutView="100" workbookViewId="0">
      <selection activeCell="M7" sqref="M7"/>
    </sheetView>
  </sheetViews>
  <sheetFormatPr defaultColWidth="8.85546875" defaultRowHeight="15.75" x14ac:dyDescent="0.25"/>
  <cols>
    <col min="1" max="1" width="11.7109375" style="138" bestFit="1" customWidth="1"/>
    <col min="2" max="2" width="66.28515625" style="138" customWidth="1"/>
    <col min="3" max="4" width="12.5703125" style="138" customWidth="1"/>
    <col min="5" max="5" width="9.5703125" style="138" customWidth="1"/>
    <col min="6" max="10" width="14.7109375" style="138" customWidth="1"/>
    <col min="11" max="11" width="41.28515625" style="138" customWidth="1"/>
    <col min="12" max="16384" width="8.85546875" style="138"/>
  </cols>
  <sheetData>
    <row r="1" spans="1:11" ht="66" customHeight="1" x14ac:dyDescent="0.25">
      <c r="I1" s="401" t="s">
        <v>297</v>
      </c>
      <c r="J1" s="402"/>
      <c r="K1" s="402"/>
    </row>
    <row r="2" spans="1:11" ht="30.75" customHeight="1" x14ac:dyDescent="0.25">
      <c r="A2" s="405" t="s">
        <v>126</v>
      </c>
      <c r="B2" s="406"/>
      <c r="C2" s="406"/>
      <c r="D2" s="406"/>
      <c r="E2" s="406"/>
      <c r="F2" s="406"/>
      <c r="G2" s="406"/>
      <c r="H2" s="406"/>
      <c r="I2" s="406"/>
      <c r="J2" s="406"/>
      <c r="K2" s="406"/>
    </row>
    <row r="3" spans="1:11" ht="47.25" x14ac:dyDescent="0.25">
      <c r="A3" s="139" t="s">
        <v>17</v>
      </c>
      <c r="B3" s="139" t="s">
        <v>127</v>
      </c>
      <c r="C3" s="139" t="s">
        <v>454</v>
      </c>
      <c r="D3" s="139" t="s">
        <v>455</v>
      </c>
      <c r="E3" s="140" t="s">
        <v>23</v>
      </c>
      <c r="F3" s="407" t="s">
        <v>128</v>
      </c>
      <c r="G3" s="407"/>
      <c r="H3" s="407"/>
      <c r="I3" s="407"/>
      <c r="J3" s="407"/>
      <c r="K3" s="407"/>
    </row>
    <row r="4" spans="1:11" ht="31.5" x14ac:dyDescent="0.25">
      <c r="A4" s="141">
        <v>1</v>
      </c>
      <c r="B4" s="141" t="s">
        <v>131</v>
      </c>
      <c r="C4" s="143">
        <f>C5+C12</f>
        <v>189146.38250000001</v>
      </c>
      <c r="D4" s="143">
        <f>D5+D12</f>
        <v>208154.6</v>
      </c>
      <c r="E4" s="142">
        <v>2000</v>
      </c>
      <c r="F4" s="408"/>
      <c r="G4" s="408"/>
      <c r="H4" s="408"/>
      <c r="I4" s="408"/>
      <c r="J4" s="408"/>
      <c r="K4" s="408"/>
    </row>
    <row r="5" spans="1:11" ht="31.5" x14ac:dyDescent="0.25">
      <c r="A5" s="144" t="s">
        <v>250</v>
      </c>
      <c r="B5" s="145" t="s">
        <v>463</v>
      </c>
      <c r="C5" s="146">
        <f>SUM(C6:C11)</f>
        <v>89941.0625</v>
      </c>
      <c r="D5" s="146">
        <f>SUM(D6:D11)</f>
        <v>106045.28</v>
      </c>
      <c r="E5" s="147">
        <v>2000</v>
      </c>
      <c r="F5" s="409"/>
      <c r="G5" s="410"/>
      <c r="H5" s="410"/>
      <c r="I5" s="410"/>
      <c r="J5" s="410"/>
      <c r="K5" s="411"/>
    </row>
    <row r="6" spans="1:11" ht="64.5" customHeight="1" x14ac:dyDescent="0.25">
      <c r="A6" s="148" t="s">
        <v>434</v>
      </c>
      <c r="B6" s="149" t="s">
        <v>457</v>
      </c>
      <c r="C6" s="158">
        <f>64416.87/12*9</f>
        <v>48312.652500000004</v>
      </c>
      <c r="D6" s="158">
        <v>64416.87</v>
      </c>
      <c r="E6" s="150">
        <v>2241</v>
      </c>
      <c r="F6" s="403" t="s">
        <v>464</v>
      </c>
      <c r="G6" s="403"/>
      <c r="H6" s="403"/>
      <c r="I6" s="403"/>
      <c r="J6" s="403"/>
      <c r="K6" s="403"/>
    </row>
    <row r="7" spans="1:11" s="153" customFormat="1" ht="172.5" customHeight="1" x14ac:dyDescent="0.25">
      <c r="A7" s="148" t="s">
        <v>435</v>
      </c>
      <c r="B7" s="151" t="s">
        <v>133</v>
      </c>
      <c r="C7" s="159">
        <v>14286</v>
      </c>
      <c r="D7" s="159">
        <v>14286</v>
      </c>
      <c r="E7" s="152">
        <v>2239</v>
      </c>
      <c r="F7" s="404" t="s">
        <v>134</v>
      </c>
      <c r="G7" s="404"/>
      <c r="H7" s="404"/>
      <c r="I7" s="404"/>
      <c r="J7" s="404"/>
      <c r="K7" s="404"/>
    </row>
    <row r="8" spans="1:11" s="153" customFormat="1" ht="39" customHeight="1" x14ac:dyDescent="0.25">
      <c r="A8" s="148" t="s">
        <v>436</v>
      </c>
      <c r="B8" s="151" t="s">
        <v>135</v>
      </c>
      <c r="C8" s="159">
        <v>1350</v>
      </c>
      <c r="D8" s="159">
        <v>1350</v>
      </c>
      <c r="E8" s="152">
        <v>2239</v>
      </c>
      <c r="F8" s="404" t="s">
        <v>136</v>
      </c>
      <c r="G8" s="404"/>
      <c r="H8" s="404"/>
      <c r="I8" s="404"/>
      <c r="J8" s="404"/>
      <c r="K8" s="404"/>
    </row>
    <row r="9" spans="1:11" s="153" customFormat="1" ht="31.5" x14ac:dyDescent="0.25">
      <c r="A9" s="148" t="s">
        <v>437</v>
      </c>
      <c r="B9" s="151" t="s">
        <v>137</v>
      </c>
      <c r="C9" s="159">
        <v>807.41000000000008</v>
      </c>
      <c r="D9" s="159">
        <v>807.41000000000008</v>
      </c>
      <c r="E9" s="152">
        <v>2239</v>
      </c>
      <c r="F9" s="404" t="s">
        <v>138</v>
      </c>
      <c r="G9" s="404"/>
      <c r="H9" s="404"/>
      <c r="I9" s="404"/>
      <c r="J9" s="404"/>
      <c r="K9" s="404"/>
    </row>
    <row r="10" spans="1:11" s="153" customFormat="1" ht="63" customHeight="1" x14ac:dyDescent="0.25">
      <c r="A10" s="148" t="s">
        <v>438</v>
      </c>
      <c r="B10" s="151" t="s">
        <v>139</v>
      </c>
      <c r="C10" s="159">
        <v>520</v>
      </c>
      <c r="D10" s="159">
        <v>520</v>
      </c>
      <c r="E10" s="152">
        <v>2239</v>
      </c>
      <c r="F10" s="404" t="s">
        <v>140</v>
      </c>
      <c r="G10" s="404"/>
      <c r="H10" s="404"/>
      <c r="I10" s="404"/>
      <c r="J10" s="404"/>
      <c r="K10" s="404"/>
    </row>
    <row r="11" spans="1:11" s="153" customFormat="1" ht="31.5" x14ac:dyDescent="0.25">
      <c r="A11" s="148" t="s">
        <v>439</v>
      </c>
      <c r="B11" s="151" t="s">
        <v>141</v>
      </c>
      <c r="C11" s="159">
        <v>24665</v>
      </c>
      <c r="D11" s="159">
        <v>24665</v>
      </c>
      <c r="E11" s="152">
        <v>2341</v>
      </c>
      <c r="F11" s="404" t="s">
        <v>142</v>
      </c>
      <c r="G11" s="404"/>
      <c r="H11" s="404"/>
      <c r="I11" s="404"/>
      <c r="J11" s="404"/>
      <c r="K11" s="404"/>
    </row>
    <row r="12" spans="1:11" ht="47.25" x14ac:dyDescent="0.25">
      <c r="A12" s="144" t="s">
        <v>129</v>
      </c>
      <c r="B12" s="145" t="s">
        <v>143</v>
      </c>
      <c r="C12" s="146">
        <f>SUM(C13:C22)</f>
        <v>99205.32</v>
      </c>
      <c r="D12" s="146">
        <f>SUM(D13:D22)</f>
        <v>102109.32</v>
      </c>
      <c r="E12" s="147">
        <v>2250</v>
      </c>
      <c r="F12" s="400"/>
      <c r="G12" s="400"/>
      <c r="H12" s="400"/>
      <c r="I12" s="400"/>
      <c r="J12" s="400"/>
      <c r="K12" s="400"/>
    </row>
    <row r="13" spans="1:11" s="154" customFormat="1" ht="108.75" customHeight="1" x14ac:dyDescent="0.25">
      <c r="A13" s="148" t="s">
        <v>440</v>
      </c>
      <c r="B13" s="149" t="s">
        <v>116</v>
      </c>
      <c r="C13" s="158">
        <v>8917.7000000000007</v>
      </c>
      <c r="D13" s="158">
        <v>8917.7000000000007</v>
      </c>
      <c r="E13" s="150">
        <v>2250</v>
      </c>
      <c r="F13" s="395" t="s">
        <v>144</v>
      </c>
      <c r="G13" s="396"/>
      <c r="H13" s="396"/>
      <c r="I13" s="396"/>
      <c r="J13" s="396"/>
      <c r="K13" s="397"/>
    </row>
    <row r="14" spans="1:11" s="154" customFormat="1" ht="51" customHeight="1" x14ac:dyDescent="0.25">
      <c r="A14" s="148" t="s">
        <v>441</v>
      </c>
      <c r="B14" s="149" t="s">
        <v>117</v>
      </c>
      <c r="C14" s="158">
        <v>7260</v>
      </c>
      <c r="D14" s="158">
        <v>7260</v>
      </c>
      <c r="E14" s="150">
        <v>2250</v>
      </c>
      <c r="F14" s="395" t="s">
        <v>460</v>
      </c>
      <c r="G14" s="396"/>
      <c r="H14" s="396"/>
      <c r="I14" s="396"/>
      <c r="J14" s="396"/>
      <c r="K14" s="397"/>
    </row>
    <row r="15" spans="1:11" s="154" customFormat="1" ht="15.6" customHeight="1" x14ac:dyDescent="0.25">
      <c r="A15" s="148" t="s">
        <v>442</v>
      </c>
      <c r="B15" s="149" t="s">
        <v>118</v>
      </c>
      <c r="C15" s="158">
        <v>4508.46</v>
      </c>
      <c r="D15" s="158">
        <v>4508.46</v>
      </c>
      <c r="E15" s="150">
        <v>2250</v>
      </c>
      <c r="F15" s="395" t="s">
        <v>145</v>
      </c>
      <c r="G15" s="396"/>
      <c r="H15" s="396"/>
      <c r="I15" s="396"/>
      <c r="J15" s="396"/>
      <c r="K15" s="397"/>
    </row>
    <row r="16" spans="1:11" s="154" customFormat="1" ht="49.5" customHeight="1" x14ac:dyDescent="0.25">
      <c r="A16" s="148" t="s">
        <v>443</v>
      </c>
      <c r="B16" s="149" t="s">
        <v>119</v>
      </c>
      <c r="C16" s="158">
        <f>11616/12*9</f>
        <v>8712</v>
      </c>
      <c r="D16" s="158">
        <v>11616</v>
      </c>
      <c r="E16" s="150">
        <v>2250</v>
      </c>
      <c r="F16" s="395" t="s">
        <v>276</v>
      </c>
      <c r="G16" s="396"/>
      <c r="H16" s="396"/>
      <c r="I16" s="396"/>
      <c r="J16" s="396"/>
      <c r="K16" s="397"/>
    </row>
    <row r="17" spans="1:11" s="154" customFormat="1" ht="54" customHeight="1" x14ac:dyDescent="0.25">
      <c r="A17" s="148" t="s">
        <v>444</v>
      </c>
      <c r="B17" s="149" t="s">
        <v>120</v>
      </c>
      <c r="C17" s="158">
        <v>26000</v>
      </c>
      <c r="D17" s="158">
        <v>26000</v>
      </c>
      <c r="E17" s="150">
        <v>2250</v>
      </c>
      <c r="F17" s="395" t="s">
        <v>146</v>
      </c>
      <c r="G17" s="396"/>
      <c r="H17" s="396"/>
      <c r="I17" s="396"/>
      <c r="J17" s="396"/>
      <c r="K17" s="397"/>
    </row>
    <row r="18" spans="1:11" s="154" customFormat="1" ht="51.75" customHeight="1" x14ac:dyDescent="0.25">
      <c r="A18" s="148" t="s">
        <v>445</v>
      </c>
      <c r="B18" s="149" t="s">
        <v>121</v>
      </c>
      <c r="C18" s="158">
        <v>30850</v>
      </c>
      <c r="D18" s="158">
        <v>30850</v>
      </c>
      <c r="E18" s="150">
        <v>2250</v>
      </c>
      <c r="F18" s="395" t="s">
        <v>277</v>
      </c>
      <c r="G18" s="396"/>
      <c r="H18" s="396"/>
      <c r="I18" s="396"/>
      <c r="J18" s="396"/>
      <c r="K18" s="397"/>
    </row>
    <row r="19" spans="1:11" s="154" customFormat="1" ht="15.6" customHeight="1" x14ac:dyDescent="0.25">
      <c r="A19" s="148" t="s">
        <v>446</v>
      </c>
      <c r="B19" s="149" t="s">
        <v>122</v>
      </c>
      <c r="C19" s="158">
        <v>1210</v>
      </c>
      <c r="D19" s="158">
        <v>1210</v>
      </c>
      <c r="E19" s="150">
        <v>2250</v>
      </c>
      <c r="F19" s="395" t="s">
        <v>147</v>
      </c>
      <c r="G19" s="396"/>
      <c r="H19" s="396"/>
      <c r="I19" s="396"/>
      <c r="J19" s="396"/>
      <c r="K19" s="397"/>
    </row>
    <row r="20" spans="1:11" s="154" customFormat="1" ht="42.75" customHeight="1" x14ac:dyDescent="0.25">
      <c r="A20" s="148" t="s">
        <v>447</v>
      </c>
      <c r="B20" s="149" t="s">
        <v>123</v>
      </c>
      <c r="C20" s="158">
        <v>277.15999999999997</v>
      </c>
      <c r="D20" s="158">
        <v>277.15999999999997</v>
      </c>
      <c r="E20" s="150">
        <v>2250</v>
      </c>
      <c r="F20" s="395" t="s">
        <v>459</v>
      </c>
      <c r="G20" s="396"/>
      <c r="H20" s="396"/>
      <c r="I20" s="396"/>
      <c r="J20" s="396"/>
      <c r="K20" s="397"/>
    </row>
    <row r="21" spans="1:11" s="154" customFormat="1" ht="42.75" customHeight="1" x14ac:dyDescent="0.25">
      <c r="A21" s="148" t="s">
        <v>448</v>
      </c>
      <c r="B21" s="149" t="s">
        <v>124</v>
      </c>
      <c r="C21" s="158">
        <v>3000</v>
      </c>
      <c r="D21" s="158">
        <v>3000</v>
      </c>
      <c r="E21" s="150">
        <v>2250</v>
      </c>
      <c r="F21" s="395" t="s">
        <v>148</v>
      </c>
      <c r="G21" s="396"/>
      <c r="H21" s="396"/>
      <c r="I21" s="396"/>
      <c r="J21" s="396"/>
      <c r="K21" s="397"/>
    </row>
    <row r="22" spans="1:11" s="154" customFormat="1" ht="15.6" customHeight="1" x14ac:dyDescent="0.25">
      <c r="A22" s="148" t="s">
        <v>449</v>
      </c>
      <c r="B22" s="149" t="s">
        <v>125</v>
      </c>
      <c r="C22" s="158">
        <v>8470</v>
      </c>
      <c r="D22" s="158">
        <v>8470</v>
      </c>
      <c r="E22" s="150">
        <v>2250</v>
      </c>
      <c r="F22" s="395" t="s">
        <v>149</v>
      </c>
      <c r="G22" s="396"/>
      <c r="H22" s="396"/>
      <c r="I22" s="396"/>
      <c r="J22" s="396"/>
      <c r="K22" s="397"/>
    </row>
    <row r="23" spans="1:11" x14ac:dyDescent="0.25">
      <c r="A23" s="398" t="s">
        <v>150</v>
      </c>
      <c r="B23" s="398"/>
      <c r="C23" s="155">
        <f>ROUNDUP(C4,0)</f>
        <v>189147</v>
      </c>
      <c r="D23" s="155">
        <f>ROUNDUP(D4,0)</f>
        <v>208155</v>
      </c>
      <c r="E23" s="156">
        <v>2000</v>
      </c>
      <c r="F23" s="399"/>
      <c r="G23" s="399"/>
      <c r="H23" s="399"/>
      <c r="I23" s="399"/>
      <c r="J23" s="399"/>
      <c r="K23" s="399"/>
    </row>
    <row r="26" spans="1:11" x14ac:dyDescent="0.25">
      <c r="E26" s="157"/>
    </row>
    <row r="68" spans="2:2" x14ac:dyDescent="0.25">
      <c r="B68" s="138" t="s">
        <v>458</v>
      </c>
    </row>
  </sheetData>
  <mergeCells count="24">
    <mergeCell ref="I1:K1"/>
    <mergeCell ref="F18:K18"/>
    <mergeCell ref="F19:K19"/>
    <mergeCell ref="F20:K20"/>
    <mergeCell ref="F21:K21"/>
    <mergeCell ref="F6:K6"/>
    <mergeCell ref="F7:K7"/>
    <mergeCell ref="F8:K8"/>
    <mergeCell ref="F9:K9"/>
    <mergeCell ref="F10:K10"/>
    <mergeCell ref="F11:K11"/>
    <mergeCell ref="A2:K2"/>
    <mergeCell ref="F3:K3"/>
    <mergeCell ref="F4:K4"/>
    <mergeCell ref="F5:K5"/>
    <mergeCell ref="F22:K22"/>
    <mergeCell ref="A23:B23"/>
    <mergeCell ref="F23:K23"/>
    <mergeCell ref="F12:K12"/>
    <mergeCell ref="F13:K13"/>
    <mergeCell ref="F14:K14"/>
    <mergeCell ref="F15:K15"/>
    <mergeCell ref="F16:K16"/>
    <mergeCell ref="F17:K17"/>
  </mergeCells>
  <pageMargins left="0.25" right="0.25" top="0.75" bottom="0.75" header="0.3" footer="0.3"/>
  <pageSetup paperSize="9" scale="44" orientation="portrait" horizontalDpi="360" verticalDpi="36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88AE5-455F-4CCC-9949-F059DD2ED765}">
  <sheetPr>
    <tabColor rgb="FFFED4E3"/>
  </sheetPr>
  <dimension ref="A1:H12"/>
  <sheetViews>
    <sheetView view="pageBreakPreview" zoomScaleNormal="100" zoomScaleSheetLayoutView="100" workbookViewId="0">
      <selection activeCell="E2" sqref="E2"/>
    </sheetView>
  </sheetViews>
  <sheetFormatPr defaultRowHeight="15" x14ac:dyDescent="0.25"/>
  <cols>
    <col min="2" max="2" width="10.5703125" customWidth="1"/>
    <col min="3" max="3" width="59.85546875" customWidth="1"/>
    <col min="5" max="5" width="11.42578125" customWidth="1"/>
    <col min="8" max="8" width="12.42578125" customWidth="1"/>
  </cols>
  <sheetData>
    <row r="1" spans="1:8" ht="105" customHeight="1" x14ac:dyDescent="0.25">
      <c r="E1" s="364" t="s">
        <v>298</v>
      </c>
      <c r="F1" s="364"/>
      <c r="G1" s="364"/>
      <c r="H1" s="364"/>
    </row>
    <row r="3" spans="1:8" s="5" customFormat="1" ht="36.75" customHeight="1" x14ac:dyDescent="0.25">
      <c r="A3" s="413" t="s">
        <v>42</v>
      </c>
      <c r="B3" s="413"/>
      <c r="C3" s="413"/>
      <c r="D3" s="413"/>
      <c r="E3" s="413"/>
      <c r="F3" s="413"/>
      <c r="G3" s="413"/>
      <c r="H3" s="413"/>
    </row>
    <row r="4" spans="1:8" s="32" customFormat="1" ht="75" customHeight="1" x14ac:dyDescent="0.2">
      <c r="A4" s="21" t="s">
        <v>17</v>
      </c>
      <c r="B4" s="22" t="s">
        <v>18</v>
      </c>
      <c r="C4" s="22" t="s">
        <v>19</v>
      </c>
      <c r="D4" s="22" t="s">
        <v>20</v>
      </c>
      <c r="E4" s="22" t="s">
        <v>21</v>
      </c>
      <c r="F4" s="22" t="s">
        <v>358</v>
      </c>
      <c r="G4" s="22" t="s">
        <v>23</v>
      </c>
      <c r="H4" s="22" t="s">
        <v>43</v>
      </c>
    </row>
    <row r="5" spans="1:8" s="32" customFormat="1" ht="258.75" x14ac:dyDescent="0.2">
      <c r="A5" s="9">
        <v>1</v>
      </c>
      <c r="B5" s="25" t="s">
        <v>44</v>
      </c>
      <c r="C5" s="10" t="s">
        <v>45</v>
      </c>
      <c r="D5" s="33">
        <f>6220</f>
        <v>6220</v>
      </c>
      <c r="E5" s="25" t="s">
        <v>46</v>
      </c>
      <c r="F5" s="9">
        <v>80</v>
      </c>
      <c r="G5" s="9">
        <v>2000</v>
      </c>
      <c r="H5" s="34">
        <f>D5*F5</f>
        <v>497600</v>
      </c>
    </row>
    <row r="6" spans="1:8" s="32" customFormat="1" ht="12.75" customHeight="1" x14ac:dyDescent="0.2">
      <c r="A6" s="35" t="s">
        <v>40</v>
      </c>
      <c r="B6" s="35"/>
      <c r="C6" s="414" t="s">
        <v>14</v>
      </c>
      <c r="D6" s="414"/>
      <c r="E6" s="414"/>
      <c r="F6" s="414"/>
      <c r="G6" s="14"/>
      <c r="H6" s="14">
        <f>SUM(H5:H5)</f>
        <v>497600</v>
      </c>
    </row>
    <row r="7" spans="1:8" s="32" customFormat="1" ht="12.75" customHeight="1" x14ac:dyDescent="0.2">
      <c r="A7" s="415" t="s">
        <v>357</v>
      </c>
      <c r="B7" s="416"/>
      <c r="C7" s="416"/>
      <c r="D7" s="416"/>
      <c r="E7" s="416"/>
      <c r="F7" s="417"/>
      <c r="G7" s="14"/>
      <c r="H7" s="14">
        <f>H6*0.21</f>
        <v>104496</v>
      </c>
    </row>
    <row r="8" spans="1:8" s="32" customFormat="1" ht="12.75" customHeight="1" x14ac:dyDescent="0.2">
      <c r="A8" s="415" t="s">
        <v>359</v>
      </c>
      <c r="B8" s="416"/>
      <c r="C8" s="416"/>
      <c r="D8" s="416"/>
      <c r="E8" s="416"/>
      <c r="F8" s="417"/>
      <c r="G8" s="14"/>
      <c r="H8" s="14">
        <f>H6+H7</f>
        <v>602096</v>
      </c>
    </row>
    <row r="9" spans="1:8" s="32" customFormat="1" ht="12.75" customHeight="1" x14ac:dyDescent="0.2">
      <c r="A9" s="36"/>
      <c r="B9" s="414" t="s">
        <v>30</v>
      </c>
      <c r="C9" s="414"/>
      <c r="D9" s="414"/>
      <c r="E9" s="414"/>
      <c r="F9" s="414"/>
      <c r="G9" s="14"/>
      <c r="H9" s="14"/>
    </row>
    <row r="10" spans="1:8" s="32" customFormat="1" ht="12" x14ac:dyDescent="0.2">
      <c r="A10" s="414" t="s">
        <v>41</v>
      </c>
      <c r="B10" s="414"/>
      <c r="C10" s="414"/>
      <c r="D10" s="414"/>
      <c r="E10" s="414"/>
      <c r="F10" s="414"/>
      <c r="G10" s="14"/>
      <c r="H10" s="309">
        <f>H8</f>
        <v>602096</v>
      </c>
    </row>
    <row r="12" spans="1:8" s="38" customFormat="1" x14ac:dyDescent="0.25">
      <c r="A12" s="412" t="s">
        <v>344</v>
      </c>
      <c r="B12" s="412"/>
      <c r="C12" s="412"/>
      <c r="D12" s="412"/>
      <c r="E12" s="412"/>
      <c r="F12" s="37"/>
      <c r="G12" s="37"/>
      <c r="H12" s="37"/>
    </row>
  </sheetData>
  <mergeCells count="8">
    <mergeCell ref="A12:E12"/>
    <mergeCell ref="E1:H1"/>
    <mergeCell ref="A3:H3"/>
    <mergeCell ref="C6:F6"/>
    <mergeCell ref="B9:F9"/>
    <mergeCell ref="A10:F10"/>
    <mergeCell ref="A7:F7"/>
    <mergeCell ref="A8:F8"/>
  </mergeCells>
  <pageMargins left="0.7" right="0.7" top="0.75" bottom="0.75" header="0.3" footer="0.3"/>
  <pageSetup scale="6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7ECA6-6754-407F-A0B0-1A6D62922420}">
  <sheetPr>
    <tabColor rgb="FFFED4E3"/>
  </sheetPr>
  <dimension ref="A1:P20"/>
  <sheetViews>
    <sheetView view="pageBreakPreview" zoomScaleNormal="115" zoomScaleSheetLayoutView="100" workbookViewId="0">
      <selection activeCell="A2" sqref="A2:H2"/>
    </sheetView>
  </sheetViews>
  <sheetFormatPr defaultRowHeight="15" x14ac:dyDescent="0.25"/>
  <cols>
    <col min="2" max="2" width="10.42578125" customWidth="1"/>
    <col min="3" max="3" width="37.42578125" customWidth="1"/>
    <col min="5" max="5" width="12.85546875" customWidth="1"/>
    <col min="8" max="8" width="14.85546875" customWidth="1"/>
    <col min="9" max="9" width="12.5703125" customWidth="1"/>
    <col min="11" max="11" width="8.140625" bestFit="1" customWidth="1"/>
    <col min="14" max="15" width="12.85546875" bestFit="1" customWidth="1"/>
    <col min="16" max="16" width="11.85546875" bestFit="1" customWidth="1"/>
  </cols>
  <sheetData>
    <row r="1" spans="1:16" ht="105" customHeight="1" x14ac:dyDescent="0.25">
      <c r="G1" s="364" t="s">
        <v>299</v>
      </c>
      <c r="H1" s="364"/>
      <c r="I1" s="364"/>
    </row>
    <row r="2" spans="1:16" s="5" customFormat="1" ht="18.75" customHeight="1" x14ac:dyDescent="0.25">
      <c r="A2" s="418" t="s">
        <v>16</v>
      </c>
      <c r="B2" s="418"/>
      <c r="C2" s="418"/>
      <c r="D2" s="418"/>
      <c r="E2" s="418"/>
      <c r="F2" s="418"/>
      <c r="G2" s="418"/>
      <c r="H2" s="418"/>
    </row>
    <row r="3" spans="1:16" s="8" customFormat="1" ht="57.75" customHeight="1" x14ac:dyDescent="0.2">
      <c r="A3" s="6" t="s">
        <v>17</v>
      </c>
      <c r="B3" s="7" t="s">
        <v>18</v>
      </c>
      <c r="C3" s="7" t="s">
        <v>19</v>
      </c>
      <c r="D3" s="7" t="s">
        <v>20</v>
      </c>
      <c r="E3" s="7" t="s">
        <v>21</v>
      </c>
      <c r="F3" s="7" t="s">
        <v>360</v>
      </c>
      <c r="G3" s="7" t="s">
        <v>23</v>
      </c>
      <c r="H3" s="7" t="s">
        <v>24</v>
      </c>
    </row>
    <row r="4" spans="1:16" s="8" customFormat="1" ht="72" customHeight="1" x14ac:dyDescent="0.2">
      <c r="A4" s="9">
        <v>1</v>
      </c>
      <c r="B4" s="10" t="s">
        <v>25</v>
      </c>
      <c r="C4" s="11" t="s">
        <v>26</v>
      </c>
      <c r="D4" s="12">
        <v>133</v>
      </c>
      <c r="E4" s="9" t="s">
        <v>27</v>
      </c>
      <c r="F4" s="9">
        <v>80</v>
      </c>
      <c r="G4" s="9">
        <v>5000</v>
      </c>
      <c r="H4" s="247">
        <f>D4*F4</f>
        <v>10640</v>
      </c>
    </row>
    <row r="5" spans="1:16" s="8" customFormat="1" ht="11.25" x14ac:dyDescent="0.2">
      <c r="A5" s="415" t="s">
        <v>28</v>
      </c>
      <c r="B5" s="416"/>
      <c r="C5" s="416"/>
      <c r="D5" s="416"/>
      <c r="E5" s="416"/>
      <c r="F5" s="416"/>
      <c r="G5" s="14"/>
      <c r="H5" s="248">
        <f>SUM(H4:H4)</f>
        <v>10640</v>
      </c>
    </row>
    <row r="6" spans="1:16" s="8" customFormat="1" ht="11.25" x14ac:dyDescent="0.2">
      <c r="A6" s="13"/>
      <c r="B6" s="416" t="s">
        <v>29</v>
      </c>
      <c r="C6" s="416"/>
      <c r="D6" s="416"/>
      <c r="E6" s="416"/>
      <c r="F6" s="417"/>
      <c r="G6" s="14"/>
      <c r="H6" s="249">
        <f>SUM(H5:H5)*1.21</f>
        <v>12874.4</v>
      </c>
    </row>
    <row r="7" spans="1:16" s="8" customFormat="1" ht="12" x14ac:dyDescent="0.2">
      <c r="A7" s="15"/>
      <c r="B7" s="16"/>
      <c r="C7" s="419" t="s">
        <v>30</v>
      </c>
      <c r="D7" s="419"/>
      <c r="E7" s="419"/>
      <c r="F7" s="420"/>
      <c r="G7" s="14"/>
      <c r="H7" s="249"/>
    </row>
    <row r="8" spans="1:16" s="8" customFormat="1" ht="11.25" x14ac:dyDescent="0.2">
      <c r="A8" s="414" t="s">
        <v>31</v>
      </c>
      <c r="B8" s="414"/>
      <c r="C8" s="414"/>
      <c r="D8" s="414"/>
      <c r="E8" s="414"/>
      <c r="F8" s="414"/>
      <c r="G8" s="14"/>
      <c r="H8" s="250">
        <f>SUM(H6)</f>
        <v>12874.4</v>
      </c>
      <c r="K8" s="17"/>
    </row>
    <row r="9" spans="1:16" x14ac:dyDescent="0.25">
      <c r="H9" s="214"/>
      <c r="J9" s="4"/>
      <c r="K9" s="8"/>
      <c r="O9" s="18"/>
      <c r="P9" s="18"/>
    </row>
    <row r="10" spans="1:16" x14ac:dyDescent="0.25">
      <c r="A10" s="8" t="s">
        <v>344</v>
      </c>
      <c r="K10" s="8"/>
      <c r="L10" s="3"/>
      <c r="N10" s="19"/>
    </row>
    <row r="11" spans="1:16" x14ac:dyDescent="0.25">
      <c r="K11" s="8"/>
      <c r="L11" s="3"/>
      <c r="N11" s="19"/>
    </row>
    <row r="12" spans="1:16" x14ac:dyDescent="0.25">
      <c r="K12" s="8"/>
      <c r="L12" s="3"/>
      <c r="N12" s="19"/>
    </row>
    <row r="13" spans="1:16" s="20" customFormat="1" ht="21" customHeight="1" x14ac:dyDescent="0.2">
      <c r="A13" s="418" t="s">
        <v>32</v>
      </c>
      <c r="B13" s="418"/>
      <c r="C13" s="418"/>
      <c r="D13" s="418"/>
      <c r="E13" s="418"/>
      <c r="F13" s="418"/>
      <c r="G13" s="418"/>
      <c r="H13" s="418"/>
      <c r="I13" s="418"/>
      <c r="K13" s="8"/>
    </row>
    <row r="14" spans="1:16" s="23" customFormat="1" ht="74.25" customHeight="1" x14ac:dyDescent="0.2">
      <c r="A14" s="21" t="s">
        <v>17</v>
      </c>
      <c r="B14" s="22" t="s">
        <v>18</v>
      </c>
      <c r="C14" s="22" t="s">
        <v>19</v>
      </c>
      <c r="D14" s="22" t="s">
        <v>20</v>
      </c>
      <c r="E14" s="22" t="s">
        <v>21</v>
      </c>
      <c r="F14" s="22" t="s">
        <v>361</v>
      </c>
      <c r="G14" s="22" t="s">
        <v>23</v>
      </c>
      <c r="H14" s="22" t="s">
        <v>33</v>
      </c>
      <c r="I14" s="22" t="s">
        <v>34</v>
      </c>
    </row>
    <row r="15" spans="1:16" s="23" customFormat="1" ht="33.75" x14ac:dyDescent="0.2">
      <c r="A15" s="9">
        <v>1</v>
      </c>
      <c r="B15" s="10" t="s">
        <v>35</v>
      </c>
      <c r="C15" s="24" t="s">
        <v>36</v>
      </c>
      <c r="D15" s="12">
        <v>6</v>
      </c>
      <c r="E15" s="25" t="s">
        <v>37</v>
      </c>
      <c r="F15" s="26">
        <v>307.34133750000001</v>
      </c>
      <c r="G15" s="9">
        <v>2000</v>
      </c>
      <c r="H15" s="247">
        <f>D15*F15</f>
        <v>1844.0480250000001</v>
      </c>
      <c r="I15" s="27" t="s">
        <v>38</v>
      </c>
    </row>
    <row r="16" spans="1:16" s="23" customFormat="1" ht="33.75" x14ac:dyDescent="0.2">
      <c r="A16" s="28">
        <v>2</v>
      </c>
      <c r="B16" s="10" t="s">
        <v>35</v>
      </c>
      <c r="C16" s="24" t="s">
        <v>39</v>
      </c>
      <c r="D16" s="12">
        <v>12</v>
      </c>
      <c r="E16" s="25" t="s">
        <v>37</v>
      </c>
      <c r="F16" s="26">
        <v>307.34133750000001</v>
      </c>
      <c r="G16" s="9">
        <v>2000</v>
      </c>
      <c r="H16" s="247" t="s">
        <v>38</v>
      </c>
      <c r="I16" s="251">
        <f>(D16*F16)</f>
        <v>3688.0960500000001</v>
      </c>
    </row>
    <row r="17" spans="1:9" s="23" customFormat="1" ht="12" x14ac:dyDescent="0.2">
      <c r="A17" s="415" t="s">
        <v>40</v>
      </c>
      <c r="B17" s="416"/>
      <c r="C17" s="416"/>
      <c r="D17" s="416"/>
      <c r="E17" s="416"/>
      <c r="F17" s="416"/>
      <c r="G17" s="14"/>
      <c r="H17" s="255">
        <f>SUM(H15:H15)</f>
        <v>1844.0480250000001</v>
      </c>
      <c r="I17" s="252">
        <f>I16</f>
        <v>3688.0960500000001</v>
      </c>
    </row>
    <row r="18" spans="1:9" s="23" customFormat="1" ht="12" x14ac:dyDescent="0.2">
      <c r="A18" s="415" t="s">
        <v>359</v>
      </c>
      <c r="B18" s="416"/>
      <c r="C18" s="416"/>
      <c r="D18" s="416"/>
      <c r="E18" s="416"/>
      <c r="F18" s="417"/>
      <c r="G18" s="14"/>
      <c r="H18" s="310">
        <f>H17*1.21</f>
        <v>2231.2981102499998</v>
      </c>
      <c r="I18" s="310">
        <f>I17*1.21</f>
        <v>4462.5962204999996</v>
      </c>
    </row>
    <row r="19" spans="1:9" s="23" customFormat="1" ht="12" x14ac:dyDescent="0.2">
      <c r="A19" s="29"/>
      <c r="B19" s="30"/>
      <c r="C19" s="419" t="s">
        <v>30</v>
      </c>
      <c r="D19" s="419"/>
      <c r="E19" s="419"/>
      <c r="F19" s="420"/>
      <c r="G19" s="31"/>
      <c r="H19" s="256"/>
      <c r="I19" s="253"/>
    </row>
    <row r="20" spans="1:9" s="23" customFormat="1" ht="12" x14ac:dyDescent="0.2">
      <c r="A20" s="421" t="s">
        <v>41</v>
      </c>
      <c r="B20" s="421"/>
      <c r="C20" s="421"/>
      <c r="D20" s="421"/>
      <c r="E20" s="421"/>
      <c r="F20" s="421"/>
      <c r="G20" s="31"/>
      <c r="H20" s="256">
        <f>H18</f>
        <v>2231.2981102499998</v>
      </c>
      <c r="I20" s="254">
        <f>I18</f>
        <v>4462.5962204999996</v>
      </c>
    </row>
  </sheetData>
  <mergeCells count="11">
    <mergeCell ref="A13:I13"/>
    <mergeCell ref="A17:F17"/>
    <mergeCell ref="C19:F19"/>
    <mergeCell ref="A20:F20"/>
    <mergeCell ref="G1:I1"/>
    <mergeCell ref="A2:H2"/>
    <mergeCell ref="A5:F5"/>
    <mergeCell ref="B6:F6"/>
    <mergeCell ref="C7:F7"/>
    <mergeCell ref="A8:F8"/>
    <mergeCell ref="A18:F18"/>
  </mergeCells>
  <pageMargins left="0.7" right="0.7" top="0.75" bottom="0.75" header="0.3" footer="0.3"/>
  <pageSetup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72679-1BDA-4E45-AA74-EED40A406514}">
  <sheetPr>
    <tabColor rgb="FFFED4E3"/>
  </sheetPr>
  <dimension ref="A1:F12"/>
  <sheetViews>
    <sheetView view="pageBreakPreview" zoomScaleNormal="100" zoomScaleSheetLayoutView="100" workbookViewId="0">
      <selection activeCell="D2" sqref="D2"/>
    </sheetView>
  </sheetViews>
  <sheetFormatPr defaultColWidth="8.7109375" defaultRowHeight="15" x14ac:dyDescent="0.25"/>
  <cols>
    <col min="1" max="1" width="55.28515625" style="51" customWidth="1"/>
    <col min="2" max="2" width="10.140625" style="51" customWidth="1"/>
    <col min="3" max="3" width="13.28515625" style="51" customWidth="1"/>
    <col min="4" max="4" width="10.140625" style="51" customWidth="1"/>
    <col min="5" max="5" width="10" style="51" customWidth="1"/>
    <col min="6" max="6" width="15" style="51" customWidth="1"/>
    <col min="7" max="7" width="9.42578125" style="51" bestFit="1" customWidth="1"/>
    <col min="8" max="8" width="10.140625" style="51" bestFit="1" customWidth="1"/>
    <col min="9" max="16384" width="8.7109375" style="51"/>
  </cols>
  <sheetData>
    <row r="1" spans="1:6" ht="121.5" customHeight="1" x14ac:dyDescent="0.25">
      <c r="D1" s="426" t="s">
        <v>300</v>
      </c>
      <c r="E1" s="427"/>
      <c r="F1" s="427"/>
    </row>
    <row r="3" spans="1:6" s="39" customFormat="1" ht="14.25" x14ac:dyDescent="0.2">
      <c r="A3" s="422" t="s">
        <v>47</v>
      </c>
      <c r="B3" s="422"/>
      <c r="C3" s="422"/>
      <c r="D3" s="422"/>
      <c r="E3" s="422"/>
      <c r="F3" s="422"/>
    </row>
    <row r="5" spans="1:6" s="41" customFormat="1" ht="57" x14ac:dyDescent="0.25">
      <c r="A5" s="40" t="s">
        <v>18</v>
      </c>
      <c r="B5" s="40" t="s">
        <v>20</v>
      </c>
      <c r="C5" s="40" t="s">
        <v>21</v>
      </c>
      <c r="D5" s="40" t="s">
        <v>358</v>
      </c>
      <c r="E5" s="40" t="s">
        <v>23</v>
      </c>
      <c r="F5" s="40" t="s">
        <v>48</v>
      </c>
    </row>
    <row r="6" spans="1:6" s="45" customFormat="1" ht="30" x14ac:dyDescent="0.25">
      <c r="A6" s="42" t="s">
        <v>49</v>
      </c>
      <c r="B6" s="43">
        <v>8250</v>
      </c>
      <c r="C6" s="43" t="s">
        <v>50</v>
      </c>
      <c r="D6" s="44">
        <v>80</v>
      </c>
      <c r="E6" s="44">
        <v>5000</v>
      </c>
      <c r="F6" s="44">
        <f>(B6*D6)*1.21</f>
        <v>798600</v>
      </c>
    </row>
    <row r="7" spans="1:6" s="41" customFormat="1" x14ac:dyDescent="0.25">
      <c r="A7" s="46" t="s">
        <v>40</v>
      </c>
      <c r="B7" s="47"/>
      <c r="C7" s="47"/>
      <c r="D7" s="47"/>
      <c r="E7" s="47"/>
      <c r="F7" s="48">
        <f>SUM(F6:F6)</f>
        <v>798600</v>
      </c>
    </row>
    <row r="8" spans="1:6" s="41" customFormat="1" x14ac:dyDescent="0.25">
      <c r="A8" s="49"/>
      <c r="B8" s="423" t="s">
        <v>30</v>
      </c>
      <c r="C8" s="423"/>
      <c r="D8" s="423"/>
      <c r="E8" s="424"/>
      <c r="F8" s="48"/>
    </row>
    <row r="9" spans="1:6" s="41" customFormat="1" x14ac:dyDescent="0.25">
      <c r="A9" s="425" t="s">
        <v>31</v>
      </c>
      <c r="B9" s="423"/>
      <c r="C9" s="423"/>
      <c r="D9" s="423"/>
      <c r="E9" s="424"/>
      <c r="F9" s="50">
        <f>F7</f>
        <v>798600</v>
      </c>
    </row>
    <row r="12" spans="1:6" x14ac:dyDescent="0.25">
      <c r="A12" s="428" t="s">
        <v>344</v>
      </c>
      <c r="B12" s="428"/>
      <c r="C12" s="428"/>
      <c r="D12" s="428"/>
      <c r="E12" s="428"/>
    </row>
  </sheetData>
  <mergeCells count="5">
    <mergeCell ref="A3:F3"/>
    <mergeCell ref="B8:E8"/>
    <mergeCell ref="A9:E9"/>
    <mergeCell ref="D1:F1"/>
    <mergeCell ref="A12:E12"/>
  </mergeCells>
  <pageMargins left="0.7" right="0.7" top="0.75" bottom="0.75" header="0.3" footer="0.3"/>
  <pageSetup scale="7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477F-5B25-409A-8212-26F41D4C065F}">
  <sheetPr>
    <tabColor rgb="FFFED4E3"/>
  </sheetPr>
  <dimension ref="B1:H9"/>
  <sheetViews>
    <sheetView view="pageBreakPreview" zoomScaleNormal="110" zoomScaleSheetLayoutView="100" workbookViewId="0">
      <selection activeCell="D2" sqref="D2"/>
    </sheetView>
  </sheetViews>
  <sheetFormatPr defaultColWidth="9.140625" defaultRowHeight="15.75" x14ac:dyDescent="0.25"/>
  <cols>
    <col min="1" max="1" width="9.140625" style="257"/>
    <col min="2" max="2" width="78" style="257" customWidth="1"/>
    <col min="3" max="4" width="16.7109375" style="257" customWidth="1"/>
    <col min="5" max="5" width="22.7109375" style="257" customWidth="1"/>
    <col min="6" max="6" width="9.5703125" style="257" bestFit="1" customWidth="1"/>
    <col min="7" max="16384" width="9.140625" style="257"/>
  </cols>
  <sheetData>
    <row r="1" spans="2:8" ht="64.5" customHeight="1" x14ac:dyDescent="0.25">
      <c r="D1" s="426" t="s">
        <v>301</v>
      </c>
      <c r="E1" s="427"/>
    </row>
    <row r="3" spans="2:8" ht="62.25" customHeight="1" x14ac:dyDescent="0.25">
      <c r="B3" s="429" t="s">
        <v>363</v>
      </c>
      <c r="C3" s="429"/>
      <c r="D3" s="429"/>
      <c r="E3" s="258"/>
      <c r="F3" s="258"/>
      <c r="G3" s="258"/>
      <c r="H3" s="258"/>
    </row>
    <row r="7" spans="2:8" x14ac:dyDescent="0.25">
      <c r="B7" s="259" t="s">
        <v>263</v>
      </c>
      <c r="C7" s="260" t="s">
        <v>264</v>
      </c>
      <c r="D7" s="260" t="s">
        <v>364</v>
      </c>
    </row>
    <row r="8" spans="2:8" ht="82.5" customHeight="1" x14ac:dyDescent="0.25">
      <c r="B8" s="261" t="s">
        <v>265</v>
      </c>
      <c r="C8" s="262">
        <f>ROUNDUP(1032.257*775,0)</f>
        <v>800000</v>
      </c>
      <c r="D8" s="262">
        <v>128000</v>
      </c>
      <c r="F8" s="311"/>
    </row>
    <row r="9" spans="2:8" ht="178.5" customHeight="1" x14ac:dyDescent="0.25">
      <c r="B9" s="430" t="s">
        <v>365</v>
      </c>
      <c r="C9" s="430"/>
      <c r="D9" s="430"/>
    </row>
  </sheetData>
  <mergeCells count="3">
    <mergeCell ref="B3:D3"/>
    <mergeCell ref="B9:D9"/>
    <mergeCell ref="D1:E1"/>
  </mergeCells>
  <pageMargins left="0.7" right="0.7" top="0.75" bottom="0.75" header="0.3" footer="0.3"/>
  <pageSetup paperSize="9" scale="60"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4B138-444D-4969-B1CA-DB2C546B0A57}">
  <sheetPr>
    <tabColor rgb="FFF7DBE9"/>
  </sheetPr>
  <dimension ref="A1:H10"/>
  <sheetViews>
    <sheetView view="pageBreakPreview" zoomScale="130" zoomScaleNormal="100" zoomScaleSheetLayoutView="130" workbookViewId="0">
      <selection activeCell="G5" sqref="G5"/>
    </sheetView>
  </sheetViews>
  <sheetFormatPr defaultColWidth="8.7109375" defaultRowHeight="15" x14ac:dyDescent="0.25"/>
  <cols>
    <col min="1" max="1" width="84" style="38" customWidth="1"/>
    <col min="2" max="2" width="9.28515625" style="38" customWidth="1"/>
    <col min="3" max="4" width="7.28515625" style="38" customWidth="1"/>
    <col min="5" max="5" width="11.28515625" style="38" customWidth="1"/>
    <col min="6" max="6" width="9.85546875" style="38" customWidth="1"/>
    <col min="7" max="7" width="19" style="129" customWidth="1"/>
    <col min="8" max="8" width="11" style="38" customWidth="1"/>
    <col min="9" max="16384" width="8.7109375" style="38"/>
  </cols>
  <sheetData>
    <row r="1" spans="1:8" ht="78" customHeight="1" x14ac:dyDescent="0.25">
      <c r="D1" s="432" t="s">
        <v>302</v>
      </c>
      <c r="E1" s="433"/>
      <c r="F1" s="433"/>
      <c r="G1" s="433"/>
    </row>
    <row r="2" spans="1:8" s="129" customFormat="1" ht="14.25" x14ac:dyDescent="0.2">
      <c r="A2" s="431" t="s">
        <v>452</v>
      </c>
      <c r="B2" s="431"/>
      <c r="C2" s="431"/>
      <c r="D2" s="431"/>
      <c r="E2" s="431"/>
      <c r="F2" s="431"/>
      <c r="G2" s="431"/>
    </row>
    <row r="4" spans="1:8" s="132" customFormat="1" ht="59.45" customHeight="1" x14ac:dyDescent="0.25">
      <c r="A4" s="130" t="s">
        <v>51</v>
      </c>
      <c r="B4" s="241" t="s">
        <v>109</v>
      </c>
      <c r="C4" s="242" t="s">
        <v>305</v>
      </c>
      <c r="D4" s="242" t="s">
        <v>110</v>
      </c>
      <c r="E4" s="242" t="s">
        <v>111</v>
      </c>
      <c r="F4" s="243" t="s">
        <v>112</v>
      </c>
      <c r="G4" s="131" t="s">
        <v>346</v>
      </c>
      <c r="H4" s="131" t="s">
        <v>453</v>
      </c>
    </row>
    <row r="5" spans="1:8" x14ac:dyDescent="0.25">
      <c r="A5" s="133" t="s">
        <v>113</v>
      </c>
      <c r="B5" s="241">
        <v>2</v>
      </c>
      <c r="C5" s="27">
        <f>55*1.21</f>
        <v>66.55</v>
      </c>
      <c r="D5" s="244">
        <v>80</v>
      </c>
      <c r="E5" s="245">
        <f>SUM(C5)*D5</f>
        <v>5324</v>
      </c>
      <c r="F5" s="246">
        <f>SUM(E5)*12</f>
        <v>63888</v>
      </c>
      <c r="G5" s="134">
        <f>SUM(F5*B5)/12*9</f>
        <v>95832</v>
      </c>
      <c r="H5" s="134">
        <f>F5*B5</f>
        <v>127776</v>
      </c>
    </row>
    <row r="6" spans="1:8" ht="22.5" x14ac:dyDescent="0.25">
      <c r="A6" s="133" t="s">
        <v>114</v>
      </c>
      <c r="B6" s="241">
        <v>2</v>
      </c>
      <c r="C6" s="27">
        <f t="shared" ref="C6:C7" si="0">55*1.21</f>
        <v>66.55</v>
      </c>
      <c r="D6" s="244">
        <v>80</v>
      </c>
      <c r="E6" s="245">
        <f>SUM(C6)*D6</f>
        <v>5324</v>
      </c>
      <c r="F6" s="246">
        <f>SUM(E6)*12</f>
        <v>63888</v>
      </c>
      <c r="G6" s="134">
        <f t="shared" ref="G6:G7" si="1">SUM(F6*B6)/12*9</f>
        <v>95832</v>
      </c>
      <c r="H6" s="134">
        <f t="shared" ref="H6:H7" si="2">F6*B6</f>
        <v>127776</v>
      </c>
    </row>
    <row r="7" spans="1:8" x14ac:dyDescent="0.25">
      <c r="A7" s="133" t="s">
        <v>115</v>
      </c>
      <c r="B7" s="241">
        <v>2</v>
      </c>
      <c r="C7" s="27">
        <f t="shared" si="0"/>
        <v>66.55</v>
      </c>
      <c r="D7" s="244">
        <v>80</v>
      </c>
      <c r="E7" s="245">
        <f>SUM(C7)*D7</f>
        <v>5324</v>
      </c>
      <c r="F7" s="246">
        <f>SUM(E7)*12</f>
        <v>63888</v>
      </c>
      <c r="G7" s="134">
        <f t="shared" si="1"/>
        <v>95832</v>
      </c>
      <c r="H7" s="134">
        <f t="shared" si="2"/>
        <v>127776</v>
      </c>
    </row>
    <row r="8" spans="1:8" s="129" customFormat="1" ht="14.25" x14ac:dyDescent="0.2">
      <c r="A8" s="135" t="s">
        <v>14</v>
      </c>
      <c r="B8" s="238"/>
      <c r="C8" s="136"/>
      <c r="D8" s="136"/>
      <c r="E8" s="240"/>
      <c r="F8" s="239"/>
      <c r="G8" s="137">
        <f>ROUND(SUM(G5:G7),0)</f>
        <v>287496</v>
      </c>
      <c r="H8" s="137">
        <f>ROUND(SUM(H5:H7),0)</f>
        <v>383328</v>
      </c>
    </row>
    <row r="10" spans="1:8" x14ac:dyDescent="0.25">
      <c r="A10" s="295" t="s">
        <v>366</v>
      </c>
    </row>
  </sheetData>
  <mergeCells count="2">
    <mergeCell ref="A2:G2"/>
    <mergeCell ref="D1:G1"/>
  </mergeCells>
  <pageMargins left="0.7" right="0.7" top="0.75" bottom="0.75" header="0.3" footer="0.3"/>
  <pageSetup scale="61"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6759D-16F7-4A64-B4B7-91115248F8B4}">
  <sheetPr>
    <tabColor rgb="FFF7DBE9"/>
  </sheetPr>
  <dimension ref="A1:O21"/>
  <sheetViews>
    <sheetView view="pageBreakPreview" zoomScaleNormal="100" zoomScaleSheetLayoutView="100" workbookViewId="0">
      <selection activeCell="H1" sqref="H1:O1"/>
    </sheetView>
  </sheetViews>
  <sheetFormatPr defaultColWidth="9.140625" defaultRowHeight="11.25" x14ac:dyDescent="0.2"/>
  <cols>
    <col min="1" max="1" width="16.85546875" style="295" customWidth="1"/>
    <col min="2" max="2" width="6.28515625" style="295" customWidth="1"/>
    <col min="3" max="3" width="9.28515625" style="295" customWidth="1"/>
    <col min="4" max="4" width="6.7109375" style="295" customWidth="1"/>
    <col min="5" max="5" width="9" style="295" customWidth="1"/>
    <col min="6" max="6" width="15.42578125" style="295" customWidth="1"/>
    <col min="7" max="7" width="7.85546875" style="295" customWidth="1"/>
    <col min="8" max="8" width="10.28515625" style="295" customWidth="1"/>
    <col min="9" max="9" width="9" style="295" customWidth="1"/>
    <col min="10" max="10" width="13.7109375" style="295" customWidth="1"/>
    <col min="11" max="11" width="8.28515625" style="295" customWidth="1"/>
    <col min="12" max="12" width="8.85546875" style="295" hidden="1" customWidth="1"/>
    <col min="13" max="13" width="10.28515625" style="295" hidden="1" customWidth="1"/>
    <col min="14" max="14" width="10.140625" style="295" hidden="1" customWidth="1"/>
    <col min="15" max="15" width="9" style="295" customWidth="1"/>
    <col min="16" max="16384" width="9.140625" style="295"/>
  </cols>
  <sheetData>
    <row r="1" spans="1:15" ht="74.25" customHeight="1" x14ac:dyDescent="0.2">
      <c r="H1" s="434" t="s">
        <v>303</v>
      </c>
      <c r="I1" s="434"/>
      <c r="J1" s="434"/>
      <c r="K1" s="434"/>
      <c r="L1" s="434"/>
      <c r="M1" s="434"/>
      <c r="N1" s="434"/>
      <c r="O1" s="434"/>
    </row>
    <row r="2" spans="1:15" ht="15.75" customHeight="1" x14ac:dyDescent="0.2">
      <c r="A2" s="436" t="s">
        <v>334</v>
      </c>
      <c r="B2" s="436"/>
      <c r="C2" s="436"/>
      <c r="D2" s="436"/>
      <c r="E2" s="436"/>
      <c r="F2" s="436"/>
      <c r="G2" s="436"/>
      <c r="H2" s="436"/>
      <c r="I2" s="436"/>
      <c r="J2" s="436"/>
      <c r="K2" s="436"/>
      <c r="L2" s="436"/>
      <c r="M2" s="436"/>
      <c r="N2" s="436"/>
      <c r="O2" s="436"/>
    </row>
    <row r="3" spans="1:15" ht="42.75" customHeight="1" x14ac:dyDescent="0.2">
      <c r="A3" s="296" t="s">
        <v>308</v>
      </c>
      <c r="B3" s="296" t="s">
        <v>309</v>
      </c>
      <c r="C3" s="296" t="s">
        <v>310</v>
      </c>
      <c r="D3" s="296" t="s">
        <v>311</v>
      </c>
      <c r="E3" s="296" t="s">
        <v>312</v>
      </c>
      <c r="F3" s="296" t="s">
        <v>313</v>
      </c>
      <c r="G3" s="296" t="s">
        <v>333</v>
      </c>
      <c r="H3" s="296" t="s">
        <v>450</v>
      </c>
      <c r="I3" s="296" t="s">
        <v>314</v>
      </c>
      <c r="J3" s="296" t="s">
        <v>315</v>
      </c>
      <c r="K3" s="296" t="s">
        <v>316</v>
      </c>
      <c r="L3" s="305" t="s">
        <v>336</v>
      </c>
      <c r="M3" s="296" t="s">
        <v>337</v>
      </c>
      <c r="N3" s="296" t="s">
        <v>338</v>
      </c>
      <c r="O3" s="296" t="s">
        <v>320</v>
      </c>
    </row>
    <row r="4" spans="1:15" ht="22.5" x14ac:dyDescent="0.2">
      <c r="A4" s="308">
        <v>1</v>
      </c>
      <c r="B4" s="308">
        <v>2</v>
      </c>
      <c r="C4" s="308">
        <v>3</v>
      </c>
      <c r="D4" s="308">
        <v>4</v>
      </c>
      <c r="E4" s="308">
        <v>5</v>
      </c>
      <c r="F4" s="297">
        <v>6</v>
      </c>
      <c r="G4" s="297" t="s">
        <v>321</v>
      </c>
      <c r="H4" s="297" t="s">
        <v>451</v>
      </c>
      <c r="I4" s="297" t="s">
        <v>456</v>
      </c>
      <c r="J4" s="297" t="s">
        <v>322</v>
      </c>
      <c r="K4" s="297" t="s">
        <v>323</v>
      </c>
      <c r="L4" s="297" t="s">
        <v>339</v>
      </c>
      <c r="M4" s="297" t="s">
        <v>340</v>
      </c>
      <c r="N4" s="297" t="s">
        <v>341</v>
      </c>
      <c r="O4" s="297" t="s">
        <v>324</v>
      </c>
    </row>
    <row r="5" spans="1:15" x14ac:dyDescent="0.2">
      <c r="A5" s="298" t="s">
        <v>325</v>
      </c>
      <c r="B5" s="296">
        <v>1</v>
      </c>
      <c r="C5" s="296">
        <v>39.1</v>
      </c>
      <c r="D5" s="299" t="s">
        <v>326</v>
      </c>
      <c r="E5" s="296">
        <v>11</v>
      </c>
      <c r="F5" s="300">
        <v>2304</v>
      </c>
      <c r="G5" s="301">
        <f>SUM(F5*0.05)</f>
        <v>115.2</v>
      </c>
      <c r="H5" s="301">
        <f>SUM(F5)*0.1</f>
        <v>230.4</v>
      </c>
      <c r="I5" s="301">
        <f>(SUM(F5)*0.05)</f>
        <v>115.2</v>
      </c>
      <c r="J5" s="301">
        <f>SUM(F5:I5)*0.2359</f>
        <v>652.21631999999988</v>
      </c>
      <c r="K5" s="301">
        <f>SUM(F5:J5)</f>
        <v>3417.0163199999997</v>
      </c>
      <c r="L5" s="301">
        <f>K5*9</f>
        <v>30753.146879999997</v>
      </c>
      <c r="M5" s="301">
        <f>(F5+G5+H5)*9</f>
        <v>23846.399999999998</v>
      </c>
      <c r="N5" s="301">
        <f>(I5+J5)*9</f>
        <v>6906.7468799999997</v>
      </c>
      <c r="O5" s="301">
        <f>SUM(K5)*9</f>
        <v>30753.146879999997</v>
      </c>
    </row>
    <row r="6" spans="1:15" ht="29.25" customHeight="1" x14ac:dyDescent="0.2">
      <c r="A6" s="133" t="s">
        <v>327</v>
      </c>
      <c r="B6" s="296">
        <v>1</v>
      </c>
      <c r="C6" s="302">
        <v>21.5</v>
      </c>
      <c r="D6" s="302" t="s">
        <v>328</v>
      </c>
      <c r="E6" s="296">
        <v>12</v>
      </c>
      <c r="F6" s="300">
        <v>2304</v>
      </c>
      <c r="G6" s="301">
        <f t="shared" ref="G6:G7" si="0">SUM(F6*0.05)</f>
        <v>115.2</v>
      </c>
      <c r="H6" s="301">
        <f t="shared" ref="H6:H7" si="1">SUM(F6)*0.1</f>
        <v>230.4</v>
      </c>
      <c r="I6" s="301">
        <f t="shared" ref="I6:I7" si="2">(SUM(F6)*0.05)</f>
        <v>115.2</v>
      </c>
      <c r="J6" s="301">
        <f t="shared" ref="J6:J7" si="3">SUM(F6:I6)*0.2359</f>
        <v>652.21631999999988</v>
      </c>
      <c r="K6" s="301">
        <f t="shared" ref="K6:K7" si="4">SUM(F6:J6)</f>
        <v>3417.0163199999997</v>
      </c>
      <c r="L6" s="301">
        <f t="shared" ref="L6:L7" si="5">K6*9</f>
        <v>30753.146879999997</v>
      </c>
      <c r="M6" s="301">
        <f t="shared" ref="M6:M7" si="6">(F6+G6+H6)*9</f>
        <v>23846.399999999998</v>
      </c>
      <c r="N6" s="301">
        <f t="shared" ref="N6:N7" si="7">(I6+J6)*9</f>
        <v>6906.7468799999997</v>
      </c>
      <c r="O6" s="301">
        <f t="shared" ref="O6:O7" si="8">SUM(K6)*9</f>
        <v>30753.146879999997</v>
      </c>
    </row>
    <row r="7" spans="1:15" x14ac:dyDescent="0.2">
      <c r="A7" s="133" t="s">
        <v>329</v>
      </c>
      <c r="B7" s="296">
        <v>1</v>
      </c>
      <c r="C7" s="296">
        <v>21.6</v>
      </c>
      <c r="D7" s="299" t="s">
        <v>330</v>
      </c>
      <c r="E7" s="296">
        <v>10</v>
      </c>
      <c r="F7" s="303">
        <v>1653</v>
      </c>
      <c r="G7" s="301">
        <f t="shared" si="0"/>
        <v>82.65</v>
      </c>
      <c r="H7" s="301">
        <f t="shared" si="1"/>
        <v>165.3</v>
      </c>
      <c r="I7" s="301">
        <f t="shared" si="2"/>
        <v>82.65</v>
      </c>
      <c r="J7" s="301">
        <f t="shared" si="3"/>
        <v>467.93124</v>
      </c>
      <c r="K7" s="301">
        <f t="shared" si="4"/>
        <v>2451.5312400000003</v>
      </c>
      <c r="L7" s="301">
        <f t="shared" si="5"/>
        <v>22063.781160000002</v>
      </c>
      <c r="M7" s="301">
        <f t="shared" si="6"/>
        <v>17108.55</v>
      </c>
      <c r="N7" s="301">
        <f t="shared" si="7"/>
        <v>4955.2311599999994</v>
      </c>
      <c r="O7" s="301">
        <f t="shared" si="8"/>
        <v>22063.781160000002</v>
      </c>
    </row>
    <row r="8" spans="1:15" x14ac:dyDescent="0.2">
      <c r="A8" s="135" t="s">
        <v>331</v>
      </c>
      <c r="B8" s="304">
        <v>3</v>
      </c>
      <c r="C8" s="435"/>
      <c r="D8" s="435"/>
      <c r="E8" s="435"/>
      <c r="F8" s="137">
        <f t="shared" ref="F8:O8" si="9">SUM(F5:F7)</f>
        <v>6261</v>
      </c>
      <c r="G8" s="137">
        <f t="shared" si="9"/>
        <v>313.05</v>
      </c>
      <c r="H8" s="137">
        <f t="shared" si="9"/>
        <v>626.1</v>
      </c>
      <c r="I8" s="137">
        <f t="shared" si="9"/>
        <v>313.05</v>
      </c>
      <c r="J8" s="137">
        <f t="shared" si="9"/>
        <v>1772.3638799999999</v>
      </c>
      <c r="K8" s="137">
        <f t="shared" si="9"/>
        <v>9285.5638799999997</v>
      </c>
      <c r="L8" s="137">
        <f t="shared" si="9"/>
        <v>83570.074919999999</v>
      </c>
      <c r="M8" s="137">
        <f t="shared" si="9"/>
        <v>64801.349999999991</v>
      </c>
      <c r="N8" s="137">
        <f t="shared" si="9"/>
        <v>18768.724920000001</v>
      </c>
      <c r="O8" s="137">
        <f t="shared" si="9"/>
        <v>83570.074919999999</v>
      </c>
    </row>
    <row r="11" spans="1:15" x14ac:dyDescent="0.2">
      <c r="A11" s="295" t="s">
        <v>332</v>
      </c>
    </row>
    <row r="14" spans="1:15" ht="15.75" customHeight="1" x14ac:dyDescent="0.2">
      <c r="A14" s="436" t="s">
        <v>335</v>
      </c>
      <c r="B14" s="436"/>
      <c r="C14" s="436"/>
      <c r="D14" s="436"/>
      <c r="E14" s="436"/>
      <c r="F14" s="436"/>
      <c r="G14" s="436"/>
      <c r="H14" s="436"/>
      <c r="I14" s="436"/>
      <c r="J14" s="436"/>
      <c r="K14" s="436"/>
      <c r="L14" s="436"/>
      <c r="M14" s="436"/>
      <c r="N14" s="436"/>
      <c r="O14" s="436"/>
    </row>
    <row r="15" spans="1:15" ht="42.75" customHeight="1" x14ac:dyDescent="0.2">
      <c r="A15" s="306" t="s">
        <v>308</v>
      </c>
      <c r="B15" s="306" t="s">
        <v>309</v>
      </c>
      <c r="C15" s="307" t="s">
        <v>310</v>
      </c>
      <c r="D15" s="306" t="s">
        <v>311</v>
      </c>
      <c r="E15" s="306" t="s">
        <v>312</v>
      </c>
      <c r="F15" s="306" t="s">
        <v>466</v>
      </c>
      <c r="G15" s="307" t="s">
        <v>333</v>
      </c>
      <c r="H15" s="307" t="s">
        <v>450</v>
      </c>
      <c r="I15" s="307" t="s">
        <v>314</v>
      </c>
      <c r="J15" s="306" t="s">
        <v>315</v>
      </c>
      <c r="K15" s="306" t="s">
        <v>316</v>
      </c>
      <c r="L15" s="306" t="s">
        <v>317</v>
      </c>
      <c r="M15" s="306" t="s">
        <v>318</v>
      </c>
      <c r="N15" s="306" t="s">
        <v>319</v>
      </c>
      <c r="O15" s="306" t="s">
        <v>320</v>
      </c>
    </row>
    <row r="16" spans="1:15" x14ac:dyDescent="0.2">
      <c r="A16" s="298" t="s">
        <v>325</v>
      </c>
      <c r="B16" s="296">
        <v>1</v>
      </c>
      <c r="C16" s="296">
        <v>39.1</v>
      </c>
      <c r="D16" s="299" t="s">
        <v>326</v>
      </c>
      <c r="E16" s="296">
        <v>11</v>
      </c>
      <c r="F16" s="300">
        <v>2304</v>
      </c>
      <c r="G16" s="301">
        <f>SUM(F16*0.05)</f>
        <v>115.2</v>
      </c>
      <c r="H16" s="301">
        <f>SUM(F16)*0.1</f>
        <v>230.4</v>
      </c>
      <c r="I16" s="301">
        <f>(SUM(F16)*0.05)</f>
        <v>115.2</v>
      </c>
      <c r="J16" s="301">
        <f>SUM(F16:I16)*0.2359</f>
        <v>652.21631999999988</v>
      </c>
      <c r="K16" s="301">
        <f>SUM(F16:J16)</f>
        <v>3417.0163199999997</v>
      </c>
      <c r="L16" s="301">
        <v>39215.599999999999</v>
      </c>
      <c r="M16" s="301">
        <v>30888</v>
      </c>
      <c r="N16" s="301">
        <v>8327.6</v>
      </c>
      <c r="O16" s="301">
        <f>SUM(K16)*12</f>
        <v>41004.19584</v>
      </c>
    </row>
    <row r="17" spans="1:15" ht="29.25" customHeight="1" x14ac:dyDescent="0.2">
      <c r="A17" s="133" t="s">
        <v>327</v>
      </c>
      <c r="B17" s="296">
        <v>1</v>
      </c>
      <c r="C17" s="302">
        <v>21.5</v>
      </c>
      <c r="D17" s="302" t="s">
        <v>328</v>
      </c>
      <c r="E17" s="296">
        <v>12</v>
      </c>
      <c r="F17" s="300">
        <v>2442</v>
      </c>
      <c r="G17" s="301">
        <f t="shared" ref="G17:G18" si="10">SUM(F17*0.05)</f>
        <v>122.10000000000001</v>
      </c>
      <c r="H17" s="301">
        <f t="shared" ref="H17:H18" si="11">SUM(F17)*0.1</f>
        <v>244.20000000000002</v>
      </c>
      <c r="I17" s="301">
        <f t="shared" ref="I17:I18" si="12">(SUM(F17)*0.05)</f>
        <v>122.10000000000001</v>
      </c>
      <c r="J17" s="301">
        <f t="shared" ref="J17:J18" si="13">SUM(F17:I17)*0.2359</f>
        <v>691.28135999999995</v>
      </c>
      <c r="K17" s="301">
        <f t="shared" ref="K17:K18" si="14">SUM(F17:J17)</f>
        <v>3621.6813599999996</v>
      </c>
      <c r="L17" s="301">
        <v>36433.64</v>
      </c>
      <c r="M17" s="301">
        <v>28696.799999999999</v>
      </c>
      <c r="N17" s="301">
        <v>7736.84</v>
      </c>
      <c r="O17" s="301">
        <f t="shared" ref="O17:O18" si="15">SUM(K17)*12</f>
        <v>43460.176319999999</v>
      </c>
    </row>
    <row r="18" spans="1:15" x14ac:dyDescent="0.2">
      <c r="A18" s="133" t="s">
        <v>329</v>
      </c>
      <c r="B18" s="296">
        <v>1</v>
      </c>
      <c r="C18" s="296">
        <v>21.6</v>
      </c>
      <c r="D18" s="299" t="s">
        <v>330</v>
      </c>
      <c r="E18" s="296">
        <v>10</v>
      </c>
      <c r="F18" s="303">
        <v>1653</v>
      </c>
      <c r="G18" s="301">
        <f t="shared" si="10"/>
        <v>82.65</v>
      </c>
      <c r="H18" s="301">
        <f t="shared" si="11"/>
        <v>165.3</v>
      </c>
      <c r="I18" s="301">
        <f t="shared" si="12"/>
        <v>82.65</v>
      </c>
      <c r="J18" s="301">
        <f t="shared" si="13"/>
        <v>467.93124</v>
      </c>
      <c r="K18" s="301">
        <f t="shared" si="14"/>
        <v>2451.5312400000003</v>
      </c>
      <c r="L18" s="301">
        <v>27702.3</v>
      </c>
      <c r="M18" s="301">
        <v>21819.599999999999</v>
      </c>
      <c r="N18" s="301">
        <v>5882.7</v>
      </c>
      <c r="O18" s="301">
        <f t="shared" si="15"/>
        <v>29418.374880000003</v>
      </c>
    </row>
    <row r="19" spans="1:15" x14ac:dyDescent="0.2">
      <c r="A19" s="135" t="s">
        <v>331</v>
      </c>
      <c r="B19" s="304">
        <v>3</v>
      </c>
      <c r="C19" s="435"/>
      <c r="D19" s="435"/>
      <c r="E19" s="435"/>
      <c r="F19" s="137">
        <f t="shared" ref="F19:N19" si="16">SUM(F16:F18)</f>
        <v>6399</v>
      </c>
      <c r="G19" s="137">
        <f t="shared" si="16"/>
        <v>319.95000000000005</v>
      </c>
      <c r="H19" s="137">
        <f t="shared" si="16"/>
        <v>639.90000000000009</v>
      </c>
      <c r="I19" s="137">
        <f>SUM(I16:I18)</f>
        <v>319.95000000000005</v>
      </c>
      <c r="J19" s="137">
        <f t="shared" si="16"/>
        <v>1811.4289199999998</v>
      </c>
      <c r="K19" s="137">
        <f t="shared" si="16"/>
        <v>9490.2289199999996</v>
      </c>
      <c r="L19" s="137">
        <f t="shared" si="16"/>
        <v>103351.54</v>
      </c>
      <c r="M19" s="137">
        <f t="shared" si="16"/>
        <v>81404.399999999994</v>
      </c>
      <c r="N19" s="137">
        <f t="shared" si="16"/>
        <v>21947.14</v>
      </c>
      <c r="O19" s="137">
        <f>SUM(O16:O18)</f>
        <v>113882.74704</v>
      </c>
    </row>
    <row r="21" spans="1:15" x14ac:dyDescent="0.2">
      <c r="A21" s="295" t="s">
        <v>467</v>
      </c>
    </row>
  </sheetData>
  <mergeCells count="5">
    <mergeCell ref="H1:O1"/>
    <mergeCell ref="C8:E8"/>
    <mergeCell ref="C19:E19"/>
    <mergeCell ref="A2:O2"/>
    <mergeCell ref="A14:O14"/>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9C4BE-40EB-4F58-8FA6-4E846CD8078A}">
  <sheetPr>
    <tabColor rgb="FFF7DBE9"/>
  </sheetPr>
  <dimension ref="A1:E10"/>
  <sheetViews>
    <sheetView view="pageBreakPreview" zoomScale="130" zoomScaleNormal="100" zoomScaleSheetLayoutView="130" workbookViewId="0">
      <selection activeCell="A2" sqref="A2:E2"/>
    </sheetView>
  </sheetViews>
  <sheetFormatPr defaultColWidth="8.7109375" defaultRowHeight="15" x14ac:dyDescent="0.25"/>
  <cols>
    <col min="1" max="1" width="34.42578125" style="38" customWidth="1"/>
    <col min="2" max="2" width="9.28515625" style="38" customWidth="1"/>
    <col min="3" max="4" width="7.28515625" style="38" customWidth="1"/>
    <col min="5" max="5" width="19" style="129" customWidth="1"/>
    <col min="6" max="16384" width="8.7109375" style="38"/>
  </cols>
  <sheetData>
    <row r="1" spans="1:5" ht="126.75" customHeight="1" x14ac:dyDescent="0.25">
      <c r="D1" s="432" t="s">
        <v>304</v>
      </c>
      <c r="E1" s="433"/>
    </row>
    <row r="2" spans="1:5" s="129" customFormat="1" ht="14.25" x14ac:dyDescent="0.2">
      <c r="A2" s="431" t="s">
        <v>345</v>
      </c>
      <c r="B2" s="431"/>
      <c r="C2" s="431"/>
      <c r="D2" s="431"/>
      <c r="E2" s="431"/>
    </row>
    <row r="4" spans="1:5" s="132" customFormat="1" ht="59.45" customHeight="1" x14ac:dyDescent="0.25">
      <c r="A4" s="130" t="s">
        <v>51</v>
      </c>
      <c r="B4" s="241" t="s">
        <v>351</v>
      </c>
      <c r="C4" s="242" t="s">
        <v>152</v>
      </c>
      <c r="D4" s="242" t="s">
        <v>353</v>
      </c>
      <c r="E4" s="131" t="s">
        <v>346</v>
      </c>
    </row>
    <row r="5" spans="1:5" ht="22.5" x14ac:dyDescent="0.25">
      <c r="A5" s="133" t="s">
        <v>352</v>
      </c>
      <c r="B5" s="241" t="s">
        <v>95</v>
      </c>
      <c r="C5" s="27">
        <v>20</v>
      </c>
      <c r="D5" s="244">
        <v>800</v>
      </c>
      <c r="E5" s="134">
        <f>C5*D5</f>
        <v>16000</v>
      </c>
    </row>
    <row r="6" spans="1:5" ht="22.5" x14ac:dyDescent="0.25">
      <c r="A6" s="133" t="s">
        <v>347</v>
      </c>
      <c r="B6" s="241" t="s">
        <v>348</v>
      </c>
      <c r="C6" s="27">
        <v>4000</v>
      </c>
      <c r="D6" s="244">
        <v>1.5</v>
      </c>
      <c r="E6" s="134">
        <f t="shared" ref="E6:E7" si="0">C6*D6</f>
        <v>6000</v>
      </c>
    </row>
    <row r="7" spans="1:5" ht="16.5" customHeight="1" x14ac:dyDescent="0.25">
      <c r="A7" s="133" t="s">
        <v>349</v>
      </c>
      <c r="B7" s="241" t="s">
        <v>350</v>
      </c>
      <c r="C7" s="27">
        <v>50</v>
      </c>
      <c r="D7" s="244">
        <v>80</v>
      </c>
      <c r="E7" s="134">
        <f t="shared" si="0"/>
        <v>4000</v>
      </c>
    </row>
    <row r="8" spans="1:5" s="129" customFormat="1" ht="14.25" x14ac:dyDescent="0.2">
      <c r="A8" s="135" t="s">
        <v>14</v>
      </c>
      <c r="B8" s="238"/>
      <c r="C8" s="136"/>
      <c r="D8" s="136"/>
      <c r="E8" s="137">
        <f>E5+E6+E7</f>
        <v>26000</v>
      </c>
    </row>
    <row r="9" spans="1:5" s="129" customFormat="1" ht="14.25" x14ac:dyDescent="0.2">
      <c r="A9" s="135" t="s">
        <v>354</v>
      </c>
      <c r="B9" s="238"/>
      <c r="C9" s="136"/>
      <c r="D9" s="136"/>
      <c r="E9" s="137">
        <f>E8*0.21</f>
        <v>5460</v>
      </c>
    </row>
    <row r="10" spans="1:5" s="129" customFormat="1" ht="14.25" x14ac:dyDescent="0.2">
      <c r="A10" s="135" t="s">
        <v>355</v>
      </c>
      <c r="B10" s="238"/>
      <c r="C10" s="136"/>
      <c r="D10" s="136"/>
      <c r="E10" s="137">
        <f>E8+E9</f>
        <v>31460</v>
      </c>
    </row>
  </sheetData>
  <mergeCells count="2">
    <mergeCell ref="D1:E1"/>
    <mergeCell ref="A2:E2"/>
  </mergeCells>
  <pageMargins left="0.7" right="0.7" top="0.75" bottom="0.75" header="0.3" footer="0.3"/>
  <pageSetup scale="61"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069A6-562F-4381-9DCD-3E016AF4C9FC}">
  <sheetPr>
    <tabColor rgb="FFFED4E3"/>
  </sheetPr>
  <dimension ref="A1:L140"/>
  <sheetViews>
    <sheetView view="pageBreakPreview" zoomScaleNormal="100" zoomScaleSheetLayoutView="100" workbookViewId="0">
      <selection activeCell="F22" sqref="F22"/>
    </sheetView>
  </sheetViews>
  <sheetFormatPr defaultColWidth="9.140625" defaultRowHeight="15" x14ac:dyDescent="0.25"/>
  <cols>
    <col min="1" max="1" width="58.42578125" style="312" customWidth="1"/>
    <col min="2" max="2" width="12.85546875" style="312" customWidth="1"/>
    <col min="3" max="6" width="15.42578125" style="312" customWidth="1"/>
    <col min="7" max="9" width="0" style="312" hidden="1" customWidth="1"/>
    <col min="10" max="16384" width="9.140625" style="312"/>
  </cols>
  <sheetData>
    <row r="1" spans="1:6" ht="76.5" customHeight="1" x14ac:dyDescent="0.25">
      <c r="D1" s="439" t="s">
        <v>343</v>
      </c>
      <c r="E1" s="440"/>
      <c r="F1" s="440"/>
    </row>
    <row r="2" spans="1:6" ht="21" customHeight="1" x14ac:dyDescent="0.25">
      <c r="A2" s="449" t="s">
        <v>433</v>
      </c>
      <c r="B2" s="449"/>
      <c r="C2" s="449"/>
      <c r="D2" s="449"/>
      <c r="E2" s="449"/>
      <c r="F2" s="449"/>
    </row>
    <row r="3" spans="1:6" x14ac:dyDescent="0.25">
      <c r="A3" s="313"/>
      <c r="B3" s="313"/>
      <c r="C3" s="313"/>
      <c r="D3" s="313"/>
      <c r="E3" s="313"/>
      <c r="F3" s="313"/>
    </row>
    <row r="4" spans="1:6" x14ac:dyDescent="0.25">
      <c r="A4" s="441" t="s">
        <v>370</v>
      </c>
      <c r="B4" s="441"/>
      <c r="C4" s="441"/>
      <c r="D4" s="441"/>
      <c r="E4" s="441"/>
      <c r="F4" s="441"/>
    </row>
    <row r="5" spans="1:6" ht="57" x14ac:dyDescent="0.25">
      <c r="A5" s="314" t="s">
        <v>371</v>
      </c>
      <c r="B5" s="314" t="s">
        <v>351</v>
      </c>
      <c r="C5" s="314" t="s">
        <v>372</v>
      </c>
      <c r="D5" s="314" t="s">
        <v>162</v>
      </c>
      <c r="E5" s="314" t="s">
        <v>373</v>
      </c>
      <c r="F5" s="314" t="s">
        <v>374</v>
      </c>
    </row>
    <row r="6" spans="1:6" ht="15.75" x14ac:dyDescent="0.25">
      <c r="A6" s="315" t="s">
        <v>375</v>
      </c>
      <c r="B6" s="316" t="s">
        <v>376</v>
      </c>
      <c r="C6" s="317">
        <v>2.39</v>
      </c>
      <c r="D6" s="318">
        <v>10</v>
      </c>
      <c r="E6" s="319">
        <f>C6*D6</f>
        <v>23.900000000000002</v>
      </c>
      <c r="F6" s="319">
        <f t="shared" ref="F6:F12" si="0">E6*1.21</f>
        <v>28.919</v>
      </c>
    </row>
    <row r="7" spans="1:6" ht="15.75" x14ac:dyDescent="0.25">
      <c r="A7" s="316" t="s">
        <v>377</v>
      </c>
      <c r="B7" s="316" t="s">
        <v>378</v>
      </c>
      <c r="C7" s="317">
        <v>0.43</v>
      </c>
      <c r="D7" s="318">
        <v>16</v>
      </c>
      <c r="E7" s="319">
        <f t="shared" ref="E7:E11" si="1">C7*D7</f>
        <v>6.88</v>
      </c>
      <c r="F7" s="319">
        <f t="shared" si="0"/>
        <v>8.3247999999999998</v>
      </c>
    </row>
    <row r="8" spans="1:6" ht="15.75" x14ac:dyDescent="0.25">
      <c r="A8" s="316" t="s">
        <v>379</v>
      </c>
      <c r="B8" s="316" t="s">
        <v>380</v>
      </c>
      <c r="C8" s="317">
        <v>25.16</v>
      </c>
      <c r="D8" s="318">
        <v>0.7</v>
      </c>
      <c r="E8" s="319">
        <f t="shared" si="1"/>
        <v>17.611999999999998</v>
      </c>
      <c r="F8" s="319">
        <f t="shared" si="0"/>
        <v>21.310519999999997</v>
      </c>
    </row>
    <row r="9" spans="1:6" ht="15.75" x14ac:dyDescent="0.25">
      <c r="A9" s="315" t="s">
        <v>381</v>
      </c>
      <c r="B9" s="316" t="s">
        <v>376</v>
      </c>
      <c r="C9" s="317">
        <v>2.39</v>
      </c>
      <c r="D9" s="318">
        <v>10</v>
      </c>
      <c r="E9" s="319">
        <f t="shared" si="1"/>
        <v>23.900000000000002</v>
      </c>
      <c r="F9" s="319">
        <f t="shared" si="0"/>
        <v>28.919</v>
      </c>
    </row>
    <row r="10" spans="1:6" ht="15.75" x14ac:dyDescent="0.25">
      <c r="A10" s="316" t="s">
        <v>382</v>
      </c>
      <c r="B10" s="316" t="s">
        <v>378</v>
      </c>
      <c r="C10" s="317">
        <v>0.43</v>
      </c>
      <c r="D10" s="318">
        <v>16</v>
      </c>
      <c r="E10" s="319">
        <f t="shared" si="1"/>
        <v>6.88</v>
      </c>
      <c r="F10" s="319">
        <f t="shared" si="0"/>
        <v>8.3247999999999998</v>
      </c>
    </row>
    <row r="11" spans="1:6" ht="15.75" x14ac:dyDescent="0.25">
      <c r="A11" s="316" t="s">
        <v>383</v>
      </c>
      <c r="B11" s="316" t="s">
        <v>380</v>
      </c>
      <c r="C11" s="317">
        <v>25.16</v>
      </c>
      <c r="D11" s="318">
        <v>0.7</v>
      </c>
      <c r="E11" s="319">
        <f t="shared" si="1"/>
        <v>17.611999999999998</v>
      </c>
      <c r="F11" s="319">
        <f t="shared" si="0"/>
        <v>21.310519999999997</v>
      </c>
    </row>
    <row r="12" spans="1:6" x14ac:dyDescent="0.25">
      <c r="A12" s="320"/>
      <c r="B12" s="320"/>
      <c r="C12" s="320"/>
      <c r="D12" s="321" t="s">
        <v>40</v>
      </c>
      <c r="E12" s="322">
        <f>SUM(E6:E11)</f>
        <v>96.783999999999992</v>
      </c>
      <c r="F12" s="322">
        <f t="shared" si="0"/>
        <v>117.10863999999998</v>
      </c>
    </row>
    <row r="13" spans="1:6" x14ac:dyDescent="0.25">
      <c r="F13" s="323"/>
    </row>
    <row r="14" spans="1:6" ht="42.75" x14ac:dyDescent="0.25">
      <c r="A14" s="324" t="s">
        <v>384</v>
      </c>
      <c r="B14" s="324" t="s">
        <v>385</v>
      </c>
      <c r="C14" s="314" t="s">
        <v>372</v>
      </c>
      <c r="D14" s="325" t="s">
        <v>162</v>
      </c>
      <c r="E14" s="314" t="s">
        <v>386</v>
      </c>
      <c r="F14" s="314" t="s">
        <v>387</v>
      </c>
    </row>
    <row r="15" spans="1:6" x14ac:dyDescent="0.25">
      <c r="A15" s="326" t="s">
        <v>388</v>
      </c>
      <c r="B15" s="326" t="s">
        <v>389</v>
      </c>
      <c r="C15" s="327">
        <v>50</v>
      </c>
      <c r="D15" s="328">
        <v>4</v>
      </c>
      <c r="E15" s="319">
        <f>D15*C15</f>
        <v>200</v>
      </c>
      <c r="F15" s="319">
        <f t="shared" ref="F15:F19" si="2">E15*1.21</f>
        <v>242</v>
      </c>
    </row>
    <row r="16" spans="1:6" x14ac:dyDescent="0.25">
      <c r="A16" s="329" t="s">
        <v>390</v>
      </c>
      <c r="B16" s="326" t="s">
        <v>389</v>
      </c>
      <c r="C16" s="330">
        <v>30</v>
      </c>
      <c r="D16" s="331">
        <v>4</v>
      </c>
      <c r="E16" s="319">
        <f>D16*C16</f>
        <v>120</v>
      </c>
      <c r="F16" s="319">
        <f t="shared" si="2"/>
        <v>145.19999999999999</v>
      </c>
    </row>
    <row r="17" spans="1:12" x14ac:dyDescent="0.25">
      <c r="A17" s="326" t="s">
        <v>391</v>
      </c>
      <c r="B17" s="326" t="s">
        <v>389</v>
      </c>
      <c r="C17" s="330">
        <v>10</v>
      </c>
      <c r="D17" s="331">
        <v>4</v>
      </c>
      <c r="E17" s="319">
        <f>D17*C17</f>
        <v>40</v>
      </c>
      <c r="F17" s="319">
        <f t="shared" si="2"/>
        <v>48.4</v>
      </c>
    </row>
    <row r="18" spans="1:12" x14ac:dyDescent="0.25">
      <c r="A18" s="329" t="s">
        <v>392</v>
      </c>
      <c r="B18" s="329" t="s">
        <v>393</v>
      </c>
      <c r="C18" s="330">
        <v>20</v>
      </c>
      <c r="D18" s="331">
        <v>1.5</v>
      </c>
      <c r="E18" s="319">
        <f>D18*C18</f>
        <v>30</v>
      </c>
      <c r="F18" s="319">
        <f t="shared" si="2"/>
        <v>36.299999999999997</v>
      </c>
    </row>
    <row r="19" spans="1:12" x14ac:dyDescent="0.25">
      <c r="A19" s="332" t="s">
        <v>394</v>
      </c>
      <c r="B19" s="333">
        <v>1</v>
      </c>
      <c r="C19" s="333">
        <v>1089.67</v>
      </c>
      <c r="D19" s="316">
        <v>0</v>
      </c>
      <c r="E19" s="319">
        <f>D19*C19</f>
        <v>0</v>
      </c>
      <c r="F19" s="319">
        <f t="shared" si="2"/>
        <v>0</v>
      </c>
    </row>
    <row r="20" spans="1:12" x14ac:dyDescent="0.25">
      <c r="A20" s="334"/>
      <c r="B20" s="335"/>
      <c r="C20" s="335"/>
      <c r="D20" s="321" t="s">
        <v>40</v>
      </c>
      <c r="E20" s="336">
        <f>SUM(E15:E19)</f>
        <v>390</v>
      </c>
      <c r="F20" s="336">
        <f>E20*1.21</f>
        <v>471.9</v>
      </c>
    </row>
    <row r="21" spans="1:12" ht="42.75" x14ac:dyDescent="0.25">
      <c r="D21" s="337" t="s">
        <v>395</v>
      </c>
      <c r="E21" s="336">
        <f>E12+E20</f>
        <v>486.78399999999999</v>
      </c>
      <c r="F21" s="336">
        <f>E21*1.21</f>
        <v>589.00864000000001</v>
      </c>
      <c r="L21" s="363"/>
    </row>
    <row r="22" spans="1:12" x14ac:dyDescent="0.25">
      <c r="D22" s="338" t="s">
        <v>396</v>
      </c>
      <c r="E22" s="339"/>
      <c r="F22" s="340">
        <f>F21*9</f>
        <v>5301.0777600000001</v>
      </c>
    </row>
    <row r="24" spans="1:12" x14ac:dyDescent="0.25">
      <c r="A24" s="442" t="s">
        <v>369</v>
      </c>
      <c r="B24" s="442"/>
      <c r="C24" s="442"/>
      <c r="D24" s="442"/>
      <c r="E24" s="442"/>
      <c r="F24" s="442"/>
    </row>
    <row r="26" spans="1:12" ht="45" x14ac:dyDescent="0.25">
      <c r="A26" s="341" t="s">
        <v>397</v>
      </c>
      <c r="B26" s="341" t="s">
        <v>398</v>
      </c>
      <c r="C26" s="341" t="s">
        <v>399</v>
      </c>
      <c r="D26" s="341" t="s">
        <v>465</v>
      </c>
    </row>
    <row r="27" spans="1:12" x14ac:dyDescent="0.25">
      <c r="A27" s="342" t="s">
        <v>401</v>
      </c>
      <c r="B27" s="443">
        <f>ROUND(63444.9+1767.03,0)</f>
        <v>65212</v>
      </c>
      <c r="C27" s="450">
        <v>1078</v>
      </c>
      <c r="D27" s="446">
        <v>60.493499999999997</v>
      </c>
    </row>
    <row r="28" spans="1:12" ht="30" x14ac:dyDescent="0.25">
      <c r="A28" s="343" t="s">
        <v>402</v>
      </c>
      <c r="B28" s="444"/>
      <c r="C28" s="451"/>
      <c r="D28" s="447"/>
    </row>
    <row r="29" spans="1:12" ht="45" x14ac:dyDescent="0.25">
      <c r="A29" s="343" t="s">
        <v>403</v>
      </c>
      <c r="B29" s="444"/>
      <c r="C29" s="451"/>
      <c r="D29" s="447"/>
    </row>
    <row r="30" spans="1:12" ht="75" x14ac:dyDescent="0.25">
      <c r="A30" s="343" t="s">
        <v>404</v>
      </c>
      <c r="B30" s="444"/>
      <c r="C30" s="451"/>
      <c r="D30" s="447"/>
    </row>
    <row r="31" spans="1:12" ht="60" x14ac:dyDescent="0.25">
      <c r="A31" s="343" t="s">
        <v>405</v>
      </c>
      <c r="B31" s="444"/>
      <c r="C31" s="451"/>
      <c r="D31" s="447"/>
      <c r="E31" s="362"/>
    </row>
    <row r="32" spans="1:12" ht="30" x14ac:dyDescent="0.25">
      <c r="A32" s="343" t="s">
        <v>406</v>
      </c>
      <c r="B32" s="444"/>
      <c r="C32" s="451"/>
      <c r="D32" s="447"/>
    </row>
    <row r="33" spans="1:6" ht="30" x14ac:dyDescent="0.25">
      <c r="A33" s="343" t="s">
        <v>407</v>
      </c>
      <c r="B33" s="444"/>
      <c r="C33" s="451"/>
      <c r="D33" s="447"/>
    </row>
    <row r="34" spans="1:6" ht="30" x14ac:dyDescent="0.25">
      <c r="A34" s="343" t="s">
        <v>408</v>
      </c>
      <c r="B34" s="444"/>
      <c r="C34" s="451"/>
      <c r="D34" s="447"/>
    </row>
    <row r="35" spans="1:6" ht="45" x14ac:dyDescent="0.25">
      <c r="A35" s="343" t="s">
        <v>409</v>
      </c>
      <c r="B35" s="444"/>
      <c r="C35" s="451"/>
      <c r="D35" s="447"/>
    </row>
    <row r="36" spans="1:6" ht="45" x14ac:dyDescent="0.25">
      <c r="A36" s="343" t="s">
        <v>410</v>
      </c>
      <c r="B36" s="444"/>
      <c r="C36" s="451"/>
      <c r="D36" s="447"/>
    </row>
    <row r="37" spans="1:6" ht="60" x14ac:dyDescent="0.25">
      <c r="A37" s="343" t="s">
        <v>411</v>
      </c>
      <c r="B37" s="444"/>
      <c r="C37" s="451"/>
      <c r="D37" s="447"/>
    </row>
    <row r="38" spans="1:6" x14ac:dyDescent="0.25">
      <c r="A38" s="343" t="s">
        <v>412</v>
      </c>
      <c r="B38" s="444"/>
      <c r="C38" s="451"/>
      <c r="D38" s="447"/>
    </row>
    <row r="39" spans="1:6" x14ac:dyDescent="0.25">
      <c r="A39" s="343" t="s">
        <v>413</v>
      </c>
      <c r="B39" s="444"/>
      <c r="C39" s="451"/>
      <c r="D39" s="447"/>
    </row>
    <row r="40" spans="1:6" x14ac:dyDescent="0.25">
      <c r="A40" s="343" t="s">
        <v>414</v>
      </c>
      <c r="B40" s="445"/>
      <c r="C40" s="452"/>
      <c r="D40" s="448"/>
    </row>
    <row r="41" spans="1:6" s="347" customFormat="1" ht="14.25" x14ac:dyDescent="0.2">
      <c r="A41" s="344" t="s">
        <v>40</v>
      </c>
      <c r="B41" s="345">
        <f>SUM(B27)</f>
        <v>65212</v>
      </c>
      <c r="C41" s="346"/>
      <c r="D41" s="346"/>
    </row>
    <row r="42" spans="1:6" x14ac:dyDescent="0.25">
      <c r="A42" s="348"/>
      <c r="B42" s="348"/>
    </row>
    <row r="43" spans="1:6" s="347" customFormat="1" ht="28.5" customHeight="1" x14ac:dyDescent="0.2">
      <c r="A43" s="437" t="s">
        <v>415</v>
      </c>
      <c r="B43" s="438"/>
      <c r="C43" s="345">
        <f>ROUND(SUM(B41+F22),0)</f>
        <v>70513</v>
      </c>
    </row>
    <row r="45" spans="1:6" x14ac:dyDescent="0.25">
      <c r="A45" s="441" t="s">
        <v>416</v>
      </c>
      <c r="B45" s="441"/>
      <c r="C45" s="441"/>
      <c r="D45" s="441"/>
      <c r="E45" s="441"/>
      <c r="F45" s="441"/>
    </row>
    <row r="46" spans="1:6" x14ac:dyDescent="0.25">
      <c r="A46" s="313"/>
      <c r="B46" s="313"/>
      <c r="C46" s="313"/>
      <c r="D46" s="313"/>
      <c r="E46" s="313"/>
      <c r="F46" s="313"/>
    </row>
    <row r="47" spans="1:6" x14ac:dyDescent="0.25">
      <c r="A47" s="441" t="s">
        <v>417</v>
      </c>
      <c r="B47" s="441"/>
      <c r="C47" s="441"/>
      <c r="D47" s="441"/>
      <c r="E47" s="441"/>
      <c r="F47" s="441"/>
    </row>
    <row r="48" spans="1:6" ht="57" x14ac:dyDescent="0.25">
      <c r="A48" s="314" t="s">
        <v>371</v>
      </c>
      <c r="B48" s="314" t="s">
        <v>351</v>
      </c>
      <c r="C48" s="314" t="s">
        <v>372</v>
      </c>
      <c r="D48" s="314" t="s">
        <v>162</v>
      </c>
      <c r="E48" s="314" t="s">
        <v>373</v>
      </c>
      <c r="F48" s="314" t="s">
        <v>374</v>
      </c>
    </row>
    <row r="49" spans="1:6" ht="15.75" x14ac:dyDescent="0.25">
      <c r="A49" s="315" t="s">
        <v>375</v>
      </c>
      <c r="B49" s="316" t="s">
        <v>376</v>
      </c>
      <c r="C49" s="317">
        <v>2.39</v>
      </c>
      <c r="D49" s="318">
        <v>12</v>
      </c>
      <c r="E49" s="319">
        <f t="shared" ref="E49:E54" si="3">C49*D49</f>
        <v>28.68</v>
      </c>
      <c r="F49" s="319">
        <f t="shared" ref="F49:F55" si="4">E49*1.21</f>
        <v>34.702799999999996</v>
      </c>
    </row>
    <row r="50" spans="1:6" ht="15.75" x14ac:dyDescent="0.25">
      <c r="A50" s="316" t="s">
        <v>377</v>
      </c>
      <c r="B50" s="316" t="s">
        <v>378</v>
      </c>
      <c r="C50" s="317">
        <v>0.43</v>
      </c>
      <c r="D50" s="318">
        <v>20</v>
      </c>
      <c r="E50" s="319">
        <f t="shared" si="3"/>
        <v>8.6</v>
      </c>
      <c r="F50" s="319">
        <f t="shared" si="4"/>
        <v>10.405999999999999</v>
      </c>
    </row>
    <row r="51" spans="1:6" ht="15.75" x14ac:dyDescent="0.25">
      <c r="A51" s="316" t="s">
        <v>379</v>
      </c>
      <c r="B51" s="316" t="s">
        <v>380</v>
      </c>
      <c r="C51" s="317">
        <v>25.16</v>
      </c>
      <c r="D51" s="318">
        <v>1</v>
      </c>
      <c r="E51" s="319">
        <f t="shared" si="3"/>
        <v>25.16</v>
      </c>
      <c r="F51" s="319">
        <f>E51*1.21</f>
        <v>30.4436</v>
      </c>
    </row>
    <row r="52" spans="1:6" ht="15.75" x14ac:dyDescent="0.25">
      <c r="A52" s="315" t="s">
        <v>381</v>
      </c>
      <c r="B52" s="316" t="s">
        <v>376</v>
      </c>
      <c r="C52" s="317">
        <v>2.39</v>
      </c>
      <c r="D52" s="318">
        <v>10</v>
      </c>
      <c r="E52" s="319">
        <f t="shared" si="3"/>
        <v>23.900000000000002</v>
      </c>
      <c r="F52" s="319">
        <f t="shared" ref="F52:F53" si="5">E52*1.21</f>
        <v>28.919</v>
      </c>
    </row>
    <row r="53" spans="1:6" ht="15.75" x14ac:dyDescent="0.25">
      <c r="A53" s="316" t="s">
        <v>382</v>
      </c>
      <c r="B53" s="316" t="s">
        <v>378</v>
      </c>
      <c r="C53" s="317">
        <v>0.43</v>
      </c>
      <c r="D53" s="318">
        <v>16</v>
      </c>
      <c r="E53" s="319">
        <f t="shared" si="3"/>
        <v>6.88</v>
      </c>
      <c r="F53" s="319">
        <f t="shared" si="5"/>
        <v>8.3247999999999998</v>
      </c>
    </row>
    <row r="54" spans="1:6" ht="15.75" x14ac:dyDescent="0.25">
      <c r="A54" s="316" t="s">
        <v>383</v>
      </c>
      <c r="B54" s="316" t="s">
        <v>380</v>
      </c>
      <c r="C54" s="317">
        <v>25.16</v>
      </c>
      <c r="D54" s="318">
        <v>0.7</v>
      </c>
      <c r="E54" s="319">
        <f t="shared" si="3"/>
        <v>17.611999999999998</v>
      </c>
      <c r="F54" s="319">
        <f>E54*1.21</f>
        <v>21.310519999999997</v>
      </c>
    </row>
    <row r="55" spans="1:6" x14ac:dyDescent="0.25">
      <c r="A55" s="320"/>
      <c r="B55" s="320"/>
      <c r="C55" s="320"/>
      <c r="D55" s="321" t="s">
        <v>40</v>
      </c>
      <c r="E55" s="322">
        <f>SUM(E49:E54)</f>
        <v>110.83199999999999</v>
      </c>
      <c r="F55" s="322">
        <f t="shared" si="4"/>
        <v>134.10672</v>
      </c>
    </row>
    <row r="56" spans="1:6" x14ac:dyDescent="0.25">
      <c r="D56" s="349"/>
      <c r="E56" s="350"/>
      <c r="F56" s="350"/>
    </row>
    <row r="57" spans="1:6" ht="42.75" x14ac:dyDescent="0.25">
      <c r="A57" s="314" t="s">
        <v>418</v>
      </c>
      <c r="B57" s="314" t="s">
        <v>351</v>
      </c>
      <c r="C57" s="314" t="s">
        <v>372</v>
      </c>
      <c r="D57" s="314" t="s">
        <v>162</v>
      </c>
      <c r="E57" s="314" t="s">
        <v>419</v>
      </c>
      <c r="F57" s="314" t="s">
        <v>420</v>
      </c>
    </row>
    <row r="58" spans="1:6" x14ac:dyDescent="0.25">
      <c r="A58" s="315" t="s">
        <v>421</v>
      </c>
      <c r="B58" s="333" t="s">
        <v>389</v>
      </c>
      <c r="C58" s="333">
        <v>2431</v>
      </c>
      <c r="D58" s="333">
        <f>3+2</f>
        <v>5</v>
      </c>
      <c r="E58" s="351">
        <f>D58*C58</f>
        <v>12155</v>
      </c>
      <c r="F58" s="351">
        <f t="shared" ref="F58:F59" si="6">E58*1.21</f>
        <v>14707.55</v>
      </c>
    </row>
    <row r="59" spans="1:6" x14ac:dyDescent="0.25">
      <c r="A59" s="320"/>
      <c r="B59" s="320"/>
      <c r="C59" s="320"/>
      <c r="D59" s="321" t="s">
        <v>40</v>
      </c>
      <c r="E59" s="352">
        <f>SUM(E58:E58)</f>
        <v>12155</v>
      </c>
      <c r="F59" s="352">
        <f t="shared" si="6"/>
        <v>14707.55</v>
      </c>
    </row>
    <row r="60" spans="1:6" x14ac:dyDescent="0.25">
      <c r="D60" s="349"/>
      <c r="E60" s="350"/>
      <c r="F60" s="350"/>
    </row>
    <row r="61" spans="1:6" ht="42.75" x14ac:dyDescent="0.25">
      <c r="A61" s="324" t="s">
        <v>422</v>
      </c>
      <c r="B61" s="324" t="s">
        <v>385</v>
      </c>
      <c r="C61" s="314" t="s">
        <v>372</v>
      </c>
      <c r="D61" s="325" t="s">
        <v>162</v>
      </c>
      <c r="E61" s="314" t="s">
        <v>386</v>
      </c>
      <c r="F61" s="314" t="s">
        <v>387</v>
      </c>
    </row>
    <row r="62" spans="1:6" x14ac:dyDescent="0.25">
      <c r="A62" s="326" t="s">
        <v>388</v>
      </c>
      <c r="B62" s="326" t="s">
        <v>389</v>
      </c>
      <c r="C62" s="327">
        <v>50</v>
      </c>
      <c r="D62" s="328">
        <v>4</v>
      </c>
      <c r="E62" s="319">
        <f>D62*C62</f>
        <v>200</v>
      </c>
      <c r="F62" s="319">
        <f>E62*1.21</f>
        <v>242</v>
      </c>
    </row>
    <row r="63" spans="1:6" x14ac:dyDescent="0.25">
      <c r="A63" s="329" t="s">
        <v>390</v>
      </c>
      <c r="B63" s="326" t="s">
        <v>389</v>
      </c>
      <c r="C63" s="330">
        <v>30</v>
      </c>
      <c r="D63" s="331">
        <v>4</v>
      </c>
      <c r="E63" s="319">
        <f>D63*C63</f>
        <v>120</v>
      </c>
      <c r="F63" s="319">
        <f t="shared" ref="F63:F66" si="7">E63*1.21</f>
        <v>145.19999999999999</v>
      </c>
    </row>
    <row r="64" spans="1:6" x14ac:dyDescent="0.25">
      <c r="A64" s="326" t="s">
        <v>391</v>
      </c>
      <c r="B64" s="326" t="s">
        <v>389</v>
      </c>
      <c r="C64" s="330">
        <v>10</v>
      </c>
      <c r="D64" s="331">
        <v>4</v>
      </c>
      <c r="E64" s="319">
        <f>D64*C64</f>
        <v>40</v>
      </c>
      <c r="F64" s="319">
        <f t="shared" si="7"/>
        <v>48.4</v>
      </c>
    </row>
    <row r="65" spans="1:6" x14ac:dyDescent="0.25">
      <c r="A65" s="329" t="s">
        <v>392</v>
      </c>
      <c r="B65" s="329" t="s">
        <v>393</v>
      </c>
      <c r="C65" s="330">
        <v>20</v>
      </c>
      <c r="D65" s="331">
        <v>2</v>
      </c>
      <c r="E65" s="319">
        <f>D65*C65</f>
        <v>40</v>
      </c>
      <c r="F65" s="319">
        <f t="shared" si="7"/>
        <v>48.4</v>
      </c>
    </row>
    <row r="66" spans="1:6" x14ac:dyDescent="0.25">
      <c r="A66" s="332" t="s">
        <v>394</v>
      </c>
      <c r="B66" s="333">
        <v>1</v>
      </c>
      <c r="C66" s="333">
        <v>1089.67</v>
      </c>
      <c r="D66" s="316">
        <v>0</v>
      </c>
      <c r="E66" s="319">
        <f>D66*C66</f>
        <v>0</v>
      </c>
      <c r="F66" s="319">
        <f t="shared" si="7"/>
        <v>0</v>
      </c>
    </row>
    <row r="67" spans="1:6" x14ac:dyDescent="0.25">
      <c r="A67" s="334"/>
      <c r="B67" s="335"/>
      <c r="C67" s="335"/>
      <c r="D67" s="321" t="s">
        <v>40</v>
      </c>
      <c r="E67" s="336">
        <f>SUM(E62:E66)</f>
        <v>400</v>
      </c>
      <c r="F67" s="336">
        <f>E67*1.21</f>
        <v>484</v>
      </c>
    </row>
    <row r="68" spans="1:6" ht="42.75" x14ac:dyDescent="0.25">
      <c r="D68" s="337" t="s">
        <v>395</v>
      </c>
      <c r="E68" s="336">
        <f>E55+E67</f>
        <v>510.83199999999999</v>
      </c>
      <c r="F68" s="336">
        <f t="shared" ref="F68" si="8">E68*1.21</f>
        <v>618.10672</v>
      </c>
    </row>
    <row r="69" spans="1:6" x14ac:dyDescent="0.25">
      <c r="D69" s="338" t="s">
        <v>423</v>
      </c>
      <c r="E69" s="339"/>
      <c r="F69" s="340">
        <f>F68*12+F59</f>
        <v>22124.83064</v>
      </c>
    </row>
    <row r="70" spans="1:6" x14ac:dyDescent="0.25">
      <c r="D70" s="353"/>
      <c r="E70" s="354"/>
      <c r="F70" s="355"/>
    </row>
    <row r="71" spans="1:6" x14ac:dyDescent="0.25">
      <c r="A71" s="442" t="s">
        <v>416</v>
      </c>
      <c r="B71" s="442"/>
      <c r="C71" s="442"/>
      <c r="D71" s="442"/>
      <c r="E71" s="442"/>
      <c r="F71" s="442"/>
    </row>
    <row r="73" spans="1:6" ht="45" x14ac:dyDescent="0.25">
      <c r="A73" s="341" t="s">
        <v>397</v>
      </c>
      <c r="B73" s="341" t="s">
        <v>424</v>
      </c>
      <c r="C73" s="341" t="s">
        <v>399</v>
      </c>
      <c r="D73" s="341" t="s">
        <v>400</v>
      </c>
    </row>
    <row r="74" spans="1:6" x14ac:dyDescent="0.25">
      <c r="A74" s="342" t="s">
        <v>401</v>
      </c>
      <c r="B74" s="443">
        <f>ROUND(48200.17+427,0)</f>
        <v>48627</v>
      </c>
      <c r="C74" s="446">
        <v>804</v>
      </c>
      <c r="D74" s="446">
        <v>60.481499999999997</v>
      </c>
    </row>
    <row r="75" spans="1:6" ht="30" x14ac:dyDescent="0.25">
      <c r="A75" s="343" t="s">
        <v>402</v>
      </c>
      <c r="B75" s="444"/>
      <c r="C75" s="447"/>
      <c r="D75" s="447"/>
    </row>
    <row r="76" spans="1:6" ht="45" x14ac:dyDescent="0.25">
      <c r="A76" s="343" t="s">
        <v>403</v>
      </c>
      <c r="B76" s="444"/>
      <c r="C76" s="447"/>
      <c r="D76" s="447"/>
    </row>
    <row r="77" spans="1:6" ht="75" x14ac:dyDescent="0.25">
      <c r="A77" s="343" t="s">
        <v>404</v>
      </c>
      <c r="B77" s="444"/>
      <c r="C77" s="447"/>
      <c r="D77" s="447"/>
    </row>
    <row r="78" spans="1:6" ht="60" x14ac:dyDescent="0.25">
      <c r="A78" s="343" t="s">
        <v>405</v>
      </c>
      <c r="B78" s="444"/>
      <c r="C78" s="447"/>
      <c r="D78" s="447"/>
    </row>
    <row r="79" spans="1:6" ht="30" x14ac:dyDescent="0.25">
      <c r="A79" s="343" t="s">
        <v>406</v>
      </c>
      <c r="B79" s="444"/>
      <c r="C79" s="447"/>
      <c r="D79" s="447"/>
    </row>
    <row r="80" spans="1:6" ht="30" x14ac:dyDescent="0.25">
      <c r="A80" s="343" t="s">
        <v>407</v>
      </c>
      <c r="B80" s="444"/>
      <c r="C80" s="447"/>
      <c r="D80" s="447"/>
    </row>
    <row r="81" spans="1:6" ht="30" x14ac:dyDescent="0.25">
      <c r="A81" s="343" t="s">
        <v>408</v>
      </c>
      <c r="B81" s="444"/>
      <c r="C81" s="447"/>
      <c r="D81" s="447"/>
    </row>
    <row r="82" spans="1:6" ht="45" x14ac:dyDescent="0.25">
      <c r="A82" s="343" t="s">
        <v>409</v>
      </c>
      <c r="B82" s="444"/>
      <c r="C82" s="447"/>
      <c r="D82" s="447"/>
    </row>
    <row r="83" spans="1:6" ht="45" x14ac:dyDescent="0.25">
      <c r="A83" s="343" t="s">
        <v>410</v>
      </c>
      <c r="B83" s="444"/>
      <c r="C83" s="447"/>
      <c r="D83" s="447"/>
    </row>
    <row r="84" spans="1:6" ht="60" x14ac:dyDescent="0.25">
      <c r="A84" s="343" t="s">
        <v>411</v>
      </c>
      <c r="B84" s="444"/>
      <c r="C84" s="447"/>
      <c r="D84" s="447"/>
    </row>
    <row r="85" spans="1:6" x14ac:dyDescent="0.25">
      <c r="A85" s="343" t="s">
        <v>412</v>
      </c>
      <c r="B85" s="444"/>
      <c r="C85" s="447"/>
      <c r="D85" s="447"/>
    </row>
    <row r="86" spans="1:6" x14ac:dyDescent="0.25">
      <c r="A86" s="343" t="s">
        <v>413</v>
      </c>
      <c r="B86" s="444"/>
      <c r="C86" s="447"/>
      <c r="D86" s="447"/>
    </row>
    <row r="87" spans="1:6" x14ac:dyDescent="0.25">
      <c r="A87" s="343" t="s">
        <v>414</v>
      </c>
      <c r="B87" s="445"/>
      <c r="C87" s="448"/>
      <c r="D87" s="448"/>
    </row>
    <row r="88" spans="1:6" x14ac:dyDescent="0.25">
      <c r="A88" s="344" t="s">
        <v>40</v>
      </c>
      <c r="B88" s="345">
        <f>SUM(B74)</f>
        <v>48627</v>
      </c>
      <c r="C88" s="346"/>
      <c r="D88" s="346"/>
      <c r="E88" s="347"/>
      <c r="F88" s="347"/>
    </row>
    <row r="89" spans="1:6" x14ac:dyDescent="0.25">
      <c r="A89" s="348"/>
      <c r="B89" s="348"/>
    </row>
    <row r="90" spans="1:6" ht="29.45" customHeight="1" x14ac:dyDescent="0.25">
      <c r="A90" s="437" t="s">
        <v>425</v>
      </c>
      <c r="B90" s="438"/>
      <c r="C90" s="345">
        <f>ROUND(SUM(B88+F69),0)</f>
        <v>70752</v>
      </c>
      <c r="D90" s="347"/>
      <c r="E90" s="347"/>
      <c r="F90" s="347"/>
    </row>
    <row r="91" spans="1:6" x14ac:dyDescent="0.25">
      <c r="A91" s="356"/>
      <c r="B91" s="356"/>
      <c r="C91" s="357"/>
      <c r="D91" s="347"/>
      <c r="E91" s="347"/>
      <c r="F91" s="347"/>
    </row>
    <row r="92" spans="1:6" x14ac:dyDescent="0.25">
      <c r="A92" s="441" t="s">
        <v>426</v>
      </c>
      <c r="B92" s="441"/>
      <c r="C92" s="441"/>
      <c r="D92" s="441"/>
      <c r="E92" s="441"/>
      <c r="F92" s="441"/>
    </row>
    <row r="93" spans="1:6" x14ac:dyDescent="0.25">
      <c r="A93" s="313"/>
      <c r="B93" s="313"/>
      <c r="C93" s="313"/>
      <c r="D93" s="313"/>
      <c r="E93" s="313"/>
      <c r="F93" s="313"/>
    </row>
    <row r="94" spans="1:6" x14ac:dyDescent="0.25">
      <c r="A94" s="441" t="s">
        <v>427</v>
      </c>
      <c r="B94" s="441"/>
      <c r="C94" s="441"/>
      <c r="D94" s="441"/>
      <c r="E94" s="441"/>
      <c r="F94" s="441"/>
    </row>
    <row r="95" spans="1:6" ht="57" x14ac:dyDescent="0.25">
      <c r="A95" s="314" t="s">
        <v>371</v>
      </c>
      <c r="B95" s="314" t="s">
        <v>351</v>
      </c>
      <c r="C95" s="314" t="s">
        <v>372</v>
      </c>
      <c r="D95" s="314" t="s">
        <v>162</v>
      </c>
      <c r="E95" s="314" t="s">
        <v>373</v>
      </c>
      <c r="F95" s="314" t="s">
        <v>374</v>
      </c>
    </row>
    <row r="96" spans="1:6" ht="15.75" x14ac:dyDescent="0.25">
      <c r="A96" s="315" t="s">
        <v>375</v>
      </c>
      <c r="B96" s="316" t="s">
        <v>376</v>
      </c>
      <c r="C96" s="317">
        <v>2.39</v>
      </c>
      <c r="D96" s="318">
        <v>15</v>
      </c>
      <c r="E96" s="319">
        <f t="shared" ref="E96:E101" si="9">C96*D96</f>
        <v>35.85</v>
      </c>
      <c r="F96" s="319">
        <f t="shared" ref="F96:F97" si="10">E96*1.21</f>
        <v>43.378500000000003</v>
      </c>
    </row>
    <row r="97" spans="1:6" ht="15.75" x14ac:dyDescent="0.25">
      <c r="A97" s="316" t="s">
        <v>377</v>
      </c>
      <c r="B97" s="316" t="s">
        <v>378</v>
      </c>
      <c r="C97" s="317">
        <v>0.43</v>
      </c>
      <c r="D97" s="318">
        <v>24</v>
      </c>
      <c r="E97" s="319">
        <f t="shared" si="9"/>
        <v>10.32</v>
      </c>
      <c r="F97" s="319">
        <f t="shared" si="10"/>
        <v>12.4872</v>
      </c>
    </row>
    <row r="98" spans="1:6" ht="15.75" x14ac:dyDescent="0.25">
      <c r="A98" s="316" t="s">
        <v>379</v>
      </c>
      <c r="B98" s="316" t="s">
        <v>380</v>
      </c>
      <c r="C98" s="317">
        <v>25.16</v>
      </c>
      <c r="D98" s="318">
        <v>1.2</v>
      </c>
      <c r="E98" s="319">
        <f t="shared" si="9"/>
        <v>30.192</v>
      </c>
      <c r="F98" s="319">
        <f>E98*1.21</f>
        <v>36.532319999999999</v>
      </c>
    </row>
    <row r="99" spans="1:6" ht="15.75" x14ac:dyDescent="0.25">
      <c r="A99" s="315" t="s">
        <v>381</v>
      </c>
      <c r="B99" s="316" t="s">
        <v>376</v>
      </c>
      <c r="C99" s="317">
        <v>2.39</v>
      </c>
      <c r="D99" s="318">
        <v>10</v>
      </c>
      <c r="E99" s="319">
        <f t="shared" si="9"/>
        <v>23.900000000000002</v>
      </c>
      <c r="F99" s="319">
        <f t="shared" ref="F99:F100" si="11">E99*1.21</f>
        <v>28.919</v>
      </c>
    </row>
    <row r="100" spans="1:6" ht="15.75" x14ac:dyDescent="0.25">
      <c r="A100" s="316" t="s">
        <v>382</v>
      </c>
      <c r="B100" s="316" t="s">
        <v>378</v>
      </c>
      <c r="C100" s="317">
        <v>0.43</v>
      </c>
      <c r="D100" s="318">
        <v>16</v>
      </c>
      <c r="E100" s="319">
        <f t="shared" si="9"/>
        <v>6.88</v>
      </c>
      <c r="F100" s="319">
        <f t="shared" si="11"/>
        <v>8.3247999999999998</v>
      </c>
    </row>
    <row r="101" spans="1:6" ht="15.75" x14ac:dyDescent="0.25">
      <c r="A101" s="316" t="s">
        <v>383</v>
      </c>
      <c r="B101" s="316" t="s">
        <v>380</v>
      </c>
      <c r="C101" s="317">
        <v>25.16</v>
      </c>
      <c r="D101" s="318">
        <v>0.7</v>
      </c>
      <c r="E101" s="319">
        <f t="shared" si="9"/>
        <v>17.611999999999998</v>
      </c>
      <c r="F101" s="319">
        <f>E101*1.21</f>
        <v>21.310519999999997</v>
      </c>
    </row>
    <row r="102" spans="1:6" x14ac:dyDescent="0.25">
      <c r="A102" s="320"/>
      <c r="B102" s="320"/>
      <c r="C102" s="320"/>
      <c r="D102" s="321" t="s">
        <v>40</v>
      </c>
      <c r="E102" s="322">
        <f>SUM(E96:E101)</f>
        <v>124.75399999999999</v>
      </c>
      <c r="F102" s="322">
        <f t="shared" ref="F102" si="12">E102*1.21</f>
        <v>150.95233999999999</v>
      </c>
    </row>
    <row r="103" spans="1:6" x14ac:dyDescent="0.25">
      <c r="D103" s="349"/>
      <c r="E103" s="350"/>
      <c r="F103" s="350"/>
    </row>
    <row r="104" spans="1:6" ht="42.75" x14ac:dyDescent="0.25">
      <c r="A104" s="314" t="s">
        <v>428</v>
      </c>
      <c r="B104" s="314" t="s">
        <v>351</v>
      </c>
      <c r="C104" s="314" t="s">
        <v>372</v>
      </c>
      <c r="D104" s="314" t="s">
        <v>162</v>
      </c>
      <c r="E104" s="314" t="s">
        <v>419</v>
      </c>
      <c r="F104" s="314" t="s">
        <v>420</v>
      </c>
    </row>
    <row r="105" spans="1:6" ht="15.75" x14ac:dyDescent="0.25">
      <c r="A105" s="315" t="s">
        <v>421</v>
      </c>
      <c r="B105" s="316" t="s">
        <v>389</v>
      </c>
      <c r="C105" s="317">
        <v>486.18</v>
      </c>
      <c r="D105" s="318">
        <f>3+2</f>
        <v>5</v>
      </c>
      <c r="E105" s="319">
        <f>C105*D105</f>
        <v>2430.9</v>
      </c>
      <c r="F105" s="319">
        <f t="shared" ref="F105:F106" si="13">E105*1.21</f>
        <v>2941.3890000000001</v>
      </c>
    </row>
    <row r="106" spans="1:6" x14ac:dyDescent="0.25">
      <c r="A106" s="320"/>
      <c r="B106" s="320"/>
      <c r="C106" s="320"/>
      <c r="D106" s="321" t="s">
        <v>40</v>
      </c>
      <c r="E106" s="322">
        <f>SUM(E105:E105)</f>
        <v>2430.9</v>
      </c>
      <c r="F106" s="322">
        <f t="shared" si="13"/>
        <v>2941.3890000000001</v>
      </c>
    </row>
    <row r="107" spans="1:6" x14ac:dyDescent="0.25">
      <c r="D107" s="349"/>
      <c r="E107" s="350"/>
      <c r="F107" s="350"/>
    </row>
    <row r="108" spans="1:6" ht="42.75" x14ac:dyDescent="0.25">
      <c r="A108" s="324" t="s">
        <v>422</v>
      </c>
      <c r="B108" s="324" t="s">
        <v>385</v>
      </c>
      <c r="C108" s="314" t="s">
        <v>372</v>
      </c>
      <c r="D108" s="325" t="s">
        <v>162</v>
      </c>
      <c r="E108" s="314" t="s">
        <v>386</v>
      </c>
      <c r="F108" s="314" t="s">
        <v>387</v>
      </c>
    </row>
    <row r="109" spans="1:6" x14ac:dyDescent="0.25">
      <c r="A109" s="326" t="s">
        <v>388</v>
      </c>
      <c r="B109" s="326" t="s">
        <v>389</v>
      </c>
      <c r="C109" s="327">
        <v>50</v>
      </c>
      <c r="D109" s="328">
        <v>4</v>
      </c>
      <c r="E109" s="319">
        <f>D109*C109</f>
        <v>200</v>
      </c>
      <c r="F109" s="319">
        <f>E109*1.21</f>
        <v>242</v>
      </c>
    </row>
    <row r="110" spans="1:6" x14ac:dyDescent="0.25">
      <c r="A110" s="329" t="s">
        <v>390</v>
      </c>
      <c r="B110" s="326" t="s">
        <v>389</v>
      </c>
      <c r="C110" s="330">
        <v>30</v>
      </c>
      <c r="D110" s="331">
        <v>4</v>
      </c>
      <c r="E110" s="319">
        <f>D110*C110</f>
        <v>120</v>
      </c>
      <c r="F110" s="319">
        <f t="shared" ref="F110:F113" si="14">E110*1.21</f>
        <v>145.19999999999999</v>
      </c>
    </row>
    <row r="111" spans="1:6" x14ac:dyDescent="0.25">
      <c r="A111" s="326" t="s">
        <v>391</v>
      </c>
      <c r="B111" s="326" t="s">
        <v>389</v>
      </c>
      <c r="C111" s="330">
        <v>10</v>
      </c>
      <c r="D111" s="331">
        <v>4</v>
      </c>
      <c r="E111" s="319">
        <f>D111*C111</f>
        <v>40</v>
      </c>
      <c r="F111" s="319">
        <f t="shared" si="14"/>
        <v>48.4</v>
      </c>
    </row>
    <row r="112" spans="1:6" x14ac:dyDescent="0.25">
      <c r="A112" s="329" t="s">
        <v>392</v>
      </c>
      <c r="B112" s="329" t="s">
        <v>393</v>
      </c>
      <c r="C112" s="330">
        <v>20</v>
      </c>
      <c r="D112" s="331">
        <v>2</v>
      </c>
      <c r="E112" s="319">
        <f>D112*C112</f>
        <v>40</v>
      </c>
      <c r="F112" s="319">
        <f t="shared" si="14"/>
        <v>48.4</v>
      </c>
    </row>
    <row r="113" spans="1:6" x14ac:dyDescent="0.25">
      <c r="A113" s="332" t="s">
        <v>394</v>
      </c>
      <c r="B113" s="333">
        <v>1</v>
      </c>
      <c r="C113" s="333">
        <v>1089.67</v>
      </c>
      <c r="D113" s="316">
        <v>0</v>
      </c>
      <c r="E113" s="319">
        <f>D113*C113</f>
        <v>0</v>
      </c>
      <c r="F113" s="319">
        <f t="shared" si="14"/>
        <v>0</v>
      </c>
    </row>
    <row r="114" spans="1:6" x14ac:dyDescent="0.25">
      <c r="A114" s="334"/>
      <c r="B114" s="335"/>
      <c r="C114" s="335"/>
      <c r="D114" s="321" t="s">
        <v>40</v>
      </c>
      <c r="E114" s="336">
        <f>SUM(E109:E113)</f>
        <v>400</v>
      </c>
      <c r="F114" s="336">
        <f>E114*1.21</f>
        <v>484</v>
      </c>
    </row>
    <row r="115" spans="1:6" ht="42.75" x14ac:dyDescent="0.25">
      <c r="D115" s="337" t="s">
        <v>395</v>
      </c>
      <c r="E115" s="336">
        <f>E102+E114</f>
        <v>524.75400000000002</v>
      </c>
      <c r="F115" s="336">
        <f t="shared" ref="F115" si="15">E115*1.21</f>
        <v>634.95234000000005</v>
      </c>
    </row>
    <row r="116" spans="1:6" ht="42.75" x14ac:dyDescent="0.25">
      <c r="D116" s="358" t="s">
        <v>429</v>
      </c>
      <c r="E116" s="339"/>
      <c r="F116" s="340">
        <f>F115*12+F106</f>
        <v>10560.817080000001</v>
      </c>
    </row>
    <row r="117" spans="1:6" s="359" customFormat="1" x14ac:dyDescent="0.25">
      <c r="D117" s="353"/>
      <c r="E117" s="354"/>
      <c r="F117" s="360"/>
    </row>
    <row r="118" spans="1:6" s="359" customFormat="1" x14ac:dyDescent="0.25">
      <c r="A118" s="442" t="s">
        <v>430</v>
      </c>
      <c r="B118" s="442"/>
      <c r="C118" s="442"/>
      <c r="D118" s="442"/>
      <c r="E118" s="442"/>
      <c r="F118" s="442"/>
    </row>
    <row r="119" spans="1:6" s="359" customFormat="1" x14ac:dyDescent="0.25">
      <c r="A119" s="312"/>
      <c r="B119" s="312"/>
      <c r="C119" s="312"/>
      <c r="D119" s="312"/>
      <c r="E119" s="312"/>
      <c r="F119" s="312"/>
    </row>
    <row r="120" spans="1:6" s="359" customFormat="1" ht="60" x14ac:dyDescent="0.25">
      <c r="A120" s="341" t="s">
        <v>397</v>
      </c>
      <c r="B120" s="341" t="s">
        <v>431</v>
      </c>
      <c r="C120" s="341" t="s">
        <v>399</v>
      </c>
      <c r="D120" s="341" t="s">
        <v>400</v>
      </c>
      <c r="E120" s="312"/>
      <c r="F120" s="312"/>
    </row>
    <row r="121" spans="1:6" s="359" customFormat="1" x14ac:dyDescent="0.25">
      <c r="A121" s="342" t="s">
        <v>401</v>
      </c>
      <c r="B121" s="443">
        <f>ROUND(60191.18,0)</f>
        <v>60191</v>
      </c>
      <c r="C121" s="446">
        <v>995</v>
      </c>
      <c r="D121" s="446">
        <v>60.493600000000001</v>
      </c>
      <c r="E121" s="312"/>
      <c r="F121" s="312"/>
    </row>
    <row r="122" spans="1:6" s="359" customFormat="1" ht="30" x14ac:dyDescent="0.25">
      <c r="A122" s="343" t="s">
        <v>402</v>
      </c>
      <c r="B122" s="444"/>
      <c r="C122" s="447"/>
      <c r="D122" s="447"/>
      <c r="E122" s="312"/>
      <c r="F122" s="312"/>
    </row>
    <row r="123" spans="1:6" s="359" customFormat="1" ht="45" x14ac:dyDescent="0.25">
      <c r="A123" s="343" t="s">
        <v>403</v>
      </c>
      <c r="B123" s="444"/>
      <c r="C123" s="447"/>
      <c r="D123" s="447"/>
      <c r="E123" s="312"/>
      <c r="F123" s="312"/>
    </row>
    <row r="124" spans="1:6" s="359" customFormat="1" ht="75" x14ac:dyDescent="0.25">
      <c r="A124" s="343" t="s">
        <v>404</v>
      </c>
      <c r="B124" s="444"/>
      <c r="C124" s="447"/>
      <c r="D124" s="447"/>
      <c r="E124" s="312"/>
      <c r="F124" s="312"/>
    </row>
    <row r="125" spans="1:6" s="359" customFormat="1" ht="60" x14ac:dyDescent="0.25">
      <c r="A125" s="343" t="s">
        <v>405</v>
      </c>
      <c r="B125" s="444"/>
      <c r="C125" s="447"/>
      <c r="D125" s="447"/>
      <c r="E125" s="312"/>
      <c r="F125" s="312"/>
    </row>
    <row r="126" spans="1:6" s="359" customFormat="1" ht="30" x14ac:dyDescent="0.25">
      <c r="A126" s="343" t="s">
        <v>406</v>
      </c>
      <c r="B126" s="444"/>
      <c r="C126" s="447"/>
      <c r="D126" s="447"/>
      <c r="E126" s="312"/>
      <c r="F126" s="312"/>
    </row>
    <row r="127" spans="1:6" s="359" customFormat="1" ht="30" x14ac:dyDescent="0.25">
      <c r="A127" s="343" t="s">
        <v>407</v>
      </c>
      <c r="B127" s="444"/>
      <c r="C127" s="447"/>
      <c r="D127" s="447"/>
      <c r="E127" s="312"/>
      <c r="F127" s="312"/>
    </row>
    <row r="128" spans="1:6" s="359" customFormat="1" ht="30" x14ac:dyDescent="0.25">
      <c r="A128" s="343" t="s">
        <v>408</v>
      </c>
      <c r="B128" s="444"/>
      <c r="C128" s="447"/>
      <c r="D128" s="447"/>
      <c r="E128" s="312"/>
      <c r="F128" s="312"/>
    </row>
    <row r="129" spans="1:6" s="359" customFormat="1" ht="45" x14ac:dyDescent="0.25">
      <c r="A129" s="343" t="s">
        <v>409</v>
      </c>
      <c r="B129" s="444"/>
      <c r="C129" s="447"/>
      <c r="D129" s="447"/>
      <c r="E129" s="312"/>
      <c r="F129" s="312"/>
    </row>
    <row r="130" spans="1:6" s="359" customFormat="1" ht="45" x14ac:dyDescent="0.25">
      <c r="A130" s="343" t="s">
        <v>410</v>
      </c>
      <c r="B130" s="444"/>
      <c r="C130" s="447"/>
      <c r="D130" s="447"/>
      <c r="E130" s="312"/>
      <c r="F130" s="312"/>
    </row>
    <row r="131" spans="1:6" s="359" customFormat="1" ht="60" x14ac:dyDescent="0.25">
      <c r="A131" s="343" t="s">
        <v>411</v>
      </c>
      <c r="B131" s="444"/>
      <c r="C131" s="447"/>
      <c r="D131" s="447"/>
      <c r="E131" s="312"/>
      <c r="F131" s="312"/>
    </row>
    <row r="132" spans="1:6" s="359" customFormat="1" x14ac:dyDescent="0.25">
      <c r="A132" s="343" t="s">
        <v>412</v>
      </c>
      <c r="B132" s="444"/>
      <c r="C132" s="447"/>
      <c r="D132" s="447"/>
      <c r="E132" s="312"/>
      <c r="F132" s="312"/>
    </row>
    <row r="133" spans="1:6" s="359" customFormat="1" x14ac:dyDescent="0.25">
      <c r="A133" s="343" t="s">
        <v>413</v>
      </c>
      <c r="B133" s="444"/>
      <c r="C133" s="447"/>
      <c r="D133" s="447"/>
      <c r="E133" s="312"/>
      <c r="F133" s="312"/>
    </row>
    <row r="134" spans="1:6" s="359" customFormat="1" x14ac:dyDescent="0.25">
      <c r="A134" s="343" t="s">
        <v>414</v>
      </c>
      <c r="B134" s="445"/>
      <c r="C134" s="448"/>
      <c r="D134" s="448"/>
      <c r="E134" s="312"/>
      <c r="F134" s="312"/>
    </row>
    <row r="135" spans="1:6" s="359" customFormat="1" x14ac:dyDescent="0.25">
      <c r="A135" s="344" t="s">
        <v>40</v>
      </c>
      <c r="B135" s="345">
        <f>SUM(B121)</f>
        <v>60191</v>
      </c>
      <c r="C135" s="346"/>
      <c r="D135" s="346"/>
      <c r="E135" s="347"/>
      <c r="F135" s="347"/>
    </row>
    <row r="136" spans="1:6" s="359" customFormat="1" x14ac:dyDescent="0.25">
      <c r="A136" s="348"/>
      <c r="B136" s="348"/>
      <c r="C136" s="312"/>
      <c r="D136" s="312"/>
      <c r="E136" s="312"/>
      <c r="F136" s="312"/>
    </row>
    <row r="137" spans="1:6" s="359" customFormat="1" ht="36" customHeight="1" x14ac:dyDescent="0.25">
      <c r="A137" s="437" t="s">
        <v>432</v>
      </c>
      <c r="B137" s="438"/>
      <c r="C137" s="345">
        <f>ROUNDUP(SUM(B135+F116),0)</f>
        <v>70752</v>
      </c>
      <c r="D137" s="347"/>
      <c r="E137" s="347"/>
      <c r="F137" s="347"/>
    </row>
    <row r="138" spans="1:6" s="359" customFormat="1" x14ac:dyDescent="0.25">
      <c r="D138" s="353"/>
      <c r="E138" s="354"/>
      <c r="F138" s="360"/>
    </row>
    <row r="140" spans="1:6" x14ac:dyDescent="0.25">
      <c r="A140" s="361"/>
    </row>
  </sheetData>
  <mergeCells count="22">
    <mergeCell ref="A2:F2"/>
    <mergeCell ref="A4:F4"/>
    <mergeCell ref="A24:F24"/>
    <mergeCell ref="B27:B40"/>
    <mergeCell ref="C27:C40"/>
    <mergeCell ref="D27:D40"/>
    <mergeCell ref="A137:B137"/>
    <mergeCell ref="D1:F1"/>
    <mergeCell ref="A90:B90"/>
    <mergeCell ref="A92:F92"/>
    <mergeCell ref="A94:F94"/>
    <mergeCell ref="A118:F118"/>
    <mergeCell ref="B121:B134"/>
    <mergeCell ref="C121:C134"/>
    <mergeCell ref="D121:D134"/>
    <mergeCell ref="A43:B43"/>
    <mergeCell ref="A45:F45"/>
    <mergeCell ref="A47:F47"/>
    <mergeCell ref="A71:F71"/>
    <mergeCell ref="B74:B87"/>
    <mergeCell ref="C74:C87"/>
    <mergeCell ref="D74:D87"/>
  </mergeCells>
  <hyperlinks>
    <hyperlink ref="A27" location="_ftn1" display="_ftn1" xr:uid="{F4DC9762-1D11-417D-B884-0A80D5223FA2}"/>
    <hyperlink ref="A74" location="_ftn1" display="_ftn1" xr:uid="{0286D892-6F53-4DF5-8B64-82B6E13AC331}"/>
    <hyperlink ref="A121" location="_ftn1" display="_ftn1" xr:uid="{76572DEC-A595-4062-A060-64800DDFBE88}"/>
  </hyperlinks>
  <pageMargins left="0.7" right="0.7" top="0.75" bottom="0.75" header="0.3" footer="0.3"/>
  <pageSetup paperSize="9" scale="6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2</vt:i4>
      </vt:variant>
    </vt:vector>
  </HeadingPairs>
  <TitlesOfParts>
    <vt:vector size="23" baseType="lpstr">
      <vt:lpstr>Kopsavilkums</vt:lpstr>
      <vt:lpstr>1.1.RNPC_aprīk</vt:lpstr>
      <vt:lpstr>1.2.RNPC_auto_ieg</vt:lpstr>
      <vt:lpstr>1.3.RNPC_gāzes_iekr</vt:lpstr>
      <vt:lpstr>2.1.NVD_FI</vt:lpstr>
      <vt:lpstr>2.1.NVD_Man_tarifs</vt:lpstr>
      <vt:lpstr>3.1.VADC</vt:lpstr>
      <vt:lpstr>3.2.1.NMPD_rehab</vt:lpstr>
      <vt:lpstr>3.2.1.NMPD_OMT_apmāc</vt:lpstr>
      <vt:lpstr>3.2.1.NMPD_apsardz</vt:lpstr>
      <vt:lpstr>3.2.2.NMPD_balon</vt:lpstr>
      <vt:lpstr>3.2.2.NMPD_body_cam</vt:lpstr>
      <vt:lpstr>3.3.VTMEC_pap_niepc</vt:lpstr>
      <vt:lpstr>4.1. NVD_papild_uztur</vt:lpstr>
      <vt:lpstr>4.1.NVD_TPL</vt:lpstr>
      <vt:lpstr>4.2.NVD_DigiVes_jauna_funk</vt:lpstr>
      <vt:lpstr>4.3.IKT ZZ</vt:lpstr>
      <vt:lpstr>4.4. NVD_papild_eksperti</vt:lpstr>
      <vt:lpstr>4.5.NVD_CEF_atlīdzība</vt:lpstr>
      <vt:lpstr>4.6. NVD_MI</vt:lpstr>
      <vt:lpstr>4.7.EPIDEM_infrastruktura</vt:lpstr>
      <vt:lpstr>'4.7.EPIDEM_infrastruktura'!_ftnref1</vt:lpstr>
      <vt:lpstr>'3.2.1.NMPD_OMT_apmāc'!Print_Area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Igors Belovs</cp:lastModifiedBy>
  <cp:lastPrinted>2024-02-26T09:15:07Z</cp:lastPrinted>
  <dcterms:created xsi:type="dcterms:W3CDTF">2024-01-23T13:54:18Z</dcterms:created>
  <dcterms:modified xsi:type="dcterms:W3CDTF">2024-03-28T10:06:45Z</dcterms:modified>
</cp:coreProperties>
</file>