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5/UC atbalsts/MK rikojua projets_2025.gadam/PRECIZETS/pielikums anotacijai/"/>
    </mc:Choice>
  </mc:AlternateContent>
  <xr:revisionPtr revIDLastSave="164" documentId="8_{3636613F-5882-43FD-B6F4-4E10051DF356}" xr6:coauthVersionLast="47" xr6:coauthVersionMax="47" xr10:uidLastSave="{91FE187D-6D73-4130-87D2-6C37B56342FF}"/>
  <bookViews>
    <workbookView xWindow="-120" yWindow="-120" windowWidth="29040" windowHeight="15840" xr2:uid="{D0149C22-0E15-46BF-BFDE-039D7FF50899}"/>
  </bookViews>
  <sheets>
    <sheet name="Kopsavilkums_2024.gadam" sheetId="1" r:id="rId1"/>
    <sheet name="EM_1.pielikums" sheetId="2" r:id="rId2"/>
    <sheet name="LM_2.pielikums" sheetId="3" r:id="rId3"/>
    <sheet name="IzM_3.pielikums" sheetId="4" r:id="rId4"/>
    <sheet name="VARAM_4.pielikums VPKAC KAC" sheetId="5" r:id="rId5"/>
    <sheet name="apreķins 4.pielikumam" sheetId="8" r:id="rId6"/>
    <sheet name="Koordināc. punkta izd_5.piel." sheetId="7" r:id="rId7"/>
  </sheets>
  <externalReferences>
    <externalReference r:id="rId8"/>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58" i="3" l="1"/>
  <c r="B158" i="3"/>
  <c r="C157" i="3"/>
  <c r="B157" i="3"/>
  <c r="C156" i="3"/>
  <c r="B156" i="3"/>
  <c r="C155" i="3"/>
  <c r="B155" i="3"/>
  <c r="C154" i="3"/>
  <c r="B154" i="3"/>
  <c r="C153" i="3"/>
  <c r="B153" i="3"/>
  <c r="C152" i="3"/>
  <c r="B152" i="3"/>
  <c r="C151" i="3"/>
  <c r="B151" i="3"/>
  <c r="C150" i="3"/>
  <c r="B150" i="3"/>
  <c r="C149" i="3"/>
  <c r="B149" i="3"/>
  <c r="C148" i="3"/>
  <c r="B148" i="3"/>
  <c r="C147" i="3"/>
  <c r="B147" i="3"/>
  <c r="C146" i="3"/>
  <c r="B146" i="3"/>
  <c r="C145" i="3"/>
  <c r="B145" i="3"/>
  <c r="C144" i="3"/>
  <c r="B144" i="3"/>
  <c r="C143" i="3"/>
  <c r="B143" i="3"/>
  <c r="C142" i="3"/>
  <c r="B142" i="3"/>
  <c r="C141" i="3"/>
  <c r="B141" i="3"/>
  <c r="C140" i="3"/>
  <c r="B140" i="3"/>
  <c r="C139" i="3"/>
  <c r="B139" i="3"/>
  <c r="C138" i="3"/>
  <c r="B138" i="3"/>
  <c r="C137" i="3"/>
  <c r="B137" i="3"/>
  <c r="C136" i="3"/>
  <c r="B136" i="3"/>
  <c r="C135" i="3"/>
  <c r="B135" i="3"/>
  <c r="C134" i="3"/>
  <c r="B134" i="3"/>
  <c r="C133" i="3"/>
  <c r="B133" i="3"/>
  <c r="C132" i="3"/>
  <c r="B132" i="3"/>
  <c r="C131" i="3"/>
  <c r="B131" i="3"/>
  <c r="C130" i="3"/>
  <c r="B130" i="3"/>
  <c r="C129" i="3"/>
  <c r="B129" i="3"/>
  <c r="C128" i="3"/>
  <c r="B128" i="3"/>
  <c r="C127" i="3"/>
  <c r="B127" i="3"/>
  <c r="C126" i="3"/>
  <c r="B126" i="3"/>
  <c r="C125" i="3"/>
  <c r="B125" i="3"/>
  <c r="C124" i="3"/>
  <c r="B124" i="3"/>
  <c r="C123" i="3"/>
  <c r="B123" i="3"/>
  <c r="C122" i="3"/>
  <c r="B122" i="3"/>
  <c r="C121" i="3"/>
  <c r="B121" i="3"/>
  <c r="C120" i="3"/>
  <c r="B120" i="3"/>
  <c r="C119" i="3"/>
  <c r="B119" i="3"/>
  <c r="C118" i="3"/>
  <c r="B118" i="3"/>
  <c r="C117" i="3"/>
  <c r="B117" i="3"/>
  <c r="C116" i="3"/>
  <c r="B116" i="3"/>
  <c r="C115" i="3"/>
  <c r="B115" i="3"/>
  <c r="C114" i="3"/>
  <c r="B114" i="3"/>
  <c r="C113" i="3"/>
  <c r="B113" i="3"/>
  <c r="C112" i="3"/>
  <c r="B112" i="3"/>
  <c r="C111" i="3"/>
  <c r="B111" i="3"/>
  <c r="C110" i="3"/>
  <c r="B110" i="3"/>
  <c r="C109" i="3"/>
  <c r="B109" i="3"/>
  <c r="S108" i="3"/>
  <c r="C108" i="3"/>
  <c r="B108" i="3"/>
  <c r="C107" i="3"/>
  <c r="B107" i="3"/>
  <c r="C106" i="3"/>
  <c r="B106" i="3"/>
  <c r="C105" i="3"/>
  <c r="B105" i="3"/>
  <c r="C104" i="3"/>
  <c r="B104" i="3"/>
  <c r="C103" i="3"/>
  <c r="B103" i="3"/>
  <c r="C102" i="3"/>
  <c r="B102" i="3"/>
  <c r="C101" i="3"/>
  <c r="B101" i="3"/>
  <c r="C100" i="3"/>
  <c r="B100" i="3"/>
  <c r="C99" i="3"/>
  <c r="B99" i="3"/>
  <c r="C98" i="3"/>
  <c r="B98" i="3"/>
  <c r="C97" i="3"/>
  <c r="B97" i="3"/>
  <c r="C96" i="3"/>
  <c r="B96" i="3"/>
  <c r="C95" i="3"/>
  <c r="B95" i="3"/>
  <c r="C94" i="3"/>
  <c r="B94" i="3"/>
  <c r="C93" i="3"/>
  <c r="B93" i="3"/>
  <c r="C92" i="3"/>
  <c r="B92" i="3"/>
  <c r="C91" i="3"/>
  <c r="B91" i="3"/>
  <c r="C90" i="3"/>
  <c r="B90" i="3"/>
  <c r="C89" i="3"/>
  <c r="B89" i="3"/>
  <c r="C88" i="3"/>
  <c r="B88" i="3"/>
  <c r="C87" i="3"/>
  <c r="B87" i="3"/>
  <c r="C86" i="3"/>
  <c r="B86" i="3"/>
  <c r="C85" i="3"/>
  <c r="B85" i="3"/>
  <c r="C84" i="3"/>
  <c r="B84" i="3"/>
  <c r="C83" i="3"/>
  <c r="B83" i="3"/>
  <c r="C82" i="3"/>
  <c r="B82" i="3"/>
  <c r="C81" i="3"/>
  <c r="B81" i="3"/>
  <c r="C80" i="3"/>
  <c r="B80" i="3"/>
  <c r="C79" i="3"/>
  <c r="B79" i="3"/>
  <c r="C78" i="3"/>
  <c r="B78" i="3"/>
  <c r="C77" i="3"/>
  <c r="B77" i="3"/>
  <c r="C76" i="3"/>
  <c r="B76" i="3"/>
  <c r="C75" i="3"/>
  <c r="B75" i="3"/>
  <c r="C74" i="3"/>
  <c r="B74" i="3"/>
  <c r="C73" i="3"/>
  <c r="B73" i="3"/>
  <c r="C72" i="3"/>
  <c r="B72" i="3"/>
  <c r="C71" i="3"/>
  <c r="B71" i="3"/>
  <c r="C70" i="3"/>
  <c r="B70" i="3"/>
  <c r="C69" i="3"/>
  <c r="B69" i="3"/>
  <c r="C68" i="3"/>
  <c r="B68" i="3"/>
  <c r="C67" i="3"/>
  <c r="B67" i="3"/>
  <c r="C66" i="3"/>
  <c r="B66" i="3"/>
  <c r="C65" i="3"/>
  <c r="B65" i="3"/>
  <c r="C64" i="3"/>
  <c r="B64" i="3"/>
  <c r="C63" i="3"/>
  <c r="B63" i="3"/>
  <c r="C62" i="3"/>
  <c r="B62" i="3"/>
  <c r="C61" i="3"/>
  <c r="B61" i="3"/>
  <c r="C60" i="3"/>
  <c r="B60" i="3"/>
  <c r="C59" i="3"/>
  <c r="B59" i="3"/>
  <c r="C58" i="3"/>
  <c r="B58" i="3"/>
  <c r="C57" i="3"/>
  <c r="B57" i="3"/>
  <c r="C56" i="3"/>
  <c r="B56" i="3"/>
  <c r="C55" i="3"/>
  <c r="B55" i="3"/>
  <c r="C54" i="3"/>
  <c r="B54" i="3"/>
  <c r="C53" i="3"/>
  <c r="B53" i="3"/>
  <c r="C52" i="3"/>
  <c r="B52" i="3"/>
  <c r="C51" i="3"/>
  <c r="B51" i="3"/>
  <c r="C50" i="3"/>
  <c r="B50" i="3"/>
  <c r="C49" i="3"/>
  <c r="B49" i="3"/>
  <c r="C48" i="3"/>
  <c r="B48" i="3"/>
  <c r="C47" i="3"/>
  <c r="B47" i="3"/>
  <c r="C46" i="3"/>
  <c r="B46" i="3"/>
  <c r="C45" i="3"/>
  <c r="B45" i="3"/>
  <c r="C44" i="3"/>
  <c r="B44" i="3"/>
  <c r="C43" i="3"/>
  <c r="B43" i="3"/>
  <c r="C42" i="3"/>
  <c r="B42" i="3"/>
  <c r="C41" i="3"/>
  <c r="B41" i="3"/>
  <c r="C40" i="3"/>
  <c r="B40" i="3"/>
  <c r="C39" i="3"/>
  <c r="B39" i="3"/>
  <c r="C38" i="3"/>
  <c r="B38" i="3"/>
  <c r="C37" i="3"/>
  <c r="B37" i="3"/>
  <c r="C36" i="3"/>
  <c r="B36" i="3"/>
  <c r="C35" i="3"/>
  <c r="B35" i="3"/>
  <c r="C34" i="3"/>
  <c r="B34" i="3"/>
  <c r="C33" i="3"/>
  <c r="B33" i="3"/>
  <c r="C32" i="3"/>
  <c r="B32" i="3"/>
  <c r="C31" i="3"/>
  <c r="B31" i="3"/>
  <c r="C30" i="3"/>
  <c r="B30" i="3"/>
  <c r="C29" i="3"/>
  <c r="B29" i="3"/>
  <c r="Y28" i="3"/>
  <c r="C28" i="3" s="1"/>
  <c r="X28" i="3"/>
  <c r="B28" i="3"/>
  <c r="AA27" i="3"/>
  <c r="Z27" i="3"/>
  <c r="X27" i="3"/>
  <c r="AD27" i="3" s="1"/>
  <c r="W27" i="3"/>
  <c r="V27" i="3"/>
  <c r="U27" i="3"/>
  <c r="T27" i="3"/>
  <c r="S27" i="3"/>
  <c r="R27" i="3"/>
  <c r="Q27" i="3"/>
  <c r="P27" i="3"/>
  <c r="O27" i="3"/>
  <c r="N27" i="3"/>
  <c r="M27" i="3"/>
  <c r="L27" i="3"/>
  <c r="K27" i="3"/>
  <c r="J27" i="3"/>
  <c r="I27" i="3"/>
  <c r="H27" i="3"/>
  <c r="G27" i="3"/>
  <c r="F27" i="3"/>
  <c r="E27" i="3"/>
  <c r="D27" i="3"/>
  <c r="AE26" i="3"/>
  <c r="AD26" i="3"/>
  <c r="AF26" i="3" s="1"/>
  <c r="AH26" i="3" s="1"/>
  <c r="AJ26" i="3" s="1"/>
  <c r="AL26" i="3" s="1"/>
  <c r="AN26" i="3" s="1"/>
  <c r="C26" i="3"/>
  <c r="AE25" i="3"/>
  <c r="AG25" i="3" s="1"/>
  <c r="AD25" i="3"/>
  <c r="AF25" i="3" s="1"/>
  <c r="C25" i="3"/>
  <c r="AA24" i="3"/>
  <c r="Z24" i="3"/>
  <c r="Y24" i="3"/>
  <c r="X24" i="3"/>
  <c r="W24" i="3"/>
  <c r="V24" i="3"/>
  <c r="U24" i="3"/>
  <c r="T24" i="3"/>
  <c r="S24" i="3"/>
  <c r="R24" i="3"/>
  <c r="Q24" i="3"/>
  <c r="P24" i="3"/>
  <c r="O24" i="3"/>
  <c r="N24" i="3"/>
  <c r="M24" i="3"/>
  <c r="L24" i="3"/>
  <c r="K24" i="3"/>
  <c r="J24" i="3"/>
  <c r="I24" i="3"/>
  <c r="H24" i="3"/>
  <c r="G24" i="3"/>
  <c r="F24" i="3"/>
  <c r="E24" i="3"/>
  <c r="D24" i="3"/>
  <c r="AC23" i="3"/>
  <c r="AE23" i="3" s="1"/>
  <c r="AB23" i="3"/>
  <c r="AD23" i="3" s="1"/>
  <c r="C23" i="3"/>
  <c r="AF22" i="3"/>
  <c r="AH22" i="3" s="1"/>
  <c r="AJ22" i="3" s="1"/>
  <c r="AL22" i="3" s="1"/>
  <c r="AE22" i="3"/>
  <c r="AG22" i="3" s="1"/>
  <c r="AD22" i="3"/>
  <c r="C22" i="3"/>
  <c r="AA21" i="3"/>
  <c r="Z21" i="3"/>
  <c r="Y21" i="3"/>
  <c r="X21" i="3"/>
  <c r="W21" i="3"/>
  <c r="V21" i="3"/>
  <c r="U21" i="3"/>
  <c r="T21" i="3"/>
  <c r="S21" i="3"/>
  <c r="R21" i="3"/>
  <c r="Q21" i="3"/>
  <c r="P21" i="3"/>
  <c r="O21" i="3"/>
  <c r="N21" i="3"/>
  <c r="M21" i="3"/>
  <c r="L21" i="3"/>
  <c r="K21" i="3"/>
  <c r="J21" i="3"/>
  <c r="I21" i="3"/>
  <c r="H21" i="3"/>
  <c r="G21" i="3"/>
  <c r="F21" i="3"/>
  <c r="E21" i="3"/>
  <c r="D21" i="3"/>
  <c r="AE20" i="3"/>
  <c r="AG20" i="3" s="1"/>
  <c r="AI20" i="3" s="1"/>
  <c r="AK20" i="3" s="1"/>
  <c r="AM20" i="3" s="1"/>
  <c r="AO20" i="3" s="1"/>
  <c r="AB20" i="3"/>
  <c r="C20" i="3"/>
  <c r="AE19" i="3"/>
  <c r="AG19" i="3" s="1"/>
  <c r="AI19" i="3" s="1"/>
  <c r="AK19" i="3" s="1"/>
  <c r="AM19" i="3" s="1"/>
  <c r="AO19" i="3" s="1"/>
  <c r="AC19" i="3"/>
  <c r="AB19" i="3"/>
  <c r="AD19" i="3" s="1"/>
  <c r="AF19" i="3" s="1"/>
  <c r="AH19" i="3" s="1"/>
  <c r="AJ19" i="3" s="1"/>
  <c r="AL19" i="3" s="1"/>
  <c r="AN19" i="3" s="1"/>
  <c r="Y19" i="3"/>
  <c r="C19" i="3"/>
  <c r="AE18" i="3"/>
  <c r="AG18" i="3" s="1"/>
  <c r="AI18" i="3" s="1"/>
  <c r="AK18" i="3" s="1"/>
  <c r="AM18" i="3" s="1"/>
  <c r="AO18" i="3" s="1"/>
  <c r="AD18" i="3"/>
  <c r="AF18" i="3" s="1"/>
  <c r="AH18" i="3" s="1"/>
  <c r="AJ18" i="3" s="1"/>
  <c r="AL18" i="3" s="1"/>
  <c r="AN18" i="3" s="1"/>
  <c r="C18" i="3"/>
  <c r="AC17" i="3"/>
  <c r="AE17" i="3" s="1"/>
  <c r="AG17" i="3" s="1"/>
  <c r="AI17" i="3" s="1"/>
  <c r="AK17" i="3" s="1"/>
  <c r="AM17" i="3" s="1"/>
  <c r="AO17" i="3" s="1"/>
  <c r="AB17" i="3"/>
  <c r="AD17" i="3" s="1"/>
  <c r="AF17" i="3" s="1"/>
  <c r="AH17" i="3" s="1"/>
  <c r="AJ17" i="3" s="1"/>
  <c r="AL17" i="3" s="1"/>
  <c r="AN17" i="3" s="1"/>
  <c r="C17" i="3"/>
  <c r="AC16" i="3"/>
  <c r="AB16" i="3"/>
  <c r="AD16" i="3" s="1"/>
  <c r="AF16" i="3" s="1"/>
  <c r="AH16" i="3" s="1"/>
  <c r="AJ16" i="3" s="1"/>
  <c r="AL16" i="3" s="1"/>
  <c r="AN16" i="3" s="1"/>
  <c r="C16" i="3"/>
  <c r="AE15" i="3"/>
  <c r="AG15" i="3" s="1"/>
  <c r="AI15" i="3" s="1"/>
  <c r="AK15" i="3" s="1"/>
  <c r="AM15" i="3" s="1"/>
  <c r="AO15" i="3" s="1"/>
  <c r="AD15" i="3"/>
  <c r="AF15" i="3" s="1"/>
  <c r="AH15" i="3" s="1"/>
  <c r="AJ15" i="3" s="1"/>
  <c r="AL15" i="3" s="1"/>
  <c r="AN15" i="3" s="1"/>
  <c r="C15" i="3"/>
  <c r="AE14" i="3"/>
  <c r="AG14" i="3" s="1"/>
  <c r="AD14" i="3"/>
  <c r="AF14" i="3" s="1"/>
  <c r="AH14" i="3" s="1"/>
  <c r="AJ14" i="3" s="1"/>
  <c r="AL14" i="3" s="1"/>
  <c r="AN14" i="3" s="1"/>
  <c r="C14" i="3"/>
  <c r="C13" i="3"/>
  <c r="B13" i="3"/>
  <c r="C12" i="3"/>
  <c r="B12" i="3"/>
  <c r="C11" i="3"/>
  <c r="B11" i="3"/>
  <c r="AE10" i="3"/>
  <c r="AG10" i="3" s="1"/>
  <c r="AI10" i="3" s="1"/>
  <c r="AK10" i="3" s="1"/>
  <c r="AM10" i="3" s="1"/>
  <c r="AO10" i="3" s="1"/>
  <c r="AD10" i="3"/>
  <c r="AF10" i="3" s="1"/>
  <c r="AH10" i="3" s="1"/>
  <c r="AJ10" i="3" s="1"/>
  <c r="AL10" i="3" s="1"/>
  <c r="AN10" i="3" s="1"/>
  <c r="C10" i="3"/>
  <c r="AE9" i="3"/>
  <c r="AG9" i="3" s="1"/>
  <c r="AI9" i="3" s="1"/>
  <c r="AK9" i="3" s="1"/>
  <c r="AM9" i="3" s="1"/>
  <c r="AO9" i="3" s="1"/>
  <c r="AD9" i="3"/>
  <c r="AF9" i="3" s="1"/>
  <c r="AH9" i="3" s="1"/>
  <c r="AJ9" i="3" s="1"/>
  <c r="AL9" i="3" s="1"/>
  <c r="AN9" i="3" s="1"/>
  <c r="C9" i="3"/>
  <c r="AE8" i="3"/>
  <c r="AG8" i="3" s="1"/>
  <c r="AD8" i="3"/>
  <c r="AF8" i="3" s="1"/>
  <c r="AH8" i="3" s="1"/>
  <c r="AJ8" i="3" s="1"/>
  <c r="AL8" i="3" s="1"/>
  <c r="AN8" i="3" s="1"/>
  <c r="C8" i="3"/>
  <c r="V11" i="2"/>
  <c r="U11" i="2"/>
  <c r="T11" i="2"/>
  <c r="S11" i="2"/>
  <c r="R11" i="2"/>
  <c r="Q11" i="2"/>
  <c r="P11" i="2"/>
  <c r="O11" i="2"/>
  <c r="N11" i="2"/>
  <c r="M11" i="2"/>
  <c r="L11" i="2"/>
  <c r="K11" i="2"/>
  <c r="J11" i="2"/>
  <c r="I11" i="2"/>
  <c r="H11" i="2"/>
  <c r="G11" i="2"/>
  <c r="F11" i="2"/>
  <c r="E11" i="2"/>
  <c r="D11" i="2"/>
  <c r="C10" i="2"/>
  <c r="B10" i="2"/>
  <c r="C9" i="2"/>
  <c r="C11" i="2" s="1"/>
  <c r="B9" i="2"/>
  <c r="B11" i="2" s="1"/>
  <c r="D9" i="4"/>
  <c r="E9" i="4"/>
  <c r="C9" i="4" s="1"/>
  <c r="F9" i="4"/>
  <c r="G9" i="4"/>
  <c r="H9" i="4"/>
  <c r="I9" i="4"/>
  <c r="I13" i="4" s="1"/>
  <c r="J9" i="4"/>
  <c r="K9" i="4"/>
  <c r="L9" i="4"/>
  <c r="M9" i="4"/>
  <c r="N9" i="4"/>
  <c r="O9" i="4"/>
  <c r="P9" i="4"/>
  <c r="Q9" i="4"/>
  <c r="R9" i="4"/>
  <c r="S9" i="4"/>
  <c r="T9" i="4"/>
  <c r="U9" i="4"/>
  <c r="V9" i="4"/>
  <c r="W9" i="4"/>
  <c r="X9" i="4"/>
  <c r="Y9" i="4"/>
  <c r="Y13" i="4" s="1"/>
  <c r="Z9" i="4"/>
  <c r="AA9" i="4"/>
  <c r="AC9" i="4"/>
  <c r="B9" i="4" s="1"/>
  <c r="AD9" i="4"/>
  <c r="AF9" i="4" s="1"/>
  <c r="AH9" i="4" s="1"/>
  <c r="AJ9" i="4" s="1"/>
  <c r="AL9" i="4" s="1"/>
  <c r="AN9" i="4" s="1"/>
  <c r="AE9" i="4"/>
  <c r="AG9" i="4"/>
  <c r="AI9" i="4"/>
  <c r="AK9" i="4"/>
  <c r="AM9" i="4"/>
  <c r="AO9" i="4"/>
  <c r="D10" i="4"/>
  <c r="E10" i="4"/>
  <c r="C10" i="4" s="1"/>
  <c r="F10" i="4"/>
  <c r="G10" i="4"/>
  <c r="H10" i="4"/>
  <c r="I10" i="4"/>
  <c r="J10" i="4"/>
  <c r="K10" i="4"/>
  <c r="K13" i="4" s="1"/>
  <c r="L10" i="4"/>
  <c r="M10" i="4"/>
  <c r="N10" i="4"/>
  <c r="O10" i="4"/>
  <c r="V10" i="4"/>
  <c r="W10" i="4"/>
  <c r="X10" i="4"/>
  <c r="Y10" i="4"/>
  <c r="AC10" i="4"/>
  <c r="AE10" i="4"/>
  <c r="AG10" i="4"/>
  <c r="AI10" i="4"/>
  <c r="AK10" i="4"/>
  <c r="AM10" i="4"/>
  <c r="AO10" i="4"/>
  <c r="AO13" i="4" s="1"/>
  <c r="C11" i="4"/>
  <c r="AC11" i="4"/>
  <c r="B11" i="4" s="1"/>
  <c r="AE11" i="4"/>
  <c r="AG11" i="4"/>
  <c r="AI11" i="4"/>
  <c r="AK11" i="4"/>
  <c r="AM11" i="4"/>
  <c r="AO11" i="4"/>
  <c r="E12" i="4"/>
  <c r="G12" i="4"/>
  <c r="H12" i="4"/>
  <c r="I12" i="4"/>
  <c r="J12" i="4"/>
  <c r="K12" i="4"/>
  <c r="L12" i="4"/>
  <c r="M12" i="4"/>
  <c r="C12" i="4" s="1"/>
  <c r="N12" i="4"/>
  <c r="O12" i="4"/>
  <c r="AC12" i="4"/>
  <c r="AD12" i="4"/>
  <c r="AE12" i="4"/>
  <c r="AE13" i="4" s="1"/>
  <c r="AF12" i="4"/>
  <c r="AG12" i="4"/>
  <c r="AH12" i="4"/>
  <c r="AI12" i="4" s="1"/>
  <c r="AI13" i="4" s="1"/>
  <c r="AO12" i="4"/>
  <c r="G13" i="4"/>
  <c r="M13" i="4"/>
  <c r="O13" i="4"/>
  <c r="Q13" i="4"/>
  <c r="S13" i="4"/>
  <c r="U13" i="4"/>
  <c r="W13" i="4"/>
  <c r="AA13" i="4"/>
  <c r="AC13" i="4"/>
  <c r="AG13" i="4"/>
  <c r="B6" i="1"/>
  <c r="B7" i="1"/>
  <c r="C6" i="1"/>
  <c r="C7" i="1"/>
  <c r="C27" i="3" l="1"/>
  <c r="H159" i="3"/>
  <c r="P159" i="3"/>
  <c r="L159" i="3"/>
  <c r="X159" i="3"/>
  <c r="D159" i="3"/>
  <c r="C24" i="3"/>
  <c r="K159" i="3"/>
  <c r="S159" i="3"/>
  <c r="T159" i="3"/>
  <c r="C21" i="3"/>
  <c r="E159" i="3"/>
  <c r="M159" i="3"/>
  <c r="U159" i="3"/>
  <c r="AC159" i="3"/>
  <c r="AC161" i="3" s="1"/>
  <c r="B4" i="1" s="1"/>
  <c r="F159" i="3"/>
  <c r="N159" i="3"/>
  <c r="V159" i="3"/>
  <c r="W159" i="3"/>
  <c r="O159" i="3"/>
  <c r="AE16" i="3"/>
  <c r="AG16" i="3" s="1"/>
  <c r="AI16" i="3" s="1"/>
  <c r="AK16" i="3" s="1"/>
  <c r="AM16" i="3" s="1"/>
  <c r="AO16" i="3" s="1"/>
  <c r="G159" i="3"/>
  <c r="AB159" i="3"/>
  <c r="I159" i="3"/>
  <c r="Q159" i="3"/>
  <c r="Z159" i="3"/>
  <c r="J159" i="3"/>
  <c r="R159" i="3"/>
  <c r="AA159" i="3"/>
  <c r="B17" i="3"/>
  <c r="B26" i="3"/>
  <c r="B10" i="3"/>
  <c r="AF23" i="3"/>
  <c r="AD21" i="3"/>
  <c r="AN22" i="3"/>
  <c r="AG23" i="3"/>
  <c r="AI23" i="3" s="1"/>
  <c r="AK23" i="3" s="1"/>
  <c r="AM23" i="3" s="1"/>
  <c r="AO23" i="3" s="1"/>
  <c r="AE21" i="3"/>
  <c r="AH25" i="3"/>
  <c r="AF24" i="3"/>
  <c r="B18" i="3"/>
  <c r="AI25" i="3"/>
  <c r="AF27" i="3"/>
  <c r="B9" i="3"/>
  <c r="B15" i="3"/>
  <c r="AD20" i="3"/>
  <c r="AF20" i="3" s="1"/>
  <c r="AH20" i="3" s="1"/>
  <c r="AJ20" i="3" s="1"/>
  <c r="AL20" i="3" s="1"/>
  <c r="AN20" i="3" s="1"/>
  <c r="B23" i="3"/>
  <c r="AI8" i="3"/>
  <c r="AK8" i="3" s="1"/>
  <c r="AM8" i="3" s="1"/>
  <c r="AO8" i="3" s="1"/>
  <c r="AI14" i="3"/>
  <c r="AK14" i="3" s="1"/>
  <c r="AM14" i="3" s="1"/>
  <c r="AO14" i="3" s="1"/>
  <c r="B14" i="3" s="1"/>
  <c r="AG21" i="3"/>
  <c r="AI22" i="3"/>
  <c r="AG26" i="3"/>
  <c r="AI26" i="3" s="1"/>
  <c r="AK26" i="3" s="1"/>
  <c r="AM26" i="3" s="1"/>
  <c r="AO26" i="3" s="1"/>
  <c r="Y27" i="3"/>
  <c r="AD24" i="3"/>
  <c r="AE24" i="3"/>
  <c r="B19" i="3"/>
  <c r="B20" i="3"/>
  <c r="C13" i="4"/>
  <c r="B10" i="4"/>
  <c r="AJ12" i="4"/>
  <c r="E13" i="4"/>
  <c r="D6" i="1"/>
  <c r="B5" i="1"/>
  <c r="C9" i="1"/>
  <c r="B9" i="1"/>
  <c r="E18" i="7"/>
  <c r="E19" i="7"/>
  <c r="E20" i="7"/>
  <c r="E21" i="7"/>
  <c r="E22" i="7"/>
  <c r="E23" i="7"/>
  <c r="E17" i="7"/>
  <c r="C24" i="7"/>
  <c r="D24" i="7"/>
  <c r="B16" i="7"/>
  <c r="B15" i="7"/>
  <c r="B14" i="7"/>
  <c r="B13" i="7"/>
  <c r="B12" i="7"/>
  <c r="B11" i="7"/>
  <c r="B10" i="7"/>
  <c r="B9" i="7"/>
  <c r="B8" i="7"/>
  <c r="B7" i="7"/>
  <c r="B6" i="7"/>
  <c r="C159" i="3" l="1"/>
  <c r="B8" i="3"/>
  <c r="B16" i="3"/>
  <c r="AD159" i="3"/>
  <c r="AK22" i="3"/>
  <c r="AI21" i="3"/>
  <c r="AE27" i="3"/>
  <c r="Y159" i="3"/>
  <c r="AJ25" i="3"/>
  <c r="AH24" i="3"/>
  <c r="AG24" i="3"/>
  <c r="AH27" i="3"/>
  <c r="AK25" i="3"/>
  <c r="AI24" i="3"/>
  <c r="AH23" i="3"/>
  <c r="AF21" i="3"/>
  <c r="AF159" i="3" s="1"/>
  <c r="AK12" i="4"/>
  <c r="AL12" i="4"/>
  <c r="AM12" i="4" s="1"/>
  <c r="AM13" i="4" s="1"/>
  <c r="E24" i="7"/>
  <c r="B24" i="7"/>
  <c r="AM22" i="3" l="1"/>
  <c r="AK21" i="3"/>
  <c r="AH21" i="3"/>
  <c r="AH159" i="3" s="1"/>
  <c r="AJ23" i="3"/>
  <c r="AL25" i="3"/>
  <c r="AJ24" i="3"/>
  <c r="AM25" i="3"/>
  <c r="AK24" i="3"/>
  <c r="AJ27" i="3"/>
  <c r="AG27" i="3"/>
  <c r="AE159" i="3"/>
  <c r="AK13" i="4"/>
  <c r="C5" i="1" s="1"/>
  <c r="B12" i="4"/>
  <c r="B13" i="4" s="1"/>
  <c r="C8" i="1"/>
  <c r="B8" i="1"/>
  <c r="J30" i="8"/>
  <c r="K29" i="8"/>
  <c r="J29" i="8"/>
  <c r="C29" i="8"/>
  <c r="J28" i="8"/>
  <c r="K28" i="8" s="1"/>
  <c r="C28" i="8"/>
  <c r="K27" i="8"/>
  <c r="K30" i="8" s="1"/>
  <c r="J27" i="8"/>
  <c r="C27" i="8"/>
  <c r="B37" i="8" s="1"/>
  <c r="G21" i="8"/>
  <c r="F21" i="8"/>
  <c r="C21" i="8"/>
  <c r="F20" i="8"/>
  <c r="G20" i="8" s="1"/>
  <c r="C20" i="8"/>
  <c r="G19" i="8"/>
  <c r="F19" i="8"/>
  <c r="C19" i="8"/>
  <c r="F18" i="8"/>
  <c r="F22" i="8" s="1"/>
  <c r="C18" i="8"/>
  <c r="C22" i="8" s="1"/>
  <c r="B36" i="8" s="1"/>
  <c r="D13" i="8"/>
  <c r="C13" i="8"/>
  <c r="B35" i="8" s="1"/>
  <c r="B38" i="8" s="1"/>
  <c r="B13" i="8"/>
  <c r="D12" i="8"/>
  <c r="AO22" i="3" l="1"/>
  <c r="AO21" i="3" s="1"/>
  <c r="AM21" i="3"/>
  <c r="B21" i="3" s="1"/>
  <c r="AE160" i="3"/>
  <c r="AN25" i="3"/>
  <c r="AN24" i="3" s="1"/>
  <c r="AL24" i="3"/>
  <c r="AO25" i="3"/>
  <c r="AM24" i="3"/>
  <c r="AI27" i="3"/>
  <c r="AG159" i="3"/>
  <c r="AL23" i="3"/>
  <c r="AJ21" i="3"/>
  <c r="AJ159" i="3" s="1"/>
  <c r="AL27" i="3"/>
  <c r="B22" i="3"/>
  <c r="C30" i="8"/>
  <c r="G18" i="8"/>
  <c r="G22" i="8" s="1"/>
  <c r="AN27" i="3" l="1"/>
  <c r="AN23" i="3"/>
  <c r="AN21" i="3" s="1"/>
  <c r="AL21" i="3"/>
  <c r="AL159" i="3" s="1"/>
  <c r="AO24" i="3"/>
  <c r="B24" i="3" s="1"/>
  <c r="B25" i="3"/>
  <c r="AG160" i="3"/>
  <c r="AG161" i="3" s="1"/>
  <c r="AK27" i="3"/>
  <c r="AI159" i="3"/>
  <c r="AE161" i="3"/>
  <c r="AO18" i="5"/>
  <c r="AM18" i="5"/>
  <c r="AK18" i="5"/>
  <c r="AJ18" i="5"/>
  <c r="AI18" i="5"/>
  <c r="AG18" i="5"/>
  <c r="AE18" i="5"/>
  <c r="AD18" i="5"/>
  <c r="AC18" i="5"/>
  <c r="AB18" i="5"/>
  <c r="AA18" i="5"/>
  <c r="Z18" i="5"/>
  <c r="Y18" i="5"/>
  <c r="X18" i="5"/>
  <c r="W18" i="5"/>
  <c r="V18" i="5"/>
  <c r="U18" i="5"/>
  <c r="T18" i="5"/>
  <c r="S18" i="5"/>
  <c r="R18" i="5"/>
  <c r="Q18" i="5"/>
  <c r="P18" i="5"/>
  <c r="O18" i="5"/>
  <c r="N18" i="5"/>
  <c r="M18" i="5"/>
  <c r="L18" i="5"/>
  <c r="K18" i="5"/>
  <c r="J18" i="5"/>
  <c r="I18" i="5"/>
  <c r="H18" i="5"/>
  <c r="G18" i="5"/>
  <c r="F18" i="5"/>
  <c r="E18" i="5"/>
  <c r="D18" i="5"/>
  <c r="D17" i="5"/>
  <c r="C17" i="5"/>
  <c r="AP16" i="5"/>
  <c r="AN16" i="5"/>
  <c r="AL16" i="5"/>
  <c r="AJ16" i="5"/>
  <c r="AH16" i="5"/>
  <c r="C16" i="5" s="1"/>
  <c r="AF16" i="5"/>
  <c r="D16" i="5"/>
  <c r="AP15" i="5"/>
  <c r="AN15" i="5"/>
  <c r="AL15" i="5"/>
  <c r="AJ15" i="5"/>
  <c r="AH15" i="5"/>
  <c r="C15" i="5" s="1"/>
  <c r="AF15" i="5"/>
  <c r="D15" i="5"/>
  <c r="AP14" i="5"/>
  <c r="AN14" i="5"/>
  <c r="AL14" i="5"/>
  <c r="AJ14" i="5"/>
  <c r="AH14" i="5"/>
  <c r="C14" i="5" s="1"/>
  <c r="AF14" i="5"/>
  <c r="D14" i="5"/>
  <c r="AP13" i="5"/>
  <c r="AN13" i="5"/>
  <c r="AL13" i="5"/>
  <c r="AJ13" i="5"/>
  <c r="AH13" i="5"/>
  <c r="C13" i="5" s="1"/>
  <c r="AF13" i="5"/>
  <c r="D13" i="5"/>
  <c r="AP12" i="5"/>
  <c r="AN12" i="5"/>
  <c r="AL12" i="5"/>
  <c r="AJ12" i="5"/>
  <c r="AH12" i="5"/>
  <c r="C12" i="5" s="1"/>
  <c r="AF12" i="5"/>
  <c r="D12" i="5"/>
  <c r="AP11" i="5"/>
  <c r="AN11" i="5"/>
  <c r="AL11" i="5"/>
  <c r="AJ11" i="5"/>
  <c r="AH11" i="5"/>
  <c r="C11" i="5" s="1"/>
  <c r="AF11" i="5"/>
  <c r="D11" i="5"/>
  <c r="AP10" i="5"/>
  <c r="AN10" i="5"/>
  <c r="AL10" i="5"/>
  <c r="AJ10" i="5"/>
  <c r="AH10" i="5"/>
  <c r="C10" i="5" s="1"/>
  <c r="AF10" i="5"/>
  <c r="D10" i="5"/>
  <c r="AP9" i="5"/>
  <c r="AP18" i="5" s="1"/>
  <c r="AN9" i="5"/>
  <c r="AN18" i="5" s="1"/>
  <c r="AL9" i="5"/>
  <c r="AL18" i="5" s="1"/>
  <c r="AJ9" i="5"/>
  <c r="AH9" i="5"/>
  <c r="AH18" i="5" s="1"/>
  <c r="AF9" i="5"/>
  <c r="AF18" i="5" s="1"/>
  <c r="D9" i="5"/>
  <c r="D8" i="5"/>
  <c r="C8" i="5"/>
  <c r="AM27" i="3" l="1"/>
  <c r="AK159" i="3"/>
  <c r="AI160" i="3"/>
  <c r="AN159" i="3"/>
  <c r="C9" i="5"/>
  <c r="C18" i="5" s="1"/>
  <c r="AI161" i="3" l="1"/>
  <c r="AK160" i="3"/>
  <c r="AO27" i="3"/>
  <c r="AO159" i="3" s="1"/>
  <c r="AM159" i="3"/>
  <c r="B27" i="3"/>
  <c r="AM160" i="3" l="1"/>
  <c r="AO160" i="3"/>
  <c r="AO161" i="3" s="1"/>
  <c r="B159" i="3"/>
  <c r="AK161" i="3"/>
  <c r="D9" i="1"/>
  <c r="B160" i="3" l="1"/>
  <c r="AM161" i="3"/>
  <c r="B161" i="3" s="1"/>
  <c r="D7" i="1"/>
  <c r="C4" i="1" l="1"/>
  <c r="D8" i="1"/>
  <c r="D4" i="1" l="1"/>
  <c r="B10" i="1" l="1"/>
  <c r="C10" i="1" l="1"/>
  <c r="D5" i="1" l="1"/>
  <c r="D10" i="1" s="1"/>
</calcChain>
</file>

<file path=xl/sharedStrings.xml><?xml version="1.0" encoding="utf-8"?>
<sst xmlns="http://schemas.openxmlformats.org/spreadsheetml/2006/main" count="770" uniqueCount="321">
  <si>
    <t>Gads</t>
  </si>
  <si>
    <t>2023</t>
  </si>
  <si>
    <t>2024</t>
  </si>
  <si>
    <t>komentāri</t>
  </si>
  <si>
    <t xml:space="preserve">Pārskata periods </t>
  </si>
  <si>
    <t>Decembris</t>
  </si>
  <si>
    <t>Janvāris</t>
  </si>
  <si>
    <t>Februāris</t>
  </si>
  <si>
    <t>Marts</t>
  </si>
  <si>
    <t>Aprīlis</t>
  </si>
  <si>
    <t>Maijs</t>
  </si>
  <si>
    <t>Jūnijs</t>
  </si>
  <si>
    <t>(euro,centi)</t>
  </si>
  <si>
    <t>Rādītāja nosaukums</t>
  </si>
  <si>
    <r>
      <rPr>
        <b/>
        <u/>
        <sz val="10"/>
        <color theme="1"/>
        <rFont val="Times New Roman"/>
        <family val="1"/>
        <charset val="186"/>
      </rPr>
      <t>Faktiskie</t>
    </r>
    <r>
      <rPr>
        <sz val="10"/>
        <color theme="1"/>
        <rFont val="Times New Roman"/>
        <family val="1"/>
        <charset val="186"/>
      </rPr>
      <t xml:space="preserve"> izdevumi pārskata periodā</t>
    </r>
  </si>
  <si>
    <r>
      <rPr>
        <b/>
        <u/>
        <sz val="10"/>
        <color theme="1"/>
        <rFont val="Times New Roman"/>
        <family val="1"/>
        <charset val="186"/>
      </rPr>
      <t>Plānotie</t>
    </r>
    <r>
      <rPr>
        <sz val="10"/>
        <color theme="1"/>
        <rFont val="Times New Roman"/>
        <family val="1"/>
        <charset val="186"/>
      </rPr>
      <t xml:space="preserve"> izdevumi pārskata periodā</t>
    </r>
  </si>
  <si>
    <t>KOPĀ</t>
  </si>
  <si>
    <t>x</t>
  </si>
  <si>
    <t>1. pielikums</t>
  </si>
  <si>
    <t>Indikatīvais izdevumu aprēķins Ekonomikas ministrijas primāri sniedzamā atbalsta nodrošināšanai</t>
  </si>
  <si>
    <t>Izmitināšana</t>
  </si>
  <si>
    <t>Ēdināšana</t>
  </si>
  <si>
    <t>KOPĀ:</t>
  </si>
  <si>
    <t>2. pielikums</t>
  </si>
  <si>
    <t>Indikatīvais izdevumu ietekmes aprēķins Labklājības ministrijas atbildības sociālā atbalsta nodrošināšanas jomai</t>
  </si>
  <si>
    <r>
      <rPr>
        <b/>
        <u/>
        <sz val="10"/>
        <color theme="1"/>
        <rFont val="Times New Roman"/>
        <family val="1"/>
        <charset val="186"/>
      </rPr>
      <t>Plānotais</t>
    </r>
    <r>
      <rPr>
        <sz val="10"/>
        <color theme="1"/>
        <rFont val="Times New Roman"/>
        <family val="1"/>
        <charset val="186"/>
      </rPr>
      <t xml:space="preserve"> saņēmēju skaits</t>
    </r>
  </si>
  <si>
    <t>Atlīdzība par ārkārtas aizbildņa pienākumu pildīšanu (UCAL 19.panta pirmā un otrā daļa)</t>
  </si>
  <si>
    <t>Pabalsts nepavadīta bērna uzturam (UCAL 19.panta pirmā, trešā un septītā daļa)</t>
  </si>
  <si>
    <t>Pabalsts apģērba un mīkstā inventāra iegādei (UCAL 19.panta pirmā un piektā daļa)</t>
  </si>
  <si>
    <t>Garantētā minimālā ienākuma (GMI) pabalsts (UCAL 7.panta trešā daļa)</t>
  </si>
  <si>
    <t>Pabalsts krīzes situācijā (UCAL 7.panta trešā daļa un 3 prim daļa)</t>
  </si>
  <si>
    <t>Mājokļa pabalsts mājsaimniecībai no Ukrainas ar īres līgumu (UCAL 7.panta trešā daļa)</t>
  </si>
  <si>
    <t>Pabalsts atsevišķu izdevumu apmaksai (UCAL 7.panta trešā daļa)</t>
  </si>
  <si>
    <t>Pakalpojums pārvietošanās atbalstam (UCAL 13.panta pirmās daļas 1.punkts)</t>
  </si>
  <si>
    <t xml:space="preserve">Sociālās rehabilitācijas pakalpojums vardarbībā cietušiem bērniem (UCAL 7.panta pirmā prim un trešā daļa) </t>
  </si>
  <si>
    <t xml:space="preserve">Sociālās rehabilitācijas pakalpojums vardarbībā cietušām pilngadīgām personām (UCAL 7.panta pirmā prim un trešā daļa) </t>
  </si>
  <si>
    <t>Ilgstošas sociālās aprūpes un sociālās rehabilitācijas pakalpojumi bērniem (UCAL 7.panta pirmā prim un trešā daļa un 18.panta deviņpadsmitā daļa)</t>
  </si>
  <si>
    <t xml:space="preserve">Ilgstošas sociālās aprūpes un sociālās rehabilitācijas pakalpojumi pilngadīgām personām (UCAL 7.panta pirmā prim un trešā daļa) </t>
  </si>
  <si>
    <t>Piemaksa pie mēnešalgas un virsstundu darbs bāriņtiesu darbiniekiem, kuri iesaistīti atbalsta sniegšanā Ukrainas civiliedzīvotājiem (UCAL 13.panta pirmā prim daļa un pirmā divi prim daļa.)</t>
  </si>
  <si>
    <t>Piemaksa pie mēnešalgas un virsstundu darbs pašvaldības sociālo dienestu darbiniekiem, kuri iesaistīti atbalsta sniegšanā Ukrainas civiliedzīvotājiem (UCAL 13.panta pirmā prim daļa un pirmā divi prim daļa.)</t>
  </si>
  <si>
    <t>Citi pašvaldības piešķirtie sociālā atbalsta pasākumi (UCAL 7.panta trešā daļa, un pirmā prim daļa un 19.panta sestā daļa):</t>
  </si>
  <si>
    <t>4. pielikums</t>
  </si>
  <si>
    <t>Indikatīvais izdevumu ietekmes aprēķins Vides aizsardzības un reģionālās attīstības ministrijas atbildības valsts pārvaldes pakalpojumu pieteikšanas atbalsta jomai</t>
  </si>
  <si>
    <r>
      <rPr>
        <b/>
        <u/>
        <sz val="10"/>
        <rFont val="Times New Roman"/>
        <family val="1"/>
        <charset val="186"/>
      </rPr>
      <t>Faktiskie</t>
    </r>
    <r>
      <rPr>
        <sz val="10"/>
        <rFont val="Times New Roman"/>
        <family val="1"/>
        <charset val="186"/>
      </rPr>
      <t xml:space="preserve"> izdevumi pārskata periodā</t>
    </r>
  </si>
  <si>
    <t>E-paklapojuma “Vīzas pieteikums” aizpildīšana un iesniegšana</t>
  </si>
  <si>
    <t>E-pakalpojuma “Anketas iesniegšanas uzturēšanās atļaujas pieprasīšanai” aizpildīšana un iesniegšana</t>
  </si>
  <si>
    <t>Fizisko personu reģistrācija Fizisko personu reģistrā</t>
  </si>
  <si>
    <t>Fizisko personu reģistrācija Ukrainas civiliedzīvotāju atbalsta sniegšanai nepieciešamās informācijas reģistrā (UCANIR)</t>
  </si>
  <si>
    <t>Izdruka no Fizisko personu reģistra</t>
  </si>
  <si>
    <t>Pakalpojuma "Pabalsts Ukrainas civiliedzīvotājam" aizpildīšana un iesniegšana</t>
  </si>
  <si>
    <t>Atbalsts pagaidu aizsardzības statusa anulēšanas pieteikšanai</t>
  </si>
  <si>
    <t>5. pielikums</t>
  </si>
  <si>
    <t>Pasākumi atbilstoši jomām</t>
  </si>
  <si>
    <t>Detalizēta informācija nepieciešamajam finansējumam</t>
  </si>
  <si>
    <t>Kopā</t>
  </si>
  <si>
    <r>
      <t>Nepieciešamais finansējums/</t>
    </r>
    <r>
      <rPr>
        <b/>
        <u/>
        <sz val="12"/>
        <color theme="1"/>
        <rFont val="Times New Roman"/>
        <family val="1"/>
        <charset val="186"/>
      </rPr>
      <t>prognoze</t>
    </r>
    <r>
      <rPr>
        <b/>
        <sz val="12"/>
        <color theme="1"/>
        <rFont val="Times New Roman"/>
        <family val="1"/>
        <charset val="186"/>
      </rPr>
      <t xml:space="preserve"> 2024. gada decembrim, </t>
    </r>
    <r>
      <rPr>
        <b/>
        <i/>
        <sz val="12"/>
        <color theme="1"/>
        <rFont val="Times New Roman"/>
        <family val="1"/>
        <charset val="186"/>
      </rPr>
      <t>euro</t>
    </r>
  </si>
  <si>
    <r>
      <t>Nepieciešamais finansējums/</t>
    </r>
    <r>
      <rPr>
        <b/>
        <u/>
        <sz val="12"/>
        <color theme="1"/>
        <rFont val="Times New Roman"/>
        <family val="1"/>
        <charset val="186"/>
      </rPr>
      <t>prognoze</t>
    </r>
    <r>
      <rPr>
        <b/>
        <sz val="12"/>
        <color theme="1"/>
        <rFont val="Times New Roman"/>
        <family val="1"/>
        <charset val="186"/>
      </rPr>
      <t xml:space="preserve"> 2025. gada janvārim - jūnijam, </t>
    </r>
    <r>
      <rPr>
        <b/>
        <i/>
        <sz val="12"/>
        <color theme="1"/>
        <rFont val="Times New Roman"/>
        <family val="1"/>
        <charset val="186"/>
      </rPr>
      <t>euro</t>
    </r>
  </si>
  <si>
    <r>
      <t xml:space="preserve">Kopā nepieciešamais </t>
    </r>
    <r>
      <rPr>
        <b/>
        <u/>
        <sz val="12"/>
        <color theme="1"/>
        <rFont val="Times New Roman"/>
        <family val="1"/>
        <charset val="186"/>
      </rPr>
      <t>plānotais</t>
    </r>
    <r>
      <rPr>
        <b/>
        <sz val="12"/>
        <color theme="1"/>
        <rFont val="Times New Roman"/>
        <family val="1"/>
        <charset val="186"/>
      </rPr>
      <t xml:space="preserve"> finansējums 2024. gada decembrim un 2025. gada janvārim - jūnijam, </t>
    </r>
    <r>
      <rPr>
        <b/>
        <i/>
        <sz val="12"/>
        <color theme="1"/>
        <rFont val="Times New Roman"/>
        <family val="1"/>
        <charset val="186"/>
      </rPr>
      <t>euro</t>
    </r>
  </si>
  <si>
    <t>2024/2025</t>
  </si>
  <si>
    <t>2023/2024</t>
  </si>
  <si>
    <t>2025</t>
  </si>
  <si>
    <t>2024.g. decembris - 2025.g. jūnijs</t>
  </si>
  <si>
    <t>2023.g. decembris - 2024.g. novembris</t>
  </si>
  <si>
    <t>Jūlijs</t>
  </si>
  <si>
    <t>Augusts</t>
  </si>
  <si>
    <t>Septembris</t>
  </si>
  <si>
    <t>Oktobris</t>
  </si>
  <si>
    <t>Novembris</t>
  </si>
  <si>
    <r>
      <rPr>
        <b/>
        <u/>
        <sz val="9"/>
        <color theme="1"/>
        <rFont val="Times New Roman"/>
        <family val="1"/>
        <charset val="186"/>
      </rPr>
      <t>Plānotie</t>
    </r>
    <r>
      <rPr>
        <b/>
        <sz val="9"/>
        <color theme="1"/>
        <rFont val="Times New Roman"/>
        <family val="1"/>
        <charset val="186"/>
      </rPr>
      <t xml:space="preserve"> izdevumi pārskata periodā</t>
    </r>
  </si>
  <si>
    <r>
      <rPr>
        <u/>
        <sz val="9"/>
        <rFont val="Times New Roman"/>
        <family val="1"/>
        <charset val="186"/>
      </rPr>
      <t>Faktiskie</t>
    </r>
    <r>
      <rPr>
        <sz val="9"/>
        <rFont val="Times New Roman"/>
        <family val="1"/>
        <charset val="186"/>
      </rPr>
      <t xml:space="preserve"> izdevumi pārskata periodā</t>
    </r>
  </si>
  <si>
    <t>Saņēmēju skaits</t>
  </si>
  <si>
    <r>
      <rPr>
        <u/>
        <sz val="9"/>
        <color theme="1"/>
        <rFont val="Times New Roman"/>
        <family val="1"/>
        <charset val="186"/>
      </rPr>
      <t>Faktiskie</t>
    </r>
    <r>
      <rPr>
        <sz val="9"/>
        <color theme="1"/>
        <rFont val="Times New Roman"/>
        <family val="1"/>
        <charset val="186"/>
      </rPr>
      <t xml:space="preserve"> izdevumi pārskata periodā</t>
    </r>
  </si>
  <si>
    <t>Plānotais saņēmēju skaits</t>
  </si>
  <si>
    <r>
      <rPr>
        <u/>
        <sz val="9"/>
        <color theme="1"/>
        <rFont val="Times New Roman"/>
        <family val="1"/>
        <charset val="186"/>
      </rPr>
      <t>Plānotie</t>
    </r>
    <r>
      <rPr>
        <sz val="9"/>
        <color theme="1"/>
        <rFont val="Times New Roman"/>
        <family val="1"/>
        <charset val="186"/>
      </rPr>
      <t xml:space="preserve"> izdevumi pārskata periodā</t>
    </r>
  </si>
  <si>
    <t xml:space="preserve">Pamatojoties uz IeM sniegto informāciju par Ukrainas civiliedzīvotāju plūsmu, kas  2024.gadā saglabājas mērena un stabila, ar nedaudz sarūkošu tendenci, prognozēts,  ka 2025. gadā Latvijā no jauna ieradīsies 6000-8000 Ukrainas civiliedzīvotāji, kas faktiski ir 2024. gada Ukrainas civiliedzīvotāju plūsma, plānots, ka 2025. gada izdevumi būs 2024. gada izdevumu apmērā.
Ņemot vērā normatīvo aktu izmaiņas, kas stājās spēkā no 01.01.2025. (grozījumi SPSPL), plānots izdevumu palielinājums, lai segtu  Garantētā minimālā ienākuma (GMI) pabalsta, mājokļa pabalsta un pabalsta krīzes situācijā izdevumu apmaksai. </t>
  </si>
  <si>
    <t>Asistenta pakalpojumi (UCAL 13. panta pirmās daļas 1.punkts)</t>
  </si>
  <si>
    <t>Piemaksa pie mēnešalgas</t>
  </si>
  <si>
    <t>Virsstundu darbs</t>
  </si>
  <si>
    <t xml:space="preserve">Piemaksa pie mēnešalgas </t>
  </si>
  <si>
    <t>Apbedīšanas pabalsts</t>
  </si>
  <si>
    <t>Apbedīšanas pabalsts t.i., atsevišķu izdevumu apmaksai (UCAL 7.panta pirmā prim daļa)</t>
  </si>
  <si>
    <t>Aprūpe mājā pakalpojums</t>
  </si>
  <si>
    <t>Asistenta pakalpojums personām ar invaliditāti</t>
  </si>
  <si>
    <t>Asistenta pakalpojums personām ar īpašām vajadzībām</t>
  </si>
  <si>
    <t>Atbalsts profesionālās ievirzes izglītības apmaksai</t>
  </si>
  <si>
    <t>Asistenta pakalpojums</t>
  </si>
  <si>
    <t>Bērna piedzimšanas pabalsts</t>
  </si>
  <si>
    <t>Bērna piedzimšanas pabalsts UK pilsonei</t>
  </si>
  <si>
    <t>bērnudārza apmaksa (netestēts)</t>
  </si>
  <si>
    <t>Citi pašvaldības piešķirtie sociālā atbalsta pasākumi</t>
  </si>
  <si>
    <t>Biedrība "Latvijas sarkanais Krusts" pirmā palīdzība - psiholoģiskās palīdzības sniegšana UCA centrā (6419)</t>
  </si>
  <si>
    <t xml:space="preserve">Biedrība "Skalbes" psiholoģiskā palīdzības sniegšana ārkārtas situācijā UCA centrā (6419) </t>
  </si>
  <si>
    <t>DAC pakalpojumi</t>
  </si>
  <si>
    <t>Daļējai apbedīšanas izdevumu segšanai</t>
  </si>
  <si>
    <t>Daudzbērnu ģimenes pabalsts</t>
  </si>
  <si>
    <t>Dienas aprūpes centrs (bez pašaprūpes prasmēm, sociālā rehabilitācija bērniem)</t>
  </si>
  <si>
    <t>Dienas centru pakalpojums pilngadīgām personām un bērniem</t>
  </si>
  <si>
    <t>Energoterapeita pakalpojumi</t>
  </si>
  <si>
    <t>Ēdināšana ar ienākumu izvērtēšanu</t>
  </si>
  <si>
    <t>Ēdināšanas izdevumi kompensēšana vasaras nometnēs</t>
  </si>
  <si>
    <t>Ēdināšanas izdevumi skolās un pirmskolas iestādēs (pieškirtie pabalsti trūcīgajām personām un daudzbērnu ģimenēm)</t>
  </si>
  <si>
    <t>Ēdināšanas izdevumi skolās un pirmskolas iestādēs</t>
  </si>
  <si>
    <t>Ēdināšanas izdevumi Ukrainas civiliedzīvotāju bērniem mācību iestādēs (pirmsskola, pamatskola)</t>
  </si>
  <si>
    <t>Ēdināšanas izmaksas pirmsskolas izglītības iestādēs</t>
  </si>
  <si>
    <t>ēdināšana skolā</t>
  </si>
  <si>
    <t>Ēdināšanas pabalsts 5.-9. klasēm</t>
  </si>
  <si>
    <t>Higiēnas centra pakalpojumi, veļas mazgāšana (maznodrošinātā persona)</t>
  </si>
  <si>
    <t>Invalīdu asistentu pakalpojuma nodrošināsanas izdevumi</t>
  </si>
  <si>
    <t>izmaksa asistentei II grupas invalīdam par nostrādātām 30 stundām</t>
  </si>
  <si>
    <t>Jaundzimušā pabalsts</t>
  </si>
  <si>
    <t>Jaundzimušo pabalsts t.i., atsevišķu izdevumu apmaksai (UCAL 7.panta trešā daļa, un pirmā prim daļa un 19.panta sestā daļa)</t>
  </si>
  <si>
    <t>Krīzes centra pakalpojumi</t>
  </si>
  <si>
    <t>Nepilngadīgu personu ar invaliditāti aprūpētāju pakalojumu apmaksa</t>
  </si>
  <si>
    <t>Jaungada dāvanas bērniem (EKK 6421)</t>
  </si>
  <si>
    <t>Materiālā palīdzība aizbildnim par bērna uzturēšanu, atbilstoši Saulkrastu novada domes 27.10.2021. Saistošajiem noteikumiem Nr.SN18/2021 "Par materiālo palīdzību Saulkrastu novadā" 32.punktam.</t>
  </si>
  <si>
    <t>Materiālā palīdzība Ukrainas civiliedzīvotājam - pabalsts nozīmīgā dzīves jubilejā, atbilstoši Saulkrastu novada domes 27.10.2021. Saistošajiem noteikumiem Nr.SN18/2021 "Par materiālo palīdzību Saulkrastu novadā" 25.1.apakšpunktam.</t>
  </si>
  <si>
    <t>Mājokļa pabalsts natūrā</t>
  </si>
  <si>
    <t>Nepilngadīgo invalīdu aprūpētāju pakalpojuma nodrošināšana</t>
  </si>
  <si>
    <t>No vardarbības cietušo pilgadīgo personu sociālā rehabilitācija</t>
  </si>
  <si>
    <t>Pabalsts apbedīšanai</t>
  </si>
  <si>
    <t>Pabalsts aprūpes mājās pakalpojumu nodrošināšanai</t>
  </si>
  <si>
    <t>Pabalsts atsevišķas situācijas risināšanai</t>
  </si>
  <si>
    <t>Pabalsts atsevišķu situāciju risināšanai (atbilstoši pašvaldības saistošajiem noteikumiem Nr.1, pārtikas iegādei un pamatvajadzību apmierināšanai)</t>
  </si>
  <si>
    <t>Pabalsts bērna invalīda aprūpei</t>
  </si>
  <si>
    <t>Pabalsts bērniem un izglītojamajiem mācību procesa atbalstam</t>
  </si>
  <si>
    <t>Pabalsts bērna piedzimšanas gadījumā</t>
  </si>
  <si>
    <t>Pabalsts daudzbērnu ģimenei</t>
  </si>
  <si>
    <t>Pabalsts daudzbērnu ģimenēm Mātes dienā</t>
  </si>
  <si>
    <t>Pabalsts ēdināšanai PII t.i., atsevišķu izdevumu apmaksai (UCAL 7.panta trešā daļa, un pirmā prim daļa un 19.panta sestā daļa)</t>
  </si>
  <si>
    <t>Pabalsts ēdināšanai pirmsskolas izglītības iestādēs</t>
  </si>
  <si>
    <t>Pabalsts ēdināšanai skolā t.i., atsevišķu izdevumu apmaksai (UCAL 7.panta trešā daļa, un pirmā prim daļa un 19.panta sestā daļa)</t>
  </si>
  <si>
    <t>Pabalsts ēdināšanas izdevumu segšanai PII</t>
  </si>
  <si>
    <t>Pabalsts ēdināšānas izdevumu segšanai skolās</t>
  </si>
  <si>
    <t>Pabalsts ēdināšānai skolās (brīvpusdienas)</t>
  </si>
  <si>
    <t>pabalsts izglītībai uzsākot mācību gadu</t>
  </si>
  <si>
    <t>Pabalsts jaundzimušo aprūpei</t>
  </si>
  <si>
    <t>Pabalsts krīzes situācijā Ukrainas civiliedzīvotājiem_Ukr (cu=itu ārēju noteikumu dēļ)</t>
  </si>
  <si>
    <t>Pabalsts mācību līdzekļu iegādei maznodrošinātām un trūcīgām ģimenēm</t>
  </si>
  <si>
    <t>Pabalsts mācību maksas segšanai Mūzikas vidusskolā</t>
  </si>
  <si>
    <t>Pabalsts mācību maksas segšanai</t>
  </si>
  <si>
    <t>Pabalsts mājas aprūpes pakalpojumu nodrošināšana</t>
  </si>
  <si>
    <t>Pabalsts medikamentu iegādei pensionāriem un invalīdiem</t>
  </si>
  <si>
    <t>Pabalsts personai pēc brīvības atņemšanas soda izciešanas</t>
  </si>
  <si>
    <t>Pabalsts nozīmīgā dzīves jubilejā</t>
  </si>
  <si>
    <t>pabalsts obligātās izglītības skolas piederumu iegādei</t>
  </si>
  <si>
    <t>pabalsts pusdienu apmaksai vidējās un vidējās profesionālās izglītības audzēkņiem</t>
  </si>
  <si>
    <t>Pabalsts rehabilitācijas plāna ietvaros</t>
  </si>
  <si>
    <t>Pabalsts sabiedriskā transporta izdevumiem</t>
  </si>
  <si>
    <t>Pabalsts absolvējot vispārējās izglītības iestādi</t>
  </si>
  <si>
    <t>Pabalsts skolas formas iegādei</t>
  </si>
  <si>
    <t>Pabalsts skolas piederumu iegādei</t>
  </si>
  <si>
    <t>Pabalsts skolas piederumu iegādei 1.klase</t>
  </si>
  <si>
    <t>Pabalsts skolas piederumu iegādei daudzbērnu ģimenēm</t>
  </si>
  <si>
    <t>Pabalsts skolas piederumu iegādei trūcīgām ģimenēm</t>
  </si>
  <si>
    <t>Pabalsts sociālās funkcionēšanas un neatkarīgas dzīves nodrošināšanai</t>
  </si>
  <si>
    <t>pabalsts sociālās rehabilitācijas vai sociālās situācijas risināšanai</t>
  </si>
  <si>
    <t>Pabalsts stomatologa pakalpojumiem</t>
  </si>
  <si>
    <t>pabalsts transporta izdevumu segšanai</t>
  </si>
  <si>
    <t>Pabalsts veselības uzlabošanai</t>
  </si>
  <si>
    <t>Pabalsts Ziemassvētku paciņu iegādei</t>
  </si>
  <si>
    <t>Pabalsts zupas virtuvei</t>
  </si>
  <si>
    <t>Pabalsts zupas virtuves izmantošanai</t>
  </si>
  <si>
    <t>Pašvaldības brīvprātīgā iniciatīva - pabalsts jaundzimušo aprūpei</t>
  </si>
  <si>
    <t>Pašvaldības brīvprātīgā iniciatīva- pabalsts mācību gadu uzsākšanai</t>
  </si>
  <si>
    <t>Pašvaldības pabalsts bērna ar invaliditāti aprūpei</t>
  </si>
  <si>
    <t>Patversmes pakalpojumi</t>
  </si>
  <si>
    <t>Pārtikas produktu iegādei bērniem līdz 1 gada vecumam</t>
  </si>
  <si>
    <t>Psihologa konsultācijas</t>
  </si>
  <si>
    <t>Psihologa konsultācijas (EKK 6421)</t>
  </si>
  <si>
    <t>Psihologa pakalpojums bērnam</t>
  </si>
  <si>
    <t xml:space="preserve">Psiholoģiskā palīdzības sniegšana ārkārtas situācijā </t>
  </si>
  <si>
    <t>rgoterapeita pakalpojumu nodrošināšana</t>
  </si>
  <si>
    <t>Psihosociālās konsultācijas</t>
  </si>
  <si>
    <t>Sabiedriskā transporta mēnešbiļetes</t>
  </si>
  <si>
    <t>Samaksa par asistenta pakalpojumiem (UA civiliedzīvotājs sniedz asistenta pakalpojumus)</t>
  </si>
  <si>
    <t>Samaksa par UA civiliedzīvotājiem sniegtajiem pakalpojumiem (aprūpe mājās)</t>
  </si>
  <si>
    <t>Samaksa par UA civiliedzīvotājiem sniegtajiem pakalpojumiem (higiēnas pakalpojumi)</t>
  </si>
  <si>
    <t>Samaksa par UA civiliedzīvotājiem sniegtajiem pakalpojumiem (īslaicīgā sociālā aprūpe)</t>
  </si>
  <si>
    <t>Samaksa par UA civiliedzīvotājiem sniegtajiem pakalpojumiem (naktspatversme)</t>
  </si>
  <si>
    <t>Samaksa par psihologa pakalpojumiem UA</t>
  </si>
  <si>
    <t>Samaksa par UA civiliedzīvotājiem sniegtajiem pakalpojumiem (dienas aprūpes centrs personām ar garīgas veselības traucējumiem)</t>
  </si>
  <si>
    <t>Samaksa par UA civiliedzīvotājiem sniegtajiem pakalpojumiem (transporta pakalpojumi)</t>
  </si>
  <si>
    <t>Skolēnu ēdināšana</t>
  </si>
  <si>
    <t>Sociālās aprūpes centra pakalpojums</t>
  </si>
  <si>
    <t>Transporta pabalsts</t>
  </si>
  <si>
    <t>Transporta pabalsts t.i., atsevišķu izdevumu apmaksai (UCAL 7.panta trešā daļā, un pirmā prim daļa un 19.panta sestā daļa</t>
  </si>
  <si>
    <t>UA ēdināšanas izdevumu apmaksa bērnudārzs TR/MN</t>
  </si>
  <si>
    <t>Samaksa par UA civiliedzīvotājiem sniegtajiem pakalpojumiem ("zupas virtuve")</t>
  </si>
  <si>
    <t>Sociālais pakalpojums-Ukrainas bērna uzturēšanās krīzes centrā (UCAL 7.panta trešā daļa, un pirmā prim daļa un 19.panta sestā daļa)</t>
  </si>
  <si>
    <t>Sociālie pakalpojumi Ukrainas civiliedzīvotājiem - īslaicīga sociālā aprūpe un sociālā rehabilitācija institūcijā, atbilstoši Saulkrastu novada domes 28.07.2021. Saistošajiem noteikumiem Nr.SN6/2021 "Par sociālo pakalpojumu saņemšanas un samaksas kārtību Saulkrastu novadā" 34.punktam.</t>
  </si>
  <si>
    <t>Sociālie pakalpojumi Ukrainas civiliedzīvotājiem - specializētā autotransporta pakalpojumi personām ar smagiem funkcionāliem traucējumiem, atbilstoši Saulkrastu novada domes 28.07.2021. Saistošajiem noteikumiem Nr.SN6/2021 "Par sociālo pakalpojumu saņemšanas un samaksas kārtību Saulkrastu novadā" 42.punktam.</t>
  </si>
  <si>
    <t>UA asistenta pakalpojums</t>
  </si>
  <si>
    <t>UA Bērnu piedzimšanas pabalsts</t>
  </si>
  <si>
    <t>UA ēdināšana PII TR/MAZN</t>
  </si>
  <si>
    <t>UA  ēdināšana TR/MAZN</t>
  </si>
  <si>
    <t>UA rehabilitācijas mērķu sasniegšanai</t>
  </si>
  <si>
    <t>Ukrainas civiliedzīvotājiem tika piešķirts pabalsts uzturam bezmaksas ēdināšanas pakalpojuma formā</t>
  </si>
  <si>
    <t>Valsts finansētā asistenta pakalpojums (EKK 1150; EKK 1210)</t>
  </si>
  <si>
    <t>Valsts finansētā asistenta un pavadoņa pakalpojumi Ukrainas civiliedzīvotājiem</t>
  </si>
  <si>
    <t>Valsts finensēta asistenta un pavadoņa pakalpojumi Ukrainas civiliedzīvotājiem</t>
  </si>
  <si>
    <t>Veselības apr. pabalsts: personas, kuras ir donori</t>
  </si>
  <si>
    <t>Veselības pabalsts</t>
  </si>
  <si>
    <t>Veselības aprūpes pabalsts</t>
  </si>
  <si>
    <t>Vienreizējs bērna piedzimšanas pabalsts</t>
  </si>
  <si>
    <t>Vienreizējs pabalsts ģimenei sakarā ar bērna piedzimšanu</t>
  </si>
  <si>
    <t>Vienreizējs piedzimšanas pabalsts</t>
  </si>
  <si>
    <t>Ziemassvētku pabalsts</t>
  </si>
  <si>
    <t>Zupas virtuves pakalpojums</t>
  </si>
  <si>
    <r>
      <t xml:space="preserve">Rādītāja nosaukums
</t>
    </r>
    <r>
      <rPr>
        <i/>
        <sz val="10"/>
        <rFont val="Times New Roman"/>
        <family val="1"/>
        <charset val="186"/>
      </rPr>
      <t>(pēc izmaiņām 2023. maijā)</t>
    </r>
  </si>
  <si>
    <r>
      <rPr>
        <b/>
        <u/>
        <sz val="10"/>
        <rFont val="Times New Roman"/>
        <family val="1"/>
        <charset val="186"/>
      </rPr>
      <t>Plānotie</t>
    </r>
    <r>
      <rPr>
        <b/>
        <sz val="10"/>
        <rFont val="Times New Roman"/>
        <family val="1"/>
        <charset val="186"/>
      </rPr>
      <t xml:space="preserve"> izdevumi pārskata periodā</t>
    </r>
  </si>
  <si>
    <r>
      <rPr>
        <b/>
        <u/>
        <sz val="10"/>
        <rFont val="Times New Roman"/>
        <family val="1"/>
        <charset val="186"/>
      </rPr>
      <t>Faktiskais</t>
    </r>
    <r>
      <rPr>
        <sz val="10"/>
        <rFont val="Times New Roman"/>
        <family val="1"/>
        <charset val="186"/>
      </rPr>
      <t xml:space="preserve"> saņēmēju skaits</t>
    </r>
  </si>
  <si>
    <t>Sk. pievienoto aprēķina skaidrojumu.</t>
  </si>
  <si>
    <t>Uzturēšanās atļaujas pieprasīšana un reģistrācija; Ielūguma vai izsaukuma apstiprināšanas vīzas vai uzturēšanās atļaujas pieprasīšanai Latvijas Republikā</t>
  </si>
  <si>
    <t>Ziņu iekļaušana un aktualizēšana Fizisko personu reģistrā</t>
  </si>
  <si>
    <t>Ukrainas civiliedzīvotāju reģistrācija UCANIR</t>
  </si>
  <si>
    <t>Izziņa no fizisko personu reģistra</t>
  </si>
  <si>
    <t>Bērna kopšanas pabalsts</t>
  </si>
  <si>
    <t>Ģimenes valsts pabalsts</t>
  </si>
  <si>
    <t>Nepilsoņa statusa zaudēšana</t>
  </si>
  <si>
    <t>160 stundu mācību programma ugunsdrošībā un aizsardzībā</t>
  </si>
  <si>
    <t>Aprēķini 2025.gada 1.pusgadam</t>
  </si>
  <si>
    <r>
      <t xml:space="preserve">Aprēķini veikti attiecībā uz Ukrainas civiliedzīvotāju (UC) skaitu, kas atbalstu pieprasīs VPVKAC tīklā, ņemot vērā:
 -  2024.gadā Iekšlietu ministrijai (IeM) sniegto </t>
    </r>
    <r>
      <rPr>
        <b/>
        <sz val="11"/>
        <color theme="1"/>
        <rFont val="Times New Roman"/>
        <family val="1"/>
        <charset val="186"/>
      </rPr>
      <t xml:space="preserve">1) varianta </t>
    </r>
    <r>
      <rPr>
        <sz val="11"/>
        <color theme="1"/>
        <rFont val="Times New Roman"/>
        <family val="1"/>
        <charset val="186"/>
      </rPr>
      <t>prognozi, izpildot IeM 30.05.2024. vēstulē Nr.1-23/1416 iekļauto uzdevumu: lai nodrošinātu mērķēta atbalsta turpināšanos Ukrainas civiliedzīvotājiem, atbalsta pasākumus un tiem nepieciešamo finansējumu plānot atbilstoši trīs atsevišķiem prognozes scenārijiem, un
 -  2024.gada faktiskos rādītājus - sniegtā atbalsta gadījumu kopskaits 1178. 
Rezultātā tiek pieņemts, ka 2025.gada 1.pusgadā VPVKAC tīklā atbalstu pieprasīs 1/4 daļa no 2024.gada 1) variantā prognozētā Ukrainas civiliedzīvotāju skaita, t.i. 1500 personas.</t>
    </r>
  </si>
  <si>
    <t>1) varianta prognoze : 2025. gadā Latvijā no jauna ieradīsies 6000 UC;</t>
  </si>
  <si>
    <t>Koriģētā prognoze 2025.gada 1.pusgadam : 6000 / 4 = 1500 UC</t>
  </si>
  <si>
    <r>
      <t xml:space="preserve">Aprēķini sadalījumā pa sniegtā atbalsta pakalpojumiem veikti, ņemot vērā </t>
    </r>
    <r>
      <rPr>
        <b/>
        <sz val="11"/>
        <color theme="1"/>
        <rFont val="Times New Roman"/>
        <family val="1"/>
        <charset val="186"/>
      </rPr>
      <t xml:space="preserve">Pasākumu plānā atbalsta sniegšanai Ukrainas civiliedzīvotājiem Latvijas Republikā 2025. gadam </t>
    </r>
    <r>
      <rPr>
        <sz val="11"/>
        <color theme="1"/>
        <rFont val="Times New Roman"/>
        <family val="1"/>
        <charset val="186"/>
      </rPr>
      <t>(MK 18.12.2024. rīk. Nr.1109). dotos uzdevumus VPVKAC un pašvaldību klientu apkalpošanas struktūrvienībām (1.5., 1.7. un 4.8. pasākumi).</t>
    </r>
  </si>
  <si>
    <t>1.5. Ukrainas civiliedzīvotāju atbalsta sniegšanai nepieciešamās informācijas apstrāde, izmantojot vienotu IT rīku  (UCASNIR).</t>
  </si>
  <si>
    <t xml:space="preserve">VPVKAC, pašvaldības klientu apkalpošanas struktūrvienība veic UC atbalsta sniegšanai nepieciešamās informācijas apstrādi, izmantojot VUGD izstrādātu vienotu IT rīku UCASNIR. Apstrāde tiek veikta katram UC pirmreizēji un turpmāk pēc nepieciešamības. 
Finansējums nepieciešams no budžeta programmas 17.00.00 2 EUR par gadījumu.
</t>
  </si>
  <si>
    <t>Gadā</t>
  </si>
  <si>
    <t>1.pusgadā</t>
  </si>
  <si>
    <t>Mēnesī</t>
  </si>
  <si>
    <t>UC skaits</t>
  </si>
  <si>
    <t>EUR</t>
  </si>
  <si>
    <t>1.7. Ukrainas civiliedzīvotāju reģistrēšana Fizisko personu reģistrā un atbalsts Pilsonības un migrācijas lietu pārvaldes pakalpojumu pieteikšanai</t>
  </si>
  <si>
    <t xml:space="preserve">Vienotais valsts un pašvaldības klientu apkalpošanas centrs, pašvaldības klientu apkalpošanas struktūrvienība sniedz atbalstu klientam, informējot par pakaplojuma pieteikšanas iespējām:
     a) Uzturēšanās atļaujas pieprasīšana un reģistrācija (ID 11529);
     b) Ziņu iekļaušana un aktualizēšana Fizisko personu reģistrā (ID 10997);
     c) Nepilsoņa statusa zaudēšana (ID 8144);
     d) Izziņa no Fizisko personu reģistra (ID 12260).
Katra pakalpojuma pieteikšana tiek finansēta no budžeta programmas 17.00.00 2 EUR apmērā.  2025.gada 1.pusgada prognoze tiek koriģēta c) un d) pakalpojumam, rēķinot 10 % pieprasījumu.
</t>
  </si>
  <si>
    <t>Pakalpojums</t>
  </si>
  <si>
    <t>Potenciālo pieteikumu skaits no UC skaita</t>
  </si>
  <si>
    <t>a)</t>
  </si>
  <si>
    <t>b)</t>
  </si>
  <si>
    <t>c)</t>
  </si>
  <si>
    <t>d)</t>
  </si>
  <si>
    <t xml:space="preserve">d) </t>
  </si>
  <si>
    <t>4.8.  Ar ģimeni un bērna aprūpi saistīto valsts sociālo pabalstu nodrošināšana</t>
  </si>
  <si>
    <t>Vienotais valsts un pašvaldības klientu apkalpošanas centrs, pašvaldības klientu apkalpošanas struktūrvienība aizpilda un iesniedz VSAA:
   a) Bērna piedzimšanas pabalsts (ID 11887)
   b) Bērna kopšanas pabalsts (ID 11374)
   c) Ģimenes valsts pabalsts (ID 11682)
Katra pakalpojuma pieteikšana tiek finansēta no budžeta programmas 17.00.00 2 EUR apmērā.
Ņemot vērā, ka 2024.gada faktiskais sniegto pakalpojumu skaits ir 36 pakalpojumi, tad 2025.gada 1.pusgada prognoze tiek koriģēta, rēķinot 10 % katram pakalpojumam.</t>
  </si>
  <si>
    <t xml:space="preserve">c) </t>
  </si>
  <si>
    <t>KOPĀ nepieciešamais finansējums</t>
  </si>
  <si>
    <t>Pasākums</t>
  </si>
  <si>
    <t>UC skaits 1500</t>
  </si>
  <si>
    <t>Atbalsts, EUR</t>
  </si>
  <si>
    <t>1.5.</t>
  </si>
  <si>
    <t xml:space="preserve">1.7. </t>
  </si>
  <si>
    <t>4.8.</t>
  </si>
  <si>
    <t>Kopā:</t>
  </si>
  <si>
    <t>decembris</t>
  </si>
  <si>
    <t>janvāris</t>
  </si>
  <si>
    <t>februāris</t>
  </si>
  <si>
    <t>marts</t>
  </si>
  <si>
    <t>aprīlis</t>
  </si>
  <si>
    <t>maijs</t>
  </si>
  <si>
    <t>jūnijs</t>
  </si>
  <si>
    <t>jūlijs</t>
  </si>
  <si>
    <t>augusts</t>
  </si>
  <si>
    <t>septembris</t>
  </si>
  <si>
    <t xml:space="preserve"> oktobris</t>
  </si>
  <si>
    <t>novembris</t>
  </si>
  <si>
    <r>
      <rPr>
        <b/>
        <u/>
        <sz val="10"/>
        <color theme="1"/>
        <rFont val="Times New Roman"/>
        <family val="1"/>
        <charset val="186"/>
      </rPr>
      <t>Plānotie</t>
    </r>
    <r>
      <rPr>
        <b/>
        <sz val="10"/>
        <color theme="1"/>
        <rFont val="Times New Roman"/>
        <family val="1"/>
        <charset val="186"/>
      </rPr>
      <t xml:space="preserve"> izdevumi 2024/2025. gadam  pārskata periodā</t>
    </r>
  </si>
  <si>
    <r>
      <rPr>
        <u/>
        <sz val="10"/>
        <color theme="1"/>
        <rFont val="Times New Roman"/>
        <family val="1"/>
        <charset val="186"/>
      </rPr>
      <t>Faktiskie</t>
    </r>
    <r>
      <rPr>
        <sz val="10"/>
        <color theme="1"/>
        <rFont val="Times New Roman"/>
        <family val="1"/>
        <charset val="186"/>
      </rPr>
      <t xml:space="preserve"> izdevumi 2024. gadā</t>
    </r>
  </si>
  <si>
    <r>
      <rPr>
        <b/>
        <u/>
        <sz val="10"/>
        <color theme="1"/>
        <rFont val="Times New Roman"/>
        <family val="1"/>
        <charset val="186"/>
      </rPr>
      <t xml:space="preserve">Plānotie </t>
    </r>
    <r>
      <rPr>
        <sz val="10"/>
        <color theme="1"/>
        <rFont val="Times New Roman"/>
        <family val="1"/>
        <charset val="186"/>
      </rPr>
      <t>izdevumi pārskata periodā</t>
    </r>
  </si>
  <si>
    <r>
      <t xml:space="preserve">Plānotie </t>
    </r>
    <r>
      <rPr>
        <sz val="10"/>
        <color theme="1"/>
        <rFont val="Times New Roman"/>
        <family val="1"/>
        <charset val="186"/>
      </rPr>
      <t>izdevumi pārskata periodā</t>
    </r>
  </si>
  <si>
    <t>Pārskata periods, mēnesis</t>
  </si>
  <si>
    <r>
      <t xml:space="preserve">Pašvaldības </t>
    </r>
    <r>
      <rPr>
        <u/>
        <sz val="11"/>
        <color theme="1"/>
        <rFont val="Times New Roman"/>
        <family val="1"/>
        <charset val="186"/>
      </rPr>
      <t>faktiskie izdevumi</t>
    </r>
    <r>
      <rPr>
        <sz val="11"/>
        <color theme="1"/>
        <rFont val="Times New Roman"/>
        <family val="1"/>
        <charset val="186"/>
      </rPr>
      <t xml:space="preserve"> atbilstoši iesniegtajiem rēķiniem laika periodā </t>
    </r>
    <r>
      <rPr>
        <u/>
        <sz val="11"/>
        <color theme="1"/>
        <rFont val="Times New Roman"/>
        <family val="1"/>
        <charset val="186"/>
      </rPr>
      <t>no 2023. gada decembra līdz 2024. gada novembrim</t>
    </r>
    <r>
      <rPr>
        <sz val="11"/>
        <color theme="1"/>
        <rFont val="Times New Roman"/>
        <family val="1"/>
        <charset val="186"/>
      </rPr>
      <t xml:space="preserve">, </t>
    </r>
    <r>
      <rPr>
        <i/>
        <sz val="11"/>
        <color theme="1"/>
        <rFont val="Times New Roman"/>
        <family val="1"/>
        <charset val="186"/>
      </rPr>
      <t>euro</t>
    </r>
  </si>
  <si>
    <r>
      <t xml:space="preserve">Pašvaldības </t>
    </r>
    <r>
      <rPr>
        <b/>
        <u/>
        <sz val="11"/>
        <color theme="1"/>
        <rFont val="Times New Roman"/>
        <family val="1"/>
        <charset val="186"/>
      </rPr>
      <t>plānotie izdevumi</t>
    </r>
    <r>
      <rPr>
        <b/>
        <sz val="11"/>
        <color theme="1"/>
        <rFont val="Times New Roman"/>
        <family val="1"/>
        <charset val="186"/>
      </rPr>
      <t xml:space="preserve"> laika periodā </t>
    </r>
    <r>
      <rPr>
        <b/>
        <u/>
        <sz val="11"/>
        <color theme="1"/>
        <rFont val="Times New Roman"/>
        <family val="1"/>
        <charset val="186"/>
      </rPr>
      <t>no 2024. gada decembra līdz 2025. gada jūnijam</t>
    </r>
    <r>
      <rPr>
        <b/>
        <sz val="11"/>
        <color theme="1"/>
        <rFont val="Times New Roman"/>
        <family val="1"/>
        <charset val="186"/>
      </rPr>
      <t xml:space="preserve">, </t>
    </r>
    <r>
      <rPr>
        <b/>
        <i/>
        <sz val="11"/>
        <color theme="1"/>
        <rFont val="Times New Roman"/>
        <family val="1"/>
        <charset val="186"/>
      </rPr>
      <t>euro</t>
    </r>
  </si>
  <si>
    <r>
      <t xml:space="preserve">Pašvaldībai kompensētie izdevumi 2024. gadā
</t>
    </r>
    <r>
      <rPr>
        <b/>
        <i/>
        <sz val="11"/>
        <color rgb="FF000000"/>
        <rFont val="Times New Roman"/>
        <family val="1"/>
        <charset val="186"/>
      </rPr>
      <t>(pēc VARAM pārrēķina), euro</t>
    </r>
  </si>
  <si>
    <t>par 2023. gada decembri</t>
  </si>
  <si>
    <t>par 2024. gada janvāri</t>
  </si>
  <si>
    <t>par 2024. gada februāri</t>
  </si>
  <si>
    <t>par 2024. gada martu</t>
  </si>
  <si>
    <t>par 2024. gada aprīli</t>
  </si>
  <si>
    <t>par 2024. gada maiju</t>
  </si>
  <si>
    <t>par 2024. gada jūniju</t>
  </si>
  <si>
    <t>par 2024. gada jūliju</t>
  </si>
  <si>
    <t>par 2024. gada augustu</t>
  </si>
  <si>
    <t>par 2024. gada septembri</t>
  </si>
  <si>
    <t>par 2024. gada oktobri</t>
  </si>
  <si>
    <t>par 2024. gada novembri</t>
  </si>
  <si>
    <t>par 2024. gada decembri</t>
  </si>
  <si>
    <t>par 2025. gada janvāri</t>
  </si>
  <si>
    <t>par 2025. gada februāri</t>
  </si>
  <si>
    <t>par 2025. gada martu</t>
  </si>
  <si>
    <t>par 2025. gada aprīli</t>
  </si>
  <si>
    <t>par 2025. gada maiju</t>
  </si>
  <si>
    <t>par 2025. gada jūniju</t>
  </si>
  <si>
    <r>
      <t xml:space="preserve">Pašvaldībai kompensējamo izdevumu </t>
    </r>
    <r>
      <rPr>
        <b/>
        <u/>
        <sz val="11"/>
        <color theme="1"/>
        <rFont val="Times New Roman"/>
        <family val="1"/>
        <charset val="186"/>
      </rPr>
      <t>prognoze</t>
    </r>
    <r>
      <rPr>
        <b/>
        <sz val="11"/>
        <color theme="1"/>
        <rFont val="Times New Roman"/>
        <family val="1"/>
        <charset val="186"/>
      </rPr>
      <t xml:space="preserve"> laika periodam no 2024. gada decembra līdz 2025. gada jūnijam, </t>
    </r>
    <r>
      <rPr>
        <b/>
        <i/>
        <sz val="11"/>
        <color theme="1"/>
        <rFont val="Times New Roman"/>
        <family val="1"/>
        <charset val="186"/>
      </rPr>
      <t>euro</t>
    </r>
  </si>
  <si>
    <t>Rīgas atbalsta centra uzturēšanas plānotās izmaksas laika periodā no 2024. gada decembra līdz 2025. gada jūnijam</t>
  </si>
  <si>
    <r>
      <t xml:space="preserve">Par palīdzību sociālā atbalsta jomā kopā (LM)
</t>
    </r>
    <r>
      <rPr>
        <vertAlign val="superscript"/>
        <sz val="12"/>
        <rFont val="Times New Roman"/>
        <family val="1"/>
        <charset val="186"/>
      </rPr>
      <t>[1]</t>
    </r>
    <r>
      <rPr>
        <sz val="12"/>
        <rFont val="Times New Roman"/>
        <family val="1"/>
        <charset val="186"/>
      </rPr>
      <t xml:space="preserve"> </t>
    </r>
    <r>
      <rPr>
        <i/>
        <sz val="12"/>
        <rFont val="Times New Roman"/>
        <family val="1"/>
        <charset val="186"/>
      </rPr>
      <t>4. "Sociālā palīdzība, finansiālais atbalsts, pakalpojumi" un 5. "Nepilngadīgie"</t>
    </r>
  </si>
  <si>
    <r>
      <t xml:space="preserve">Par palīdzību izglītības jomā (IzM)
</t>
    </r>
    <r>
      <rPr>
        <vertAlign val="superscript"/>
        <sz val="12"/>
        <rFont val="Times New Roman"/>
        <family val="1"/>
        <charset val="186"/>
      </rPr>
      <t>[1]</t>
    </r>
    <r>
      <rPr>
        <sz val="12"/>
        <rFont val="Times New Roman"/>
        <family val="1"/>
        <charset val="186"/>
      </rPr>
      <t> </t>
    </r>
    <r>
      <rPr>
        <i/>
        <sz val="12"/>
        <rFont val="Times New Roman"/>
        <family val="1"/>
        <charset val="186"/>
      </rPr>
      <t>6. "Izglītība"</t>
    </r>
  </si>
  <si>
    <r>
      <t xml:space="preserve">Par palīdzību ēdināšanas jomā (EM)
</t>
    </r>
    <r>
      <rPr>
        <vertAlign val="superscript"/>
        <sz val="12"/>
        <rFont val="Times New Roman"/>
        <family val="1"/>
        <charset val="186"/>
      </rPr>
      <t>[1]</t>
    </r>
    <r>
      <rPr>
        <i/>
        <sz val="12"/>
        <rFont val="Times New Roman"/>
        <family val="1"/>
        <charset val="186"/>
      </rPr>
      <t> 2. "Personu izmitināšana un ēdināšana"</t>
    </r>
  </si>
  <si>
    <r>
      <t xml:space="preserve">Par palīdzību izmitināšanas jomā (EM)
</t>
    </r>
    <r>
      <rPr>
        <vertAlign val="superscript"/>
        <sz val="12"/>
        <rFont val="Times New Roman"/>
        <family val="1"/>
        <charset val="186"/>
      </rPr>
      <t>[1]</t>
    </r>
    <r>
      <rPr>
        <sz val="12"/>
        <rFont val="Times New Roman"/>
        <family val="1"/>
        <charset val="186"/>
      </rPr>
      <t> </t>
    </r>
    <r>
      <rPr>
        <i/>
        <sz val="12"/>
        <rFont val="Times New Roman"/>
        <family val="1"/>
        <charset val="186"/>
      </rPr>
      <t>2. "Personu izmitināšana un ēdināšana"</t>
    </r>
  </si>
  <si>
    <r>
      <t xml:space="preserve">Par izlietoto finansējumu valsts pārvaldes pakalpojumu pieteikšanas un fizisko personu reģistrācijas pasākumiem (VARAM)
</t>
    </r>
    <r>
      <rPr>
        <vertAlign val="superscript"/>
        <sz val="12"/>
        <rFont val="Times New Roman"/>
        <family val="1"/>
        <charset val="186"/>
      </rPr>
      <t>[1]</t>
    </r>
    <r>
      <rPr>
        <sz val="12"/>
        <rFont val="Times New Roman"/>
        <family val="1"/>
        <charset val="186"/>
      </rPr>
      <t> </t>
    </r>
    <r>
      <rPr>
        <i/>
        <sz val="12"/>
        <rFont val="Times New Roman"/>
        <family val="1"/>
        <charset val="186"/>
      </rPr>
      <t>1. "Personu uzņemšana un reģistrācija, informēšanas pasākumi" 1.7. apakšpunkts</t>
    </r>
  </si>
  <si>
    <r>
      <rPr>
        <vertAlign val="superscript"/>
        <sz val="12"/>
        <rFont val="Times New Roman"/>
        <family val="1"/>
        <charset val="186"/>
      </rPr>
      <t>[2]</t>
    </r>
    <r>
      <rPr>
        <sz val="12"/>
        <rFont val="Times New Roman"/>
        <family val="1"/>
        <charset val="186"/>
      </rPr>
      <t xml:space="preserve"> Par vienotu valsts un pašvaldību sniegtā atbalsta koordinācijas punktu darbības nodrošināšanu
</t>
    </r>
    <r>
      <rPr>
        <vertAlign val="superscript"/>
        <sz val="12"/>
        <rFont val="Times New Roman"/>
        <family val="1"/>
        <charset val="186"/>
      </rPr>
      <t>[1]</t>
    </r>
    <r>
      <rPr>
        <sz val="12"/>
        <rFont val="Times New Roman"/>
        <family val="1"/>
        <charset val="186"/>
      </rPr>
      <t> </t>
    </r>
    <r>
      <rPr>
        <i/>
        <sz val="12"/>
        <rFont val="Times New Roman"/>
        <family val="1"/>
        <charset val="186"/>
      </rPr>
      <t>1. "Personu uzņemšana un reģistrācija, informēšanas pasākumi" 1.6. apakšpunkts</t>
    </r>
  </si>
  <si>
    <r>
      <rPr>
        <vertAlign val="superscript"/>
        <sz val="11"/>
        <rFont val="Calibri"/>
        <family val="2"/>
        <charset val="186"/>
        <scheme val="minor"/>
      </rPr>
      <t xml:space="preserve">[1] </t>
    </r>
    <r>
      <rPr>
        <i/>
        <sz val="11"/>
        <rFont val="Calibri"/>
        <family val="2"/>
        <charset val="186"/>
        <scheme val="minor"/>
      </rPr>
      <t>Saskaņā ar Ministru kabineta 2024. gada 18. decembra rīkojumu Nr. 1109 “Par Pasākumu plānu atbalsta sniegšanai Ukrainas civiliedzīvotājiem Latvijas Republikā 2025. gadam" (prot. Nr. 52 94. §).</t>
    </r>
  </si>
  <si>
    <r>
      <rPr>
        <vertAlign val="superscript"/>
        <sz val="11"/>
        <rFont val="Calibri"/>
        <family val="2"/>
        <charset val="186"/>
        <scheme val="minor"/>
      </rPr>
      <t>[2]</t>
    </r>
    <r>
      <rPr>
        <sz val="11"/>
        <rFont val="Calibri"/>
        <family val="2"/>
        <charset val="186"/>
        <scheme val="minor"/>
      </rPr>
      <t xml:space="preserve"> N</t>
    </r>
    <r>
      <rPr>
        <i/>
        <sz val="11"/>
        <rFont val="Calibri"/>
        <family val="2"/>
        <charset val="186"/>
        <scheme val="minor"/>
      </rPr>
      <t>epieciešamais finansējums/prognoze vienotu valsts un pašvaldību sniegtā atbalsta koordinācijas punktu darbības nodrošināšanai tiek plānots, ņemot vērā Rīgas valstspilsētas pašvaldības iesniegto informāciju par Rīgas atbalsta centra darbības nodrošināšanas plānotajiem izdevumiem.</t>
    </r>
  </si>
  <si>
    <t>3. pielikums</t>
  </si>
  <si>
    <t>Indikatīvais izdevumu ietekmes aprēķins Izglītības un zinātnes ministrijas atbildības jomā plānotajiem atbalsta pasākumiem</t>
  </si>
  <si>
    <t>2024.g.decembris - 2025.g. jūnijs</t>
  </si>
  <si>
    <t>2023.g.decembris - 2024.g. novembris</t>
  </si>
  <si>
    <r>
      <rPr>
        <b/>
        <u/>
        <sz val="10"/>
        <color theme="1"/>
        <rFont val="Times New Roman"/>
        <family val="1"/>
        <charset val="186"/>
      </rPr>
      <t xml:space="preserve">Faktiskais </t>
    </r>
    <r>
      <rPr>
        <sz val="10"/>
        <color theme="1"/>
        <rFont val="Times New Roman"/>
        <family val="1"/>
        <charset val="186"/>
      </rPr>
      <t>izglītojamo  skaits</t>
    </r>
  </si>
  <si>
    <r>
      <rPr>
        <b/>
        <u/>
        <sz val="10"/>
        <color theme="1"/>
        <rFont val="Times New Roman"/>
        <family val="1"/>
        <charset val="186"/>
      </rPr>
      <t>Faktiskais</t>
    </r>
    <r>
      <rPr>
        <sz val="10"/>
        <color theme="1"/>
        <rFont val="Times New Roman"/>
        <family val="1"/>
        <charset val="186"/>
      </rPr>
      <t xml:space="preserve"> izglītojamo  skaits</t>
    </r>
  </si>
  <si>
    <r>
      <rPr>
        <b/>
        <u/>
        <sz val="10"/>
        <color theme="1"/>
        <rFont val="Times New Roman"/>
        <family val="1"/>
        <charset val="186"/>
      </rPr>
      <t xml:space="preserve">Plānotais </t>
    </r>
    <r>
      <rPr>
        <sz val="10"/>
        <color theme="1"/>
        <rFont val="Times New Roman"/>
        <family val="1"/>
        <charset val="186"/>
      </rPr>
      <t>izglītojamo  skaits</t>
    </r>
  </si>
  <si>
    <r>
      <t>Pedagogu darba samaksa izglītības ieguves nodrošināšanai (UCAL 13</t>
    </r>
    <r>
      <rPr>
        <vertAlign val="superscript"/>
        <sz val="10"/>
        <rFont val="Times New Roman"/>
        <family val="1"/>
      </rPr>
      <t>1</t>
    </r>
    <r>
      <rPr>
        <sz val="10"/>
        <rFont val="Times New Roman"/>
        <family val="1"/>
        <charset val="186"/>
      </rPr>
      <t>.pants)</t>
    </r>
  </si>
  <si>
    <t>Izglītojamo skaits par 2024.gada decembra mēnesi ir noteikts atbilstoši Valsts izglītības informācijas sistēmas datiem par izglītojamo skaitu uz 2024.gada 31.decembri ar atzīmi "Ukrainas civiliedzīvotājs". Izglītojamo skaits janvārī un turpmākajos mēnešos ir noteikts atbilstoši Valsts izglītības informācijas sistēmas datiem par izglītojamo skaitu uz 2024.gada 31.decembri ar atzīmi "Ukrainas civiliedzīvotājs" un papildus ņemot vērā provizorisko izglītojamo skaita pieaugumu, kas aprēķināts atbilstoši Ministru kabinetā  2024.gada 18.decembrī apstiprinātajam rīkojumam Nr.1109 "Par Pasākumu plānu atbalsta sniegšanai Ukrainas civiliedzīvotājiem Latvijas Republikā 2025. gadam" (24-TA-1551), kas ietver IeM prognozes par 2025. gadā Latvijā no jauna ieceļojošo Ukrainas civiliedzīvotāju skaitu. Plānotie izdevumi pārskata periodā aprēķināti atbilstoši Ministru kabineta 2016. gada 26. jūlija noteikumos Nr. 488 "Kārtība, kādā nepilngadīgam patvēruma meklētājam nodrošina izglītības ieguves iespējas" un atbilstoši Ukrainas civiliedzīvotāju atbalsta likuma noteiktajam par Ukrainas civiliedzīvotāju ēdināšanas izmaksu segšanu pamatizglītības programmas 1., 2., 3. un 4. klašu izglītojamajiem.</t>
  </si>
  <si>
    <r>
      <t>Vienreizēja palīdzība mācību līdzekļu nodrošināšanai (UCAL 13</t>
    </r>
    <r>
      <rPr>
        <vertAlign val="superscript"/>
        <sz val="10"/>
        <rFont val="Times New Roman"/>
        <family val="1"/>
      </rPr>
      <t>1</t>
    </r>
    <r>
      <rPr>
        <sz val="10"/>
        <rFont val="Times New Roman"/>
        <family val="1"/>
        <charset val="186"/>
      </rPr>
      <t>.pants)</t>
    </r>
  </si>
  <si>
    <r>
      <t>Papildus izmaksas pašvaldību profesionālajām izglītības iestādēm profesionālās izglītības ieguves nodrošināšanai (stipendija, uzturēšanas izmaksas) (UCAL 13</t>
    </r>
    <r>
      <rPr>
        <vertAlign val="superscript"/>
        <sz val="10"/>
        <rFont val="Times New Roman"/>
        <family val="1"/>
      </rPr>
      <t>1</t>
    </r>
    <r>
      <rPr>
        <sz val="10"/>
        <rFont val="Times New Roman"/>
        <family val="1"/>
        <charset val="186"/>
      </rPr>
      <t>.pants)</t>
    </r>
  </si>
  <si>
    <r>
      <t>Nepilngadīgo Ukrainas civiliedzīvotāju, kuri izglītības iestādēs klātienē apgūst pamatizglītības programmas 1., 2., 3. un 4. klasē, ēdināšana. (UCAL 13</t>
    </r>
    <r>
      <rPr>
        <vertAlign val="superscript"/>
        <sz val="10"/>
        <rFont val="Times New Roman"/>
        <family val="1"/>
      </rPr>
      <t>1</t>
    </r>
    <r>
      <rPr>
        <sz val="10"/>
        <rFont val="Times New Roman"/>
        <family val="1"/>
        <charset val="186"/>
      </rPr>
      <t>.pants)</t>
    </r>
  </si>
  <si>
    <t>Indikatīvais izdevumu aprēķins primāri sniedzamā atbalsta nodrošināšanai 2025.gada pirmam pusgadam tika veikts, ekstrapolējot līdz šim vērojamās izmitināšanas un ēdināšanas pakalpojumiem pašvaldību pieprasīto izdevumu kompensāciju tendences pa mēnešiem, sākot no 2024. gada janvāra un līdz  2024.gada novembrim, kā arī ņemot vērā 2025.gadam pieejama budžeta finansējuma apjomu.</t>
  </si>
  <si>
    <r>
      <rPr>
        <b/>
        <u/>
        <sz val="9"/>
        <rFont val="Times New Roman"/>
        <family val="1"/>
        <charset val="186"/>
      </rPr>
      <t>Faktiskie</t>
    </r>
    <r>
      <rPr>
        <b/>
        <sz val="9"/>
        <rFont val="Times New Roman"/>
        <family val="1"/>
        <charset val="186"/>
      </rPr>
      <t xml:space="preserve"> i</t>
    </r>
    <r>
      <rPr>
        <sz val="9"/>
        <rFont val="Times New Roman"/>
        <family val="1"/>
        <charset val="186"/>
      </rPr>
      <t>zdevumi pārskata periodā</t>
    </r>
  </si>
  <si>
    <t xml:space="preserve">Izdevumi periodā 2025. gada janvāris - 2025. gada jūnijs vidēji mēnesī plānoti atbilstoši faktiskajiem izdevumiem vidēji mēnesī periodā 2024. gada oktobris - 2024. gada decembris. </t>
  </si>
  <si>
    <t>Izdevumi periodā 2025. gada janvāris - 2025. gada jūnijs plānoti atbilstoši plānotajiem izdevumiem šajā periodā saskaņā ar Ministru kabineta 18.12.2024. rīkojuma Nr. 1109 "Par Pasākumu plānu atbalsta sniegšanai Ukrainas civiliedzīvotājiem Latvijas Republikā 2025. gadam" anotācijas 2. pielikumu "Labklājības ministrijas aprēķins".</t>
  </si>
  <si>
    <t>Samazinājums*</t>
  </si>
  <si>
    <t>Plānotais izdevumu samazinājums par 16.11% saskaņā ar Ministru kabineta 18.12.2024. rīkojuma Nr. 1109 "Par Pasākumu plānu atbalsta sniegšanai Ukrainas civiliedzīvotājiem Latvijas Republikā 2025. gadam" anotācijas 1. pielikumu "Kopsavilkums".</t>
  </si>
  <si>
    <t xml:space="preserve">Koriģētais plāns KOPĀ </t>
  </si>
  <si>
    <t>*Koeficients (65 000 000 dalīts ar 77 479 467 )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</si>
</sst>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00"/>
  </numFmts>
  <fonts count="83" x14ac:knownFonts="1">
    <font>
      <sz val="11"/>
      <color theme="1"/>
      <name val="Calibri"/>
      <family val="2"/>
      <charset val="186"/>
      <scheme val="minor"/>
    </font>
    <font>
      <sz val="11"/>
      <color rgb="FFFF0000"/>
      <name val="Calibri"/>
      <family val="2"/>
      <charset val="186"/>
      <scheme val="minor"/>
    </font>
    <font>
      <sz val="11"/>
      <color indexed="8"/>
      <name val="Calibri"/>
      <family val="2"/>
      <charset val="186"/>
    </font>
    <font>
      <sz val="11"/>
      <color indexed="8"/>
      <name val="Calibri"/>
      <family val="2"/>
    </font>
    <font>
      <sz val="10"/>
      <name val="Times New Roman"/>
      <family val="1"/>
      <charset val="186"/>
    </font>
    <font>
      <sz val="10"/>
      <color theme="1"/>
      <name val="Times New Roman"/>
      <family val="1"/>
      <charset val="186"/>
    </font>
    <font>
      <i/>
      <sz val="9"/>
      <color indexed="8"/>
      <name val="Calibri"/>
      <family val="2"/>
      <charset val="186"/>
    </font>
    <font>
      <i/>
      <sz val="8"/>
      <name val="Times New Roman"/>
      <family val="1"/>
      <charset val="186"/>
    </font>
    <font>
      <i/>
      <sz val="8"/>
      <color theme="1"/>
      <name val="Times New Roman"/>
      <family val="1"/>
      <charset val="186"/>
    </font>
    <font>
      <i/>
      <sz val="8"/>
      <color indexed="8"/>
      <name val="Calibri"/>
      <family val="2"/>
      <charset val="186"/>
    </font>
    <font>
      <b/>
      <u/>
      <sz val="10"/>
      <color theme="1"/>
      <name val="Times New Roman"/>
      <family val="1"/>
      <charset val="186"/>
    </font>
    <font>
      <sz val="8"/>
      <name val="Times New Roman"/>
      <family val="1"/>
      <charset val="186"/>
    </font>
    <font>
      <sz val="8"/>
      <color theme="1"/>
      <name val="Times New Roman"/>
      <family val="1"/>
      <charset val="186"/>
    </font>
    <font>
      <sz val="11"/>
      <name val="Calibri"/>
      <family val="2"/>
      <charset val="186"/>
    </font>
    <font>
      <i/>
      <sz val="9"/>
      <name val="Calibri"/>
      <family val="2"/>
      <charset val="186"/>
    </font>
    <font>
      <b/>
      <sz val="10"/>
      <name val="Times New Roman"/>
      <family val="1"/>
      <charset val="186"/>
    </font>
    <font>
      <sz val="11"/>
      <color indexed="8"/>
      <name val="Times New Roman"/>
      <family val="1"/>
      <charset val="186"/>
    </font>
    <font>
      <sz val="11"/>
      <color rgb="FFFF0000"/>
      <name val="Times New Roman"/>
      <family val="1"/>
      <charset val="186"/>
    </font>
    <font>
      <i/>
      <sz val="10"/>
      <color theme="1"/>
      <name val="Times New Roman"/>
      <family val="1"/>
      <charset val="186"/>
    </font>
    <font>
      <sz val="11"/>
      <color theme="1"/>
      <name val="Times New Roman"/>
      <family val="1"/>
      <charset val="186"/>
    </font>
    <font>
      <b/>
      <sz val="14"/>
      <color theme="1"/>
      <name val="Times New Roman"/>
      <family val="1"/>
      <charset val="186"/>
    </font>
    <font>
      <i/>
      <sz val="10"/>
      <name val="Times New Roman"/>
      <family val="1"/>
      <charset val="186"/>
    </font>
    <font>
      <b/>
      <sz val="10"/>
      <color theme="1"/>
      <name val="Times New Roman"/>
      <family val="1"/>
      <charset val="186"/>
    </font>
    <font>
      <sz val="11"/>
      <color theme="1"/>
      <name val="Calibri"/>
      <family val="2"/>
      <charset val="186"/>
    </font>
    <font>
      <b/>
      <sz val="13"/>
      <color theme="1"/>
      <name val="Times New Roman"/>
      <family val="1"/>
      <charset val="186"/>
    </font>
    <font>
      <i/>
      <sz val="11"/>
      <color theme="1"/>
      <name val="Calibri"/>
      <family val="2"/>
      <charset val="186"/>
    </font>
    <font>
      <i/>
      <sz val="8"/>
      <color theme="1"/>
      <name val="Calibri"/>
      <family val="2"/>
      <charset val="186"/>
    </font>
    <font>
      <sz val="9"/>
      <color theme="1"/>
      <name val="Times New Roman"/>
      <family val="1"/>
      <charset val="186"/>
    </font>
    <font>
      <sz val="11"/>
      <color rgb="FFFF0000"/>
      <name val="Calibri"/>
      <family val="2"/>
      <charset val="186"/>
    </font>
    <font>
      <sz val="10"/>
      <color rgb="FF000000"/>
      <name val="Times New Roman"/>
      <family val="1"/>
      <charset val="186"/>
    </font>
    <font>
      <i/>
      <sz val="9"/>
      <color theme="1"/>
      <name val="Calibri"/>
      <family val="2"/>
      <charset val="186"/>
    </font>
    <font>
      <b/>
      <u/>
      <sz val="10"/>
      <name val="Times New Roman"/>
      <family val="1"/>
      <charset val="186"/>
    </font>
    <font>
      <sz val="9"/>
      <name val="Calibri"/>
      <family val="2"/>
      <charset val="186"/>
    </font>
    <font>
      <sz val="12"/>
      <color theme="1"/>
      <name val="Times New Roman"/>
      <family val="1"/>
      <charset val="186"/>
    </font>
    <font>
      <b/>
      <sz val="12"/>
      <color theme="1"/>
      <name val="Times New Roman"/>
      <family val="1"/>
      <charset val="186"/>
    </font>
    <font>
      <i/>
      <sz val="12"/>
      <color theme="1"/>
      <name val="Times New Roman"/>
      <family val="1"/>
      <charset val="186"/>
    </font>
    <font>
      <b/>
      <i/>
      <sz val="12"/>
      <color theme="1"/>
      <name val="Times New Roman"/>
      <family val="1"/>
      <charset val="186"/>
    </font>
    <font>
      <b/>
      <sz val="12"/>
      <name val="Times New Roman"/>
      <family val="1"/>
      <charset val="186"/>
    </font>
    <font>
      <sz val="12"/>
      <name val="Times New Roman"/>
      <family val="1"/>
      <charset val="186"/>
    </font>
    <font>
      <i/>
      <sz val="11"/>
      <color rgb="FFFF0000"/>
      <name val="Calibri"/>
      <family val="2"/>
      <charset val="186"/>
      <scheme val="minor"/>
    </font>
    <font>
      <b/>
      <sz val="20"/>
      <color theme="1"/>
      <name val="Times New Roman"/>
      <family val="1"/>
      <charset val="186"/>
    </font>
    <font>
      <b/>
      <u/>
      <sz val="12"/>
      <color theme="1"/>
      <name val="Times New Roman"/>
      <family val="1"/>
      <charset val="186"/>
    </font>
    <font>
      <i/>
      <sz val="12"/>
      <name val="Times New Roman"/>
      <family val="1"/>
      <charset val="186"/>
    </font>
    <font>
      <sz val="11"/>
      <name val="Calibri"/>
      <family val="2"/>
      <charset val="186"/>
      <scheme val="minor"/>
    </font>
    <font>
      <i/>
      <sz val="11"/>
      <color theme="1"/>
      <name val="Times New Roman"/>
      <family val="1"/>
      <charset val="186"/>
    </font>
    <font>
      <b/>
      <i/>
      <sz val="8"/>
      <color theme="1"/>
      <name val="Times New Roman"/>
      <family val="1"/>
      <charset val="186"/>
    </font>
    <font>
      <b/>
      <sz val="9"/>
      <color theme="1"/>
      <name val="Times New Roman"/>
      <family val="1"/>
      <charset val="186"/>
    </font>
    <font>
      <b/>
      <u/>
      <sz val="9"/>
      <color theme="1"/>
      <name val="Times New Roman"/>
      <family val="1"/>
      <charset val="186"/>
    </font>
    <font>
      <sz val="9"/>
      <name val="Times New Roman"/>
      <family val="1"/>
      <charset val="186"/>
    </font>
    <font>
      <u/>
      <sz val="9"/>
      <name val="Times New Roman"/>
      <family val="1"/>
      <charset val="186"/>
    </font>
    <font>
      <u/>
      <sz val="9"/>
      <color theme="1"/>
      <name val="Times New Roman"/>
      <family val="1"/>
      <charset val="186"/>
    </font>
    <font>
      <sz val="9"/>
      <color theme="1"/>
      <name val="Calibri"/>
      <family val="2"/>
      <charset val="186"/>
    </font>
    <font>
      <sz val="11"/>
      <name val="Times New Roman"/>
      <family val="1"/>
      <charset val="186"/>
    </font>
    <font>
      <sz val="12"/>
      <color indexed="8"/>
      <name val="Times New Roman"/>
      <family val="1"/>
      <charset val="186"/>
    </font>
    <font>
      <i/>
      <sz val="9"/>
      <color theme="1"/>
      <name val="Times New Roman"/>
      <family val="1"/>
      <charset val="186"/>
    </font>
    <font>
      <i/>
      <sz val="10"/>
      <color theme="1"/>
      <name val="Calibri"/>
      <family val="2"/>
      <charset val="186"/>
    </font>
    <font>
      <sz val="10"/>
      <color theme="1"/>
      <name val="Calibri"/>
      <family val="2"/>
      <charset val="186"/>
    </font>
    <font>
      <b/>
      <sz val="13"/>
      <name val="Times New Roman"/>
      <family val="1"/>
      <charset val="186"/>
    </font>
    <font>
      <b/>
      <i/>
      <sz val="10"/>
      <name val="Times New Roman"/>
      <family val="1"/>
      <charset val="186"/>
    </font>
    <font>
      <b/>
      <sz val="11"/>
      <color theme="1"/>
      <name val="Times New Roman"/>
      <family val="1"/>
      <charset val="186"/>
    </font>
    <font>
      <u/>
      <sz val="11"/>
      <color theme="1"/>
      <name val="Times New Roman"/>
      <family val="1"/>
      <charset val="186"/>
    </font>
    <font>
      <b/>
      <i/>
      <sz val="11"/>
      <color theme="1"/>
      <name val="Times New Roman"/>
      <family val="1"/>
      <charset val="186"/>
    </font>
    <font>
      <b/>
      <i/>
      <sz val="10"/>
      <color theme="1"/>
      <name val="Times New Roman"/>
      <family val="1"/>
      <charset val="186"/>
    </font>
    <font>
      <u/>
      <sz val="10"/>
      <color theme="1"/>
      <name val="Times New Roman"/>
      <family val="1"/>
      <charset val="186"/>
    </font>
    <font>
      <sz val="10"/>
      <color theme="1"/>
      <name val="Calibri"/>
      <family val="2"/>
      <charset val="186"/>
      <scheme val="minor"/>
    </font>
    <font>
      <sz val="11"/>
      <color theme="1"/>
      <name val="Times New Roman"/>
      <family val="1"/>
    </font>
    <font>
      <b/>
      <u/>
      <sz val="11"/>
      <color theme="1"/>
      <name val="Times New Roman"/>
      <family val="1"/>
      <charset val="186"/>
    </font>
    <font>
      <b/>
      <sz val="11"/>
      <color rgb="FF000000"/>
      <name val="Times New Roman"/>
      <family val="1"/>
      <charset val="186"/>
    </font>
    <font>
      <b/>
      <i/>
      <sz val="11"/>
      <color rgb="FF000000"/>
      <name val="Times New Roman"/>
      <family val="1"/>
      <charset val="186"/>
    </font>
    <font>
      <sz val="11"/>
      <color rgb="FF000000"/>
      <name val="Times New Roman"/>
      <family val="1"/>
      <charset val="186"/>
    </font>
    <font>
      <vertAlign val="superscript"/>
      <sz val="12"/>
      <name val="Times New Roman"/>
      <family val="1"/>
      <charset val="186"/>
    </font>
    <font>
      <vertAlign val="superscript"/>
      <sz val="11"/>
      <name val="Calibri"/>
      <family val="2"/>
      <charset val="186"/>
      <scheme val="minor"/>
    </font>
    <font>
      <i/>
      <sz val="11"/>
      <name val="Calibri"/>
      <family val="2"/>
      <charset val="186"/>
      <scheme val="minor"/>
    </font>
    <font>
      <i/>
      <sz val="10"/>
      <color indexed="8"/>
      <name val="Times New Roman"/>
      <family val="1"/>
      <charset val="186"/>
    </font>
    <font>
      <b/>
      <sz val="13"/>
      <color indexed="8"/>
      <name val="Times New Roman"/>
      <family val="1"/>
      <charset val="186"/>
    </font>
    <font>
      <vertAlign val="superscript"/>
      <sz val="10"/>
      <name val="Times New Roman"/>
      <family val="1"/>
    </font>
    <font>
      <b/>
      <u/>
      <sz val="9"/>
      <name val="Times New Roman"/>
      <family val="1"/>
      <charset val="186"/>
    </font>
    <font>
      <b/>
      <sz val="9"/>
      <name val="Times New Roman"/>
      <family val="1"/>
      <charset val="186"/>
    </font>
    <font>
      <sz val="10"/>
      <color rgb="FF000000"/>
      <name val="Times New Roman"/>
    </font>
    <font>
      <b/>
      <sz val="11"/>
      <name val="Times New Roman"/>
      <family val="1"/>
      <charset val="186"/>
    </font>
    <font>
      <b/>
      <i/>
      <sz val="9"/>
      <color theme="1"/>
      <name val="Calibri"/>
      <family val="2"/>
      <charset val="186"/>
    </font>
    <font>
      <b/>
      <sz val="11"/>
      <color theme="1"/>
      <name val="Calibri"/>
      <family val="2"/>
      <charset val="186"/>
    </font>
    <font>
      <sz val="11"/>
      <color rgb="FF0070C0"/>
      <name val="Calibri"/>
      <family val="2"/>
      <charset val="186"/>
    </font>
  </fonts>
  <fills count="15">
    <fill>
      <patternFill patternType="none"/>
    </fill>
    <fill>
      <patternFill patternType="gray125"/>
    </fill>
    <fill>
      <patternFill patternType="solid">
        <fgColor indexed="9"/>
        <bgColor indexed="26"/>
      </patternFill>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2" tint="-9.9978637043366805E-2"/>
        <bgColor indexed="26"/>
      </patternFill>
    </fill>
    <fill>
      <patternFill patternType="solid">
        <fgColor theme="0" tint="-0.14999847407452621"/>
        <bgColor indexed="26"/>
      </patternFill>
    </fill>
    <fill>
      <patternFill patternType="solid">
        <fgColor theme="0"/>
        <bgColor indexed="26"/>
      </patternFill>
    </fill>
    <fill>
      <patternFill patternType="solid">
        <fgColor rgb="FFFFFFFF"/>
        <bgColor rgb="FFFFFFFF"/>
      </patternFill>
    </fill>
    <fill>
      <patternFill patternType="solid">
        <fgColor rgb="FFFFFFCC"/>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rgb="FFFFFF00"/>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64"/>
      </right>
      <top/>
      <bottom style="thin">
        <color indexed="64"/>
      </bottom>
      <diagonal/>
    </border>
    <border>
      <left style="double">
        <color indexed="64"/>
      </left>
      <right style="double">
        <color indexed="64"/>
      </right>
      <top style="double">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double">
        <color indexed="64"/>
      </left>
      <right style="double">
        <color indexed="64"/>
      </right>
      <top style="thin">
        <color indexed="64"/>
      </top>
      <bottom/>
      <diagonal/>
    </border>
    <border>
      <left style="thin">
        <color indexed="64"/>
      </left>
      <right/>
      <top/>
      <bottom style="thin">
        <color indexed="64"/>
      </bottom>
      <diagonal/>
    </border>
    <border>
      <left style="thin">
        <color indexed="8"/>
      </left>
      <right/>
      <top style="thin">
        <color indexed="8"/>
      </top>
      <bottom style="thin">
        <color indexed="8"/>
      </bottom>
      <diagonal/>
    </border>
    <border>
      <left style="double">
        <color indexed="64"/>
      </left>
      <right style="double">
        <color indexed="64"/>
      </right>
      <top/>
      <bottom style="thin">
        <color indexed="64"/>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double">
        <color indexed="64"/>
      </bottom>
      <diagonal/>
    </border>
    <border>
      <left/>
      <right/>
      <top style="thin">
        <color indexed="64"/>
      </top>
      <bottom/>
      <diagonal/>
    </border>
    <border>
      <left style="double">
        <color indexed="64"/>
      </left>
      <right style="double">
        <color indexed="64"/>
      </right>
      <top style="double">
        <color indexed="64"/>
      </top>
      <bottom style="double">
        <color indexed="64"/>
      </bottom>
      <diagonal/>
    </border>
    <border>
      <left/>
      <right/>
      <top/>
      <bottom style="medium">
        <color theme="0" tint="-0.499984740745262"/>
      </bottom>
      <diagonal/>
    </border>
    <border>
      <left/>
      <right style="medium">
        <color theme="0" tint="-0.499984740745262"/>
      </right>
      <top/>
      <bottom style="medium">
        <color theme="0" tint="-0.499984740745262"/>
      </bottom>
      <diagonal/>
    </border>
  </borders>
  <cellStyleXfs count="4">
    <xf numFmtId="0" fontId="0" fillId="0" borderId="0"/>
    <xf numFmtId="0" fontId="2" fillId="0" borderId="0"/>
    <xf numFmtId="0" fontId="3" fillId="0" borderId="0"/>
    <xf numFmtId="0" fontId="2" fillId="0" borderId="0"/>
  </cellStyleXfs>
  <cellXfs count="380">
    <xf numFmtId="0" fontId="0" fillId="0" borderId="0" xfId="0"/>
    <xf numFmtId="0" fontId="4" fillId="0" borderId="1" xfId="2" applyFont="1" applyBorder="1" applyAlignment="1">
      <alignment horizontal="right" vertical="center" wrapText="1"/>
    </xf>
    <xf numFmtId="49" fontId="5" fillId="0" borderId="1" xfId="2" applyNumberFormat="1" applyFont="1" applyBorder="1" applyAlignment="1">
      <alignment horizontal="center" vertical="center" wrapText="1"/>
    </xf>
    <xf numFmtId="0" fontId="7" fillId="2" borderId="1" xfId="2" applyFont="1" applyFill="1" applyBorder="1" applyAlignment="1">
      <alignment horizontal="justify" vertical="center"/>
    </xf>
    <xf numFmtId="0" fontId="8" fillId="0" borderId="1" xfId="2" applyFont="1" applyBorder="1" applyAlignment="1">
      <alignment horizontal="right" vertical="center"/>
    </xf>
    <xf numFmtId="49" fontId="4" fillId="2" borderId="1" xfId="2" applyNumberFormat="1" applyFont="1" applyFill="1" applyBorder="1" applyAlignment="1">
      <alignment horizontal="center" vertical="center" wrapText="1"/>
    </xf>
    <xf numFmtId="0" fontId="11" fillId="2" borderId="1" xfId="3" applyFont="1" applyFill="1" applyBorder="1" applyAlignment="1">
      <alignment horizontal="center" vertical="center"/>
    </xf>
    <xf numFmtId="0" fontId="12" fillId="0" borderId="1" xfId="3" applyFont="1" applyBorder="1" applyAlignment="1">
      <alignment horizontal="center" vertical="center"/>
    </xf>
    <xf numFmtId="0" fontId="11" fillId="0" borderId="1" xfId="3" applyFont="1" applyBorder="1" applyAlignment="1">
      <alignment horizontal="center" vertical="center"/>
    </xf>
    <xf numFmtId="4" fontId="4" fillId="0" borderId="1" xfId="3" applyNumberFormat="1" applyFont="1" applyBorder="1" applyAlignment="1">
      <alignment horizontal="right" vertical="center"/>
    </xf>
    <xf numFmtId="0" fontId="15" fillId="0" borderId="1" xfId="3" applyFont="1" applyBorder="1" applyAlignment="1">
      <alignment horizontal="left" vertical="center" wrapText="1"/>
    </xf>
    <xf numFmtId="4" fontId="15" fillId="0" borderId="1" xfId="3" applyNumberFormat="1" applyFont="1" applyBorder="1" applyAlignment="1">
      <alignment horizontal="right" vertical="center"/>
    </xf>
    <xf numFmtId="0" fontId="16" fillId="0" borderId="0" xfId="3" applyFont="1" applyAlignment="1">
      <alignment vertical="center"/>
    </xf>
    <xf numFmtId="0" fontId="17" fillId="0" borderId="0" xfId="3" applyFont="1" applyAlignment="1">
      <alignment vertical="center"/>
    </xf>
    <xf numFmtId="0" fontId="5" fillId="0" borderId="0" xfId="0" applyFont="1" applyAlignment="1">
      <alignment wrapText="1"/>
    </xf>
    <xf numFmtId="0" fontId="18" fillId="0" borderId="0" xfId="0" applyFont="1" applyAlignment="1">
      <alignment horizontal="right" wrapText="1"/>
    </xf>
    <xf numFmtId="0" fontId="19" fillId="0" borderId="0" xfId="0" applyFont="1" applyAlignment="1">
      <alignment wrapText="1"/>
    </xf>
    <xf numFmtId="0" fontId="4" fillId="0" borderId="1" xfId="2" applyFont="1" applyBorder="1" applyAlignment="1">
      <alignment horizontal="left" vertical="center" wrapText="1"/>
    </xf>
    <xf numFmtId="0" fontId="18" fillId="0" borderId="1" xfId="2" applyFont="1" applyBorder="1" applyAlignment="1">
      <alignment horizontal="right" vertical="center"/>
    </xf>
    <xf numFmtId="49" fontId="5" fillId="2" borderId="1" xfId="2" applyNumberFormat="1" applyFont="1" applyFill="1" applyBorder="1" applyAlignment="1">
      <alignment horizontal="center" vertical="center" wrapText="1"/>
    </xf>
    <xf numFmtId="0" fontId="12" fillId="0" borderId="1" xfId="0" applyFont="1" applyBorder="1" applyAlignment="1">
      <alignment horizontal="center" wrapText="1"/>
    </xf>
    <xf numFmtId="0" fontId="12" fillId="0" borderId="1" xfId="0" quotePrefix="1" applyFont="1" applyBorder="1" applyAlignment="1">
      <alignment horizontal="center" wrapText="1"/>
    </xf>
    <xf numFmtId="3" fontId="22" fillId="0" borderId="1" xfId="0" applyNumberFormat="1" applyFont="1" applyBorder="1" applyAlignment="1">
      <alignment vertical="center" wrapText="1"/>
    </xf>
    <xf numFmtId="4" fontId="22" fillId="0" borderId="1" xfId="3" applyNumberFormat="1" applyFont="1" applyBorder="1" applyAlignment="1">
      <alignment horizontal="right" vertical="center"/>
    </xf>
    <xf numFmtId="4" fontId="5" fillId="0" borderId="1" xfId="3" applyNumberFormat="1" applyFont="1" applyBorder="1" applyAlignment="1">
      <alignment horizontal="right" vertical="center"/>
    </xf>
    <xf numFmtId="0" fontId="22" fillId="0" borderId="1" xfId="0" applyFont="1" applyBorder="1" applyAlignment="1">
      <alignment horizontal="left" vertical="center" wrapText="1"/>
    </xf>
    <xf numFmtId="3" fontId="19" fillId="0" borderId="0" xfId="0" applyNumberFormat="1" applyFont="1" applyAlignment="1">
      <alignment wrapText="1"/>
    </xf>
    <xf numFmtId="4" fontId="19" fillId="0" borderId="0" xfId="0" applyNumberFormat="1" applyFont="1" applyAlignment="1">
      <alignment wrapText="1"/>
    </xf>
    <xf numFmtId="0" fontId="11" fillId="0" borderId="9" xfId="3" applyFont="1" applyBorder="1" applyAlignment="1">
      <alignment horizontal="center" vertical="center"/>
    </xf>
    <xf numFmtId="0" fontId="19" fillId="0" borderId="0" xfId="3" applyFont="1" applyAlignment="1">
      <alignment vertical="center"/>
    </xf>
    <xf numFmtId="1" fontId="4" fillId="0" borderId="1" xfId="3" applyNumberFormat="1" applyFont="1" applyBorder="1" applyAlignment="1">
      <alignment horizontal="right" vertical="center"/>
    </xf>
    <xf numFmtId="49" fontId="16" fillId="0" borderId="0" xfId="3" applyNumberFormat="1" applyFont="1" applyAlignment="1">
      <alignment vertical="center" wrapText="1"/>
    </xf>
    <xf numFmtId="49" fontId="0" fillId="0" borderId="0" xfId="0" applyNumberFormat="1" applyAlignment="1">
      <alignment vertical="center" wrapText="1"/>
    </xf>
    <xf numFmtId="0" fontId="18" fillId="0" borderId="0" xfId="0" applyFont="1" applyAlignment="1">
      <alignment horizontal="right"/>
    </xf>
    <xf numFmtId="49" fontId="34" fillId="4" borderId="1" xfId="0" applyNumberFormat="1" applyFont="1" applyFill="1" applyBorder="1" applyAlignment="1">
      <alignment horizontal="center" vertical="center" wrapText="1"/>
    </xf>
    <xf numFmtId="0" fontId="1" fillId="0" borderId="0" xfId="0" applyFont="1"/>
    <xf numFmtId="4" fontId="1" fillId="0" borderId="0" xfId="0" applyNumberFormat="1" applyFont="1"/>
    <xf numFmtId="0" fontId="39" fillId="0" borderId="0" xfId="0" applyFont="1"/>
    <xf numFmtId="0" fontId="40" fillId="0" borderId="0" xfId="0" applyFont="1"/>
    <xf numFmtId="49" fontId="34" fillId="5" borderId="1" xfId="0" applyNumberFormat="1" applyFont="1" applyFill="1" applyBorder="1" applyAlignment="1">
      <alignment horizontal="center" vertical="center" wrapText="1"/>
    </xf>
    <xf numFmtId="0" fontId="37" fillId="4" borderId="1" xfId="0" applyFont="1" applyFill="1" applyBorder="1" applyAlignment="1">
      <alignment horizontal="right" vertical="center"/>
    </xf>
    <xf numFmtId="0" fontId="23" fillId="0" borderId="0" xfId="3" applyFont="1" applyAlignment="1">
      <alignment vertical="center"/>
    </xf>
    <xf numFmtId="0" fontId="5" fillId="0" borderId="2" xfId="2" applyFont="1" applyBorder="1" applyAlignment="1">
      <alignment horizontal="right" vertical="center" wrapText="1"/>
    </xf>
    <xf numFmtId="0" fontId="22" fillId="6" borderId="12" xfId="2" applyFont="1" applyFill="1" applyBorder="1" applyAlignment="1">
      <alignment horizontal="center" vertical="center" wrapText="1"/>
    </xf>
    <xf numFmtId="0" fontId="4" fillId="0" borderId="12" xfId="2" applyFont="1" applyBorder="1" applyAlignment="1">
      <alignment horizontal="center" vertical="center" wrapText="1"/>
    </xf>
    <xf numFmtId="49" fontId="22" fillId="6" borderId="16" xfId="2" applyNumberFormat="1" applyFont="1" applyFill="1" applyBorder="1" applyAlignment="1">
      <alignment horizontal="center" vertical="center" wrapText="1"/>
    </xf>
    <xf numFmtId="49" fontId="4" fillId="0" borderId="16" xfId="2" applyNumberFormat="1" applyFont="1" applyBorder="1" applyAlignment="1">
      <alignment horizontal="center" vertical="center" wrapText="1"/>
    </xf>
    <xf numFmtId="0" fontId="8" fillId="2" borderId="2" xfId="2" applyFont="1" applyFill="1" applyBorder="1" applyAlignment="1">
      <alignment horizontal="justify" vertical="center"/>
    </xf>
    <xf numFmtId="0" fontId="45" fillId="6" borderId="16" xfId="2" applyFont="1" applyFill="1" applyBorder="1" applyAlignment="1">
      <alignment horizontal="right" vertical="center"/>
    </xf>
    <xf numFmtId="0" fontId="7" fillId="0" borderId="16" xfId="2" applyFont="1" applyBorder="1" applyAlignment="1">
      <alignment horizontal="right" vertical="center"/>
    </xf>
    <xf numFmtId="0" fontId="8" fillId="0" borderId="3" xfId="2" applyFont="1" applyBorder="1" applyAlignment="1">
      <alignment horizontal="center" vertical="center"/>
    </xf>
    <xf numFmtId="0" fontId="8" fillId="0" borderId="1" xfId="2" applyFont="1" applyBorder="1" applyAlignment="1">
      <alignment horizontal="center" vertical="center"/>
    </xf>
    <xf numFmtId="0" fontId="8" fillId="6" borderId="1" xfId="2" applyFont="1" applyFill="1" applyBorder="1" applyAlignment="1">
      <alignment horizontal="center" vertical="center"/>
    </xf>
    <xf numFmtId="0" fontId="8" fillId="6" borderId="1" xfId="2" applyFont="1" applyFill="1" applyBorder="1" applyAlignment="1">
      <alignment horizontal="right" vertical="center"/>
    </xf>
    <xf numFmtId="0" fontId="26" fillId="0" borderId="0" xfId="3" applyFont="1" applyAlignment="1">
      <alignment vertical="center"/>
    </xf>
    <xf numFmtId="49" fontId="27" fillId="2" borderId="2" xfId="2" applyNumberFormat="1" applyFont="1" applyFill="1" applyBorder="1" applyAlignment="1">
      <alignment horizontal="center" vertical="center" wrapText="1"/>
    </xf>
    <xf numFmtId="49" fontId="46" fillId="7" borderId="16" xfId="2" applyNumberFormat="1" applyFont="1" applyFill="1" applyBorder="1" applyAlignment="1">
      <alignment horizontal="center" vertical="center" wrapText="1"/>
    </xf>
    <xf numFmtId="49" fontId="48" fillId="0" borderId="19" xfId="2" applyNumberFormat="1" applyFont="1" applyBorder="1" applyAlignment="1">
      <alignment horizontal="center" vertical="center" wrapText="1"/>
    </xf>
    <xf numFmtId="49" fontId="27" fillId="0" borderId="15" xfId="2" applyNumberFormat="1" applyFont="1" applyBorder="1" applyAlignment="1">
      <alignment horizontal="center" vertical="center" wrapText="1"/>
    </xf>
    <xf numFmtId="49" fontId="27" fillId="0" borderId="4" xfId="2" applyNumberFormat="1" applyFont="1" applyBorder="1" applyAlignment="1">
      <alignment horizontal="center" vertical="center" wrapText="1"/>
    </xf>
    <xf numFmtId="49" fontId="27" fillId="6" borderId="15" xfId="2" applyNumberFormat="1" applyFont="1" applyFill="1" applyBorder="1" applyAlignment="1">
      <alignment horizontal="center" vertical="center" wrapText="1"/>
    </xf>
    <xf numFmtId="49" fontId="27" fillId="6" borderId="4" xfId="2" applyNumberFormat="1" applyFont="1" applyFill="1" applyBorder="1" applyAlignment="1">
      <alignment horizontal="center" vertical="center" wrapText="1"/>
    </xf>
    <xf numFmtId="0" fontId="51" fillId="0" borderId="0" xfId="3" applyFont="1" applyAlignment="1">
      <alignment vertical="center"/>
    </xf>
    <xf numFmtId="0" fontId="12" fillId="2" borderId="2" xfId="3" applyFont="1" applyFill="1" applyBorder="1" applyAlignment="1">
      <alignment horizontal="center" vertical="center"/>
    </xf>
    <xf numFmtId="0" fontId="12" fillId="7" borderId="16" xfId="3" applyFont="1" applyFill="1" applyBorder="1" applyAlignment="1">
      <alignment horizontal="center" vertical="center"/>
    </xf>
    <xf numFmtId="0" fontId="11" fillId="2" borderId="16" xfId="3" applyFont="1" applyFill="1" applyBorder="1" applyAlignment="1">
      <alignment horizontal="center" vertical="center"/>
    </xf>
    <xf numFmtId="0" fontId="11" fillId="0" borderId="3" xfId="3" applyFont="1" applyBorder="1" applyAlignment="1">
      <alignment horizontal="center" vertical="center"/>
    </xf>
    <xf numFmtId="0" fontId="11" fillId="6" borderId="1" xfId="3" applyFont="1" applyFill="1" applyBorder="1" applyAlignment="1">
      <alignment horizontal="center" vertical="center"/>
    </xf>
    <xf numFmtId="0" fontId="52" fillId="2" borderId="21" xfId="3" applyFont="1" applyFill="1" applyBorder="1" applyAlignment="1">
      <alignment horizontal="left" vertical="center" wrapText="1"/>
    </xf>
    <xf numFmtId="4" fontId="37" fillId="8" borderId="16" xfId="3" applyNumberFormat="1" applyFont="1" applyFill="1" applyBorder="1" applyAlignment="1">
      <alignment horizontal="right" vertical="center" wrapText="1"/>
    </xf>
    <xf numFmtId="4" fontId="38" fillId="9" borderId="16" xfId="3" applyNumberFormat="1" applyFont="1" applyFill="1" applyBorder="1" applyAlignment="1">
      <alignment horizontal="right" vertical="center" wrapText="1"/>
    </xf>
    <xf numFmtId="0" fontId="38" fillId="0" borderId="11" xfId="3" applyFont="1" applyBorder="1" applyAlignment="1">
      <alignment horizontal="center" vertical="center"/>
    </xf>
    <xf numFmtId="4" fontId="38" fillId="0" borderId="6" xfId="3" applyNumberFormat="1" applyFont="1" applyBorder="1" applyAlignment="1">
      <alignment horizontal="right" vertical="center"/>
    </xf>
    <xf numFmtId="0" fontId="38" fillId="0" borderId="6" xfId="3" applyFont="1" applyBorder="1" applyAlignment="1">
      <alignment horizontal="center" vertical="center"/>
    </xf>
    <xf numFmtId="3" fontId="53" fillId="2" borderId="10" xfId="3" applyNumberFormat="1" applyFont="1" applyFill="1" applyBorder="1" applyAlignment="1">
      <alignment horizontal="center" vertical="center"/>
    </xf>
    <xf numFmtId="4" fontId="53" fillId="0" borderId="10" xfId="3" applyNumberFormat="1" applyFont="1" applyBorder="1" applyAlignment="1">
      <alignment horizontal="right" vertical="center"/>
    </xf>
    <xf numFmtId="3" fontId="38" fillId="0" borderId="6" xfId="3" applyNumberFormat="1" applyFont="1" applyBorder="1" applyAlignment="1">
      <alignment horizontal="center" vertical="center"/>
    </xf>
    <xf numFmtId="4" fontId="38" fillId="0" borderId="1" xfId="3" applyNumberFormat="1" applyFont="1" applyBorder="1" applyAlignment="1">
      <alignment horizontal="right" vertical="center"/>
    </xf>
    <xf numFmtId="3" fontId="33" fillId="0" borderId="1" xfId="3" applyNumberFormat="1" applyFont="1" applyBorder="1" applyAlignment="1">
      <alignment horizontal="center" vertical="center"/>
    </xf>
    <xf numFmtId="3" fontId="33" fillId="6" borderId="1" xfId="3" applyNumberFormat="1" applyFont="1" applyFill="1" applyBorder="1" applyAlignment="1">
      <alignment horizontal="center" vertical="center"/>
    </xf>
    <xf numFmtId="3" fontId="33" fillId="6" borderId="1" xfId="3" applyNumberFormat="1" applyFont="1" applyFill="1" applyBorder="1" applyAlignment="1">
      <alignment horizontal="right" vertical="center"/>
    </xf>
    <xf numFmtId="3" fontId="38" fillId="2" borderId="10" xfId="3" applyNumberFormat="1" applyFont="1" applyFill="1" applyBorder="1" applyAlignment="1">
      <alignment horizontal="center" vertical="center"/>
    </xf>
    <xf numFmtId="4" fontId="38" fillId="0" borderId="10" xfId="3" applyNumberFormat="1" applyFont="1" applyBorder="1" applyAlignment="1">
      <alignment horizontal="right" vertical="center"/>
    </xf>
    <xf numFmtId="3" fontId="38" fillId="0" borderId="1" xfId="3" applyNumberFormat="1" applyFont="1" applyBorder="1" applyAlignment="1">
      <alignment horizontal="center" vertical="center"/>
    </xf>
    <xf numFmtId="3" fontId="38" fillId="6" borderId="1" xfId="3" applyNumberFormat="1" applyFont="1" applyFill="1" applyBorder="1" applyAlignment="1">
      <alignment horizontal="center" vertical="center"/>
    </xf>
    <xf numFmtId="3" fontId="38" fillId="6" borderId="1" xfId="3" applyNumberFormat="1" applyFont="1" applyFill="1" applyBorder="1" applyAlignment="1">
      <alignment horizontal="right" vertical="center"/>
    </xf>
    <xf numFmtId="0" fontId="28" fillId="0" borderId="0" xfId="3" applyFont="1" applyAlignment="1">
      <alignment vertical="center"/>
    </xf>
    <xf numFmtId="0" fontId="13" fillId="0" borderId="0" xfId="3" applyFont="1" applyAlignment="1">
      <alignment vertical="center"/>
    </xf>
    <xf numFmtId="4" fontId="38" fillId="2" borderId="16" xfId="3" applyNumberFormat="1" applyFont="1" applyFill="1" applyBorder="1" applyAlignment="1">
      <alignment horizontal="right" vertical="center" wrapText="1"/>
    </xf>
    <xf numFmtId="4" fontId="33" fillId="0" borderId="1" xfId="3" applyNumberFormat="1" applyFont="1" applyBorder="1" applyAlignment="1">
      <alignment horizontal="right" vertical="center"/>
    </xf>
    <xf numFmtId="3" fontId="35" fillId="0" borderId="1" xfId="3" applyNumberFormat="1" applyFont="1" applyBorder="1" applyAlignment="1">
      <alignment horizontal="center" vertical="center"/>
    </xf>
    <xf numFmtId="4" fontId="35" fillId="0" borderId="1" xfId="3" applyNumberFormat="1" applyFont="1" applyBorder="1" applyAlignment="1">
      <alignment horizontal="right" vertical="center"/>
    </xf>
    <xf numFmtId="4" fontId="38" fillId="0" borderId="11" xfId="3" applyNumberFormat="1" applyFont="1" applyBorder="1" applyAlignment="1">
      <alignment horizontal="right" vertical="center"/>
    </xf>
    <xf numFmtId="1" fontId="33" fillId="0" borderId="6" xfId="3" applyNumberFormat="1" applyFont="1" applyBorder="1" applyAlignment="1">
      <alignment horizontal="center" vertical="center"/>
    </xf>
    <xf numFmtId="0" fontId="52" fillId="8" borderId="21" xfId="3" applyFont="1" applyFill="1" applyBorder="1" applyAlignment="1">
      <alignment horizontal="left" vertical="center" wrapText="1"/>
    </xf>
    <xf numFmtId="4" fontId="38" fillId="5" borderId="22" xfId="3" applyNumberFormat="1" applyFont="1" applyFill="1" applyBorder="1" applyAlignment="1">
      <alignment horizontal="right" vertical="center"/>
    </xf>
    <xf numFmtId="3" fontId="38" fillId="5" borderId="11" xfId="3" applyNumberFormat="1" applyFont="1" applyFill="1" applyBorder="1" applyAlignment="1">
      <alignment horizontal="center" vertical="center"/>
    </xf>
    <xf numFmtId="4" fontId="38" fillId="5" borderId="11" xfId="3" applyNumberFormat="1" applyFont="1" applyFill="1" applyBorder="1" applyAlignment="1">
      <alignment horizontal="right" vertical="center"/>
    </xf>
    <xf numFmtId="0" fontId="4" fillId="2" borderId="21" xfId="3" applyFont="1" applyFill="1" applyBorder="1" applyAlignment="1">
      <alignment horizontal="left" vertical="center" wrapText="1"/>
    </xf>
    <xf numFmtId="3" fontId="33" fillId="3" borderId="1" xfId="3" applyNumberFormat="1" applyFont="1" applyFill="1" applyBorder="1" applyAlignment="1">
      <alignment horizontal="center" vertical="center"/>
    </xf>
    <xf numFmtId="4" fontId="38" fillId="3" borderId="1" xfId="3" applyNumberFormat="1" applyFont="1" applyFill="1" applyBorder="1" applyAlignment="1">
      <alignment horizontal="right" vertical="center"/>
    </xf>
    <xf numFmtId="4" fontId="38" fillId="6" borderId="1" xfId="3" applyNumberFormat="1" applyFont="1" applyFill="1" applyBorder="1" applyAlignment="1">
      <alignment horizontal="right" vertical="center"/>
    </xf>
    <xf numFmtId="4" fontId="42" fillId="3" borderId="1" xfId="3" applyNumberFormat="1" applyFont="1" applyFill="1" applyBorder="1" applyAlignment="1">
      <alignment horizontal="right" vertical="center"/>
    </xf>
    <xf numFmtId="0" fontId="54" fillId="9" borderId="1" xfId="3" applyFont="1" applyFill="1" applyBorder="1" applyAlignment="1">
      <alignment horizontal="left" vertical="center" wrapText="1"/>
    </xf>
    <xf numFmtId="0" fontId="29" fillId="10" borderId="23" xfId="0" applyFont="1" applyFill="1" applyBorder="1" applyAlignment="1">
      <alignment horizontal="left" vertical="center" wrapText="1"/>
    </xf>
    <xf numFmtId="0" fontId="4" fillId="0" borderId="21" xfId="3" applyFont="1" applyBorder="1" applyAlignment="1">
      <alignment horizontal="left" vertical="center" wrapText="1"/>
    </xf>
    <xf numFmtId="3" fontId="53" fillId="0" borderId="10" xfId="3" applyNumberFormat="1" applyFont="1" applyBorder="1" applyAlignment="1">
      <alignment horizontal="center" vertical="center"/>
    </xf>
    <xf numFmtId="0" fontId="54" fillId="9" borderId="1" xfId="3" applyFont="1" applyFill="1" applyBorder="1" applyAlignment="1">
      <alignment horizontal="left" vertical="top" wrapText="1"/>
    </xf>
    <xf numFmtId="3" fontId="38" fillId="0" borderId="10" xfId="3" applyNumberFormat="1" applyFont="1" applyBorder="1" applyAlignment="1">
      <alignment horizontal="center" vertical="center"/>
    </xf>
    <xf numFmtId="0" fontId="29" fillId="0" borderId="23" xfId="0" applyFont="1" applyBorder="1" applyAlignment="1">
      <alignment horizontal="left" vertical="center" wrapText="1"/>
    </xf>
    <xf numFmtId="0" fontId="54" fillId="9" borderId="1" xfId="3" applyFont="1" applyFill="1" applyBorder="1" applyAlignment="1">
      <alignment horizontal="center" vertical="center"/>
    </xf>
    <xf numFmtId="0" fontId="4" fillId="0" borderId="23" xfId="0" applyFont="1" applyBorder="1" applyAlignment="1">
      <alignment horizontal="left" vertical="center" wrapText="1"/>
    </xf>
    <xf numFmtId="4" fontId="33" fillId="0" borderId="6" xfId="3" applyNumberFormat="1" applyFont="1" applyBorder="1" applyAlignment="1">
      <alignment horizontal="right" vertical="center"/>
    </xf>
    <xf numFmtId="0" fontId="5" fillId="0" borderId="23" xfId="0" applyFont="1" applyBorder="1" applyAlignment="1">
      <alignment horizontal="left" vertical="center" wrapText="1"/>
    </xf>
    <xf numFmtId="3" fontId="38" fillId="0" borderId="11" xfId="3" applyNumberFormat="1" applyFont="1" applyBorder="1" applyAlignment="1">
      <alignment horizontal="center" vertical="center"/>
    </xf>
    <xf numFmtId="0" fontId="25" fillId="3" borderId="1" xfId="3" applyFont="1" applyFill="1" applyBorder="1" applyAlignment="1">
      <alignment horizontal="left" vertical="center" wrapText="1"/>
    </xf>
    <xf numFmtId="3" fontId="38" fillId="0" borderId="3" xfId="3" applyNumberFormat="1" applyFont="1" applyBorder="1" applyAlignment="1">
      <alignment horizontal="center" vertical="center"/>
    </xf>
    <xf numFmtId="4" fontId="38" fillId="0" borderId="21" xfId="3" applyNumberFormat="1" applyFont="1" applyBorder="1" applyAlignment="1">
      <alignment horizontal="right" vertical="center"/>
    </xf>
    <xf numFmtId="4" fontId="38" fillId="0" borderId="3" xfId="3" applyNumberFormat="1" applyFont="1" applyBorder="1" applyAlignment="1">
      <alignment horizontal="right" vertical="center"/>
    </xf>
    <xf numFmtId="4" fontId="38" fillId="3" borderId="3" xfId="3" applyNumberFormat="1" applyFont="1" applyFill="1" applyBorder="1" applyAlignment="1">
      <alignment horizontal="right" vertical="center"/>
    </xf>
    <xf numFmtId="4" fontId="38" fillId="6" borderId="3" xfId="3" applyNumberFormat="1" applyFont="1" applyFill="1" applyBorder="1" applyAlignment="1">
      <alignment horizontal="right" vertical="center"/>
    </xf>
    <xf numFmtId="4" fontId="42" fillId="3" borderId="3" xfId="3" applyNumberFormat="1" applyFont="1" applyFill="1" applyBorder="1" applyAlignment="1">
      <alignment horizontal="right" vertical="center"/>
    </xf>
    <xf numFmtId="0" fontId="4" fillId="2" borderId="0" xfId="3" applyFont="1" applyFill="1" applyAlignment="1">
      <alignment horizontal="left" vertical="center" wrapText="1"/>
    </xf>
    <xf numFmtId="0" fontId="56" fillId="0" borderId="0" xfId="3" applyFont="1" applyAlignment="1">
      <alignment vertical="center"/>
    </xf>
    <xf numFmtId="0" fontId="52" fillId="0" borderId="0" xfId="3" applyFont="1" applyAlignment="1">
      <alignment vertical="center"/>
    </xf>
    <xf numFmtId="0" fontId="19" fillId="0" borderId="0" xfId="3" applyFont="1" applyAlignment="1">
      <alignment horizontal="center" vertical="center"/>
    </xf>
    <xf numFmtId="0" fontId="30" fillId="0" borderId="0" xfId="3" applyFont="1" applyAlignment="1">
      <alignment horizontal="center" vertical="center" wrapText="1"/>
    </xf>
    <xf numFmtId="0" fontId="23" fillId="0" borderId="0" xfId="3" applyFont="1" applyAlignment="1">
      <alignment horizontal="center" vertical="center"/>
    </xf>
    <xf numFmtId="4" fontId="23" fillId="0" borderId="0" xfId="3" applyNumberFormat="1" applyFont="1" applyAlignment="1">
      <alignment vertical="center"/>
    </xf>
    <xf numFmtId="0" fontId="25" fillId="0" borderId="0" xfId="3" applyFont="1" applyAlignment="1">
      <alignment vertical="center"/>
    </xf>
    <xf numFmtId="4" fontId="23" fillId="0" borderId="0" xfId="3" applyNumberFormat="1" applyFont="1" applyAlignment="1">
      <alignment horizontal="center" vertical="center"/>
    </xf>
    <xf numFmtId="0" fontId="21" fillId="0" borderId="0" xfId="3" applyFont="1" applyAlignment="1">
      <alignment vertical="center" wrapText="1"/>
    </xf>
    <xf numFmtId="0" fontId="2" fillId="0" borderId="0" xfId="3" applyAlignment="1">
      <alignment vertical="center"/>
    </xf>
    <xf numFmtId="49" fontId="15" fillId="6" borderId="1" xfId="2" applyNumberFormat="1" applyFont="1" applyFill="1" applyBorder="1" applyAlignment="1">
      <alignment horizontal="center" vertical="center" wrapText="1"/>
    </xf>
    <xf numFmtId="49" fontId="4" fillId="0" borderId="1" xfId="2" applyNumberFormat="1" applyFont="1" applyBorder="1" applyAlignment="1">
      <alignment horizontal="center" vertical="center" wrapText="1"/>
    </xf>
    <xf numFmtId="0" fontId="58" fillId="6" borderId="1" xfId="2" applyFont="1" applyFill="1" applyBorder="1" applyAlignment="1">
      <alignment horizontal="right" vertical="center"/>
    </xf>
    <xf numFmtId="0" fontId="21" fillId="0" borderId="1" xfId="2" applyFont="1" applyBorder="1" applyAlignment="1">
      <alignment horizontal="right" vertical="center"/>
    </xf>
    <xf numFmtId="0" fontId="7" fillId="0" borderId="1" xfId="2" applyFont="1" applyBorder="1" applyAlignment="1">
      <alignment horizontal="right" vertical="center"/>
    </xf>
    <xf numFmtId="0" fontId="7" fillId="6" borderId="1" xfId="2" applyFont="1" applyFill="1" applyBorder="1" applyAlignment="1">
      <alignment horizontal="right" vertical="center"/>
    </xf>
    <xf numFmtId="0" fontId="9" fillId="0" borderId="0" xfId="3" applyFont="1" applyAlignment="1">
      <alignment vertical="center"/>
    </xf>
    <xf numFmtId="49" fontId="15" fillId="7" borderId="1" xfId="2" applyNumberFormat="1" applyFont="1" applyFill="1" applyBorder="1" applyAlignment="1">
      <alignment horizontal="center" vertical="center" wrapText="1"/>
    </xf>
    <xf numFmtId="0" fontId="11" fillId="7" borderId="1" xfId="3" applyFont="1" applyFill="1" applyBorder="1" applyAlignment="1">
      <alignment horizontal="center" vertical="center"/>
    </xf>
    <xf numFmtId="0" fontId="4" fillId="0" borderId="1" xfId="3" applyFont="1" applyBorder="1" applyAlignment="1">
      <alignment horizontal="left" vertical="center" wrapText="1"/>
    </xf>
    <xf numFmtId="4" fontId="15" fillId="6" borderId="1" xfId="3" applyNumberFormat="1" applyFont="1" applyFill="1" applyBorder="1" applyAlignment="1">
      <alignment horizontal="right" vertical="center" wrapText="1"/>
    </xf>
    <xf numFmtId="4" fontId="4" fillId="0" borderId="1" xfId="3" applyNumberFormat="1" applyFont="1" applyBorder="1" applyAlignment="1">
      <alignment horizontal="right" vertical="center" wrapText="1"/>
    </xf>
    <xf numFmtId="0" fontId="32" fillId="0" borderId="0" xfId="3" applyFont="1" applyAlignment="1">
      <alignment vertical="center"/>
    </xf>
    <xf numFmtId="0" fontId="21" fillId="0" borderId="6" xfId="3" applyFont="1" applyBorder="1" applyAlignment="1">
      <alignment horizontal="center" vertical="center" wrapText="1"/>
    </xf>
    <xf numFmtId="4" fontId="15" fillId="3" borderId="1" xfId="3" applyNumberFormat="1" applyFont="1" applyFill="1" applyBorder="1" applyAlignment="1">
      <alignment horizontal="right" vertical="center" wrapText="1"/>
    </xf>
    <xf numFmtId="3" fontId="15" fillId="0" borderId="1" xfId="3" applyNumberFormat="1" applyFont="1" applyBorder="1" applyAlignment="1">
      <alignment horizontal="center" vertical="center"/>
    </xf>
    <xf numFmtId="1" fontId="15" fillId="0" borderId="1" xfId="3" applyNumberFormat="1" applyFont="1" applyBorder="1" applyAlignment="1">
      <alignment horizontal="center" vertical="center"/>
    </xf>
    <xf numFmtId="4" fontId="14" fillId="0" borderId="1" xfId="3" applyNumberFormat="1" applyFont="1" applyBorder="1" applyAlignment="1">
      <alignment horizontal="left" vertical="center" wrapText="1"/>
    </xf>
    <xf numFmtId="0" fontId="6" fillId="0" borderId="0" xfId="3" applyFont="1" applyAlignment="1">
      <alignment horizontal="left" vertical="center" wrapText="1"/>
    </xf>
    <xf numFmtId="49" fontId="52" fillId="0" borderId="0" xfId="3" applyNumberFormat="1" applyFont="1" applyAlignment="1">
      <alignment vertical="center" wrapText="1"/>
    </xf>
    <xf numFmtId="49" fontId="43" fillId="0" borderId="0" xfId="0" applyNumberFormat="1" applyFont="1" applyAlignment="1">
      <alignment vertical="center" wrapText="1"/>
    </xf>
    <xf numFmtId="4" fontId="43" fillId="0" borderId="0" xfId="0" applyNumberFormat="1" applyFont="1" applyAlignment="1">
      <alignment vertical="center" wrapText="1"/>
    </xf>
    <xf numFmtId="1" fontId="43" fillId="0" borderId="0" xfId="0" applyNumberFormat="1" applyFont="1" applyAlignment="1">
      <alignment vertical="center" wrapText="1"/>
    </xf>
    <xf numFmtId="49" fontId="5" fillId="6" borderId="1" xfId="2" applyNumberFormat="1" applyFont="1" applyFill="1" applyBorder="1" applyAlignment="1">
      <alignment horizontal="center" vertical="center" wrapText="1"/>
    </xf>
    <xf numFmtId="0" fontId="12" fillId="6" borderId="1" xfId="3" applyFont="1" applyFill="1" applyBorder="1" applyAlignment="1">
      <alignment horizontal="center" vertical="center"/>
    </xf>
    <xf numFmtId="1" fontId="5" fillId="6" borderId="1" xfId="3" applyNumberFormat="1" applyFont="1" applyFill="1" applyBorder="1" applyAlignment="1">
      <alignment horizontal="right" vertical="center"/>
    </xf>
    <xf numFmtId="4" fontId="5" fillId="6" borderId="1" xfId="3" applyNumberFormat="1" applyFont="1" applyFill="1" applyBorder="1" applyAlignment="1">
      <alignment horizontal="right" vertical="center"/>
    </xf>
    <xf numFmtId="1" fontId="22" fillId="6" borderId="1" xfId="3" applyNumberFormat="1" applyFont="1" applyFill="1" applyBorder="1" applyAlignment="1">
      <alignment horizontal="center" vertical="center"/>
    </xf>
    <xf numFmtId="4" fontId="22" fillId="6" borderId="1" xfId="3" applyNumberFormat="1" applyFont="1" applyFill="1" applyBorder="1" applyAlignment="1">
      <alignment horizontal="right" vertical="center"/>
    </xf>
    <xf numFmtId="0" fontId="59" fillId="0" borderId="0" xfId="0" applyFont="1" applyAlignment="1">
      <alignment horizontal="left" vertical="top"/>
    </xf>
    <xf numFmtId="0" fontId="19" fillId="0" borderId="0" xfId="0" applyFont="1" applyAlignment="1">
      <alignment horizontal="left" vertical="top"/>
    </xf>
    <xf numFmtId="0" fontId="19" fillId="0" borderId="0" xfId="0" applyFont="1" applyAlignment="1">
      <alignment horizontal="left" vertical="top" wrapText="1"/>
    </xf>
    <xf numFmtId="0" fontId="19" fillId="11" borderId="0" xfId="0" applyFont="1" applyFill="1" applyAlignment="1">
      <alignment horizontal="left" vertical="top"/>
    </xf>
    <xf numFmtId="0" fontId="19" fillId="0" borderId="1" xfId="0" applyFont="1" applyBorder="1" applyAlignment="1">
      <alignment horizontal="center" vertical="center"/>
    </xf>
    <xf numFmtId="0" fontId="19" fillId="11" borderId="1" xfId="0" applyFont="1" applyFill="1" applyBorder="1" applyAlignment="1">
      <alignment horizontal="center" vertical="center"/>
    </xf>
    <xf numFmtId="0" fontId="19" fillId="0" borderId="1" xfId="0" applyFont="1" applyBorder="1" applyAlignment="1">
      <alignment horizontal="center" vertical="top"/>
    </xf>
    <xf numFmtId="0" fontId="19" fillId="0" borderId="2" xfId="0" applyFont="1" applyBorder="1" applyAlignment="1">
      <alignment horizontal="center" vertical="center"/>
    </xf>
    <xf numFmtId="0" fontId="19" fillId="11" borderId="1" xfId="0" applyFont="1" applyFill="1" applyBorder="1" applyAlignment="1">
      <alignment horizontal="center" vertical="top"/>
    </xf>
    <xf numFmtId="0" fontId="19" fillId="0" borderId="2" xfId="0" applyFont="1" applyBorder="1" applyAlignment="1">
      <alignment horizontal="center" vertical="top" wrapText="1"/>
    </xf>
    <xf numFmtId="0" fontId="19" fillId="0" borderId="24" xfId="0" applyFont="1" applyBorder="1" applyAlignment="1">
      <alignment horizontal="left" vertical="top" wrapText="1"/>
    </xf>
    <xf numFmtId="0" fontId="19" fillId="0" borderId="24" xfId="0" applyFont="1" applyBorder="1" applyAlignment="1">
      <alignment vertical="top"/>
    </xf>
    <xf numFmtId="0" fontId="19" fillId="0" borderId="24" xfId="0" applyFont="1" applyBorder="1" applyAlignment="1">
      <alignment horizontal="center" vertical="top"/>
    </xf>
    <xf numFmtId="0" fontId="19" fillId="0" borderId="0" xfId="0" applyFont="1" applyAlignment="1">
      <alignment horizontal="center" vertical="top"/>
    </xf>
    <xf numFmtId="0" fontId="19" fillId="0" borderId="6" xfId="0" applyFont="1" applyBorder="1" applyAlignment="1">
      <alignment horizontal="center" vertical="top"/>
    </xf>
    <xf numFmtId="0" fontId="19" fillId="11" borderId="6" xfId="0" applyFont="1" applyFill="1" applyBorder="1" applyAlignment="1">
      <alignment horizontal="center" vertical="top" wrapText="1"/>
    </xf>
    <xf numFmtId="0" fontId="19" fillId="11" borderId="6" xfId="0" applyFont="1" applyFill="1" applyBorder="1" applyAlignment="1">
      <alignment horizontal="center" vertical="top"/>
    </xf>
    <xf numFmtId="9" fontId="19" fillId="0" borderId="0" xfId="0" applyNumberFormat="1" applyFont="1" applyAlignment="1">
      <alignment horizontal="center" vertical="top" wrapText="1"/>
    </xf>
    <xf numFmtId="0" fontId="19" fillId="11" borderId="1" xfId="0" applyFont="1" applyFill="1" applyBorder="1" applyAlignment="1">
      <alignment horizontal="center" vertical="top" wrapText="1"/>
    </xf>
    <xf numFmtId="9" fontId="19" fillId="0" borderId="0" xfId="0" applyNumberFormat="1" applyFont="1" applyAlignment="1">
      <alignment horizontal="center" vertical="top"/>
    </xf>
    <xf numFmtId="0" fontId="19" fillId="0" borderId="4" xfId="0" applyFont="1" applyBorder="1" applyAlignment="1">
      <alignment horizontal="center" vertical="top"/>
    </xf>
    <xf numFmtId="0" fontId="44" fillId="0" borderId="1" xfId="0" applyFont="1" applyBorder="1" applyAlignment="1">
      <alignment horizontal="center" vertical="top"/>
    </xf>
    <xf numFmtId="0" fontId="44" fillId="11" borderId="1" xfId="0" applyFont="1" applyFill="1" applyBorder="1" applyAlignment="1">
      <alignment horizontal="center" vertical="top" wrapText="1"/>
    </xf>
    <xf numFmtId="0" fontId="44" fillId="11" borderId="1" xfId="0" applyFont="1" applyFill="1" applyBorder="1" applyAlignment="1">
      <alignment horizontal="center" vertical="top"/>
    </xf>
    <xf numFmtId="0" fontId="44" fillId="0" borderId="0" xfId="0" applyFont="1" applyAlignment="1">
      <alignment horizontal="center" vertical="top"/>
    </xf>
    <xf numFmtId="0" fontId="19" fillId="0" borderId="0" xfId="0" applyFont="1" applyAlignment="1">
      <alignment horizontal="center" vertical="top" wrapText="1"/>
    </xf>
    <xf numFmtId="0" fontId="19" fillId="0" borderId="1" xfId="0" applyFont="1" applyBorder="1" applyAlignment="1">
      <alignment horizontal="left" vertical="top" wrapText="1"/>
    </xf>
    <xf numFmtId="0" fontId="19" fillId="0" borderId="1" xfId="0" applyFont="1" applyBorder="1" applyAlignment="1">
      <alignment vertical="top"/>
    </xf>
    <xf numFmtId="0" fontId="19" fillId="0" borderId="1" xfId="0" applyFont="1" applyBorder="1" applyAlignment="1">
      <alignment horizontal="center" vertical="top" wrapText="1"/>
    </xf>
    <xf numFmtId="9" fontId="19" fillId="0" borderId="1" xfId="0" applyNumberFormat="1" applyFont="1" applyBorder="1" applyAlignment="1">
      <alignment horizontal="center" vertical="top" wrapText="1"/>
    </xf>
    <xf numFmtId="9" fontId="19" fillId="0" borderId="0" xfId="0" applyNumberFormat="1" applyFont="1" applyAlignment="1">
      <alignment horizontal="left" vertical="top" wrapText="1"/>
    </xf>
    <xf numFmtId="0" fontId="44" fillId="0" borderId="1" xfId="0" applyFont="1" applyBorder="1" applyAlignment="1">
      <alignment horizontal="center" vertical="top" wrapText="1"/>
    </xf>
    <xf numFmtId="0" fontId="19" fillId="0" borderId="0" xfId="0" applyFont="1" applyAlignment="1">
      <alignment vertical="top"/>
    </xf>
    <xf numFmtId="0" fontId="59" fillId="12" borderId="0" xfId="0" applyFont="1" applyFill="1" applyAlignment="1">
      <alignment horizontal="left" vertical="top"/>
    </xf>
    <xf numFmtId="0" fontId="19" fillId="12" borderId="0" xfId="0" applyFont="1" applyFill="1" applyAlignment="1">
      <alignment horizontal="center" vertical="top" wrapText="1"/>
    </xf>
    <xf numFmtId="0" fontId="19" fillId="12" borderId="0" xfId="0" applyFont="1" applyFill="1" applyAlignment="1">
      <alignment vertical="top"/>
    </xf>
    <xf numFmtId="0" fontId="19" fillId="12" borderId="0" xfId="0" applyFont="1" applyFill="1" applyAlignment="1">
      <alignment horizontal="center" vertical="center" wrapText="1"/>
    </xf>
    <xf numFmtId="0" fontId="19" fillId="12" borderId="7" xfId="0" applyFont="1" applyFill="1" applyBorder="1" applyAlignment="1">
      <alignment horizontal="left" vertical="top"/>
    </xf>
    <xf numFmtId="0" fontId="19" fillId="12" borderId="7" xfId="0" applyFont="1" applyFill="1" applyBorder="1" applyAlignment="1">
      <alignment horizontal="center" vertical="top"/>
    </xf>
    <xf numFmtId="0" fontId="19" fillId="12" borderId="0" xfId="0" applyFont="1" applyFill="1" applyAlignment="1">
      <alignment horizontal="left" vertical="top"/>
    </xf>
    <xf numFmtId="0" fontId="60" fillId="0" borderId="0" xfId="0" applyFont="1" applyAlignment="1">
      <alignment horizontal="left" vertical="top"/>
    </xf>
    <xf numFmtId="0" fontId="19" fillId="12" borderId="0" xfId="0" applyFont="1" applyFill="1" applyAlignment="1">
      <alignment horizontal="center" vertical="top"/>
    </xf>
    <xf numFmtId="0" fontId="61" fillId="12" borderId="0" xfId="0" applyFont="1" applyFill="1" applyAlignment="1">
      <alignment horizontal="center" vertical="top"/>
    </xf>
    <xf numFmtId="49" fontId="22" fillId="6" borderId="1" xfId="2" applyNumberFormat="1" applyFont="1" applyFill="1" applyBorder="1" applyAlignment="1">
      <alignment horizontal="center" vertical="center" wrapText="1"/>
    </xf>
    <xf numFmtId="0" fontId="62" fillId="6" borderId="1" xfId="2" applyFont="1" applyFill="1" applyBorder="1" applyAlignment="1">
      <alignment horizontal="right" vertical="center"/>
    </xf>
    <xf numFmtId="0" fontId="18" fillId="6" borderId="1" xfId="2" applyFont="1" applyFill="1" applyBorder="1" applyAlignment="1">
      <alignment horizontal="right" vertical="center"/>
    </xf>
    <xf numFmtId="49" fontId="10" fillId="6" borderId="1" xfId="2" applyNumberFormat="1" applyFont="1" applyFill="1" applyBorder="1" applyAlignment="1">
      <alignment horizontal="center" vertical="center" wrapText="1"/>
    </xf>
    <xf numFmtId="4" fontId="5" fillId="0" borderId="1" xfId="0" applyNumberFormat="1" applyFont="1" applyBorder="1" applyAlignment="1">
      <alignment vertical="center" wrapText="1"/>
    </xf>
    <xf numFmtId="4" fontId="5" fillId="6" borderId="1" xfId="0" applyNumberFormat="1" applyFont="1" applyFill="1" applyBorder="1"/>
    <xf numFmtId="4" fontId="5" fillId="6" borderId="1" xfId="0" applyNumberFormat="1" applyFont="1" applyFill="1" applyBorder="1" applyAlignment="1">
      <alignment vertical="center" wrapText="1"/>
    </xf>
    <xf numFmtId="0" fontId="65" fillId="0" borderId="0" xfId="0" applyFont="1"/>
    <xf numFmtId="0" fontId="19" fillId="0" borderId="1" xfId="0" applyFont="1" applyBorder="1" applyAlignment="1">
      <alignment horizontal="center" vertical="center" wrapText="1"/>
    </xf>
    <xf numFmtId="0" fontId="59" fillId="6" borderId="1" xfId="0" applyFont="1" applyFill="1" applyBorder="1" applyAlignment="1">
      <alignment horizontal="center" vertical="center" wrapText="1"/>
    </xf>
    <xf numFmtId="0" fontId="67" fillId="3" borderId="1" xfId="0" applyFont="1" applyFill="1" applyBorder="1" applyAlignment="1">
      <alignment horizontal="center" vertical="center" wrapText="1"/>
    </xf>
    <xf numFmtId="0" fontId="19" fillId="0" borderId="0" xfId="0" applyFont="1"/>
    <xf numFmtId="0" fontId="19" fillId="0" borderId="1" xfId="0" applyFont="1" applyBorder="1" applyAlignment="1">
      <alignment horizontal="left" vertical="center" wrapText="1"/>
    </xf>
    <xf numFmtId="4" fontId="19" fillId="0" borderId="1" xfId="0" applyNumberFormat="1" applyFont="1" applyBorder="1" applyAlignment="1">
      <alignment horizontal="right" vertical="top" wrapText="1"/>
    </xf>
    <xf numFmtId="0" fontId="19" fillId="3" borderId="1" xfId="0" applyFont="1" applyFill="1" applyBorder="1" applyAlignment="1">
      <alignment horizontal="center" vertical="center" wrapText="1"/>
    </xf>
    <xf numFmtId="4" fontId="19" fillId="3" borderId="1" xfId="0" applyNumberFormat="1" applyFont="1" applyFill="1" applyBorder="1"/>
    <xf numFmtId="0" fontId="69" fillId="0" borderId="1" xfId="0" applyFont="1" applyBorder="1" applyAlignment="1">
      <alignment horizontal="left" vertical="top" wrapText="1"/>
    </xf>
    <xf numFmtId="4" fontId="69" fillId="0" borderId="1" xfId="0" applyNumberFormat="1" applyFont="1" applyBorder="1" applyAlignment="1">
      <alignment horizontal="right" vertical="top" wrapText="1"/>
    </xf>
    <xf numFmtId="4" fontId="69" fillId="3" borderId="1" xfId="0" applyNumberFormat="1" applyFont="1" applyFill="1" applyBorder="1"/>
    <xf numFmtId="0" fontId="19" fillId="6" borderId="1" xfId="0" applyFont="1" applyFill="1" applyBorder="1" applyAlignment="1">
      <alignment horizontal="left" vertical="top" wrapText="1"/>
    </xf>
    <xf numFmtId="4" fontId="19" fillId="3" borderId="1" xfId="0" applyNumberFormat="1" applyFont="1" applyFill="1" applyBorder="1" applyAlignment="1">
      <alignment horizontal="center" vertical="center" wrapText="1"/>
    </xf>
    <xf numFmtId="4" fontId="19" fillId="3" borderId="1" xfId="0" applyNumberFormat="1" applyFont="1" applyFill="1" applyBorder="1" applyAlignment="1">
      <alignment horizontal="center" vertical="center"/>
    </xf>
    <xf numFmtId="0" fontId="59" fillId="0" borderId="1" xfId="0" applyFont="1" applyBorder="1" applyAlignment="1">
      <alignment horizontal="left" vertical="center" wrapText="1"/>
    </xf>
    <xf numFmtId="4" fontId="59" fillId="0" borderId="1" xfId="0" applyNumberFormat="1" applyFont="1" applyBorder="1" applyAlignment="1">
      <alignment horizontal="right" vertical="center"/>
    </xf>
    <xf numFmtId="4" fontId="59" fillId="3" borderId="1" xfId="0" applyNumberFormat="1" applyFont="1" applyFill="1" applyBorder="1" applyAlignment="1">
      <alignment vertical="center"/>
    </xf>
    <xf numFmtId="2" fontId="0" fillId="0" borderId="0" xfId="0" applyNumberFormat="1"/>
    <xf numFmtId="4" fontId="0" fillId="0" borderId="0" xfId="0" applyNumberFormat="1"/>
    <xf numFmtId="49" fontId="0" fillId="0" borderId="0" xfId="0" applyNumberFormat="1" applyAlignment="1">
      <alignment horizontal="left" vertical="top" wrapText="1"/>
    </xf>
    <xf numFmtId="49" fontId="5" fillId="6" borderId="2" xfId="2" applyNumberFormat="1" applyFont="1" applyFill="1" applyBorder="1" applyAlignment="1">
      <alignment horizontal="center" vertical="center" wrapText="1"/>
    </xf>
    <xf numFmtId="49" fontId="5" fillId="0" borderId="2" xfId="2" applyNumberFormat="1" applyFont="1" applyBorder="1" applyAlignment="1">
      <alignment horizontal="center" vertical="center" wrapText="1"/>
    </xf>
    <xf numFmtId="1" fontId="19" fillId="0" borderId="0" xfId="0" applyNumberFormat="1" applyFont="1"/>
    <xf numFmtId="4" fontId="59" fillId="6" borderId="1" xfId="0" applyNumberFormat="1" applyFont="1" applyFill="1" applyBorder="1" applyAlignment="1">
      <alignment horizontal="right" vertical="center"/>
    </xf>
    <xf numFmtId="1" fontId="0" fillId="0" borderId="0" xfId="0" applyNumberFormat="1"/>
    <xf numFmtId="4" fontId="19" fillId="6" borderId="1" xfId="0" applyNumberFormat="1" applyFont="1" applyFill="1" applyBorder="1" applyAlignment="1">
      <alignment horizontal="right" vertical="top" wrapText="1"/>
    </xf>
    <xf numFmtId="0" fontId="38" fillId="4" borderId="1" xfId="0" applyFont="1" applyFill="1" applyBorder="1" applyAlignment="1">
      <alignment horizontal="justify" vertical="center" wrapText="1"/>
    </xf>
    <xf numFmtId="0" fontId="38" fillId="0" borderId="1" xfId="0" applyFont="1" applyBorder="1" applyAlignment="1">
      <alignment horizontal="justify" vertical="center" wrapText="1"/>
    </xf>
    <xf numFmtId="0" fontId="43" fillId="0" borderId="0" xfId="0" applyFont="1"/>
    <xf numFmtId="0" fontId="74" fillId="0" borderId="0" xfId="2" applyFont="1" applyAlignment="1">
      <alignment horizontal="center" vertical="center" wrapText="1"/>
    </xf>
    <xf numFmtId="0" fontId="8" fillId="3" borderId="1" xfId="2" applyFont="1" applyFill="1" applyBorder="1" applyAlignment="1">
      <alignment horizontal="right" vertical="center"/>
    </xf>
    <xf numFmtId="49" fontId="5" fillId="3" borderId="1" xfId="2" applyNumberFormat="1" applyFont="1" applyFill="1" applyBorder="1" applyAlignment="1">
      <alignment horizontal="center" vertical="center" wrapText="1"/>
    </xf>
    <xf numFmtId="0" fontId="12" fillId="3" borderId="1" xfId="3" applyFont="1" applyFill="1" applyBorder="1" applyAlignment="1">
      <alignment horizontal="center" vertical="center"/>
    </xf>
    <xf numFmtId="4" fontId="4" fillId="6" borderId="1" xfId="3" applyNumberFormat="1" applyFont="1" applyFill="1" applyBorder="1" applyAlignment="1">
      <alignment horizontal="right" vertical="center"/>
    </xf>
    <xf numFmtId="3" fontId="4" fillId="0" borderId="1" xfId="3" applyNumberFormat="1" applyFont="1" applyBorder="1" applyAlignment="1">
      <alignment horizontal="right" vertical="center"/>
    </xf>
    <xf numFmtId="3" fontId="4" fillId="3" borderId="1" xfId="3" applyNumberFormat="1" applyFont="1" applyFill="1" applyBorder="1" applyAlignment="1">
      <alignment horizontal="right" vertical="center"/>
    </xf>
    <xf numFmtId="4" fontId="4" fillId="3" borderId="1" xfId="3" applyNumberFormat="1" applyFont="1" applyFill="1" applyBorder="1" applyAlignment="1">
      <alignment horizontal="right" vertical="center"/>
    </xf>
    <xf numFmtId="3" fontId="4" fillId="6" borderId="1" xfId="3" applyNumberFormat="1" applyFont="1" applyFill="1" applyBorder="1" applyAlignment="1">
      <alignment horizontal="right" vertical="center"/>
    </xf>
    <xf numFmtId="4" fontId="15" fillId="6" borderId="1" xfId="3" applyNumberFormat="1" applyFont="1" applyFill="1" applyBorder="1" applyAlignment="1">
      <alignment horizontal="right" vertical="center"/>
    </xf>
    <xf numFmtId="4" fontId="15" fillId="0" borderId="1" xfId="3" applyNumberFormat="1" applyFont="1" applyBorder="1" applyAlignment="1">
      <alignment horizontal="center" vertical="center"/>
    </xf>
    <xf numFmtId="4" fontId="15" fillId="3" borderId="1" xfId="3" applyNumberFormat="1" applyFont="1" applyFill="1" applyBorder="1" applyAlignment="1">
      <alignment horizontal="center" vertical="center"/>
    </xf>
    <xf numFmtId="4" fontId="15" fillId="3" borderId="1" xfId="3" applyNumberFormat="1" applyFont="1" applyFill="1" applyBorder="1" applyAlignment="1">
      <alignment horizontal="right" vertical="center"/>
    </xf>
    <xf numFmtId="4" fontId="15" fillId="6" borderId="1" xfId="3" applyNumberFormat="1" applyFont="1" applyFill="1" applyBorder="1" applyAlignment="1">
      <alignment horizontal="center" vertical="center"/>
    </xf>
    <xf numFmtId="0" fontId="14" fillId="0" borderId="1" xfId="3" applyFont="1" applyBorder="1" applyAlignment="1">
      <alignment horizontal="left" vertical="center" wrapText="1"/>
    </xf>
    <xf numFmtId="4" fontId="17" fillId="0" borderId="0" xfId="3" applyNumberFormat="1" applyFont="1" applyAlignment="1">
      <alignment vertical="center"/>
    </xf>
    <xf numFmtId="3" fontId="17" fillId="0" borderId="0" xfId="3" applyNumberFormat="1" applyFont="1" applyAlignment="1">
      <alignment vertical="center"/>
    </xf>
    <xf numFmtId="0" fontId="33" fillId="0" borderId="0" xfId="0" applyFont="1"/>
    <xf numFmtId="3" fontId="37" fillId="5" borderId="1" xfId="0" applyNumberFormat="1" applyFont="1" applyFill="1" applyBorder="1" applyAlignment="1">
      <alignment horizontal="right" vertical="center"/>
    </xf>
    <xf numFmtId="3" fontId="38" fillId="4" borderId="1" xfId="0" applyNumberFormat="1" applyFont="1" applyFill="1" applyBorder="1" applyAlignment="1">
      <alignment horizontal="right" vertical="center"/>
    </xf>
    <xf numFmtId="3" fontId="38" fillId="0" borderId="1" xfId="0" applyNumberFormat="1" applyFont="1" applyBorder="1" applyAlignment="1">
      <alignment horizontal="right" vertical="center"/>
    </xf>
    <xf numFmtId="0" fontId="20" fillId="0" borderId="0" xfId="0" applyFont="1" applyAlignment="1">
      <alignment horizontal="left" wrapText="1"/>
    </xf>
    <xf numFmtId="0" fontId="21" fillId="0" borderId="1" xfId="2" applyFont="1" applyBorder="1" applyAlignment="1">
      <alignment horizontal="center" vertical="center" wrapText="1"/>
    </xf>
    <xf numFmtId="0" fontId="4" fillId="0" borderId="1" xfId="2" applyFont="1" applyBorder="1" applyAlignment="1">
      <alignment horizontal="center" vertical="center" wrapText="1"/>
    </xf>
    <xf numFmtId="49" fontId="5" fillId="0" borderId="4" xfId="0" quotePrefix="1" applyNumberFormat="1" applyFont="1" applyBorder="1" applyAlignment="1">
      <alignment horizontal="left" vertical="top" wrapText="1"/>
    </xf>
    <xf numFmtId="49" fontId="64" fillId="0" borderId="5" xfId="0" applyNumberFormat="1" applyFont="1" applyBorder="1" applyAlignment="1">
      <alignment horizontal="left" vertical="top" wrapText="1"/>
    </xf>
    <xf numFmtId="49" fontId="64" fillId="0" borderId="6" xfId="0" applyNumberFormat="1" applyFont="1" applyBorder="1" applyAlignment="1">
      <alignment horizontal="left" vertical="top" wrapText="1"/>
    </xf>
    <xf numFmtId="49" fontId="5" fillId="6" borderId="2" xfId="2" applyNumberFormat="1" applyFont="1" applyFill="1" applyBorder="1" applyAlignment="1">
      <alignment horizontal="center" vertical="center" wrapText="1"/>
    </xf>
    <xf numFmtId="49" fontId="5" fillId="6" borderId="3" xfId="2" applyNumberFormat="1" applyFont="1" applyFill="1" applyBorder="1" applyAlignment="1">
      <alignment horizontal="center" vertical="center" wrapText="1"/>
    </xf>
    <xf numFmtId="0" fontId="7" fillId="3" borderId="2" xfId="3" applyFont="1" applyFill="1" applyBorder="1" applyAlignment="1">
      <alignment horizontal="center" vertical="center"/>
    </xf>
    <xf numFmtId="0" fontId="7" fillId="3" borderId="3" xfId="3" applyFont="1" applyFill="1" applyBorder="1" applyAlignment="1">
      <alignment horizontal="center" vertical="center"/>
    </xf>
    <xf numFmtId="3" fontId="35" fillId="3" borderId="4" xfId="3" applyNumberFormat="1" applyFont="1" applyFill="1" applyBorder="1" applyAlignment="1">
      <alignment horizontal="left" vertical="center" wrapText="1"/>
    </xf>
    <xf numFmtId="3" fontId="35" fillId="3" borderId="5" xfId="3" applyNumberFormat="1" applyFont="1" applyFill="1" applyBorder="1" applyAlignment="1">
      <alignment horizontal="left" vertical="center" wrapText="1"/>
    </xf>
    <xf numFmtId="3" fontId="35" fillId="3" borderId="6" xfId="3" applyNumberFormat="1" applyFont="1" applyFill="1" applyBorder="1" applyAlignment="1">
      <alignment horizontal="left" vertical="center" wrapText="1"/>
    </xf>
    <xf numFmtId="0" fontId="35" fillId="9" borderId="4" xfId="3" applyFont="1" applyFill="1" applyBorder="1" applyAlignment="1">
      <alignment horizontal="left" vertical="center" wrapText="1"/>
    </xf>
    <xf numFmtId="0" fontId="35" fillId="9" borderId="5" xfId="3" applyFont="1" applyFill="1" applyBorder="1" applyAlignment="1">
      <alignment horizontal="left" vertical="center" wrapText="1"/>
    </xf>
    <xf numFmtId="0" fontId="35" fillId="9" borderId="6" xfId="3" applyFont="1" applyFill="1" applyBorder="1" applyAlignment="1">
      <alignment horizontal="left" vertical="center" wrapText="1"/>
    </xf>
    <xf numFmtId="0" fontId="42" fillId="9" borderId="4" xfId="3" applyFont="1" applyFill="1" applyBorder="1" applyAlignment="1">
      <alignment horizontal="left" vertical="center" wrapText="1"/>
    </xf>
    <xf numFmtId="0" fontId="42" fillId="9" borderId="5" xfId="3" applyFont="1" applyFill="1" applyBorder="1" applyAlignment="1">
      <alignment horizontal="left" vertical="center" wrapText="1"/>
    </xf>
    <xf numFmtId="0" fontId="42" fillId="9" borderId="6" xfId="3" applyFont="1" applyFill="1" applyBorder="1" applyAlignment="1">
      <alignment horizontal="left" vertical="center" wrapText="1"/>
    </xf>
    <xf numFmtId="0" fontId="44" fillId="0" borderId="14" xfId="3" applyFont="1" applyBorder="1" applyAlignment="1">
      <alignment horizontal="center" vertical="center" wrapText="1"/>
    </xf>
    <xf numFmtId="0" fontId="44" fillId="0" borderId="15" xfId="3" applyFont="1" applyBorder="1" applyAlignment="1">
      <alignment horizontal="center" vertical="center" wrapText="1"/>
    </xf>
    <xf numFmtId="0" fontId="44" fillId="0" borderId="17" xfId="3" applyFont="1" applyBorder="1" applyAlignment="1">
      <alignment horizontal="center" vertical="center" wrapText="1"/>
    </xf>
    <xf numFmtId="0" fontId="44" fillId="0" borderId="18" xfId="3" applyFont="1" applyBorder="1" applyAlignment="1">
      <alignment horizontal="center" vertical="center" wrapText="1"/>
    </xf>
    <xf numFmtId="0" fontId="44" fillId="0" borderId="20" xfId="3" applyFont="1" applyBorder="1" applyAlignment="1">
      <alignment horizontal="center" vertical="center" wrapText="1"/>
    </xf>
    <xf numFmtId="0" fontId="44" fillId="0" borderId="11" xfId="3" applyFont="1" applyBorder="1" applyAlignment="1">
      <alignment horizontal="center" vertical="center" wrapText="1"/>
    </xf>
    <xf numFmtId="49" fontId="5" fillId="0" borderId="3" xfId="2" applyNumberFormat="1" applyFont="1" applyBorder="1" applyAlignment="1">
      <alignment horizontal="center" vertical="center" wrapText="1"/>
    </xf>
    <xf numFmtId="49" fontId="5" fillId="0" borderId="1" xfId="2" applyNumberFormat="1" applyFont="1" applyBorder="1" applyAlignment="1">
      <alignment horizontal="center" vertical="center" wrapText="1"/>
    </xf>
    <xf numFmtId="49" fontId="5" fillId="0" borderId="8" xfId="2" applyNumberFormat="1" applyFont="1" applyBorder="1" applyAlignment="1">
      <alignment horizontal="center" vertical="center" wrapText="1"/>
    </xf>
    <xf numFmtId="49" fontId="5" fillId="0" borderId="2" xfId="2" applyNumberFormat="1" applyFont="1" applyBorder="1" applyAlignment="1">
      <alignment horizontal="center" vertical="center" wrapText="1"/>
    </xf>
    <xf numFmtId="49" fontId="22" fillId="6" borderId="2" xfId="2" applyNumberFormat="1" applyFont="1" applyFill="1" applyBorder="1" applyAlignment="1">
      <alignment horizontal="center" vertical="center" wrapText="1"/>
    </xf>
    <xf numFmtId="49" fontId="22" fillId="6" borderId="3" xfId="2" applyNumberFormat="1" applyFont="1" applyFill="1" applyBorder="1" applyAlignment="1">
      <alignment horizontal="center" vertical="center" wrapText="1"/>
    </xf>
    <xf numFmtId="0" fontId="18" fillId="0" borderId="0" xfId="3" applyFont="1" applyAlignment="1">
      <alignment horizontal="right" vertical="center" wrapText="1"/>
    </xf>
    <xf numFmtId="0" fontId="24" fillId="0" borderId="7" xfId="2" applyFont="1" applyBorder="1" applyAlignment="1">
      <alignment horizontal="left" vertical="center" wrapText="1"/>
    </xf>
    <xf numFmtId="0" fontId="24" fillId="0" borderId="0" xfId="2" applyFont="1" applyAlignment="1">
      <alignment horizontal="left" vertical="center" wrapText="1"/>
    </xf>
    <xf numFmtId="49" fontId="5" fillId="0" borderId="13" xfId="2" applyNumberFormat="1" applyFont="1" applyBorder="1" applyAlignment="1">
      <alignment horizontal="center" vertical="center" wrapText="1"/>
    </xf>
    <xf numFmtId="0" fontId="14" fillId="0" borderId="4" xfId="3" applyFont="1" applyBorder="1" applyAlignment="1">
      <alignment horizontal="center" vertical="center" wrapText="1"/>
    </xf>
    <xf numFmtId="0" fontId="14" fillId="0" borderId="5" xfId="3" applyFont="1" applyBorder="1" applyAlignment="1">
      <alignment horizontal="center" vertical="center" wrapText="1"/>
    </xf>
    <xf numFmtId="0" fontId="14" fillId="0" borderId="6" xfId="3" applyFont="1" applyBorder="1" applyAlignment="1">
      <alignment horizontal="center" vertical="center" wrapText="1"/>
    </xf>
    <xf numFmtId="0" fontId="6" fillId="0" borderId="4" xfId="3" applyFont="1" applyBorder="1" applyAlignment="1">
      <alignment horizontal="center" vertical="center" wrapText="1"/>
    </xf>
    <xf numFmtId="0" fontId="6" fillId="0" borderId="5" xfId="3" applyFont="1" applyBorder="1" applyAlignment="1">
      <alignment horizontal="center" vertical="center" wrapText="1"/>
    </xf>
    <xf numFmtId="0" fontId="6" fillId="0" borderId="6" xfId="3" applyFont="1" applyBorder="1" applyAlignment="1">
      <alignment horizontal="center" vertical="center" wrapText="1"/>
    </xf>
    <xf numFmtId="49" fontId="5" fillId="3" borderId="2" xfId="2" applyNumberFormat="1" applyFont="1" applyFill="1" applyBorder="1" applyAlignment="1">
      <alignment horizontal="center" vertical="center" wrapText="1"/>
    </xf>
    <xf numFmtId="49" fontId="5" fillId="3" borderId="3" xfId="2" applyNumberFormat="1" applyFont="1" applyFill="1" applyBorder="1" applyAlignment="1">
      <alignment horizontal="center" vertical="center" wrapText="1"/>
    </xf>
    <xf numFmtId="0" fontId="73" fillId="0" borderId="0" xfId="3" applyFont="1" applyAlignment="1">
      <alignment horizontal="right" vertical="center" wrapText="1"/>
    </xf>
    <xf numFmtId="0" fontId="74" fillId="0" borderId="0" xfId="2" applyFont="1" applyAlignment="1">
      <alignment horizontal="left" vertical="center" wrapText="1"/>
    </xf>
    <xf numFmtId="49" fontId="4" fillId="6" borderId="1" xfId="2" applyNumberFormat="1" applyFont="1" applyFill="1" applyBorder="1" applyAlignment="1">
      <alignment horizontal="center" vertical="center" wrapText="1"/>
    </xf>
    <xf numFmtId="0" fontId="21" fillId="0" borderId="4" xfId="3" applyFont="1" applyBorder="1" applyAlignment="1">
      <alignment horizontal="center" vertical="center" wrapText="1"/>
    </xf>
    <xf numFmtId="0" fontId="21" fillId="0" borderId="5" xfId="3" applyFont="1" applyBorder="1" applyAlignment="1">
      <alignment horizontal="center" vertical="center" wrapText="1"/>
    </xf>
    <xf numFmtId="0" fontId="21" fillId="0" borderId="6" xfId="3" applyFont="1" applyBorder="1" applyAlignment="1">
      <alignment horizontal="center" vertical="center" wrapText="1"/>
    </xf>
    <xf numFmtId="0" fontId="21" fillId="0" borderId="1" xfId="3" applyFont="1" applyBorder="1" applyAlignment="1">
      <alignment horizontal="center" vertical="center" wrapText="1"/>
    </xf>
    <xf numFmtId="49" fontId="4" fillId="0" borderId="1" xfId="2" applyNumberFormat="1" applyFont="1" applyBorder="1" applyAlignment="1">
      <alignment horizontal="center" vertical="center" wrapText="1"/>
    </xf>
    <xf numFmtId="0" fontId="4" fillId="0" borderId="4" xfId="3" applyFont="1" applyBorder="1" applyAlignment="1">
      <alignment horizontal="left" vertical="center" wrapText="1"/>
    </xf>
    <xf numFmtId="0" fontId="43" fillId="0" borderId="5" xfId="0" applyFont="1" applyBorder="1" applyAlignment="1">
      <alignment horizontal="left" vertical="center" wrapText="1"/>
    </xf>
    <xf numFmtId="0" fontId="43" fillId="0" borderId="6" xfId="0" applyFont="1" applyBorder="1" applyAlignment="1">
      <alignment horizontal="left" vertical="center" wrapText="1"/>
    </xf>
    <xf numFmtId="0" fontId="57" fillId="0" borderId="0" xfId="2" applyFont="1" applyAlignment="1">
      <alignment horizontal="left" vertical="center" wrapText="1"/>
    </xf>
    <xf numFmtId="0" fontId="19" fillId="0" borderId="0" xfId="0" applyFont="1" applyAlignment="1">
      <alignment horizontal="center" vertical="top"/>
    </xf>
    <xf numFmtId="0" fontId="61" fillId="0" borderId="0" xfId="0" applyFont="1" applyAlignment="1">
      <alignment horizontal="center" vertical="top"/>
    </xf>
    <xf numFmtId="0" fontId="19" fillId="0" borderId="0" xfId="0" applyFont="1" applyAlignment="1">
      <alignment horizontal="left" vertical="top" wrapText="1"/>
    </xf>
    <xf numFmtId="0" fontId="59" fillId="11" borderId="0" xfId="0" applyFont="1" applyFill="1" applyAlignment="1">
      <alignment horizontal="left" vertical="top"/>
    </xf>
    <xf numFmtId="0" fontId="19" fillId="0" borderId="0" xfId="0" applyFont="1" applyAlignment="1">
      <alignment horizontal="left" vertical="top"/>
    </xf>
    <xf numFmtId="49" fontId="20" fillId="0" borderId="0" xfId="0" applyNumberFormat="1" applyFont="1" applyAlignment="1">
      <alignment horizontal="left" vertical="top" wrapText="1"/>
    </xf>
    <xf numFmtId="0" fontId="0" fillId="0" borderId="0" xfId="0" applyAlignment="1">
      <alignment horizontal="left" vertical="top" wrapText="1"/>
    </xf>
    <xf numFmtId="49" fontId="48" fillId="6" borderId="4" xfId="2" applyNumberFormat="1" applyFont="1" applyFill="1" applyBorder="1" applyAlignment="1">
      <alignment horizontal="center" vertical="center" wrapText="1"/>
    </xf>
    <xf numFmtId="0" fontId="38" fillId="3" borderId="6" xfId="3" applyFont="1" applyFill="1" applyBorder="1" applyAlignment="1">
      <alignment horizontal="center" vertical="center"/>
    </xf>
    <xf numFmtId="4" fontId="38" fillId="3" borderId="6" xfId="3" applyNumberFormat="1" applyFont="1" applyFill="1" applyBorder="1" applyAlignment="1">
      <alignment horizontal="right" vertical="center"/>
    </xf>
    <xf numFmtId="3" fontId="38" fillId="9" borderId="10" xfId="3" applyNumberFormat="1" applyFont="1" applyFill="1" applyBorder="1" applyAlignment="1">
      <alignment horizontal="center" vertical="center"/>
    </xf>
    <xf numFmtId="4" fontId="38" fillId="3" borderId="10" xfId="3" applyNumberFormat="1" applyFont="1" applyFill="1" applyBorder="1" applyAlignment="1">
      <alignment horizontal="right" vertical="center"/>
    </xf>
    <xf numFmtId="3" fontId="38" fillId="3" borderId="6" xfId="3" applyNumberFormat="1" applyFont="1" applyFill="1" applyBorder="1" applyAlignment="1">
      <alignment horizontal="center" vertical="center"/>
    </xf>
    <xf numFmtId="0" fontId="78" fillId="0" borderId="23" xfId="0" applyFont="1" applyBorder="1" applyAlignment="1">
      <alignment horizontal="left" vertical="center" wrapText="1"/>
    </xf>
    <xf numFmtId="0" fontId="78" fillId="10" borderId="23" xfId="0" applyFont="1" applyFill="1" applyBorder="1" applyAlignment="1">
      <alignment horizontal="left" vertical="center" wrapText="1"/>
    </xf>
    <xf numFmtId="0" fontId="22" fillId="0" borderId="14" xfId="3" applyFont="1" applyBorder="1" applyAlignment="1">
      <alignment horizontal="right" vertical="center" wrapText="1"/>
    </xf>
    <xf numFmtId="4" fontId="22" fillId="6" borderId="19" xfId="3" applyNumberFormat="1" applyFont="1" applyFill="1" applyBorder="1" applyAlignment="1">
      <alignment horizontal="right" vertical="center"/>
    </xf>
    <xf numFmtId="4" fontId="15" fillId="0" borderId="19" xfId="3" applyNumberFormat="1" applyFont="1" applyBorder="1" applyAlignment="1">
      <alignment horizontal="right" vertical="center"/>
    </xf>
    <xf numFmtId="3" fontId="22" fillId="3" borderId="15" xfId="3" applyNumberFormat="1" applyFont="1" applyFill="1" applyBorder="1" applyAlignment="1">
      <alignment horizontal="center" vertical="center"/>
    </xf>
    <xf numFmtId="4" fontId="22" fillId="3" borderId="15" xfId="3" applyNumberFormat="1" applyFont="1" applyFill="1" applyBorder="1" applyAlignment="1">
      <alignment horizontal="right" vertical="center"/>
    </xf>
    <xf numFmtId="4" fontId="22" fillId="3" borderId="15" xfId="3" applyNumberFormat="1" applyFont="1" applyFill="1" applyBorder="1" applyAlignment="1">
      <alignment horizontal="center" vertical="center"/>
    </xf>
    <xf numFmtId="4" fontId="22" fillId="3" borderId="25" xfId="3" applyNumberFormat="1" applyFont="1" applyFill="1" applyBorder="1" applyAlignment="1">
      <alignment horizontal="right" vertical="center"/>
    </xf>
    <xf numFmtId="3" fontId="22" fillId="3" borderId="4" xfId="3" applyNumberFormat="1" applyFont="1" applyFill="1" applyBorder="1" applyAlignment="1">
      <alignment horizontal="center" vertical="center"/>
    </xf>
    <xf numFmtId="3" fontId="22" fillId="6" borderId="15" xfId="3" applyNumberFormat="1" applyFont="1" applyFill="1" applyBorder="1" applyAlignment="1">
      <alignment horizontal="center" vertical="center"/>
    </xf>
    <xf numFmtId="4" fontId="22" fillId="6" borderId="15" xfId="3" applyNumberFormat="1" applyFont="1" applyFill="1" applyBorder="1" applyAlignment="1">
      <alignment horizontal="right" vertical="center"/>
    </xf>
    <xf numFmtId="0" fontId="55" fillId="3" borderId="1" xfId="3" applyFont="1" applyFill="1" applyBorder="1" applyAlignment="1">
      <alignment horizontal="center" vertical="center" wrapText="1"/>
    </xf>
    <xf numFmtId="0" fontId="19" fillId="0" borderId="1" xfId="3" applyFont="1" applyBorder="1" applyAlignment="1">
      <alignment horizontal="right" vertical="center"/>
    </xf>
    <xf numFmtId="0" fontId="52" fillId="0" borderId="1" xfId="3" applyFont="1" applyBorder="1" applyAlignment="1">
      <alignment vertical="center"/>
    </xf>
    <xf numFmtId="0" fontId="19" fillId="0" borderId="1" xfId="3" applyFont="1" applyBorder="1" applyAlignment="1">
      <alignment horizontal="center" vertical="center"/>
    </xf>
    <xf numFmtId="4" fontId="19" fillId="0" borderId="1" xfId="3" applyNumberFormat="1" applyFont="1" applyBorder="1" applyAlignment="1">
      <alignment vertical="center"/>
    </xf>
    <xf numFmtId="3" fontId="19" fillId="0" borderId="1" xfId="3" applyNumberFormat="1" applyFont="1" applyBorder="1" applyAlignment="1">
      <alignment horizontal="center" vertical="center"/>
    </xf>
    <xf numFmtId="0" fontId="19" fillId="0" borderId="1" xfId="3" applyFont="1" applyBorder="1" applyAlignment="1">
      <alignment vertical="center"/>
    </xf>
    <xf numFmtId="0" fontId="30" fillId="0" borderId="1" xfId="3" applyFont="1" applyBorder="1" applyAlignment="1">
      <alignment horizontal="center" vertical="center" wrapText="1"/>
    </xf>
    <xf numFmtId="0" fontId="23" fillId="0" borderId="1" xfId="3" applyFont="1" applyBorder="1" applyAlignment="1">
      <alignment vertical="center"/>
    </xf>
    <xf numFmtId="0" fontId="23" fillId="0" borderId="1" xfId="3" applyFont="1" applyBorder="1" applyAlignment="1">
      <alignment horizontal="center" vertical="center"/>
    </xf>
    <xf numFmtId="4" fontId="23" fillId="0" borderId="1" xfId="3" applyNumberFormat="1" applyFont="1" applyBorder="1" applyAlignment="1">
      <alignment vertical="center"/>
    </xf>
    <xf numFmtId="0" fontId="25" fillId="0" borderId="2" xfId="3" applyFont="1" applyBorder="1" applyAlignment="1">
      <alignment horizontal="left" vertical="center" wrapText="1"/>
    </xf>
    <xf numFmtId="0" fontId="25" fillId="0" borderId="3" xfId="3" applyFont="1" applyBorder="1" applyAlignment="1">
      <alignment horizontal="left" vertical="center" wrapText="1"/>
    </xf>
    <xf numFmtId="0" fontId="59" fillId="13" borderId="1" xfId="3" applyFont="1" applyFill="1" applyBorder="1" applyAlignment="1">
      <alignment horizontal="right" vertical="center"/>
    </xf>
    <xf numFmtId="4" fontId="22" fillId="14" borderId="26" xfId="3" applyNumberFormat="1" applyFont="1" applyFill="1" applyBorder="1" applyAlignment="1">
      <alignment horizontal="right" vertical="center"/>
    </xf>
    <xf numFmtId="0" fontId="79" fillId="0" borderId="1" xfId="3" applyFont="1" applyBorder="1" applyAlignment="1">
      <alignment vertical="center"/>
    </xf>
    <xf numFmtId="0" fontId="59" fillId="0" borderId="1" xfId="3" applyFont="1" applyBorder="1" applyAlignment="1">
      <alignment horizontal="center" vertical="center"/>
    </xf>
    <xf numFmtId="0" fontId="59" fillId="0" borderId="1" xfId="3" applyFont="1" applyBorder="1" applyAlignment="1">
      <alignment vertical="center"/>
    </xf>
    <xf numFmtId="0" fontId="80" fillId="0" borderId="1" xfId="3" applyFont="1" applyBorder="1" applyAlignment="1">
      <alignment horizontal="center" vertical="center" wrapText="1"/>
    </xf>
    <xf numFmtId="0" fontId="81" fillId="0" borderId="1" xfId="3" applyFont="1" applyBorder="1" applyAlignment="1">
      <alignment vertical="center"/>
    </xf>
    <xf numFmtId="0" fontId="81" fillId="0" borderId="1" xfId="3" applyFont="1" applyBorder="1" applyAlignment="1">
      <alignment horizontal="center" vertical="center"/>
    </xf>
    <xf numFmtId="4" fontId="81" fillId="0" borderId="1" xfId="3" applyNumberFormat="1" applyFont="1" applyBorder="1" applyAlignment="1">
      <alignment vertical="center"/>
    </xf>
    <xf numFmtId="0" fontId="25" fillId="0" borderId="2" xfId="3" applyFont="1" applyBorder="1" applyAlignment="1">
      <alignment horizontal="center" vertical="center"/>
    </xf>
    <xf numFmtId="0" fontId="25" fillId="0" borderId="3" xfId="3" applyFont="1" applyBorder="1" applyAlignment="1">
      <alignment horizontal="center" vertical="center"/>
    </xf>
    <xf numFmtId="0" fontId="4" fillId="3" borderId="27" xfId="0" applyFont="1" applyFill="1" applyBorder="1" applyAlignment="1">
      <alignment horizontal="right" vertical="center"/>
    </xf>
    <xf numFmtId="164" fontId="4" fillId="3" borderId="28" xfId="0" applyNumberFormat="1" applyFont="1" applyFill="1" applyBorder="1" applyAlignment="1">
      <alignment horizontal="center" vertical="center"/>
    </xf>
    <xf numFmtId="0" fontId="82" fillId="0" borderId="0" xfId="3" applyFont="1" applyAlignment="1">
      <alignment horizontal="center" vertical="center"/>
    </xf>
    <xf numFmtId="0" fontId="82" fillId="0" borderId="0" xfId="3" applyFont="1" applyAlignment="1">
      <alignment vertical="center"/>
    </xf>
    <xf numFmtId="0" fontId="12" fillId="6" borderId="9" xfId="3" applyFont="1" applyFill="1" applyBorder="1" applyAlignment="1">
      <alignment horizontal="center" vertical="center"/>
    </xf>
    <xf numFmtId="4" fontId="33" fillId="6" borderId="1" xfId="3" applyNumberFormat="1" applyFont="1" applyFill="1" applyBorder="1" applyAlignment="1">
      <alignment horizontal="right" vertical="center"/>
    </xf>
    <xf numFmtId="4" fontId="33" fillId="6" borderId="3" xfId="3" applyNumberFormat="1" applyFont="1" applyFill="1" applyBorder="1" applyAlignment="1">
      <alignment horizontal="right" vertical="center"/>
    </xf>
    <xf numFmtId="3" fontId="27" fillId="3" borderId="1" xfId="0" applyNumberFormat="1" applyFont="1" applyFill="1" applyBorder="1" applyAlignment="1">
      <alignment horizontal="right" vertical="center"/>
    </xf>
    <xf numFmtId="0" fontId="23" fillId="0" borderId="1" xfId="3" applyFont="1" applyBorder="1" applyAlignment="1">
      <alignment horizontal="right" vertical="center"/>
    </xf>
    <xf numFmtId="0" fontId="59" fillId="13" borderId="1" xfId="3" applyFont="1" applyFill="1" applyBorder="1" applyAlignment="1">
      <alignment horizontal="center" vertical="center"/>
    </xf>
    <xf numFmtId="4" fontId="59" fillId="13" borderId="1" xfId="3" applyNumberFormat="1" applyFont="1" applyFill="1" applyBorder="1" applyAlignment="1">
      <alignment vertical="center"/>
    </xf>
    <xf numFmtId="3" fontId="59" fillId="13" borderId="1" xfId="3" applyNumberFormat="1" applyFont="1" applyFill="1" applyBorder="1" applyAlignment="1">
      <alignment horizontal="center" vertical="center"/>
    </xf>
    <xf numFmtId="3" fontId="59" fillId="13" borderId="1" xfId="3" applyNumberFormat="1" applyFont="1" applyFill="1" applyBorder="1" applyAlignment="1">
      <alignment vertical="center"/>
    </xf>
  </cellXfs>
  <cellStyles count="4">
    <cellStyle name="Excel Built-in Normal" xfId="1" xr:uid="{EE99FFF7-27E9-4046-B9B8-927E8429B518}"/>
    <cellStyle name="Excel Built-in Normal 1" xfId="2" xr:uid="{7B4E7D8F-FE4A-41A6-B349-2DB08C4BBCB4}"/>
    <cellStyle name="Excel Built-in Normal 2" xfId="3" xr:uid="{95156611-AC14-47F3-B24A-D40C0CBED85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https://vide.sharepoint.com/sites/Dep.plns/Koplietojamie%20dokumenti/General/01_RAIN%20darbu%20mape/LNG/LNG_2024/UC%20atbalsts/R&#299;gas%20koordin&#257;cijas%20centrs%20UC/Tie&#353;saistes%20tabula%20R&#299;gas%20izdevumu%20ievad&#299;&#353;anai/Parrekins_2024_janvaris_novembris.xlsx" TargetMode="External"/><Relationship Id="rId2" Type="http://schemas.microsoft.com/office/2019/04/relationships/externalLinkLongPath" Target="https://vide.sharepoint.com/sites/Dep.plns/Koplietojamie%20dokumenti/General/01_RAIN%20darbu%20mape/LNG/LNG_2024/UC%20atbalsts/R&#299;gas%20koordin&#257;cijas%20centrs%20UC/Tie&#353;saistes%20tabula%20R&#299;gas%20izdevumu%20ievad&#299;&#353;anai/Parrekins_2024_janvaris_novembris.xlsx?12D0DA09" TargetMode="External"/><Relationship Id="rId1" Type="http://schemas.openxmlformats.org/officeDocument/2006/relationships/externalLinkPath" Target="file:///\\12D0DA09\Parrekins_2024_janvaris_novembri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Noslogojums"/>
      <sheetName val="Izdevumi"/>
      <sheetName val="Pārrēķins"/>
      <sheetName val="Maksājumi II cet"/>
      <sheetName val="Maksājumi III ceturksnis"/>
      <sheetName val="Maksājumi 2024.oktobris_nov"/>
    </sheetNames>
    <sheetDataSet>
      <sheetData sheetId="0"/>
      <sheetData sheetId="1">
        <row r="9">
          <cell r="C9">
            <v>31954.260000000002</v>
          </cell>
        </row>
        <row r="19">
          <cell r="C19">
            <v>24450.63</v>
          </cell>
        </row>
        <row r="29">
          <cell r="C29">
            <v>21875.040000000001</v>
          </cell>
        </row>
        <row r="40">
          <cell r="C40">
            <v>17481.59</v>
          </cell>
        </row>
        <row r="50">
          <cell r="C50">
            <v>12991.009999999998</v>
          </cell>
        </row>
        <row r="60">
          <cell r="C60">
            <v>12490.18</v>
          </cell>
        </row>
        <row r="70">
          <cell r="C70">
            <v>12606.259999999998</v>
          </cell>
        </row>
        <row r="80">
          <cell r="C80">
            <v>11506.55</v>
          </cell>
        </row>
        <row r="90">
          <cell r="C90">
            <v>11306.300000000001</v>
          </cell>
        </row>
        <row r="100">
          <cell r="C100">
            <v>16011.660000000002</v>
          </cell>
        </row>
        <row r="110">
          <cell r="C110">
            <v>18774.749999999996</v>
          </cell>
        </row>
      </sheetData>
      <sheetData sheetId="2"/>
      <sheetData sheetId="3"/>
      <sheetData sheetId="4"/>
      <sheetData sheetId="5"/>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0D5F7-D415-4D4B-851B-0B4D7E212C5E}">
  <dimension ref="A1:F17"/>
  <sheetViews>
    <sheetView tabSelected="1" workbookViewId="0">
      <selection activeCell="F8" sqref="F8"/>
    </sheetView>
  </sheetViews>
  <sheetFormatPr defaultRowHeight="15" x14ac:dyDescent="0.25"/>
  <cols>
    <col min="1" max="1" width="43.85546875" style="35" customWidth="1"/>
    <col min="2" max="2" width="24.140625" style="35" customWidth="1"/>
    <col min="3" max="3" width="21.85546875" style="35" customWidth="1"/>
    <col min="4" max="4" width="18.7109375" style="35" customWidth="1"/>
    <col min="5" max="5" width="25" style="35" customWidth="1"/>
    <col min="6" max="6" width="17.140625" style="35" customWidth="1"/>
    <col min="7" max="7" width="10" style="35" bestFit="1" customWidth="1"/>
    <col min="8" max="16384" width="9.140625" style="35"/>
  </cols>
  <sheetData>
    <row r="1" spans="1:6" ht="25.5" x14ac:dyDescent="0.35">
      <c r="A1" s="38" t="s">
        <v>53</v>
      </c>
    </row>
    <row r="3" spans="1:6" ht="126" x14ac:dyDescent="0.25">
      <c r="A3" s="34" t="s">
        <v>52</v>
      </c>
      <c r="B3" s="34" t="s">
        <v>55</v>
      </c>
      <c r="C3" s="34" t="s">
        <v>56</v>
      </c>
      <c r="D3" s="39" t="s">
        <v>57</v>
      </c>
    </row>
    <row r="4" spans="1:6" ht="66" x14ac:dyDescent="0.25">
      <c r="A4" s="239" t="s">
        <v>293</v>
      </c>
      <c r="B4" s="261">
        <f>'LM_2.pielikums'!AC161</f>
        <v>956911</v>
      </c>
      <c r="C4" s="261">
        <f>'LM_2.pielikums'!AE161+'LM_2.pielikums'!AG161+'LM_2.pielikums'!AI161+'LM_2.pielikums'!AK161+'LM_2.pielikums'!AM161+'LM_2.pielikums'!AO161</f>
        <v>6665082</v>
      </c>
      <c r="D4" s="260">
        <f>B4+C4</f>
        <v>7621993</v>
      </c>
      <c r="E4" s="36"/>
    </row>
    <row r="5" spans="1:6" ht="34.5" x14ac:dyDescent="0.25">
      <c r="A5" s="239" t="s">
        <v>294</v>
      </c>
      <c r="B5" s="261">
        <f>IzM_3.pielikums!AC13</f>
        <v>232326</v>
      </c>
      <c r="C5" s="261">
        <f>IzM_3.pielikums!AE13+IzM_3.pielikums!AG13+IzM_3.pielikums!AI13+IzM_3.pielikums!AK13+IzM_3.pielikums!AM13+IzM_3.pielikums!AO13</f>
        <v>1932244</v>
      </c>
      <c r="D5" s="260">
        <f t="shared" ref="D5:D8" si="0">B5+C5</f>
        <v>2164570</v>
      </c>
      <c r="E5" s="36"/>
    </row>
    <row r="6" spans="1:6" ht="34.5" x14ac:dyDescent="0.25">
      <c r="A6" s="239" t="s">
        <v>295</v>
      </c>
      <c r="B6" s="261">
        <f>'EM_1.pielikums'!P10</f>
        <v>13500</v>
      </c>
      <c r="C6" s="261">
        <f>'EM_1.pielikums'!Q10+'EM_1.pielikums'!R10+'EM_1.pielikums'!S10+'EM_1.pielikums'!T10+'EM_1.pielikums'!U10+'EM_1.pielikums'!V10</f>
        <v>81000</v>
      </c>
      <c r="D6" s="260">
        <f t="shared" si="0"/>
        <v>94500</v>
      </c>
      <c r="E6" s="36"/>
      <c r="F6" s="36"/>
    </row>
    <row r="7" spans="1:6" ht="34.5" x14ac:dyDescent="0.25">
      <c r="A7" s="239" t="s">
        <v>296</v>
      </c>
      <c r="B7" s="261">
        <f>'EM_1.pielikums'!P9</f>
        <v>243000</v>
      </c>
      <c r="C7" s="261">
        <f>'EM_1.pielikums'!Q9+'EM_1.pielikums'!R9+'EM_1.pielikums'!S9+'EM_1.pielikums'!T9+'EM_1.pielikums'!U9+'EM_1.pielikums'!V9</f>
        <v>1458000</v>
      </c>
      <c r="D7" s="260">
        <f t="shared" si="0"/>
        <v>1701000</v>
      </c>
      <c r="E7" s="36"/>
    </row>
    <row r="8" spans="1:6" ht="81.75" x14ac:dyDescent="0.25">
      <c r="A8" s="239" t="s">
        <v>297</v>
      </c>
      <c r="B8" s="261">
        <f>'VARAM_4.pielikums VPKAC KAC'!AD18</f>
        <v>246</v>
      </c>
      <c r="C8" s="261">
        <f>'VARAM_4.pielikums VPKAC KAC'!AF18+'VARAM_4.pielikums VPKAC KAC'!AH18+'VARAM_4.pielikums VPKAC KAC'!AJ18+'VARAM_4.pielikums VPKAC KAC'!AL18+'VARAM_4.pielikums VPKAC KAC'!AN18+'VARAM_4.pielikums VPKAC KAC'!AP18</f>
        <v>10500</v>
      </c>
      <c r="D8" s="260">
        <f t="shared" si="0"/>
        <v>10746</v>
      </c>
      <c r="E8" s="36"/>
    </row>
    <row r="9" spans="1:6" ht="84.75" x14ac:dyDescent="0.25">
      <c r="A9" s="240" t="s">
        <v>298</v>
      </c>
      <c r="B9" s="262">
        <f>'Koordināc. punkta izd_5.piel.'!E17</f>
        <v>13915.000000000002</v>
      </c>
      <c r="C9" s="262">
        <f>'Koordināc. punkta izd_5.piel.'!E18+'Koordināc. punkta izd_5.piel.'!E19+'Koordināc. punkta izd_5.piel.'!E20+'Koordināc. punkta izd_5.piel.'!E21+'Koordināc. punkta izd_5.piel.'!E22+'Koordināc. punkta izd_5.piel.'!E23</f>
        <v>62084</v>
      </c>
      <c r="D9" s="260">
        <f>B9+C9</f>
        <v>75999</v>
      </c>
      <c r="E9" s="36"/>
    </row>
    <row r="10" spans="1:6" ht="27.75" customHeight="1" x14ac:dyDescent="0.25">
      <c r="A10" s="40" t="s">
        <v>16</v>
      </c>
      <c r="B10" s="260">
        <f>SUM(B4:B9)</f>
        <v>1459898</v>
      </c>
      <c r="C10" s="260">
        <f>SUM(C4:C9)</f>
        <v>10208910</v>
      </c>
      <c r="D10" s="260">
        <f>SUM(D4:D9)</f>
        <v>11668808</v>
      </c>
      <c r="E10" s="36"/>
      <c r="F10" s="36"/>
    </row>
    <row r="11" spans="1:6" x14ac:dyDescent="0.25">
      <c r="A11" s="241"/>
      <c r="B11" s="241"/>
      <c r="C11" s="241"/>
    </row>
    <row r="12" spans="1:6" ht="17.25" x14ac:dyDescent="0.25">
      <c r="A12" s="241" t="s">
        <v>299</v>
      </c>
      <c r="B12" s="241"/>
      <c r="C12" s="241"/>
    </row>
    <row r="13" spans="1:6" x14ac:dyDescent="0.25">
      <c r="A13" s="241"/>
      <c r="B13" s="241"/>
      <c r="C13" s="241"/>
    </row>
    <row r="14" spans="1:6" ht="17.25" x14ac:dyDescent="0.25">
      <c r="A14" s="241" t="s">
        <v>300</v>
      </c>
      <c r="B14" s="241"/>
      <c r="C14" s="241"/>
    </row>
    <row r="15" spans="1:6" x14ac:dyDescent="0.25">
      <c r="A15" s="37"/>
    </row>
    <row r="16" spans="1:6" x14ac:dyDescent="0.25">
      <c r="A16" s="37"/>
    </row>
    <row r="17" spans="1:1" x14ac:dyDescent="0.25">
      <c r="A17" s="37"/>
    </row>
  </sheetData>
  <pageMargins left="0.70866141732283472" right="0.70866141732283472" top="0.74803149606299213" bottom="0.74803149606299213" header="0.31496062992125984" footer="0.31496062992125984"/>
  <pageSetup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0EDA9-6032-43DE-96B8-00F67E255076}">
  <dimension ref="A1:X16"/>
  <sheetViews>
    <sheetView workbookViewId="0">
      <selection activeCell="P23" sqref="P23"/>
    </sheetView>
  </sheetViews>
  <sheetFormatPr defaultColWidth="8.7109375" defaultRowHeight="15" x14ac:dyDescent="0.25"/>
  <cols>
    <col min="1" max="1" width="30.28515625" style="16" bestFit="1" customWidth="1"/>
    <col min="2" max="3" width="14.7109375" style="16" customWidth="1"/>
    <col min="4" max="15" width="14.7109375" style="16" hidden="1" customWidth="1"/>
    <col min="16" max="22" width="14.7109375" style="16" customWidth="1"/>
    <col min="23" max="23" width="58.85546875" style="16" customWidth="1"/>
    <col min="24" max="24" width="15" style="16" customWidth="1"/>
    <col min="25" max="25" width="12.28515625" style="16" customWidth="1"/>
    <col min="26" max="16384" width="8.7109375" style="16"/>
  </cols>
  <sheetData>
    <row r="1" spans="1:24" x14ac:dyDescent="0.25">
      <c r="A1" s="14"/>
      <c r="B1" s="14"/>
      <c r="C1" s="14"/>
      <c r="D1" s="14"/>
      <c r="E1" s="14"/>
      <c r="F1" s="14"/>
      <c r="G1" s="14"/>
      <c r="H1" s="14"/>
      <c r="I1" s="14"/>
      <c r="J1" s="14"/>
      <c r="K1" s="14"/>
      <c r="L1" s="14"/>
      <c r="M1" s="14"/>
      <c r="N1" s="14"/>
      <c r="O1" s="14"/>
      <c r="P1" s="14"/>
      <c r="Q1" s="14"/>
      <c r="R1" s="14"/>
      <c r="S1" s="14"/>
      <c r="T1" s="14"/>
      <c r="U1" s="14"/>
      <c r="V1" s="14"/>
      <c r="W1" s="15" t="s">
        <v>18</v>
      </c>
    </row>
    <row r="2" spans="1:24" ht="18.75" x14ac:dyDescent="0.3">
      <c r="A2" s="263" t="s">
        <v>19</v>
      </c>
      <c r="B2" s="263"/>
      <c r="C2" s="263"/>
      <c r="D2" s="263"/>
      <c r="E2" s="263"/>
      <c r="F2" s="263"/>
      <c r="G2" s="263"/>
      <c r="H2" s="263"/>
      <c r="I2" s="263"/>
      <c r="J2" s="263"/>
      <c r="K2" s="263"/>
      <c r="L2" s="263"/>
      <c r="M2" s="263"/>
      <c r="N2" s="263"/>
      <c r="O2" s="263"/>
      <c r="P2" s="263"/>
      <c r="Q2" s="263"/>
      <c r="R2" s="263"/>
      <c r="S2" s="263"/>
      <c r="T2" s="263"/>
      <c r="U2" s="263"/>
      <c r="V2" s="263"/>
      <c r="W2" s="263"/>
    </row>
    <row r="3" spans="1:24" x14ac:dyDescent="0.25">
      <c r="A3" s="14"/>
      <c r="B3" s="14"/>
      <c r="C3" s="14"/>
      <c r="D3" s="14"/>
      <c r="E3" s="14"/>
      <c r="F3" s="14"/>
      <c r="G3" s="14"/>
      <c r="H3" s="14"/>
      <c r="I3" s="14"/>
      <c r="J3" s="14"/>
      <c r="K3" s="14"/>
      <c r="L3" s="14"/>
      <c r="M3" s="14"/>
      <c r="N3" s="14"/>
      <c r="O3" s="14"/>
      <c r="P3" s="14"/>
      <c r="Q3" s="14"/>
      <c r="R3" s="14"/>
      <c r="S3" s="14"/>
      <c r="T3" s="14"/>
      <c r="U3" s="14"/>
      <c r="V3" s="14"/>
      <c r="W3" s="14"/>
    </row>
    <row r="4" spans="1:24" x14ac:dyDescent="0.25">
      <c r="A4" s="1" t="s">
        <v>0</v>
      </c>
      <c r="B4" s="205" t="s">
        <v>58</v>
      </c>
      <c r="C4" s="2" t="s">
        <v>59</v>
      </c>
      <c r="D4" s="2" t="s">
        <v>1</v>
      </c>
      <c r="E4" s="2" t="s">
        <v>2</v>
      </c>
      <c r="F4" s="2" t="s">
        <v>2</v>
      </c>
      <c r="G4" s="2" t="s">
        <v>2</v>
      </c>
      <c r="H4" s="2" t="s">
        <v>2</v>
      </c>
      <c r="I4" s="2" t="s">
        <v>2</v>
      </c>
      <c r="J4" s="2" t="s">
        <v>2</v>
      </c>
      <c r="K4" s="2" t="s">
        <v>2</v>
      </c>
      <c r="L4" s="2" t="s">
        <v>2</v>
      </c>
      <c r="M4" s="2" t="s">
        <v>2</v>
      </c>
      <c r="N4" s="2" t="s">
        <v>2</v>
      </c>
      <c r="O4" s="2" t="s">
        <v>2</v>
      </c>
      <c r="P4" s="156" t="s">
        <v>2</v>
      </c>
      <c r="Q4" s="156" t="s">
        <v>60</v>
      </c>
      <c r="R4" s="156" t="s">
        <v>60</v>
      </c>
      <c r="S4" s="156" t="s">
        <v>60</v>
      </c>
      <c r="T4" s="156" t="s">
        <v>60</v>
      </c>
      <c r="U4" s="156" t="s">
        <v>60</v>
      </c>
      <c r="V4" s="156" t="s">
        <v>60</v>
      </c>
      <c r="W4" s="264" t="s">
        <v>3</v>
      </c>
    </row>
    <row r="5" spans="1:24" ht="38.25" x14ac:dyDescent="0.25">
      <c r="A5" s="1" t="s">
        <v>4</v>
      </c>
      <c r="B5" s="205" t="s">
        <v>61</v>
      </c>
      <c r="C5" s="2" t="s">
        <v>62</v>
      </c>
      <c r="D5" s="2" t="s">
        <v>252</v>
      </c>
      <c r="E5" s="2" t="s">
        <v>253</v>
      </c>
      <c r="F5" s="2" t="s">
        <v>254</v>
      </c>
      <c r="G5" s="2" t="s">
        <v>255</v>
      </c>
      <c r="H5" s="2" t="s">
        <v>256</v>
      </c>
      <c r="I5" s="2" t="s">
        <v>257</v>
      </c>
      <c r="J5" s="2" t="s">
        <v>258</v>
      </c>
      <c r="K5" s="2" t="s">
        <v>259</v>
      </c>
      <c r="L5" s="2" t="s">
        <v>260</v>
      </c>
      <c r="M5" s="2" t="s">
        <v>261</v>
      </c>
      <c r="N5" s="2" t="s">
        <v>262</v>
      </c>
      <c r="O5" s="2" t="s">
        <v>263</v>
      </c>
      <c r="P5" s="156" t="s">
        <v>252</v>
      </c>
      <c r="Q5" s="156" t="s">
        <v>253</v>
      </c>
      <c r="R5" s="156" t="s">
        <v>254</v>
      </c>
      <c r="S5" s="156" t="s">
        <v>255</v>
      </c>
      <c r="T5" s="156" t="s">
        <v>256</v>
      </c>
      <c r="U5" s="156" t="s">
        <v>257</v>
      </c>
      <c r="V5" s="156" t="s">
        <v>258</v>
      </c>
      <c r="W5" s="265"/>
    </row>
    <row r="6" spans="1:24" x14ac:dyDescent="0.25">
      <c r="A6" s="17"/>
      <c r="B6" s="206" t="s">
        <v>12</v>
      </c>
      <c r="C6" s="18" t="s">
        <v>12</v>
      </c>
      <c r="D6" s="18" t="s">
        <v>12</v>
      </c>
      <c r="E6" s="18" t="s">
        <v>12</v>
      </c>
      <c r="F6" s="18" t="s">
        <v>12</v>
      </c>
      <c r="G6" s="18" t="s">
        <v>12</v>
      </c>
      <c r="H6" s="18" t="s">
        <v>12</v>
      </c>
      <c r="I6" s="18" t="s">
        <v>12</v>
      </c>
      <c r="J6" s="18" t="s">
        <v>12</v>
      </c>
      <c r="K6" s="18" t="s">
        <v>12</v>
      </c>
      <c r="L6" s="18" t="s">
        <v>12</v>
      </c>
      <c r="M6" s="18" t="s">
        <v>12</v>
      </c>
      <c r="N6" s="18" t="s">
        <v>12</v>
      </c>
      <c r="O6" s="18" t="s">
        <v>12</v>
      </c>
      <c r="P6" s="207" t="s">
        <v>12</v>
      </c>
      <c r="Q6" s="207" t="s">
        <v>12</v>
      </c>
      <c r="R6" s="207" t="s">
        <v>12</v>
      </c>
      <c r="S6" s="207" t="s">
        <v>12</v>
      </c>
      <c r="T6" s="207" t="s">
        <v>12</v>
      </c>
      <c r="U6" s="207" t="s">
        <v>12</v>
      </c>
      <c r="V6" s="207" t="s">
        <v>12</v>
      </c>
      <c r="W6" s="265"/>
    </row>
    <row r="7" spans="1:24" ht="63.75" x14ac:dyDescent="0.25">
      <c r="A7" s="19" t="s">
        <v>13</v>
      </c>
      <c r="B7" s="205" t="s">
        <v>264</v>
      </c>
      <c r="C7" s="2" t="s">
        <v>265</v>
      </c>
      <c r="D7" s="2" t="s">
        <v>14</v>
      </c>
      <c r="E7" s="2" t="s">
        <v>14</v>
      </c>
      <c r="F7" s="2" t="s">
        <v>14</v>
      </c>
      <c r="G7" s="2" t="s">
        <v>14</v>
      </c>
      <c r="H7" s="2" t="s">
        <v>14</v>
      </c>
      <c r="I7" s="2" t="s">
        <v>14</v>
      </c>
      <c r="J7" s="2" t="s">
        <v>14</v>
      </c>
      <c r="K7" s="2" t="s">
        <v>14</v>
      </c>
      <c r="L7" s="2" t="s">
        <v>14</v>
      </c>
      <c r="M7" s="2" t="s">
        <v>14</v>
      </c>
      <c r="N7" s="2" t="s">
        <v>14</v>
      </c>
      <c r="O7" s="2" t="s">
        <v>14</v>
      </c>
      <c r="P7" s="156" t="s">
        <v>266</v>
      </c>
      <c r="Q7" s="208" t="s">
        <v>267</v>
      </c>
      <c r="R7" s="208" t="s">
        <v>267</v>
      </c>
      <c r="S7" s="156" t="s">
        <v>15</v>
      </c>
      <c r="T7" s="156" t="s">
        <v>15</v>
      </c>
      <c r="U7" s="156" t="s">
        <v>15</v>
      </c>
      <c r="V7" s="156" t="s">
        <v>15</v>
      </c>
      <c r="W7" s="265"/>
    </row>
    <row r="8" spans="1:24" x14ac:dyDescent="0.25">
      <c r="A8" s="20">
        <v>1</v>
      </c>
      <c r="B8" s="157">
        <v>2</v>
      </c>
      <c r="C8" s="7">
        <v>3</v>
      </c>
      <c r="D8" s="7">
        <v>4</v>
      </c>
      <c r="E8" s="7">
        <v>5</v>
      </c>
      <c r="F8" s="7">
        <v>6</v>
      </c>
      <c r="G8" s="7">
        <v>7</v>
      </c>
      <c r="H8" s="7">
        <v>8</v>
      </c>
      <c r="I8" s="7">
        <v>9</v>
      </c>
      <c r="J8" s="7">
        <v>10</v>
      </c>
      <c r="K8" s="7">
        <v>11</v>
      </c>
      <c r="L8" s="7">
        <v>12</v>
      </c>
      <c r="M8" s="7">
        <v>13</v>
      </c>
      <c r="N8" s="7">
        <v>14</v>
      </c>
      <c r="O8" s="7">
        <v>15</v>
      </c>
      <c r="P8" s="157">
        <v>16</v>
      </c>
      <c r="Q8" s="157">
        <v>17</v>
      </c>
      <c r="R8" s="157">
        <v>18</v>
      </c>
      <c r="S8" s="157">
        <v>19</v>
      </c>
      <c r="T8" s="157">
        <v>20</v>
      </c>
      <c r="U8" s="157">
        <v>21</v>
      </c>
      <c r="V8" s="157">
        <v>22</v>
      </c>
      <c r="W8" s="21">
        <v>23</v>
      </c>
    </row>
    <row r="9" spans="1:24" ht="29.25" customHeight="1" x14ac:dyDescent="0.25">
      <c r="A9" s="22" t="s">
        <v>20</v>
      </c>
      <c r="B9" s="161">
        <f>SUM(P9:V9)</f>
        <v>1701000</v>
      </c>
      <c r="C9" s="24">
        <f>SUM(D9:O9)</f>
        <v>3520253.05</v>
      </c>
      <c r="D9" s="24">
        <v>320661.24</v>
      </c>
      <c r="E9" s="24">
        <v>298449.19</v>
      </c>
      <c r="F9" s="24">
        <v>253712.37</v>
      </c>
      <c r="G9" s="24">
        <v>284146.61</v>
      </c>
      <c r="H9" s="24">
        <v>281831.15000000002</v>
      </c>
      <c r="I9" s="24">
        <v>297022.39</v>
      </c>
      <c r="J9" s="24">
        <v>248760.71</v>
      </c>
      <c r="K9" s="24">
        <v>296683.84000000003</v>
      </c>
      <c r="L9" s="24">
        <v>325024.11</v>
      </c>
      <c r="M9" s="24">
        <v>293457.90000000002</v>
      </c>
      <c r="N9" s="209">
        <v>324138.96000000002</v>
      </c>
      <c r="O9" s="209">
        <v>296364.58</v>
      </c>
      <c r="P9" s="210">
        <v>243000</v>
      </c>
      <c r="Q9" s="210">
        <v>243000</v>
      </c>
      <c r="R9" s="210">
        <v>243000</v>
      </c>
      <c r="S9" s="210">
        <v>243000</v>
      </c>
      <c r="T9" s="210">
        <v>243000</v>
      </c>
      <c r="U9" s="210">
        <v>243000</v>
      </c>
      <c r="V9" s="210">
        <v>243000</v>
      </c>
      <c r="W9" s="266" t="s">
        <v>313</v>
      </c>
    </row>
    <row r="10" spans="1:24" ht="29.25" customHeight="1" x14ac:dyDescent="0.25">
      <c r="A10" s="25" t="s">
        <v>21</v>
      </c>
      <c r="B10" s="161">
        <f>SUM(P10:V10)</f>
        <v>94500</v>
      </c>
      <c r="C10" s="24">
        <f>SUM(D10:O10)</f>
        <v>411702.17999999993</v>
      </c>
      <c r="D10" s="24">
        <v>28593.9</v>
      </c>
      <c r="E10" s="24">
        <v>23813.11</v>
      </c>
      <c r="F10" s="24">
        <v>13283.9</v>
      </c>
      <c r="G10" s="24">
        <v>35331.25</v>
      </c>
      <c r="H10" s="24">
        <v>41959.14</v>
      </c>
      <c r="I10" s="24">
        <v>42209.120000000003</v>
      </c>
      <c r="J10" s="24">
        <v>15625.37</v>
      </c>
      <c r="K10" s="24">
        <v>35072.519999999997</v>
      </c>
      <c r="L10" s="24">
        <v>51409.03</v>
      </c>
      <c r="M10" s="24">
        <v>36725.31</v>
      </c>
      <c r="N10" s="209">
        <v>43211.05</v>
      </c>
      <c r="O10" s="209">
        <v>44468.480000000003</v>
      </c>
      <c r="P10" s="211">
        <v>13500</v>
      </c>
      <c r="Q10" s="211">
        <v>13500</v>
      </c>
      <c r="R10" s="211">
        <v>13500</v>
      </c>
      <c r="S10" s="211">
        <v>13500</v>
      </c>
      <c r="T10" s="211">
        <v>13500</v>
      </c>
      <c r="U10" s="211">
        <v>13500</v>
      </c>
      <c r="V10" s="211">
        <v>13500</v>
      </c>
      <c r="W10" s="267"/>
      <c r="X10" s="26"/>
    </row>
    <row r="11" spans="1:24" ht="29.25" customHeight="1" x14ac:dyDescent="0.25">
      <c r="A11" s="25" t="s">
        <v>22</v>
      </c>
      <c r="B11" s="161">
        <f>SUM(B9:B10)</f>
        <v>1795500</v>
      </c>
      <c r="C11" s="23">
        <f>SUM(C9:C10)</f>
        <v>3931955.2299999995</v>
      </c>
      <c r="D11" s="23">
        <f t="shared" ref="D11:O11" si="0">SUM(D9:D10)</f>
        <v>349255.14</v>
      </c>
      <c r="E11" s="23">
        <f t="shared" si="0"/>
        <v>322262.3</v>
      </c>
      <c r="F11" s="23">
        <f t="shared" si="0"/>
        <v>266996.27</v>
      </c>
      <c r="G11" s="23">
        <f t="shared" si="0"/>
        <v>319477.86</v>
      </c>
      <c r="H11" s="23">
        <f t="shared" si="0"/>
        <v>323790.29000000004</v>
      </c>
      <c r="I11" s="23">
        <f t="shared" si="0"/>
        <v>339231.51</v>
      </c>
      <c r="J11" s="23">
        <f t="shared" si="0"/>
        <v>264386.08</v>
      </c>
      <c r="K11" s="23">
        <f t="shared" si="0"/>
        <v>331756.36000000004</v>
      </c>
      <c r="L11" s="23">
        <f t="shared" si="0"/>
        <v>376433.14</v>
      </c>
      <c r="M11" s="23">
        <f t="shared" si="0"/>
        <v>330183.21000000002</v>
      </c>
      <c r="N11" s="23">
        <f t="shared" si="0"/>
        <v>367350.01</v>
      </c>
      <c r="O11" s="23">
        <f t="shared" si="0"/>
        <v>340833.06</v>
      </c>
      <c r="P11" s="161">
        <f>SUM(P9:P10)</f>
        <v>256500</v>
      </c>
      <c r="Q11" s="161">
        <f t="shared" ref="Q11:V11" si="1">SUM(Q9:Q10)</f>
        <v>256500</v>
      </c>
      <c r="R11" s="161">
        <f t="shared" si="1"/>
        <v>256500</v>
      </c>
      <c r="S11" s="161">
        <f t="shared" si="1"/>
        <v>256500</v>
      </c>
      <c r="T11" s="161">
        <f t="shared" si="1"/>
        <v>256500</v>
      </c>
      <c r="U11" s="161">
        <f t="shared" si="1"/>
        <v>256500</v>
      </c>
      <c r="V11" s="161">
        <f t="shared" si="1"/>
        <v>256500</v>
      </c>
      <c r="W11" s="268"/>
    </row>
    <row r="13" spans="1:24" x14ac:dyDescent="0.25">
      <c r="B13" s="27"/>
      <c r="C13" s="27"/>
      <c r="D13" s="27"/>
      <c r="E13" s="27"/>
      <c r="F13" s="27"/>
      <c r="G13" s="27"/>
      <c r="H13" s="27"/>
      <c r="I13" s="27"/>
      <c r="J13" s="27"/>
      <c r="K13" s="27"/>
      <c r="L13" s="27"/>
      <c r="M13" s="27"/>
      <c r="N13" s="27"/>
      <c r="O13" s="27"/>
      <c r="R13" s="27"/>
      <c r="T13" s="27"/>
      <c r="V13" s="27"/>
    </row>
    <row r="14" spans="1:24" x14ac:dyDescent="0.25">
      <c r="M14" s="27"/>
      <c r="N14" s="27"/>
      <c r="O14" s="27"/>
      <c r="R14" s="27"/>
      <c r="T14" s="27"/>
    </row>
    <row r="15" spans="1:24" x14ac:dyDescent="0.25">
      <c r="E15" s="27"/>
      <c r="T15" s="27"/>
    </row>
    <row r="16" spans="1:24" x14ac:dyDescent="0.25">
      <c r="E16" s="27"/>
    </row>
  </sheetData>
  <mergeCells count="3">
    <mergeCell ref="A2:W2"/>
    <mergeCell ref="W4:W7"/>
    <mergeCell ref="W9:W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83E650-4927-4511-934B-6480C8D7518F}">
  <dimension ref="A1:AQ166"/>
  <sheetViews>
    <sheetView topLeftCell="A121" workbookViewId="0">
      <selection activeCell="AE173" sqref="AE173"/>
    </sheetView>
  </sheetViews>
  <sheetFormatPr defaultColWidth="9.42578125" defaultRowHeight="15" x14ac:dyDescent="0.25"/>
  <cols>
    <col min="1" max="1" width="45.7109375" style="29" customWidth="1"/>
    <col min="2" max="2" width="13.85546875" style="29" customWidth="1"/>
    <col min="3" max="3" width="13.85546875" style="124" hidden="1" customWidth="1"/>
    <col min="4" max="4" width="7.140625" style="125" hidden="1" customWidth="1"/>
    <col min="5" max="5" width="11.85546875" style="29" hidden="1" customWidth="1"/>
    <col min="6" max="6" width="7.140625" style="125" hidden="1" customWidth="1"/>
    <col min="7" max="7" width="11.85546875" style="29" hidden="1" customWidth="1"/>
    <col min="8" max="8" width="7.140625" style="125" hidden="1" customWidth="1"/>
    <col min="9" max="9" width="11.85546875" style="29" hidden="1" customWidth="1"/>
    <col min="10" max="10" width="7.140625" style="125" hidden="1" customWidth="1"/>
    <col min="11" max="11" width="11.85546875" style="29" hidden="1" customWidth="1"/>
    <col min="12" max="12" width="7.140625" style="126" hidden="1" customWidth="1"/>
    <col min="13" max="13" width="11.85546875" style="41" hidden="1" customWidth="1"/>
    <col min="14" max="14" width="7.140625" style="127" hidden="1" customWidth="1"/>
    <col min="15" max="15" width="11.85546875" style="41" hidden="1" customWidth="1"/>
    <col min="16" max="16" width="7.140625" style="127" hidden="1" customWidth="1"/>
    <col min="17" max="17" width="11.85546875" style="41" hidden="1" customWidth="1"/>
    <col min="18" max="18" width="7.140625" style="127" hidden="1" customWidth="1"/>
    <col min="19" max="19" width="11.85546875" style="41" hidden="1" customWidth="1"/>
    <col min="20" max="20" width="7.140625" style="127" hidden="1" customWidth="1"/>
    <col min="21" max="21" width="11.85546875" style="41" hidden="1" customWidth="1"/>
    <col min="22" max="22" width="7.140625" style="127" hidden="1" customWidth="1"/>
    <col min="23" max="23" width="11.85546875" style="41" hidden="1" customWidth="1"/>
    <col min="24" max="24" width="7.140625" style="127" customWidth="1"/>
    <col min="25" max="25" width="11.85546875" style="41" customWidth="1"/>
    <col min="26" max="26" width="7.140625" style="127" customWidth="1"/>
    <col min="27" max="27" width="11.85546875" style="41" customWidth="1"/>
    <col min="28" max="28" width="8.140625" style="127" customWidth="1"/>
    <col min="29" max="29" width="11.85546875" style="41" customWidth="1"/>
    <col min="30" max="30" width="7.140625" style="369" customWidth="1"/>
    <col min="31" max="31" width="11.85546875" style="370" customWidth="1"/>
    <col min="32" max="32" width="7.140625" style="369" customWidth="1"/>
    <col min="33" max="33" width="11.85546875" style="370" customWidth="1"/>
    <col min="34" max="34" width="7.140625" style="369" customWidth="1"/>
    <col min="35" max="35" width="11.85546875" style="370" customWidth="1"/>
    <col min="36" max="36" width="7.140625" style="369" customWidth="1"/>
    <col min="37" max="37" width="11.85546875" style="370" customWidth="1"/>
    <col min="38" max="38" width="7.140625" style="369" customWidth="1"/>
    <col min="39" max="39" width="11.85546875" style="370" customWidth="1"/>
    <col min="40" max="40" width="7.140625" style="369" customWidth="1"/>
    <col min="41" max="41" width="11.85546875" style="370" customWidth="1"/>
    <col min="42" max="42" width="18.42578125" style="129" customWidth="1"/>
    <col min="43" max="43" width="50.5703125" style="129" customWidth="1"/>
    <col min="44" max="276" width="9.42578125" style="41"/>
    <col min="277" max="277" width="21.5703125" style="41" customWidth="1"/>
    <col min="278" max="278" width="10.42578125" style="41" customWidth="1"/>
    <col min="279" max="279" width="14.42578125" style="41" customWidth="1"/>
    <col min="280" max="280" width="10.42578125" style="41" customWidth="1"/>
    <col min="281" max="281" width="14.42578125" style="41" customWidth="1"/>
    <col min="282" max="282" width="10.42578125" style="41" customWidth="1"/>
    <col min="283" max="284" width="14.42578125" style="41" customWidth="1"/>
    <col min="285" max="285" width="48.5703125" style="41" customWidth="1"/>
    <col min="286" max="286" width="45.5703125" style="41" customWidth="1"/>
    <col min="287" max="532" width="9.42578125" style="41"/>
    <col min="533" max="533" width="21.5703125" style="41" customWidth="1"/>
    <col min="534" max="534" width="10.42578125" style="41" customWidth="1"/>
    <col min="535" max="535" width="14.42578125" style="41" customWidth="1"/>
    <col min="536" max="536" width="10.42578125" style="41" customWidth="1"/>
    <col min="537" max="537" width="14.42578125" style="41" customWidth="1"/>
    <col min="538" max="538" width="10.42578125" style="41" customWidth="1"/>
    <col min="539" max="540" width="14.42578125" style="41" customWidth="1"/>
    <col min="541" max="541" width="48.5703125" style="41" customWidth="1"/>
    <col min="542" max="542" width="45.5703125" style="41" customWidth="1"/>
    <col min="543" max="788" width="9.42578125" style="41"/>
    <col min="789" max="789" width="21.5703125" style="41" customWidth="1"/>
    <col min="790" max="790" width="10.42578125" style="41" customWidth="1"/>
    <col min="791" max="791" width="14.42578125" style="41" customWidth="1"/>
    <col min="792" max="792" width="10.42578125" style="41" customWidth="1"/>
    <col min="793" max="793" width="14.42578125" style="41" customWidth="1"/>
    <col min="794" max="794" width="10.42578125" style="41" customWidth="1"/>
    <col min="795" max="796" width="14.42578125" style="41" customWidth="1"/>
    <col min="797" max="797" width="48.5703125" style="41" customWidth="1"/>
    <col min="798" max="798" width="45.5703125" style="41" customWidth="1"/>
    <col min="799" max="1044" width="9.42578125" style="41"/>
    <col min="1045" max="1045" width="21.5703125" style="41" customWidth="1"/>
    <col min="1046" max="1046" width="10.42578125" style="41" customWidth="1"/>
    <col min="1047" max="1047" width="14.42578125" style="41" customWidth="1"/>
    <col min="1048" max="1048" width="10.42578125" style="41" customWidth="1"/>
    <col min="1049" max="1049" width="14.42578125" style="41" customWidth="1"/>
    <col min="1050" max="1050" width="10.42578125" style="41" customWidth="1"/>
    <col min="1051" max="1052" width="14.42578125" style="41" customWidth="1"/>
    <col min="1053" max="1053" width="48.5703125" style="41" customWidth="1"/>
    <col min="1054" max="1054" width="45.5703125" style="41" customWidth="1"/>
    <col min="1055" max="1300" width="9.42578125" style="41"/>
    <col min="1301" max="1301" width="21.5703125" style="41" customWidth="1"/>
    <col min="1302" max="1302" width="10.42578125" style="41" customWidth="1"/>
    <col min="1303" max="1303" width="14.42578125" style="41" customWidth="1"/>
    <col min="1304" max="1304" width="10.42578125" style="41" customWidth="1"/>
    <col min="1305" max="1305" width="14.42578125" style="41" customWidth="1"/>
    <col min="1306" max="1306" width="10.42578125" style="41" customWidth="1"/>
    <col min="1307" max="1308" width="14.42578125" style="41" customWidth="1"/>
    <col min="1309" max="1309" width="48.5703125" style="41" customWidth="1"/>
    <col min="1310" max="1310" width="45.5703125" style="41" customWidth="1"/>
    <col min="1311" max="1556" width="9.42578125" style="41"/>
    <col min="1557" max="1557" width="21.5703125" style="41" customWidth="1"/>
    <col min="1558" max="1558" width="10.42578125" style="41" customWidth="1"/>
    <col min="1559" max="1559" width="14.42578125" style="41" customWidth="1"/>
    <col min="1560" max="1560" width="10.42578125" style="41" customWidth="1"/>
    <col min="1561" max="1561" width="14.42578125" style="41" customWidth="1"/>
    <col min="1562" max="1562" width="10.42578125" style="41" customWidth="1"/>
    <col min="1563" max="1564" width="14.42578125" style="41" customWidth="1"/>
    <col min="1565" max="1565" width="48.5703125" style="41" customWidth="1"/>
    <col min="1566" max="1566" width="45.5703125" style="41" customWidth="1"/>
    <col min="1567" max="1812" width="9.42578125" style="41"/>
    <col min="1813" max="1813" width="21.5703125" style="41" customWidth="1"/>
    <col min="1814" max="1814" width="10.42578125" style="41" customWidth="1"/>
    <col min="1815" max="1815" width="14.42578125" style="41" customWidth="1"/>
    <col min="1816" max="1816" width="10.42578125" style="41" customWidth="1"/>
    <col min="1817" max="1817" width="14.42578125" style="41" customWidth="1"/>
    <col min="1818" max="1818" width="10.42578125" style="41" customWidth="1"/>
    <col min="1819" max="1820" width="14.42578125" style="41" customWidth="1"/>
    <col min="1821" max="1821" width="48.5703125" style="41" customWidth="1"/>
    <col min="1822" max="1822" width="45.5703125" style="41" customWidth="1"/>
    <col min="1823" max="2068" width="9.42578125" style="41"/>
    <col min="2069" max="2069" width="21.5703125" style="41" customWidth="1"/>
    <col min="2070" max="2070" width="10.42578125" style="41" customWidth="1"/>
    <col min="2071" max="2071" width="14.42578125" style="41" customWidth="1"/>
    <col min="2072" max="2072" width="10.42578125" style="41" customWidth="1"/>
    <col min="2073" max="2073" width="14.42578125" style="41" customWidth="1"/>
    <col min="2074" max="2074" width="10.42578125" style="41" customWidth="1"/>
    <col min="2075" max="2076" width="14.42578125" style="41" customWidth="1"/>
    <col min="2077" max="2077" width="48.5703125" style="41" customWidth="1"/>
    <col min="2078" max="2078" width="45.5703125" style="41" customWidth="1"/>
    <col min="2079" max="2324" width="9.42578125" style="41"/>
    <col min="2325" max="2325" width="21.5703125" style="41" customWidth="1"/>
    <col min="2326" max="2326" width="10.42578125" style="41" customWidth="1"/>
    <col min="2327" max="2327" width="14.42578125" style="41" customWidth="1"/>
    <col min="2328" max="2328" width="10.42578125" style="41" customWidth="1"/>
    <col min="2329" max="2329" width="14.42578125" style="41" customWidth="1"/>
    <col min="2330" max="2330" width="10.42578125" style="41" customWidth="1"/>
    <col min="2331" max="2332" width="14.42578125" style="41" customWidth="1"/>
    <col min="2333" max="2333" width="48.5703125" style="41" customWidth="1"/>
    <col min="2334" max="2334" width="45.5703125" style="41" customWidth="1"/>
    <col min="2335" max="2580" width="9.42578125" style="41"/>
    <col min="2581" max="2581" width="21.5703125" style="41" customWidth="1"/>
    <col min="2582" max="2582" width="10.42578125" style="41" customWidth="1"/>
    <col min="2583" max="2583" width="14.42578125" style="41" customWidth="1"/>
    <col min="2584" max="2584" width="10.42578125" style="41" customWidth="1"/>
    <col min="2585" max="2585" width="14.42578125" style="41" customWidth="1"/>
    <col min="2586" max="2586" width="10.42578125" style="41" customWidth="1"/>
    <col min="2587" max="2588" width="14.42578125" style="41" customWidth="1"/>
    <col min="2589" max="2589" width="48.5703125" style="41" customWidth="1"/>
    <col min="2590" max="2590" width="45.5703125" style="41" customWidth="1"/>
    <col min="2591" max="2836" width="9.42578125" style="41"/>
    <col min="2837" max="2837" width="21.5703125" style="41" customWidth="1"/>
    <col min="2838" max="2838" width="10.42578125" style="41" customWidth="1"/>
    <col min="2839" max="2839" width="14.42578125" style="41" customWidth="1"/>
    <col min="2840" max="2840" width="10.42578125" style="41" customWidth="1"/>
    <col min="2841" max="2841" width="14.42578125" style="41" customWidth="1"/>
    <col min="2842" max="2842" width="10.42578125" style="41" customWidth="1"/>
    <col min="2843" max="2844" width="14.42578125" style="41" customWidth="1"/>
    <col min="2845" max="2845" width="48.5703125" style="41" customWidth="1"/>
    <col min="2846" max="2846" width="45.5703125" style="41" customWidth="1"/>
    <col min="2847" max="3092" width="9.42578125" style="41"/>
    <col min="3093" max="3093" width="21.5703125" style="41" customWidth="1"/>
    <col min="3094" max="3094" width="10.42578125" style="41" customWidth="1"/>
    <col min="3095" max="3095" width="14.42578125" style="41" customWidth="1"/>
    <col min="3096" max="3096" width="10.42578125" style="41" customWidth="1"/>
    <col min="3097" max="3097" width="14.42578125" style="41" customWidth="1"/>
    <col min="3098" max="3098" width="10.42578125" style="41" customWidth="1"/>
    <col min="3099" max="3100" width="14.42578125" style="41" customWidth="1"/>
    <col min="3101" max="3101" width="48.5703125" style="41" customWidth="1"/>
    <col min="3102" max="3102" width="45.5703125" style="41" customWidth="1"/>
    <col min="3103" max="3348" width="9.42578125" style="41"/>
    <col min="3349" max="3349" width="21.5703125" style="41" customWidth="1"/>
    <col min="3350" max="3350" width="10.42578125" style="41" customWidth="1"/>
    <col min="3351" max="3351" width="14.42578125" style="41" customWidth="1"/>
    <col min="3352" max="3352" width="10.42578125" style="41" customWidth="1"/>
    <col min="3353" max="3353" width="14.42578125" style="41" customWidth="1"/>
    <col min="3354" max="3354" width="10.42578125" style="41" customWidth="1"/>
    <col min="3355" max="3356" width="14.42578125" style="41" customWidth="1"/>
    <col min="3357" max="3357" width="48.5703125" style="41" customWidth="1"/>
    <col min="3358" max="3358" width="45.5703125" style="41" customWidth="1"/>
    <col min="3359" max="3604" width="9.42578125" style="41"/>
    <col min="3605" max="3605" width="21.5703125" style="41" customWidth="1"/>
    <col min="3606" max="3606" width="10.42578125" style="41" customWidth="1"/>
    <col min="3607" max="3607" width="14.42578125" style="41" customWidth="1"/>
    <col min="3608" max="3608" width="10.42578125" style="41" customWidth="1"/>
    <col min="3609" max="3609" width="14.42578125" style="41" customWidth="1"/>
    <col min="3610" max="3610" width="10.42578125" style="41" customWidth="1"/>
    <col min="3611" max="3612" width="14.42578125" style="41" customWidth="1"/>
    <col min="3613" max="3613" width="48.5703125" style="41" customWidth="1"/>
    <col min="3614" max="3614" width="45.5703125" style="41" customWidth="1"/>
    <col min="3615" max="3860" width="9.42578125" style="41"/>
    <col min="3861" max="3861" width="21.5703125" style="41" customWidth="1"/>
    <col min="3862" max="3862" width="10.42578125" style="41" customWidth="1"/>
    <col min="3863" max="3863" width="14.42578125" style="41" customWidth="1"/>
    <col min="3864" max="3864" width="10.42578125" style="41" customWidth="1"/>
    <col min="3865" max="3865" width="14.42578125" style="41" customWidth="1"/>
    <col min="3866" max="3866" width="10.42578125" style="41" customWidth="1"/>
    <col min="3867" max="3868" width="14.42578125" style="41" customWidth="1"/>
    <col min="3869" max="3869" width="48.5703125" style="41" customWidth="1"/>
    <col min="3870" max="3870" width="45.5703125" style="41" customWidth="1"/>
    <col min="3871" max="4116" width="9.42578125" style="41"/>
    <col min="4117" max="4117" width="21.5703125" style="41" customWidth="1"/>
    <col min="4118" max="4118" width="10.42578125" style="41" customWidth="1"/>
    <col min="4119" max="4119" width="14.42578125" style="41" customWidth="1"/>
    <col min="4120" max="4120" width="10.42578125" style="41" customWidth="1"/>
    <col min="4121" max="4121" width="14.42578125" style="41" customWidth="1"/>
    <col min="4122" max="4122" width="10.42578125" style="41" customWidth="1"/>
    <col min="4123" max="4124" width="14.42578125" style="41" customWidth="1"/>
    <col min="4125" max="4125" width="48.5703125" style="41" customWidth="1"/>
    <col min="4126" max="4126" width="45.5703125" style="41" customWidth="1"/>
    <col min="4127" max="4372" width="9.42578125" style="41"/>
    <col min="4373" max="4373" width="21.5703125" style="41" customWidth="1"/>
    <col min="4374" max="4374" width="10.42578125" style="41" customWidth="1"/>
    <col min="4375" max="4375" width="14.42578125" style="41" customWidth="1"/>
    <col min="4376" max="4376" width="10.42578125" style="41" customWidth="1"/>
    <col min="4377" max="4377" width="14.42578125" style="41" customWidth="1"/>
    <col min="4378" max="4378" width="10.42578125" style="41" customWidth="1"/>
    <col min="4379" max="4380" width="14.42578125" style="41" customWidth="1"/>
    <col min="4381" max="4381" width="48.5703125" style="41" customWidth="1"/>
    <col min="4382" max="4382" width="45.5703125" style="41" customWidth="1"/>
    <col min="4383" max="4628" width="9.42578125" style="41"/>
    <col min="4629" max="4629" width="21.5703125" style="41" customWidth="1"/>
    <col min="4630" max="4630" width="10.42578125" style="41" customWidth="1"/>
    <col min="4631" max="4631" width="14.42578125" style="41" customWidth="1"/>
    <col min="4632" max="4632" width="10.42578125" style="41" customWidth="1"/>
    <col min="4633" max="4633" width="14.42578125" style="41" customWidth="1"/>
    <col min="4634" max="4634" width="10.42578125" style="41" customWidth="1"/>
    <col min="4635" max="4636" width="14.42578125" style="41" customWidth="1"/>
    <col min="4637" max="4637" width="48.5703125" style="41" customWidth="1"/>
    <col min="4638" max="4638" width="45.5703125" style="41" customWidth="1"/>
    <col min="4639" max="4884" width="9.42578125" style="41"/>
    <col min="4885" max="4885" width="21.5703125" style="41" customWidth="1"/>
    <col min="4886" max="4886" width="10.42578125" style="41" customWidth="1"/>
    <col min="4887" max="4887" width="14.42578125" style="41" customWidth="1"/>
    <col min="4888" max="4888" width="10.42578125" style="41" customWidth="1"/>
    <col min="4889" max="4889" width="14.42578125" style="41" customWidth="1"/>
    <col min="4890" max="4890" width="10.42578125" style="41" customWidth="1"/>
    <col min="4891" max="4892" width="14.42578125" style="41" customWidth="1"/>
    <col min="4893" max="4893" width="48.5703125" style="41" customWidth="1"/>
    <col min="4894" max="4894" width="45.5703125" style="41" customWidth="1"/>
    <col min="4895" max="5140" width="9.42578125" style="41"/>
    <col min="5141" max="5141" width="21.5703125" style="41" customWidth="1"/>
    <col min="5142" max="5142" width="10.42578125" style="41" customWidth="1"/>
    <col min="5143" max="5143" width="14.42578125" style="41" customWidth="1"/>
    <col min="5144" max="5144" width="10.42578125" style="41" customWidth="1"/>
    <col min="5145" max="5145" width="14.42578125" style="41" customWidth="1"/>
    <col min="5146" max="5146" width="10.42578125" style="41" customWidth="1"/>
    <col min="5147" max="5148" width="14.42578125" style="41" customWidth="1"/>
    <col min="5149" max="5149" width="48.5703125" style="41" customWidth="1"/>
    <col min="5150" max="5150" width="45.5703125" style="41" customWidth="1"/>
    <col min="5151" max="5396" width="9.42578125" style="41"/>
    <col min="5397" max="5397" width="21.5703125" style="41" customWidth="1"/>
    <col min="5398" max="5398" width="10.42578125" style="41" customWidth="1"/>
    <col min="5399" max="5399" width="14.42578125" style="41" customWidth="1"/>
    <col min="5400" max="5400" width="10.42578125" style="41" customWidth="1"/>
    <col min="5401" max="5401" width="14.42578125" style="41" customWidth="1"/>
    <col min="5402" max="5402" width="10.42578125" style="41" customWidth="1"/>
    <col min="5403" max="5404" width="14.42578125" style="41" customWidth="1"/>
    <col min="5405" max="5405" width="48.5703125" style="41" customWidth="1"/>
    <col min="5406" max="5406" width="45.5703125" style="41" customWidth="1"/>
    <col min="5407" max="5652" width="9.42578125" style="41"/>
    <col min="5653" max="5653" width="21.5703125" style="41" customWidth="1"/>
    <col min="5654" max="5654" width="10.42578125" style="41" customWidth="1"/>
    <col min="5655" max="5655" width="14.42578125" style="41" customWidth="1"/>
    <col min="5656" max="5656" width="10.42578125" style="41" customWidth="1"/>
    <col min="5657" max="5657" width="14.42578125" style="41" customWidth="1"/>
    <col min="5658" max="5658" width="10.42578125" style="41" customWidth="1"/>
    <col min="5659" max="5660" width="14.42578125" style="41" customWidth="1"/>
    <col min="5661" max="5661" width="48.5703125" style="41" customWidth="1"/>
    <col min="5662" max="5662" width="45.5703125" style="41" customWidth="1"/>
    <col min="5663" max="5908" width="9.42578125" style="41"/>
    <col min="5909" max="5909" width="21.5703125" style="41" customWidth="1"/>
    <col min="5910" max="5910" width="10.42578125" style="41" customWidth="1"/>
    <col min="5911" max="5911" width="14.42578125" style="41" customWidth="1"/>
    <col min="5912" max="5912" width="10.42578125" style="41" customWidth="1"/>
    <col min="5913" max="5913" width="14.42578125" style="41" customWidth="1"/>
    <col min="5914" max="5914" width="10.42578125" style="41" customWidth="1"/>
    <col min="5915" max="5916" width="14.42578125" style="41" customWidth="1"/>
    <col min="5917" max="5917" width="48.5703125" style="41" customWidth="1"/>
    <col min="5918" max="5918" width="45.5703125" style="41" customWidth="1"/>
    <col min="5919" max="6164" width="9.42578125" style="41"/>
    <col min="6165" max="6165" width="21.5703125" style="41" customWidth="1"/>
    <col min="6166" max="6166" width="10.42578125" style="41" customWidth="1"/>
    <col min="6167" max="6167" width="14.42578125" style="41" customWidth="1"/>
    <col min="6168" max="6168" width="10.42578125" style="41" customWidth="1"/>
    <col min="6169" max="6169" width="14.42578125" style="41" customWidth="1"/>
    <col min="6170" max="6170" width="10.42578125" style="41" customWidth="1"/>
    <col min="6171" max="6172" width="14.42578125" style="41" customWidth="1"/>
    <col min="6173" max="6173" width="48.5703125" style="41" customWidth="1"/>
    <col min="6174" max="6174" width="45.5703125" style="41" customWidth="1"/>
    <col min="6175" max="6420" width="9.42578125" style="41"/>
    <col min="6421" max="6421" width="21.5703125" style="41" customWidth="1"/>
    <col min="6422" max="6422" width="10.42578125" style="41" customWidth="1"/>
    <col min="6423" max="6423" width="14.42578125" style="41" customWidth="1"/>
    <col min="6424" max="6424" width="10.42578125" style="41" customWidth="1"/>
    <col min="6425" max="6425" width="14.42578125" style="41" customWidth="1"/>
    <col min="6426" max="6426" width="10.42578125" style="41" customWidth="1"/>
    <col min="6427" max="6428" width="14.42578125" style="41" customWidth="1"/>
    <col min="6429" max="6429" width="48.5703125" style="41" customWidth="1"/>
    <col min="6430" max="6430" width="45.5703125" style="41" customWidth="1"/>
    <col min="6431" max="6676" width="9.42578125" style="41"/>
    <col min="6677" max="6677" width="21.5703125" style="41" customWidth="1"/>
    <col min="6678" max="6678" width="10.42578125" style="41" customWidth="1"/>
    <col min="6679" max="6679" width="14.42578125" style="41" customWidth="1"/>
    <col min="6680" max="6680" width="10.42578125" style="41" customWidth="1"/>
    <col min="6681" max="6681" width="14.42578125" style="41" customWidth="1"/>
    <col min="6682" max="6682" width="10.42578125" style="41" customWidth="1"/>
    <col min="6683" max="6684" width="14.42578125" style="41" customWidth="1"/>
    <col min="6685" max="6685" width="48.5703125" style="41" customWidth="1"/>
    <col min="6686" max="6686" width="45.5703125" style="41" customWidth="1"/>
    <col min="6687" max="6932" width="9.42578125" style="41"/>
    <col min="6933" max="6933" width="21.5703125" style="41" customWidth="1"/>
    <col min="6934" max="6934" width="10.42578125" style="41" customWidth="1"/>
    <col min="6935" max="6935" width="14.42578125" style="41" customWidth="1"/>
    <col min="6936" max="6936" width="10.42578125" style="41" customWidth="1"/>
    <col min="6937" max="6937" width="14.42578125" style="41" customWidth="1"/>
    <col min="6938" max="6938" width="10.42578125" style="41" customWidth="1"/>
    <col min="6939" max="6940" width="14.42578125" style="41" customWidth="1"/>
    <col min="6941" max="6941" width="48.5703125" style="41" customWidth="1"/>
    <col min="6942" max="6942" width="45.5703125" style="41" customWidth="1"/>
    <col min="6943" max="7188" width="9.42578125" style="41"/>
    <col min="7189" max="7189" width="21.5703125" style="41" customWidth="1"/>
    <col min="7190" max="7190" width="10.42578125" style="41" customWidth="1"/>
    <col min="7191" max="7191" width="14.42578125" style="41" customWidth="1"/>
    <col min="7192" max="7192" width="10.42578125" style="41" customWidth="1"/>
    <col min="7193" max="7193" width="14.42578125" style="41" customWidth="1"/>
    <col min="7194" max="7194" width="10.42578125" style="41" customWidth="1"/>
    <col min="7195" max="7196" width="14.42578125" style="41" customWidth="1"/>
    <col min="7197" max="7197" width="48.5703125" style="41" customWidth="1"/>
    <col min="7198" max="7198" width="45.5703125" style="41" customWidth="1"/>
    <col min="7199" max="7444" width="9.42578125" style="41"/>
    <col min="7445" max="7445" width="21.5703125" style="41" customWidth="1"/>
    <col min="7446" max="7446" width="10.42578125" style="41" customWidth="1"/>
    <col min="7447" max="7447" width="14.42578125" style="41" customWidth="1"/>
    <col min="7448" max="7448" width="10.42578125" style="41" customWidth="1"/>
    <col min="7449" max="7449" width="14.42578125" style="41" customWidth="1"/>
    <col min="7450" max="7450" width="10.42578125" style="41" customWidth="1"/>
    <col min="7451" max="7452" width="14.42578125" style="41" customWidth="1"/>
    <col min="7453" max="7453" width="48.5703125" style="41" customWidth="1"/>
    <col min="7454" max="7454" width="45.5703125" style="41" customWidth="1"/>
    <col min="7455" max="7700" width="9.42578125" style="41"/>
    <col min="7701" max="7701" width="21.5703125" style="41" customWidth="1"/>
    <col min="7702" max="7702" width="10.42578125" style="41" customWidth="1"/>
    <col min="7703" max="7703" width="14.42578125" style="41" customWidth="1"/>
    <col min="7704" max="7704" width="10.42578125" style="41" customWidth="1"/>
    <col min="7705" max="7705" width="14.42578125" style="41" customWidth="1"/>
    <col min="7706" max="7706" width="10.42578125" style="41" customWidth="1"/>
    <col min="7707" max="7708" width="14.42578125" style="41" customWidth="1"/>
    <col min="7709" max="7709" width="48.5703125" style="41" customWidth="1"/>
    <col min="7710" max="7710" width="45.5703125" style="41" customWidth="1"/>
    <col min="7711" max="7956" width="9.42578125" style="41"/>
    <col min="7957" max="7957" width="21.5703125" style="41" customWidth="1"/>
    <col min="7958" max="7958" width="10.42578125" style="41" customWidth="1"/>
    <col min="7959" max="7959" width="14.42578125" style="41" customWidth="1"/>
    <col min="7960" max="7960" width="10.42578125" style="41" customWidth="1"/>
    <col min="7961" max="7961" width="14.42578125" style="41" customWidth="1"/>
    <col min="7962" max="7962" width="10.42578125" style="41" customWidth="1"/>
    <col min="7963" max="7964" width="14.42578125" style="41" customWidth="1"/>
    <col min="7965" max="7965" width="48.5703125" style="41" customWidth="1"/>
    <col min="7966" max="7966" width="45.5703125" style="41" customWidth="1"/>
    <col min="7967" max="8212" width="9.42578125" style="41"/>
    <col min="8213" max="8213" width="21.5703125" style="41" customWidth="1"/>
    <col min="8214" max="8214" width="10.42578125" style="41" customWidth="1"/>
    <col min="8215" max="8215" width="14.42578125" style="41" customWidth="1"/>
    <col min="8216" max="8216" width="10.42578125" style="41" customWidth="1"/>
    <col min="8217" max="8217" width="14.42578125" style="41" customWidth="1"/>
    <col min="8218" max="8218" width="10.42578125" style="41" customWidth="1"/>
    <col min="8219" max="8220" width="14.42578125" style="41" customWidth="1"/>
    <col min="8221" max="8221" width="48.5703125" style="41" customWidth="1"/>
    <col min="8222" max="8222" width="45.5703125" style="41" customWidth="1"/>
    <col min="8223" max="8468" width="9.42578125" style="41"/>
    <col min="8469" max="8469" width="21.5703125" style="41" customWidth="1"/>
    <col min="8470" max="8470" width="10.42578125" style="41" customWidth="1"/>
    <col min="8471" max="8471" width="14.42578125" style="41" customWidth="1"/>
    <col min="8472" max="8472" width="10.42578125" style="41" customWidth="1"/>
    <col min="8473" max="8473" width="14.42578125" style="41" customWidth="1"/>
    <col min="8474" max="8474" width="10.42578125" style="41" customWidth="1"/>
    <col min="8475" max="8476" width="14.42578125" style="41" customWidth="1"/>
    <col min="8477" max="8477" width="48.5703125" style="41" customWidth="1"/>
    <col min="8478" max="8478" width="45.5703125" style="41" customWidth="1"/>
    <col min="8479" max="8724" width="9.42578125" style="41"/>
    <col min="8725" max="8725" width="21.5703125" style="41" customWidth="1"/>
    <col min="8726" max="8726" width="10.42578125" style="41" customWidth="1"/>
    <col min="8727" max="8727" width="14.42578125" style="41" customWidth="1"/>
    <col min="8728" max="8728" width="10.42578125" style="41" customWidth="1"/>
    <col min="8729" max="8729" width="14.42578125" style="41" customWidth="1"/>
    <col min="8730" max="8730" width="10.42578125" style="41" customWidth="1"/>
    <col min="8731" max="8732" width="14.42578125" style="41" customWidth="1"/>
    <col min="8733" max="8733" width="48.5703125" style="41" customWidth="1"/>
    <col min="8734" max="8734" width="45.5703125" style="41" customWidth="1"/>
    <col min="8735" max="8980" width="9.42578125" style="41"/>
    <col min="8981" max="8981" width="21.5703125" style="41" customWidth="1"/>
    <col min="8982" max="8982" width="10.42578125" style="41" customWidth="1"/>
    <col min="8983" max="8983" width="14.42578125" style="41" customWidth="1"/>
    <col min="8984" max="8984" width="10.42578125" style="41" customWidth="1"/>
    <col min="8985" max="8985" width="14.42578125" style="41" customWidth="1"/>
    <col min="8986" max="8986" width="10.42578125" style="41" customWidth="1"/>
    <col min="8987" max="8988" width="14.42578125" style="41" customWidth="1"/>
    <col min="8989" max="8989" width="48.5703125" style="41" customWidth="1"/>
    <col min="8990" max="8990" width="45.5703125" style="41" customWidth="1"/>
    <col min="8991" max="9236" width="9.42578125" style="41"/>
    <col min="9237" max="9237" width="21.5703125" style="41" customWidth="1"/>
    <col min="9238" max="9238" width="10.42578125" style="41" customWidth="1"/>
    <col min="9239" max="9239" width="14.42578125" style="41" customWidth="1"/>
    <col min="9240" max="9240" width="10.42578125" style="41" customWidth="1"/>
    <col min="9241" max="9241" width="14.42578125" style="41" customWidth="1"/>
    <col min="9242" max="9242" width="10.42578125" style="41" customWidth="1"/>
    <col min="9243" max="9244" width="14.42578125" style="41" customWidth="1"/>
    <col min="9245" max="9245" width="48.5703125" style="41" customWidth="1"/>
    <col min="9246" max="9246" width="45.5703125" style="41" customWidth="1"/>
    <col min="9247" max="9492" width="9.42578125" style="41"/>
    <col min="9493" max="9493" width="21.5703125" style="41" customWidth="1"/>
    <col min="9494" max="9494" width="10.42578125" style="41" customWidth="1"/>
    <col min="9495" max="9495" width="14.42578125" style="41" customWidth="1"/>
    <col min="9496" max="9496" width="10.42578125" style="41" customWidth="1"/>
    <col min="9497" max="9497" width="14.42578125" style="41" customWidth="1"/>
    <col min="9498" max="9498" width="10.42578125" style="41" customWidth="1"/>
    <col min="9499" max="9500" width="14.42578125" style="41" customWidth="1"/>
    <col min="9501" max="9501" width="48.5703125" style="41" customWidth="1"/>
    <col min="9502" max="9502" width="45.5703125" style="41" customWidth="1"/>
    <col min="9503" max="9748" width="9.42578125" style="41"/>
    <col min="9749" max="9749" width="21.5703125" style="41" customWidth="1"/>
    <col min="9750" max="9750" width="10.42578125" style="41" customWidth="1"/>
    <col min="9751" max="9751" width="14.42578125" style="41" customWidth="1"/>
    <col min="9752" max="9752" width="10.42578125" style="41" customWidth="1"/>
    <col min="9753" max="9753" width="14.42578125" style="41" customWidth="1"/>
    <col min="9754" max="9754" width="10.42578125" style="41" customWidth="1"/>
    <col min="9755" max="9756" width="14.42578125" style="41" customWidth="1"/>
    <col min="9757" max="9757" width="48.5703125" style="41" customWidth="1"/>
    <col min="9758" max="9758" width="45.5703125" style="41" customWidth="1"/>
    <col min="9759" max="10004" width="9.42578125" style="41"/>
    <col min="10005" max="10005" width="21.5703125" style="41" customWidth="1"/>
    <col min="10006" max="10006" width="10.42578125" style="41" customWidth="1"/>
    <col min="10007" max="10007" width="14.42578125" style="41" customWidth="1"/>
    <col min="10008" max="10008" width="10.42578125" style="41" customWidth="1"/>
    <col min="10009" max="10009" width="14.42578125" style="41" customWidth="1"/>
    <col min="10010" max="10010" width="10.42578125" style="41" customWidth="1"/>
    <col min="10011" max="10012" width="14.42578125" style="41" customWidth="1"/>
    <col min="10013" max="10013" width="48.5703125" style="41" customWidth="1"/>
    <col min="10014" max="10014" width="45.5703125" style="41" customWidth="1"/>
    <col min="10015" max="10260" width="9.42578125" style="41"/>
    <col min="10261" max="10261" width="21.5703125" style="41" customWidth="1"/>
    <col min="10262" max="10262" width="10.42578125" style="41" customWidth="1"/>
    <col min="10263" max="10263" width="14.42578125" style="41" customWidth="1"/>
    <col min="10264" max="10264" width="10.42578125" style="41" customWidth="1"/>
    <col min="10265" max="10265" width="14.42578125" style="41" customWidth="1"/>
    <col min="10266" max="10266" width="10.42578125" style="41" customWidth="1"/>
    <col min="10267" max="10268" width="14.42578125" style="41" customWidth="1"/>
    <col min="10269" max="10269" width="48.5703125" style="41" customWidth="1"/>
    <col min="10270" max="10270" width="45.5703125" style="41" customWidth="1"/>
    <col min="10271" max="10516" width="9.42578125" style="41"/>
    <col min="10517" max="10517" width="21.5703125" style="41" customWidth="1"/>
    <col min="10518" max="10518" width="10.42578125" style="41" customWidth="1"/>
    <col min="10519" max="10519" width="14.42578125" style="41" customWidth="1"/>
    <col min="10520" max="10520" width="10.42578125" style="41" customWidth="1"/>
    <col min="10521" max="10521" width="14.42578125" style="41" customWidth="1"/>
    <col min="10522" max="10522" width="10.42578125" style="41" customWidth="1"/>
    <col min="10523" max="10524" width="14.42578125" style="41" customWidth="1"/>
    <col min="10525" max="10525" width="48.5703125" style="41" customWidth="1"/>
    <col min="10526" max="10526" width="45.5703125" style="41" customWidth="1"/>
    <col min="10527" max="10772" width="9.42578125" style="41"/>
    <col min="10773" max="10773" width="21.5703125" style="41" customWidth="1"/>
    <col min="10774" max="10774" width="10.42578125" style="41" customWidth="1"/>
    <col min="10775" max="10775" width="14.42578125" style="41" customWidth="1"/>
    <col min="10776" max="10776" width="10.42578125" style="41" customWidth="1"/>
    <col min="10777" max="10777" width="14.42578125" style="41" customWidth="1"/>
    <col min="10778" max="10778" width="10.42578125" style="41" customWidth="1"/>
    <col min="10779" max="10780" width="14.42578125" style="41" customWidth="1"/>
    <col min="10781" max="10781" width="48.5703125" style="41" customWidth="1"/>
    <col min="10782" max="10782" width="45.5703125" style="41" customWidth="1"/>
    <col min="10783" max="11028" width="9.42578125" style="41"/>
    <col min="11029" max="11029" width="21.5703125" style="41" customWidth="1"/>
    <col min="11030" max="11030" width="10.42578125" style="41" customWidth="1"/>
    <col min="11031" max="11031" width="14.42578125" style="41" customWidth="1"/>
    <col min="11032" max="11032" width="10.42578125" style="41" customWidth="1"/>
    <col min="11033" max="11033" width="14.42578125" style="41" customWidth="1"/>
    <col min="11034" max="11034" width="10.42578125" style="41" customWidth="1"/>
    <col min="11035" max="11036" width="14.42578125" style="41" customWidth="1"/>
    <col min="11037" max="11037" width="48.5703125" style="41" customWidth="1"/>
    <col min="11038" max="11038" width="45.5703125" style="41" customWidth="1"/>
    <col min="11039" max="11284" width="9.42578125" style="41"/>
    <col min="11285" max="11285" width="21.5703125" style="41" customWidth="1"/>
    <col min="11286" max="11286" width="10.42578125" style="41" customWidth="1"/>
    <col min="11287" max="11287" width="14.42578125" style="41" customWidth="1"/>
    <col min="11288" max="11288" width="10.42578125" style="41" customWidth="1"/>
    <col min="11289" max="11289" width="14.42578125" style="41" customWidth="1"/>
    <col min="11290" max="11290" width="10.42578125" style="41" customWidth="1"/>
    <col min="11291" max="11292" width="14.42578125" style="41" customWidth="1"/>
    <col min="11293" max="11293" width="48.5703125" style="41" customWidth="1"/>
    <col min="11294" max="11294" width="45.5703125" style="41" customWidth="1"/>
    <col min="11295" max="11540" width="9.42578125" style="41"/>
    <col min="11541" max="11541" width="21.5703125" style="41" customWidth="1"/>
    <col min="11542" max="11542" width="10.42578125" style="41" customWidth="1"/>
    <col min="11543" max="11543" width="14.42578125" style="41" customWidth="1"/>
    <col min="11544" max="11544" width="10.42578125" style="41" customWidth="1"/>
    <col min="11545" max="11545" width="14.42578125" style="41" customWidth="1"/>
    <col min="11546" max="11546" width="10.42578125" style="41" customWidth="1"/>
    <col min="11547" max="11548" width="14.42578125" style="41" customWidth="1"/>
    <col min="11549" max="11549" width="48.5703125" style="41" customWidth="1"/>
    <col min="11550" max="11550" width="45.5703125" style="41" customWidth="1"/>
    <col min="11551" max="11796" width="9.42578125" style="41"/>
    <col min="11797" max="11797" width="21.5703125" style="41" customWidth="1"/>
    <col min="11798" max="11798" width="10.42578125" style="41" customWidth="1"/>
    <col min="11799" max="11799" width="14.42578125" style="41" customWidth="1"/>
    <col min="11800" max="11800" width="10.42578125" style="41" customWidth="1"/>
    <col min="11801" max="11801" width="14.42578125" style="41" customWidth="1"/>
    <col min="11802" max="11802" width="10.42578125" style="41" customWidth="1"/>
    <col min="11803" max="11804" width="14.42578125" style="41" customWidth="1"/>
    <col min="11805" max="11805" width="48.5703125" style="41" customWidth="1"/>
    <col min="11806" max="11806" width="45.5703125" style="41" customWidth="1"/>
    <col min="11807" max="12052" width="9.42578125" style="41"/>
    <col min="12053" max="12053" width="21.5703125" style="41" customWidth="1"/>
    <col min="12054" max="12054" width="10.42578125" style="41" customWidth="1"/>
    <col min="12055" max="12055" width="14.42578125" style="41" customWidth="1"/>
    <col min="12056" max="12056" width="10.42578125" style="41" customWidth="1"/>
    <col min="12057" max="12057" width="14.42578125" style="41" customWidth="1"/>
    <col min="12058" max="12058" width="10.42578125" style="41" customWidth="1"/>
    <col min="12059" max="12060" width="14.42578125" style="41" customWidth="1"/>
    <col min="12061" max="12061" width="48.5703125" style="41" customWidth="1"/>
    <col min="12062" max="12062" width="45.5703125" style="41" customWidth="1"/>
    <col min="12063" max="12308" width="9.42578125" style="41"/>
    <col min="12309" max="12309" width="21.5703125" style="41" customWidth="1"/>
    <col min="12310" max="12310" width="10.42578125" style="41" customWidth="1"/>
    <col min="12311" max="12311" width="14.42578125" style="41" customWidth="1"/>
    <col min="12312" max="12312" width="10.42578125" style="41" customWidth="1"/>
    <col min="12313" max="12313" width="14.42578125" style="41" customWidth="1"/>
    <col min="12314" max="12314" width="10.42578125" style="41" customWidth="1"/>
    <col min="12315" max="12316" width="14.42578125" style="41" customWidth="1"/>
    <col min="12317" max="12317" width="48.5703125" style="41" customWidth="1"/>
    <col min="12318" max="12318" width="45.5703125" style="41" customWidth="1"/>
    <col min="12319" max="12564" width="9.42578125" style="41"/>
    <col min="12565" max="12565" width="21.5703125" style="41" customWidth="1"/>
    <col min="12566" max="12566" width="10.42578125" style="41" customWidth="1"/>
    <col min="12567" max="12567" width="14.42578125" style="41" customWidth="1"/>
    <col min="12568" max="12568" width="10.42578125" style="41" customWidth="1"/>
    <col min="12569" max="12569" width="14.42578125" style="41" customWidth="1"/>
    <col min="12570" max="12570" width="10.42578125" style="41" customWidth="1"/>
    <col min="12571" max="12572" width="14.42578125" style="41" customWidth="1"/>
    <col min="12573" max="12573" width="48.5703125" style="41" customWidth="1"/>
    <col min="12574" max="12574" width="45.5703125" style="41" customWidth="1"/>
    <col min="12575" max="12820" width="9.42578125" style="41"/>
    <col min="12821" max="12821" width="21.5703125" style="41" customWidth="1"/>
    <col min="12822" max="12822" width="10.42578125" style="41" customWidth="1"/>
    <col min="12823" max="12823" width="14.42578125" style="41" customWidth="1"/>
    <col min="12824" max="12824" width="10.42578125" style="41" customWidth="1"/>
    <col min="12825" max="12825" width="14.42578125" style="41" customWidth="1"/>
    <col min="12826" max="12826" width="10.42578125" style="41" customWidth="1"/>
    <col min="12827" max="12828" width="14.42578125" style="41" customWidth="1"/>
    <col min="12829" max="12829" width="48.5703125" style="41" customWidth="1"/>
    <col min="12830" max="12830" width="45.5703125" style="41" customWidth="1"/>
    <col min="12831" max="13076" width="9.42578125" style="41"/>
    <col min="13077" max="13077" width="21.5703125" style="41" customWidth="1"/>
    <col min="13078" max="13078" width="10.42578125" style="41" customWidth="1"/>
    <col min="13079" max="13079" width="14.42578125" style="41" customWidth="1"/>
    <col min="13080" max="13080" width="10.42578125" style="41" customWidth="1"/>
    <col min="13081" max="13081" width="14.42578125" style="41" customWidth="1"/>
    <col min="13082" max="13082" width="10.42578125" style="41" customWidth="1"/>
    <col min="13083" max="13084" width="14.42578125" style="41" customWidth="1"/>
    <col min="13085" max="13085" width="48.5703125" style="41" customWidth="1"/>
    <col min="13086" max="13086" width="45.5703125" style="41" customWidth="1"/>
    <col min="13087" max="13332" width="9.42578125" style="41"/>
    <col min="13333" max="13333" width="21.5703125" style="41" customWidth="1"/>
    <col min="13334" max="13334" width="10.42578125" style="41" customWidth="1"/>
    <col min="13335" max="13335" width="14.42578125" style="41" customWidth="1"/>
    <col min="13336" max="13336" width="10.42578125" style="41" customWidth="1"/>
    <col min="13337" max="13337" width="14.42578125" style="41" customWidth="1"/>
    <col min="13338" max="13338" width="10.42578125" style="41" customWidth="1"/>
    <col min="13339" max="13340" width="14.42578125" style="41" customWidth="1"/>
    <col min="13341" max="13341" width="48.5703125" style="41" customWidth="1"/>
    <col min="13342" max="13342" width="45.5703125" style="41" customWidth="1"/>
    <col min="13343" max="13588" width="9.42578125" style="41"/>
    <col min="13589" max="13589" width="21.5703125" style="41" customWidth="1"/>
    <col min="13590" max="13590" width="10.42578125" style="41" customWidth="1"/>
    <col min="13591" max="13591" width="14.42578125" style="41" customWidth="1"/>
    <col min="13592" max="13592" width="10.42578125" style="41" customWidth="1"/>
    <col min="13593" max="13593" width="14.42578125" style="41" customWidth="1"/>
    <col min="13594" max="13594" width="10.42578125" style="41" customWidth="1"/>
    <col min="13595" max="13596" width="14.42578125" style="41" customWidth="1"/>
    <col min="13597" max="13597" width="48.5703125" style="41" customWidth="1"/>
    <col min="13598" max="13598" width="45.5703125" style="41" customWidth="1"/>
    <col min="13599" max="13844" width="9.42578125" style="41"/>
    <col min="13845" max="13845" width="21.5703125" style="41" customWidth="1"/>
    <col min="13846" max="13846" width="10.42578125" style="41" customWidth="1"/>
    <col min="13847" max="13847" width="14.42578125" style="41" customWidth="1"/>
    <col min="13848" max="13848" width="10.42578125" style="41" customWidth="1"/>
    <col min="13849" max="13849" width="14.42578125" style="41" customWidth="1"/>
    <col min="13850" max="13850" width="10.42578125" style="41" customWidth="1"/>
    <col min="13851" max="13852" width="14.42578125" style="41" customWidth="1"/>
    <col min="13853" max="13853" width="48.5703125" style="41" customWidth="1"/>
    <col min="13854" max="13854" width="45.5703125" style="41" customWidth="1"/>
    <col min="13855" max="14100" width="9.42578125" style="41"/>
    <col min="14101" max="14101" width="21.5703125" style="41" customWidth="1"/>
    <col min="14102" max="14102" width="10.42578125" style="41" customWidth="1"/>
    <col min="14103" max="14103" width="14.42578125" style="41" customWidth="1"/>
    <col min="14104" max="14104" width="10.42578125" style="41" customWidth="1"/>
    <col min="14105" max="14105" width="14.42578125" style="41" customWidth="1"/>
    <col min="14106" max="14106" width="10.42578125" style="41" customWidth="1"/>
    <col min="14107" max="14108" width="14.42578125" style="41" customWidth="1"/>
    <col min="14109" max="14109" width="48.5703125" style="41" customWidth="1"/>
    <col min="14110" max="14110" width="45.5703125" style="41" customWidth="1"/>
    <col min="14111" max="14356" width="9.42578125" style="41"/>
    <col min="14357" max="14357" width="21.5703125" style="41" customWidth="1"/>
    <col min="14358" max="14358" width="10.42578125" style="41" customWidth="1"/>
    <col min="14359" max="14359" width="14.42578125" style="41" customWidth="1"/>
    <col min="14360" max="14360" width="10.42578125" style="41" customWidth="1"/>
    <col min="14361" max="14361" width="14.42578125" style="41" customWidth="1"/>
    <col min="14362" max="14362" width="10.42578125" style="41" customWidth="1"/>
    <col min="14363" max="14364" width="14.42578125" style="41" customWidth="1"/>
    <col min="14365" max="14365" width="48.5703125" style="41" customWidth="1"/>
    <col min="14366" max="14366" width="45.5703125" style="41" customWidth="1"/>
    <col min="14367" max="14612" width="9.42578125" style="41"/>
    <col min="14613" max="14613" width="21.5703125" style="41" customWidth="1"/>
    <col min="14614" max="14614" width="10.42578125" style="41" customWidth="1"/>
    <col min="14615" max="14615" width="14.42578125" style="41" customWidth="1"/>
    <col min="14616" max="14616" width="10.42578125" style="41" customWidth="1"/>
    <col min="14617" max="14617" width="14.42578125" style="41" customWidth="1"/>
    <col min="14618" max="14618" width="10.42578125" style="41" customWidth="1"/>
    <col min="14619" max="14620" width="14.42578125" style="41" customWidth="1"/>
    <col min="14621" max="14621" width="48.5703125" style="41" customWidth="1"/>
    <col min="14622" max="14622" width="45.5703125" style="41" customWidth="1"/>
    <col min="14623" max="14868" width="9.42578125" style="41"/>
    <col min="14869" max="14869" width="21.5703125" style="41" customWidth="1"/>
    <col min="14870" max="14870" width="10.42578125" style="41" customWidth="1"/>
    <col min="14871" max="14871" width="14.42578125" style="41" customWidth="1"/>
    <col min="14872" max="14872" width="10.42578125" style="41" customWidth="1"/>
    <col min="14873" max="14873" width="14.42578125" style="41" customWidth="1"/>
    <col min="14874" max="14874" width="10.42578125" style="41" customWidth="1"/>
    <col min="14875" max="14876" width="14.42578125" style="41" customWidth="1"/>
    <col min="14877" max="14877" width="48.5703125" style="41" customWidth="1"/>
    <col min="14878" max="14878" width="45.5703125" style="41" customWidth="1"/>
    <col min="14879" max="15124" width="9.42578125" style="41"/>
    <col min="15125" max="15125" width="21.5703125" style="41" customWidth="1"/>
    <col min="15126" max="15126" width="10.42578125" style="41" customWidth="1"/>
    <col min="15127" max="15127" width="14.42578125" style="41" customWidth="1"/>
    <col min="15128" max="15128" width="10.42578125" style="41" customWidth="1"/>
    <col min="15129" max="15129" width="14.42578125" style="41" customWidth="1"/>
    <col min="15130" max="15130" width="10.42578125" style="41" customWidth="1"/>
    <col min="15131" max="15132" width="14.42578125" style="41" customWidth="1"/>
    <col min="15133" max="15133" width="48.5703125" style="41" customWidth="1"/>
    <col min="15134" max="15134" width="45.5703125" style="41" customWidth="1"/>
    <col min="15135" max="15380" width="9.42578125" style="41"/>
    <col min="15381" max="15381" width="21.5703125" style="41" customWidth="1"/>
    <col min="15382" max="15382" width="10.42578125" style="41" customWidth="1"/>
    <col min="15383" max="15383" width="14.42578125" style="41" customWidth="1"/>
    <col min="15384" max="15384" width="10.42578125" style="41" customWidth="1"/>
    <col min="15385" max="15385" width="14.42578125" style="41" customWidth="1"/>
    <col min="15386" max="15386" width="10.42578125" style="41" customWidth="1"/>
    <col min="15387" max="15388" width="14.42578125" style="41" customWidth="1"/>
    <col min="15389" max="15389" width="48.5703125" style="41" customWidth="1"/>
    <col min="15390" max="15390" width="45.5703125" style="41" customWidth="1"/>
    <col min="15391" max="15636" width="9.42578125" style="41"/>
    <col min="15637" max="15637" width="21.5703125" style="41" customWidth="1"/>
    <col min="15638" max="15638" width="10.42578125" style="41" customWidth="1"/>
    <col min="15639" max="15639" width="14.42578125" style="41" customWidth="1"/>
    <col min="15640" max="15640" width="10.42578125" style="41" customWidth="1"/>
    <col min="15641" max="15641" width="14.42578125" style="41" customWidth="1"/>
    <col min="15642" max="15642" width="10.42578125" style="41" customWidth="1"/>
    <col min="15643" max="15644" width="14.42578125" style="41" customWidth="1"/>
    <col min="15645" max="15645" width="48.5703125" style="41" customWidth="1"/>
    <col min="15646" max="15646" width="45.5703125" style="41" customWidth="1"/>
    <col min="15647" max="15892" width="9.42578125" style="41"/>
    <col min="15893" max="15893" width="21.5703125" style="41" customWidth="1"/>
    <col min="15894" max="15894" width="10.42578125" style="41" customWidth="1"/>
    <col min="15895" max="15895" width="14.42578125" style="41" customWidth="1"/>
    <col min="15896" max="15896" width="10.42578125" style="41" customWidth="1"/>
    <col min="15897" max="15897" width="14.42578125" style="41" customWidth="1"/>
    <col min="15898" max="15898" width="10.42578125" style="41" customWidth="1"/>
    <col min="15899" max="15900" width="14.42578125" style="41" customWidth="1"/>
    <col min="15901" max="15901" width="48.5703125" style="41" customWidth="1"/>
    <col min="15902" max="15902" width="45.5703125" style="41" customWidth="1"/>
    <col min="15903" max="16148" width="9.42578125" style="41"/>
    <col min="16149" max="16149" width="21.5703125" style="41" customWidth="1"/>
    <col min="16150" max="16150" width="10.42578125" style="41" customWidth="1"/>
    <col min="16151" max="16151" width="14.42578125" style="41" customWidth="1"/>
    <col min="16152" max="16152" width="10.42578125" style="41" customWidth="1"/>
    <col min="16153" max="16153" width="14.42578125" style="41" customWidth="1"/>
    <col min="16154" max="16154" width="10.42578125" style="41" customWidth="1"/>
    <col min="16155" max="16156" width="14.42578125" style="41" customWidth="1"/>
    <col min="16157" max="16157" width="48.5703125" style="41" customWidth="1"/>
    <col min="16158" max="16158" width="45.5703125" style="41" customWidth="1"/>
    <col min="16159" max="16384" width="9.42578125" style="41"/>
  </cols>
  <sheetData>
    <row r="1" spans="1:43" x14ac:dyDescent="0.25">
      <c r="A1" s="294" t="s">
        <v>23</v>
      </c>
      <c r="B1" s="294"/>
      <c r="C1" s="294"/>
      <c r="D1" s="294"/>
      <c r="E1" s="294"/>
      <c r="F1" s="294"/>
      <c r="G1" s="294"/>
      <c r="H1" s="294"/>
      <c r="I1" s="294"/>
      <c r="J1" s="294"/>
      <c r="K1" s="294"/>
      <c r="L1" s="294"/>
      <c r="M1" s="294"/>
      <c r="N1" s="294"/>
      <c r="O1" s="294"/>
      <c r="P1" s="294"/>
      <c r="Q1" s="294"/>
      <c r="R1" s="294"/>
      <c r="S1" s="294"/>
      <c r="T1" s="294"/>
      <c r="U1" s="294"/>
      <c r="V1" s="294"/>
      <c r="W1" s="294"/>
      <c r="X1" s="294"/>
      <c r="Y1" s="294"/>
      <c r="Z1" s="294"/>
      <c r="AA1" s="294"/>
      <c r="AB1" s="294"/>
      <c r="AC1" s="294"/>
      <c r="AD1" s="294"/>
      <c r="AE1" s="294"/>
      <c r="AF1" s="294"/>
      <c r="AG1" s="294"/>
      <c r="AH1" s="294"/>
      <c r="AI1" s="294"/>
      <c r="AJ1" s="294"/>
      <c r="AK1" s="294"/>
      <c r="AL1" s="294"/>
      <c r="AM1" s="294"/>
      <c r="AN1" s="294"/>
      <c r="AO1" s="294"/>
      <c r="AP1" s="294"/>
      <c r="AQ1" s="294"/>
    </row>
    <row r="2" spans="1:43" ht="16.5" customHeight="1" thickBot="1" x14ac:dyDescent="0.3">
      <c r="A2" s="295" t="s">
        <v>24</v>
      </c>
      <c r="B2" s="296"/>
      <c r="C2" s="296"/>
      <c r="D2" s="295"/>
      <c r="E2" s="295"/>
      <c r="F2" s="295"/>
      <c r="G2" s="295"/>
      <c r="H2" s="295"/>
      <c r="I2" s="295"/>
      <c r="J2" s="295"/>
      <c r="K2" s="295"/>
      <c r="L2" s="295"/>
      <c r="M2" s="295"/>
      <c r="N2" s="295"/>
      <c r="O2" s="295"/>
      <c r="P2" s="295"/>
      <c r="Q2" s="295"/>
      <c r="R2" s="295"/>
      <c r="S2" s="295"/>
      <c r="T2" s="295"/>
      <c r="U2" s="295"/>
      <c r="V2" s="295"/>
      <c r="W2" s="295"/>
      <c r="X2" s="295"/>
      <c r="Y2" s="295"/>
      <c r="Z2" s="295"/>
      <c r="AA2" s="295"/>
      <c r="AB2" s="295"/>
      <c r="AC2" s="295"/>
      <c r="AD2" s="295"/>
      <c r="AE2" s="295"/>
      <c r="AF2" s="295"/>
      <c r="AG2" s="295"/>
      <c r="AH2" s="295"/>
      <c r="AI2" s="295"/>
      <c r="AJ2" s="295"/>
      <c r="AK2" s="295"/>
      <c r="AL2" s="295"/>
      <c r="AM2" s="295"/>
      <c r="AN2" s="295"/>
      <c r="AO2" s="295"/>
      <c r="AP2" s="295"/>
      <c r="AQ2" s="295"/>
    </row>
    <row r="3" spans="1:43" ht="15.75" thickTop="1" x14ac:dyDescent="0.25">
      <c r="A3" s="42" t="s">
        <v>0</v>
      </c>
      <c r="B3" s="43" t="s">
        <v>58</v>
      </c>
      <c r="C3" s="44" t="s">
        <v>59</v>
      </c>
      <c r="D3" s="290" t="s">
        <v>1</v>
      </c>
      <c r="E3" s="288"/>
      <c r="F3" s="297" t="s">
        <v>2</v>
      </c>
      <c r="G3" s="288"/>
      <c r="H3" s="291" t="s">
        <v>2</v>
      </c>
      <c r="I3" s="288"/>
      <c r="J3" s="291" t="s">
        <v>2</v>
      </c>
      <c r="K3" s="288"/>
      <c r="L3" s="291" t="s">
        <v>2</v>
      </c>
      <c r="M3" s="288"/>
      <c r="N3" s="291" t="s">
        <v>2</v>
      </c>
      <c r="O3" s="288"/>
      <c r="P3" s="291" t="s">
        <v>2</v>
      </c>
      <c r="Q3" s="288"/>
      <c r="R3" s="291" t="s">
        <v>2</v>
      </c>
      <c r="S3" s="288"/>
      <c r="T3" s="291" t="s">
        <v>2</v>
      </c>
      <c r="U3" s="288"/>
      <c r="V3" s="291" t="s">
        <v>2</v>
      </c>
      <c r="W3" s="288"/>
      <c r="X3" s="291" t="s">
        <v>2</v>
      </c>
      <c r="Y3" s="288"/>
      <c r="Z3" s="291" t="s">
        <v>2</v>
      </c>
      <c r="AA3" s="288"/>
      <c r="AB3" s="269" t="s">
        <v>2</v>
      </c>
      <c r="AC3" s="270"/>
      <c r="AD3" s="292" t="s">
        <v>60</v>
      </c>
      <c r="AE3" s="293"/>
      <c r="AF3" s="292" t="s">
        <v>60</v>
      </c>
      <c r="AG3" s="293"/>
      <c r="AH3" s="292" t="s">
        <v>60</v>
      </c>
      <c r="AI3" s="293"/>
      <c r="AJ3" s="292" t="s">
        <v>60</v>
      </c>
      <c r="AK3" s="293"/>
      <c r="AL3" s="292" t="s">
        <v>60</v>
      </c>
      <c r="AM3" s="293"/>
      <c r="AN3" s="292" t="s">
        <v>60</v>
      </c>
      <c r="AO3" s="293"/>
      <c r="AP3" s="282" t="s">
        <v>3</v>
      </c>
      <c r="AQ3" s="283"/>
    </row>
    <row r="4" spans="1:43" ht="58.5" customHeight="1" x14ac:dyDescent="0.25">
      <c r="A4" s="42" t="s">
        <v>4</v>
      </c>
      <c r="B4" s="45" t="s">
        <v>61</v>
      </c>
      <c r="C4" s="46" t="s">
        <v>62</v>
      </c>
      <c r="D4" s="288" t="s">
        <v>5</v>
      </c>
      <c r="E4" s="289"/>
      <c r="F4" s="290" t="s">
        <v>6</v>
      </c>
      <c r="G4" s="288"/>
      <c r="H4" s="291" t="s">
        <v>7</v>
      </c>
      <c r="I4" s="288"/>
      <c r="J4" s="291" t="s">
        <v>8</v>
      </c>
      <c r="K4" s="288"/>
      <c r="L4" s="291" t="s">
        <v>9</v>
      </c>
      <c r="M4" s="288"/>
      <c r="N4" s="291" t="s">
        <v>10</v>
      </c>
      <c r="O4" s="288"/>
      <c r="P4" s="291" t="s">
        <v>11</v>
      </c>
      <c r="Q4" s="288"/>
      <c r="R4" s="291" t="s">
        <v>63</v>
      </c>
      <c r="S4" s="288"/>
      <c r="T4" s="291" t="s">
        <v>64</v>
      </c>
      <c r="U4" s="288"/>
      <c r="V4" s="291" t="s">
        <v>65</v>
      </c>
      <c r="W4" s="288"/>
      <c r="X4" s="291" t="s">
        <v>66</v>
      </c>
      <c r="Y4" s="288"/>
      <c r="Z4" s="291" t="s">
        <v>67</v>
      </c>
      <c r="AA4" s="288"/>
      <c r="AB4" s="269" t="s">
        <v>5</v>
      </c>
      <c r="AC4" s="270"/>
      <c r="AD4" s="269" t="s">
        <v>6</v>
      </c>
      <c r="AE4" s="270"/>
      <c r="AF4" s="269" t="s">
        <v>7</v>
      </c>
      <c r="AG4" s="270"/>
      <c r="AH4" s="269" t="s">
        <v>8</v>
      </c>
      <c r="AI4" s="270"/>
      <c r="AJ4" s="269" t="s">
        <v>9</v>
      </c>
      <c r="AK4" s="270"/>
      <c r="AL4" s="269" t="s">
        <v>10</v>
      </c>
      <c r="AM4" s="270"/>
      <c r="AN4" s="269" t="s">
        <v>11</v>
      </c>
      <c r="AO4" s="270"/>
      <c r="AP4" s="284"/>
      <c r="AQ4" s="285"/>
    </row>
    <row r="5" spans="1:43" s="54" customFormat="1" ht="10.5" customHeight="1" x14ac:dyDescent="0.25">
      <c r="A5" s="47"/>
      <c r="B5" s="48" t="s">
        <v>12</v>
      </c>
      <c r="C5" s="49" t="s">
        <v>12</v>
      </c>
      <c r="D5" s="50"/>
      <c r="E5" s="4" t="s">
        <v>12</v>
      </c>
      <c r="F5" s="50"/>
      <c r="G5" s="4" t="s">
        <v>12</v>
      </c>
      <c r="H5" s="51"/>
      <c r="I5" s="4" t="s">
        <v>12</v>
      </c>
      <c r="J5" s="51"/>
      <c r="K5" s="4" t="s">
        <v>12</v>
      </c>
      <c r="L5" s="51"/>
      <c r="M5" s="4" t="s">
        <v>12</v>
      </c>
      <c r="N5" s="51"/>
      <c r="O5" s="4" t="s">
        <v>12</v>
      </c>
      <c r="P5" s="51"/>
      <c r="Q5" s="4" t="s">
        <v>12</v>
      </c>
      <c r="R5" s="51"/>
      <c r="S5" s="4" t="s">
        <v>12</v>
      </c>
      <c r="T5" s="51"/>
      <c r="U5" s="4" t="s">
        <v>12</v>
      </c>
      <c r="V5" s="51"/>
      <c r="W5" s="4" t="s">
        <v>12</v>
      </c>
      <c r="X5" s="51"/>
      <c r="Y5" s="4" t="s">
        <v>12</v>
      </c>
      <c r="Z5" s="51"/>
      <c r="AA5" s="4" t="s">
        <v>12</v>
      </c>
      <c r="AB5" s="52"/>
      <c r="AC5" s="53" t="s">
        <v>12</v>
      </c>
      <c r="AD5" s="52"/>
      <c r="AE5" s="53" t="s">
        <v>12</v>
      </c>
      <c r="AF5" s="52"/>
      <c r="AG5" s="53" t="s">
        <v>12</v>
      </c>
      <c r="AH5" s="52"/>
      <c r="AI5" s="53" t="s">
        <v>12</v>
      </c>
      <c r="AJ5" s="52"/>
      <c r="AK5" s="53" t="s">
        <v>12</v>
      </c>
      <c r="AL5" s="52"/>
      <c r="AM5" s="53" t="s">
        <v>12</v>
      </c>
      <c r="AN5" s="52"/>
      <c r="AO5" s="53" t="s">
        <v>12</v>
      </c>
      <c r="AP5" s="284"/>
      <c r="AQ5" s="285"/>
    </row>
    <row r="6" spans="1:43" s="62" customFormat="1" ht="46.5" customHeight="1" x14ac:dyDescent="0.25">
      <c r="A6" s="55" t="s">
        <v>13</v>
      </c>
      <c r="B6" s="56" t="s">
        <v>68</v>
      </c>
      <c r="C6" s="57" t="s">
        <v>69</v>
      </c>
      <c r="D6" s="58" t="s">
        <v>70</v>
      </c>
      <c r="E6" s="59" t="s">
        <v>71</v>
      </c>
      <c r="F6" s="58" t="s">
        <v>70</v>
      </c>
      <c r="G6" s="59" t="s">
        <v>71</v>
      </c>
      <c r="H6" s="58" t="s">
        <v>70</v>
      </c>
      <c r="I6" s="59" t="s">
        <v>71</v>
      </c>
      <c r="J6" s="58" t="s">
        <v>70</v>
      </c>
      <c r="K6" s="59" t="s">
        <v>71</v>
      </c>
      <c r="L6" s="58" t="s">
        <v>70</v>
      </c>
      <c r="M6" s="59" t="s">
        <v>71</v>
      </c>
      <c r="N6" s="58" t="s">
        <v>70</v>
      </c>
      <c r="O6" s="59" t="s">
        <v>71</v>
      </c>
      <c r="P6" s="58" t="s">
        <v>70</v>
      </c>
      <c r="Q6" s="59" t="s">
        <v>71</v>
      </c>
      <c r="R6" s="58" t="s">
        <v>70</v>
      </c>
      <c r="S6" s="59" t="s">
        <v>71</v>
      </c>
      <c r="T6" s="58" t="s">
        <v>70</v>
      </c>
      <c r="U6" s="59" t="s">
        <v>71</v>
      </c>
      <c r="V6" s="58" t="s">
        <v>70</v>
      </c>
      <c r="W6" s="59" t="s">
        <v>71</v>
      </c>
      <c r="X6" s="58" t="s">
        <v>70</v>
      </c>
      <c r="Y6" s="59" t="s">
        <v>71</v>
      </c>
      <c r="Z6" s="58" t="s">
        <v>70</v>
      </c>
      <c r="AA6" s="59" t="s">
        <v>71</v>
      </c>
      <c r="AB6" s="60" t="s">
        <v>70</v>
      </c>
      <c r="AC6" s="325" t="s">
        <v>314</v>
      </c>
      <c r="AD6" s="60" t="s">
        <v>72</v>
      </c>
      <c r="AE6" s="61" t="s">
        <v>73</v>
      </c>
      <c r="AF6" s="60" t="s">
        <v>72</v>
      </c>
      <c r="AG6" s="61" t="s">
        <v>73</v>
      </c>
      <c r="AH6" s="60" t="s">
        <v>72</v>
      </c>
      <c r="AI6" s="61" t="s">
        <v>73</v>
      </c>
      <c r="AJ6" s="60" t="s">
        <v>72</v>
      </c>
      <c r="AK6" s="61" t="s">
        <v>73</v>
      </c>
      <c r="AL6" s="60" t="s">
        <v>72</v>
      </c>
      <c r="AM6" s="61" t="s">
        <v>73</v>
      </c>
      <c r="AN6" s="60" t="s">
        <v>72</v>
      </c>
      <c r="AO6" s="61" t="s">
        <v>73</v>
      </c>
      <c r="AP6" s="286"/>
      <c r="AQ6" s="287"/>
    </row>
    <row r="7" spans="1:43" ht="20.100000000000001" customHeight="1" x14ac:dyDescent="0.25">
      <c r="A7" s="63">
        <v>1</v>
      </c>
      <c r="B7" s="64">
        <v>2</v>
      </c>
      <c r="C7" s="65">
        <v>3</v>
      </c>
      <c r="D7" s="66">
        <v>4</v>
      </c>
      <c r="E7" s="8">
        <v>5</v>
      </c>
      <c r="F7" s="66">
        <v>6</v>
      </c>
      <c r="G7" s="8">
        <v>7</v>
      </c>
      <c r="H7" s="8">
        <v>8</v>
      </c>
      <c r="I7" s="8">
        <v>9</v>
      </c>
      <c r="J7" s="8">
        <v>10</v>
      </c>
      <c r="K7" s="8">
        <v>11</v>
      </c>
      <c r="L7" s="8">
        <v>12</v>
      </c>
      <c r="M7" s="8">
        <v>13</v>
      </c>
      <c r="N7" s="8">
        <v>14</v>
      </c>
      <c r="O7" s="8">
        <v>15</v>
      </c>
      <c r="P7" s="8">
        <v>16</v>
      </c>
      <c r="Q7" s="28">
        <v>17</v>
      </c>
      <c r="R7" s="8">
        <v>18</v>
      </c>
      <c r="S7" s="28">
        <v>19</v>
      </c>
      <c r="T7" s="8">
        <v>20</v>
      </c>
      <c r="U7" s="28">
        <v>21</v>
      </c>
      <c r="V7" s="8">
        <v>22</v>
      </c>
      <c r="W7" s="28">
        <v>23</v>
      </c>
      <c r="X7" s="8">
        <v>24</v>
      </c>
      <c r="Y7" s="28">
        <v>25</v>
      </c>
      <c r="Z7" s="8">
        <v>26</v>
      </c>
      <c r="AA7" s="28">
        <v>27</v>
      </c>
      <c r="AB7" s="67">
        <v>28</v>
      </c>
      <c r="AC7" s="67">
        <v>29</v>
      </c>
      <c r="AD7" s="157">
        <v>30</v>
      </c>
      <c r="AE7" s="371">
        <v>31</v>
      </c>
      <c r="AF7" s="157">
        <v>32</v>
      </c>
      <c r="AG7" s="371">
        <v>33</v>
      </c>
      <c r="AH7" s="157">
        <v>34</v>
      </c>
      <c r="AI7" s="371">
        <v>35</v>
      </c>
      <c r="AJ7" s="157">
        <v>36</v>
      </c>
      <c r="AK7" s="371">
        <v>37</v>
      </c>
      <c r="AL7" s="157">
        <v>38</v>
      </c>
      <c r="AM7" s="371">
        <v>39</v>
      </c>
      <c r="AN7" s="157">
        <v>40</v>
      </c>
      <c r="AO7" s="371">
        <v>41</v>
      </c>
      <c r="AP7" s="271">
        <v>42</v>
      </c>
      <c r="AQ7" s="272"/>
    </row>
    <row r="8" spans="1:43" ht="36.950000000000003" customHeight="1" x14ac:dyDescent="0.25">
      <c r="A8" s="68" t="s">
        <v>26</v>
      </c>
      <c r="B8" s="69">
        <f>AC8+AE8+AG8+AI8+AK8+AM8+AO8</f>
        <v>231720.35</v>
      </c>
      <c r="C8" s="70">
        <f>E8+G8+I8+K8+M8+O8+Q8+S8+U8+W8+Y8+AA8</f>
        <v>397514.83999999997</v>
      </c>
      <c r="D8" s="71">
        <v>247</v>
      </c>
      <c r="E8" s="72">
        <v>35856.32</v>
      </c>
      <c r="F8" s="71">
        <v>233</v>
      </c>
      <c r="G8" s="72">
        <v>34415.67</v>
      </c>
      <c r="H8" s="73">
        <v>223</v>
      </c>
      <c r="I8" s="72">
        <v>32403.82</v>
      </c>
      <c r="J8" s="73">
        <v>222</v>
      </c>
      <c r="K8" s="72">
        <v>33761.769999999997</v>
      </c>
      <c r="L8" s="73">
        <v>219</v>
      </c>
      <c r="M8" s="72">
        <v>33654.199999999997</v>
      </c>
      <c r="N8" s="74">
        <v>217</v>
      </c>
      <c r="O8" s="75">
        <v>32304.71</v>
      </c>
      <c r="P8" s="76">
        <v>216</v>
      </c>
      <c r="Q8" s="77">
        <v>31682.26</v>
      </c>
      <c r="R8" s="78">
        <v>209</v>
      </c>
      <c r="S8" s="77">
        <v>30867.34</v>
      </c>
      <c r="T8" s="78">
        <v>212</v>
      </c>
      <c r="U8" s="77">
        <v>31359.279999999999</v>
      </c>
      <c r="V8" s="78">
        <v>216</v>
      </c>
      <c r="W8" s="77">
        <v>33032.76</v>
      </c>
      <c r="X8" s="78">
        <v>231</v>
      </c>
      <c r="Y8" s="77">
        <v>35784.61</v>
      </c>
      <c r="Z8" s="78">
        <v>215</v>
      </c>
      <c r="AA8" s="77">
        <v>32392.1</v>
      </c>
      <c r="AB8" s="79">
        <v>214</v>
      </c>
      <c r="AC8" s="80">
        <v>31788.35</v>
      </c>
      <c r="AD8" s="79">
        <f>ROUND((X8+Z8+AB8)/3,0)</f>
        <v>220</v>
      </c>
      <c r="AE8" s="80">
        <f>ROUND((Y8+AA8+AC8)/3,0)</f>
        <v>33322</v>
      </c>
      <c r="AF8" s="79">
        <f t="shared" ref="AF8:AO10" si="0">AD8</f>
        <v>220</v>
      </c>
      <c r="AG8" s="80">
        <f t="shared" si="0"/>
        <v>33322</v>
      </c>
      <c r="AH8" s="79">
        <f t="shared" si="0"/>
        <v>220</v>
      </c>
      <c r="AI8" s="80">
        <f t="shared" si="0"/>
        <v>33322</v>
      </c>
      <c r="AJ8" s="79">
        <f t="shared" si="0"/>
        <v>220</v>
      </c>
      <c r="AK8" s="80">
        <f t="shared" si="0"/>
        <v>33322</v>
      </c>
      <c r="AL8" s="79">
        <f t="shared" si="0"/>
        <v>220</v>
      </c>
      <c r="AM8" s="80">
        <f t="shared" si="0"/>
        <v>33322</v>
      </c>
      <c r="AN8" s="79">
        <f t="shared" si="0"/>
        <v>220</v>
      </c>
      <c r="AO8" s="80">
        <f t="shared" si="0"/>
        <v>33322</v>
      </c>
      <c r="AP8" s="273" t="s">
        <v>74</v>
      </c>
      <c r="AQ8" s="276" t="s">
        <v>315</v>
      </c>
    </row>
    <row r="9" spans="1:43" ht="33.6" customHeight="1" x14ac:dyDescent="0.25">
      <c r="A9" s="68" t="s">
        <v>27</v>
      </c>
      <c r="B9" s="69">
        <f t="shared" ref="B9:B27" si="1">AC9+AE9+AG9+AI9+AK9+AM9+AO9</f>
        <v>545412.19999999995</v>
      </c>
      <c r="C9" s="70">
        <f t="shared" ref="C9:C26" si="2">E9+G9+I9+K9+M9+O9+Q9+S9+U9+W9+Y9+AA9</f>
        <v>934016.3</v>
      </c>
      <c r="D9" s="71">
        <v>307</v>
      </c>
      <c r="E9" s="72">
        <v>85869.63</v>
      </c>
      <c r="F9" s="71">
        <v>323</v>
      </c>
      <c r="G9" s="72">
        <v>83621.02</v>
      </c>
      <c r="H9" s="73">
        <v>307</v>
      </c>
      <c r="I9" s="72">
        <v>77891.320000000007</v>
      </c>
      <c r="J9" s="73">
        <v>300</v>
      </c>
      <c r="K9" s="72">
        <v>78309.8</v>
      </c>
      <c r="L9" s="73">
        <v>302</v>
      </c>
      <c r="M9" s="72">
        <v>77888.23</v>
      </c>
      <c r="N9" s="74">
        <v>292</v>
      </c>
      <c r="O9" s="75">
        <v>74523.53</v>
      </c>
      <c r="P9" s="76">
        <v>287</v>
      </c>
      <c r="Q9" s="77">
        <v>72379.56</v>
      </c>
      <c r="R9" s="78">
        <v>279</v>
      </c>
      <c r="S9" s="77">
        <v>70589.440000000002</v>
      </c>
      <c r="T9" s="78">
        <v>284</v>
      </c>
      <c r="U9" s="77">
        <v>74072.429999999993</v>
      </c>
      <c r="V9" s="78">
        <v>292</v>
      </c>
      <c r="W9" s="77">
        <v>76011.38</v>
      </c>
      <c r="X9" s="78">
        <v>303</v>
      </c>
      <c r="Y9" s="77">
        <v>83786.05</v>
      </c>
      <c r="Z9" s="78">
        <v>295</v>
      </c>
      <c r="AA9" s="77">
        <v>79073.91</v>
      </c>
      <c r="AB9" s="79">
        <v>280</v>
      </c>
      <c r="AC9" s="80">
        <v>73230.2</v>
      </c>
      <c r="AD9" s="79">
        <f t="shared" ref="AD9:AE10" si="3">ROUND((X9+Z9+AB9)/3,0)</f>
        <v>293</v>
      </c>
      <c r="AE9" s="80">
        <f t="shared" si="3"/>
        <v>78697</v>
      </c>
      <c r="AF9" s="79">
        <f t="shared" si="0"/>
        <v>293</v>
      </c>
      <c r="AG9" s="80">
        <f t="shared" si="0"/>
        <v>78697</v>
      </c>
      <c r="AH9" s="79">
        <f t="shared" si="0"/>
        <v>293</v>
      </c>
      <c r="AI9" s="80">
        <f t="shared" si="0"/>
        <v>78697</v>
      </c>
      <c r="AJ9" s="79">
        <f t="shared" si="0"/>
        <v>293</v>
      </c>
      <c r="AK9" s="80">
        <f t="shared" si="0"/>
        <v>78697</v>
      </c>
      <c r="AL9" s="79">
        <f t="shared" si="0"/>
        <v>293</v>
      </c>
      <c r="AM9" s="80">
        <f t="shared" si="0"/>
        <v>78697</v>
      </c>
      <c r="AN9" s="79">
        <f t="shared" si="0"/>
        <v>293</v>
      </c>
      <c r="AO9" s="80">
        <f t="shared" si="0"/>
        <v>78697</v>
      </c>
      <c r="AP9" s="274"/>
      <c r="AQ9" s="277"/>
    </row>
    <row r="10" spans="1:43" ht="30.6" customHeight="1" x14ac:dyDescent="0.25">
      <c r="A10" s="68" t="s">
        <v>28</v>
      </c>
      <c r="B10" s="69">
        <f t="shared" si="1"/>
        <v>41266.39</v>
      </c>
      <c r="C10" s="70">
        <f t="shared" si="2"/>
        <v>77741.509999999995</v>
      </c>
      <c r="D10" s="71">
        <v>59</v>
      </c>
      <c r="E10" s="72">
        <v>4642.78</v>
      </c>
      <c r="F10" s="71">
        <v>66</v>
      </c>
      <c r="G10" s="72">
        <v>6625.46</v>
      </c>
      <c r="H10" s="73">
        <v>63</v>
      </c>
      <c r="I10" s="72">
        <v>5808.69</v>
      </c>
      <c r="J10" s="73">
        <v>66</v>
      </c>
      <c r="K10" s="72">
        <v>8000.19</v>
      </c>
      <c r="L10" s="73">
        <v>63</v>
      </c>
      <c r="M10" s="72">
        <v>5411.5</v>
      </c>
      <c r="N10" s="74">
        <v>61</v>
      </c>
      <c r="O10" s="75">
        <v>6248</v>
      </c>
      <c r="P10" s="76">
        <v>62</v>
      </c>
      <c r="Q10" s="77">
        <v>6110.09</v>
      </c>
      <c r="R10" s="78">
        <v>58</v>
      </c>
      <c r="S10" s="77">
        <v>5264.65</v>
      </c>
      <c r="T10" s="78">
        <v>63</v>
      </c>
      <c r="U10" s="77">
        <v>6952.96</v>
      </c>
      <c r="V10" s="78">
        <v>71</v>
      </c>
      <c r="W10" s="77">
        <v>8828.84</v>
      </c>
      <c r="X10" s="78">
        <v>75</v>
      </c>
      <c r="Y10" s="77">
        <v>9653.19</v>
      </c>
      <c r="Z10" s="78">
        <v>58</v>
      </c>
      <c r="AA10" s="77">
        <v>4195.16</v>
      </c>
      <c r="AB10" s="79">
        <v>58</v>
      </c>
      <c r="AC10" s="80">
        <v>4522.3900000000003</v>
      </c>
      <c r="AD10" s="79">
        <f t="shared" si="3"/>
        <v>64</v>
      </c>
      <c r="AE10" s="80">
        <f>ROUND((Y10+AA10+AC10)/3,0)</f>
        <v>6124</v>
      </c>
      <c r="AF10" s="79">
        <f t="shared" si="0"/>
        <v>64</v>
      </c>
      <c r="AG10" s="80">
        <f t="shared" si="0"/>
        <v>6124</v>
      </c>
      <c r="AH10" s="79">
        <f t="shared" si="0"/>
        <v>64</v>
      </c>
      <c r="AI10" s="80">
        <f t="shared" si="0"/>
        <v>6124</v>
      </c>
      <c r="AJ10" s="79">
        <f t="shared" si="0"/>
        <v>64</v>
      </c>
      <c r="AK10" s="80">
        <f t="shared" si="0"/>
        <v>6124</v>
      </c>
      <c r="AL10" s="79">
        <f t="shared" si="0"/>
        <v>64</v>
      </c>
      <c r="AM10" s="80">
        <f t="shared" si="0"/>
        <v>6124</v>
      </c>
      <c r="AN10" s="79">
        <f t="shared" si="0"/>
        <v>64</v>
      </c>
      <c r="AO10" s="80">
        <f t="shared" si="0"/>
        <v>6124</v>
      </c>
      <c r="AP10" s="274"/>
      <c r="AQ10" s="278"/>
    </row>
    <row r="11" spans="1:43" s="86" customFormat="1" ht="51.95" customHeight="1" x14ac:dyDescent="0.25">
      <c r="A11" s="68" t="s">
        <v>29</v>
      </c>
      <c r="B11" s="69">
        <f t="shared" si="1"/>
        <v>2259917.827043592</v>
      </c>
      <c r="C11" s="70">
        <f t="shared" si="2"/>
        <v>3335053.55</v>
      </c>
      <c r="D11" s="71">
        <v>3304</v>
      </c>
      <c r="E11" s="72">
        <v>299124.71000000002</v>
      </c>
      <c r="F11" s="71">
        <v>3069</v>
      </c>
      <c r="G11" s="72">
        <v>297618.7</v>
      </c>
      <c r="H11" s="73">
        <v>3068</v>
      </c>
      <c r="I11" s="72">
        <v>295542.73</v>
      </c>
      <c r="J11" s="73">
        <v>2934</v>
      </c>
      <c r="K11" s="72">
        <v>286007.15999999997</v>
      </c>
      <c r="L11" s="73">
        <v>2923</v>
      </c>
      <c r="M11" s="72">
        <v>292258.63</v>
      </c>
      <c r="N11" s="81">
        <v>2752</v>
      </c>
      <c r="O11" s="82">
        <v>273032.44</v>
      </c>
      <c r="P11" s="76">
        <v>2673</v>
      </c>
      <c r="Q11" s="77">
        <v>266285.77</v>
      </c>
      <c r="R11" s="83">
        <v>2722</v>
      </c>
      <c r="S11" s="77">
        <v>271000.32000000001</v>
      </c>
      <c r="T11" s="83">
        <v>2633</v>
      </c>
      <c r="U11" s="77">
        <v>264853.8</v>
      </c>
      <c r="V11" s="83">
        <v>2548</v>
      </c>
      <c r="W11" s="77">
        <v>254811.78</v>
      </c>
      <c r="X11" s="83">
        <v>2646</v>
      </c>
      <c r="Y11" s="77">
        <v>270664.15999999997</v>
      </c>
      <c r="Z11" s="83">
        <v>2605</v>
      </c>
      <c r="AA11" s="77">
        <v>263853.34999999998</v>
      </c>
      <c r="AB11" s="84">
        <v>2562</v>
      </c>
      <c r="AC11" s="85">
        <v>255637.6</v>
      </c>
      <c r="AD11" s="79">
        <v>2787</v>
      </c>
      <c r="AE11" s="80">
        <v>334046.70450726536</v>
      </c>
      <c r="AF11" s="79">
        <v>2787</v>
      </c>
      <c r="AG11" s="80">
        <v>334046.70450726536</v>
      </c>
      <c r="AH11" s="79">
        <v>2787</v>
      </c>
      <c r="AI11" s="80">
        <v>334046.70450726536</v>
      </c>
      <c r="AJ11" s="79">
        <v>2787</v>
      </c>
      <c r="AK11" s="80">
        <v>334046.70450726536</v>
      </c>
      <c r="AL11" s="79">
        <v>2787</v>
      </c>
      <c r="AM11" s="80">
        <v>334046.70450726536</v>
      </c>
      <c r="AN11" s="79">
        <v>2787</v>
      </c>
      <c r="AO11" s="80">
        <v>334046.70450726536</v>
      </c>
      <c r="AP11" s="274"/>
      <c r="AQ11" s="279" t="s">
        <v>316</v>
      </c>
    </row>
    <row r="12" spans="1:43" s="86" customFormat="1" ht="51.95" customHeight="1" x14ac:dyDescent="0.25">
      <c r="A12" s="68" t="s">
        <v>30</v>
      </c>
      <c r="B12" s="69">
        <f t="shared" si="1"/>
        <v>773249.38677813718</v>
      </c>
      <c r="C12" s="70">
        <f t="shared" si="2"/>
        <v>1268768</v>
      </c>
      <c r="D12" s="71">
        <v>230</v>
      </c>
      <c r="E12" s="72">
        <v>71322</v>
      </c>
      <c r="F12" s="71">
        <v>275</v>
      </c>
      <c r="G12" s="72">
        <v>89682</v>
      </c>
      <c r="H12" s="73">
        <v>304</v>
      </c>
      <c r="I12" s="72">
        <v>95257</v>
      </c>
      <c r="J12" s="73">
        <v>264</v>
      </c>
      <c r="K12" s="72">
        <v>84546</v>
      </c>
      <c r="L12" s="73">
        <v>300</v>
      </c>
      <c r="M12" s="72">
        <v>96443</v>
      </c>
      <c r="N12" s="81">
        <v>292</v>
      </c>
      <c r="O12" s="82">
        <v>93493</v>
      </c>
      <c r="P12" s="76">
        <v>392</v>
      </c>
      <c r="Q12" s="77">
        <v>121786</v>
      </c>
      <c r="R12" s="83">
        <v>407</v>
      </c>
      <c r="S12" s="77">
        <v>127327</v>
      </c>
      <c r="T12" s="83">
        <v>374</v>
      </c>
      <c r="U12" s="77">
        <v>116849</v>
      </c>
      <c r="V12" s="83">
        <v>308</v>
      </c>
      <c r="W12" s="77">
        <v>96958</v>
      </c>
      <c r="X12" s="83">
        <v>541</v>
      </c>
      <c r="Y12" s="77">
        <v>167858</v>
      </c>
      <c r="Z12" s="83">
        <v>340</v>
      </c>
      <c r="AA12" s="77">
        <v>107247</v>
      </c>
      <c r="AB12" s="84">
        <v>270</v>
      </c>
      <c r="AC12" s="85">
        <v>85706</v>
      </c>
      <c r="AD12" s="79">
        <v>330</v>
      </c>
      <c r="AE12" s="80">
        <v>114590.56446302288</v>
      </c>
      <c r="AF12" s="79">
        <v>330</v>
      </c>
      <c r="AG12" s="80">
        <v>114590.56446302288</v>
      </c>
      <c r="AH12" s="79">
        <v>330</v>
      </c>
      <c r="AI12" s="80">
        <v>114590.56446302288</v>
      </c>
      <c r="AJ12" s="79">
        <v>330</v>
      </c>
      <c r="AK12" s="80">
        <v>114590.56446302288</v>
      </c>
      <c r="AL12" s="79">
        <v>330</v>
      </c>
      <c r="AM12" s="80">
        <v>114590.56446302288</v>
      </c>
      <c r="AN12" s="79">
        <v>330</v>
      </c>
      <c r="AO12" s="80">
        <v>114590.56446302288</v>
      </c>
      <c r="AP12" s="274"/>
      <c r="AQ12" s="280"/>
    </row>
    <row r="13" spans="1:43" s="86" customFormat="1" ht="66.95" customHeight="1" x14ac:dyDescent="0.25">
      <c r="A13" s="68" t="s">
        <v>31</v>
      </c>
      <c r="B13" s="69">
        <f t="shared" si="1"/>
        <v>2667164.3119999999</v>
      </c>
      <c r="C13" s="70">
        <f t="shared" si="2"/>
        <v>4612582.7100000009</v>
      </c>
      <c r="D13" s="71">
        <v>1897</v>
      </c>
      <c r="E13" s="72">
        <v>191504.66</v>
      </c>
      <c r="F13" s="71">
        <v>3680</v>
      </c>
      <c r="G13" s="72">
        <v>737564.42</v>
      </c>
      <c r="H13" s="73">
        <v>3223</v>
      </c>
      <c r="I13" s="72">
        <v>518453.71</v>
      </c>
      <c r="J13" s="73">
        <v>3133</v>
      </c>
      <c r="K13" s="72">
        <v>480997.29</v>
      </c>
      <c r="L13" s="73">
        <v>2751</v>
      </c>
      <c r="M13" s="72">
        <v>472693.66</v>
      </c>
      <c r="N13" s="81">
        <v>2787</v>
      </c>
      <c r="O13" s="82">
        <v>384476.84</v>
      </c>
      <c r="P13" s="76">
        <v>2487</v>
      </c>
      <c r="Q13" s="77">
        <v>324834.56</v>
      </c>
      <c r="R13" s="83">
        <v>2518</v>
      </c>
      <c r="S13" s="77">
        <v>330905.56</v>
      </c>
      <c r="T13" s="83">
        <v>2315</v>
      </c>
      <c r="U13" s="77">
        <v>297498.03999999998</v>
      </c>
      <c r="V13" s="83">
        <v>2182</v>
      </c>
      <c r="W13" s="77">
        <v>281762.14</v>
      </c>
      <c r="X13" s="83">
        <v>2249</v>
      </c>
      <c r="Y13" s="77">
        <v>302543.89</v>
      </c>
      <c r="Z13" s="83">
        <v>2157</v>
      </c>
      <c r="AA13" s="77">
        <v>289347.94</v>
      </c>
      <c r="AB13" s="84">
        <v>1400</v>
      </c>
      <c r="AC13" s="85">
        <v>174898.76</v>
      </c>
      <c r="AD13" s="79">
        <v>2718</v>
      </c>
      <c r="AE13" s="80">
        <v>415377.592</v>
      </c>
      <c r="AF13" s="79">
        <v>2718</v>
      </c>
      <c r="AG13" s="80">
        <v>415377.592</v>
      </c>
      <c r="AH13" s="79">
        <v>2718</v>
      </c>
      <c r="AI13" s="80">
        <v>415377.592</v>
      </c>
      <c r="AJ13" s="79">
        <v>2718</v>
      </c>
      <c r="AK13" s="80">
        <v>415377.592</v>
      </c>
      <c r="AL13" s="79">
        <v>2718</v>
      </c>
      <c r="AM13" s="80">
        <v>415377.592</v>
      </c>
      <c r="AN13" s="79">
        <v>2718</v>
      </c>
      <c r="AO13" s="80">
        <v>415377.592</v>
      </c>
      <c r="AP13" s="274"/>
      <c r="AQ13" s="281"/>
    </row>
    <row r="14" spans="1:43" s="87" customFormat="1" ht="33.6" customHeight="1" x14ac:dyDescent="0.25">
      <c r="A14" s="68" t="s">
        <v>32</v>
      </c>
      <c r="B14" s="69">
        <f t="shared" si="1"/>
        <v>558245.09</v>
      </c>
      <c r="C14" s="70">
        <f t="shared" si="2"/>
        <v>901900.56</v>
      </c>
      <c r="D14" s="71">
        <v>499</v>
      </c>
      <c r="E14" s="72">
        <v>78327.81</v>
      </c>
      <c r="F14" s="71">
        <v>520</v>
      </c>
      <c r="G14" s="72">
        <v>65903.850000000006</v>
      </c>
      <c r="H14" s="73">
        <v>557</v>
      </c>
      <c r="I14" s="72">
        <v>72070.559999999998</v>
      </c>
      <c r="J14" s="326">
        <v>541</v>
      </c>
      <c r="K14" s="327">
        <v>63757.15</v>
      </c>
      <c r="L14" s="326">
        <v>527</v>
      </c>
      <c r="M14" s="327">
        <v>75822.02</v>
      </c>
      <c r="N14" s="328">
        <v>477</v>
      </c>
      <c r="O14" s="329">
        <v>71789.98</v>
      </c>
      <c r="P14" s="330">
        <v>477</v>
      </c>
      <c r="Q14" s="100">
        <v>70988.990000000005</v>
      </c>
      <c r="R14" s="83">
        <v>497</v>
      </c>
      <c r="S14" s="77">
        <v>77301.919999999998</v>
      </c>
      <c r="T14" s="83">
        <v>485</v>
      </c>
      <c r="U14" s="77">
        <v>80037.279999999999</v>
      </c>
      <c r="V14" s="83">
        <v>540</v>
      </c>
      <c r="W14" s="77">
        <v>83886.42</v>
      </c>
      <c r="X14" s="83">
        <v>579</v>
      </c>
      <c r="Y14" s="77">
        <v>82601.740000000005</v>
      </c>
      <c r="Z14" s="83">
        <v>417</v>
      </c>
      <c r="AA14" s="77">
        <v>79412.84</v>
      </c>
      <c r="AB14" s="79">
        <v>482</v>
      </c>
      <c r="AC14" s="80">
        <v>78071.09</v>
      </c>
      <c r="AD14" s="79">
        <f>ROUND((X14+Z14+AB14)/3,0)</f>
        <v>493</v>
      </c>
      <c r="AE14" s="80">
        <f>ROUND((Y14+AA14+AC14)/3,0)</f>
        <v>80029</v>
      </c>
      <c r="AF14" s="79">
        <f t="shared" ref="AF14:AO27" si="4">AD14</f>
        <v>493</v>
      </c>
      <c r="AG14" s="80">
        <f t="shared" si="4"/>
        <v>80029</v>
      </c>
      <c r="AH14" s="79">
        <f t="shared" si="4"/>
        <v>493</v>
      </c>
      <c r="AI14" s="80">
        <f t="shared" si="4"/>
        <v>80029</v>
      </c>
      <c r="AJ14" s="79">
        <f t="shared" si="4"/>
        <v>493</v>
      </c>
      <c r="AK14" s="80">
        <f t="shared" si="4"/>
        <v>80029</v>
      </c>
      <c r="AL14" s="79">
        <f t="shared" si="4"/>
        <v>493</v>
      </c>
      <c r="AM14" s="80">
        <f t="shared" si="4"/>
        <v>80029</v>
      </c>
      <c r="AN14" s="79">
        <f t="shared" si="4"/>
        <v>493</v>
      </c>
      <c r="AO14" s="80">
        <f t="shared" si="4"/>
        <v>80029</v>
      </c>
      <c r="AP14" s="274"/>
      <c r="AQ14" s="276" t="s">
        <v>315</v>
      </c>
    </row>
    <row r="15" spans="1:43" s="87" customFormat="1" ht="33.6" customHeight="1" x14ac:dyDescent="0.25">
      <c r="A15" s="68" t="s">
        <v>75</v>
      </c>
      <c r="B15" s="69">
        <f t="shared" si="1"/>
        <v>253328.11</v>
      </c>
      <c r="C15" s="70">
        <f t="shared" si="2"/>
        <v>350693.75000000006</v>
      </c>
      <c r="D15" s="71"/>
      <c r="E15" s="72"/>
      <c r="F15" s="71">
        <v>62</v>
      </c>
      <c r="G15" s="72">
        <v>24091.39</v>
      </c>
      <c r="H15" s="73">
        <v>70</v>
      </c>
      <c r="I15" s="72">
        <v>30897.54</v>
      </c>
      <c r="J15" s="326">
        <v>79</v>
      </c>
      <c r="K15" s="327">
        <v>32336.28</v>
      </c>
      <c r="L15" s="326">
        <v>79</v>
      </c>
      <c r="M15" s="327">
        <v>28108.09</v>
      </c>
      <c r="N15" s="328">
        <v>78</v>
      </c>
      <c r="O15" s="329">
        <v>30380.080000000002</v>
      </c>
      <c r="P15" s="326">
        <v>81</v>
      </c>
      <c r="Q15" s="100">
        <v>33273.01</v>
      </c>
      <c r="R15" s="83">
        <v>95</v>
      </c>
      <c r="S15" s="77">
        <v>34663.89</v>
      </c>
      <c r="T15" s="83">
        <v>87</v>
      </c>
      <c r="U15" s="77">
        <v>33782.589999999997</v>
      </c>
      <c r="V15" s="83">
        <v>88</v>
      </c>
      <c r="W15" s="77">
        <v>33144.980000000003</v>
      </c>
      <c r="X15" s="83">
        <v>90</v>
      </c>
      <c r="Y15" s="77">
        <v>34251.9</v>
      </c>
      <c r="Z15" s="83">
        <v>91</v>
      </c>
      <c r="AA15" s="77">
        <v>35764</v>
      </c>
      <c r="AB15" s="79">
        <v>88</v>
      </c>
      <c r="AC15" s="80">
        <v>37766.11</v>
      </c>
      <c r="AD15" s="79">
        <f t="shared" ref="AD15:AE27" si="5">ROUND((X15+Z15+AB15)/3,0)</f>
        <v>90</v>
      </c>
      <c r="AE15" s="80">
        <f t="shared" si="5"/>
        <v>35927</v>
      </c>
      <c r="AF15" s="79">
        <f t="shared" si="4"/>
        <v>90</v>
      </c>
      <c r="AG15" s="80">
        <f t="shared" si="4"/>
        <v>35927</v>
      </c>
      <c r="AH15" s="79">
        <f t="shared" si="4"/>
        <v>90</v>
      </c>
      <c r="AI15" s="80">
        <f t="shared" si="4"/>
        <v>35927</v>
      </c>
      <c r="AJ15" s="79">
        <f t="shared" si="4"/>
        <v>90</v>
      </c>
      <c r="AK15" s="80">
        <f t="shared" si="4"/>
        <v>35927</v>
      </c>
      <c r="AL15" s="79">
        <f t="shared" si="4"/>
        <v>90</v>
      </c>
      <c r="AM15" s="80">
        <f t="shared" si="4"/>
        <v>35927</v>
      </c>
      <c r="AN15" s="79">
        <f t="shared" si="4"/>
        <v>90</v>
      </c>
      <c r="AO15" s="80">
        <f t="shared" si="4"/>
        <v>35927</v>
      </c>
      <c r="AP15" s="274"/>
      <c r="AQ15" s="277"/>
    </row>
    <row r="16" spans="1:43" ht="33.6" customHeight="1" x14ac:dyDescent="0.25">
      <c r="A16" s="68" t="s">
        <v>33</v>
      </c>
      <c r="B16" s="69">
        <f t="shared" si="1"/>
        <v>0</v>
      </c>
      <c r="C16" s="70">
        <f t="shared" si="2"/>
        <v>2965.5299999999997</v>
      </c>
      <c r="D16" s="71">
        <v>8</v>
      </c>
      <c r="E16" s="72">
        <v>2325.9699999999998</v>
      </c>
      <c r="F16" s="71"/>
      <c r="G16" s="72"/>
      <c r="H16" s="73">
        <v>1</v>
      </c>
      <c r="I16" s="72">
        <v>325.2</v>
      </c>
      <c r="J16" s="73">
        <v>1</v>
      </c>
      <c r="K16" s="72">
        <v>314.36</v>
      </c>
      <c r="L16" s="73"/>
      <c r="M16" s="72"/>
      <c r="N16" s="74"/>
      <c r="O16" s="75"/>
      <c r="P16" s="76"/>
      <c r="Q16" s="77"/>
      <c r="R16" s="78"/>
      <c r="S16" s="77"/>
      <c r="T16" s="78"/>
      <c r="U16" s="77"/>
      <c r="V16" s="78"/>
      <c r="W16" s="77"/>
      <c r="X16" s="78"/>
      <c r="Y16" s="77"/>
      <c r="Z16" s="78"/>
      <c r="AA16" s="77"/>
      <c r="AB16" s="79">
        <f t="shared" ref="AB16:AC23" si="6">ROUND((V16+X16+Z16)/3,0)</f>
        <v>0</v>
      </c>
      <c r="AC16" s="80">
        <f t="shared" si="6"/>
        <v>0</v>
      </c>
      <c r="AD16" s="79">
        <f t="shared" si="5"/>
        <v>0</v>
      </c>
      <c r="AE16" s="80">
        <f t="shared" si="5"/>
        <v>0</v>
      </c>
      <c r="AF16" s="79">
        <f t="shared" si="4"/>
        <v>0</v>
      </c>
      <c r="AG16" s="80">
        <f t="shared" si="4"/>
        <v>0</v>
      </c>
      <c r="AH16" s="79">
        <f t="shared" si="4"/>
        <v>0</v>
      </c>
      <c r="AI16" s="80">
        <f t="shared" si="4"/>
        <v>0</v>
      </c>
      <c r="AJ16" s="79">
        <f t="shared" si="4"/>
        <v>0</v>
      </c>
      <c r="AK16" s="80">
        <f t="shared" si="4"/>
        <v>0</v>
      </c>
      <c r="AL16" s="79">
        <f t="shared" si="4"/>
        <v>0</v>
      </c>
      <c r="AM16" s="80">
        <f t="shared" si="4"/>
        <v>0</v>
      </c>
      <c r="AN16" s="79">
        <f t="shared" si="4"/>
        <v>0</v>
      </c>
      <c r="AO16" s="80">
        <f t="shared" si="4"/>
        <v>0</v>
      </c>
      <c r="AP16" s="274"/>
      <c r="AQ16" s="277"/>
    </row>
    <row r="17" spans="1:43" ht="45" x14ac:dyDescent="0.25">
      <c r="A17" s="68" t="s">
        <v>34</v>
      </c>
      <c r="B17" s="69">
        <f t="shared" si="1"/>
        <v>0</v>
      </c>
      <c r="C17" s="88">
        <f t="shared" si="2"/>
        <v>470</v>
      </c>
      <c r="D17" s="71">
        <v>1</v>
      </c>
      <c r="E17" s="72">
        <v>200</v>
      </c>
      <c r="F17" s="71">
        <v>1</v>
      </c>
      <c r="G17" s="72">
        <v>108</v>
      </c>
      <c r="H17" s="73">
        <v>1</v>
      </c>
      <c r="I17" s="72">
        <v>108</v>
      </c>
      <c r="J17" s="73">
        <v>1</v>
      </c>
      <c r="K17" s="72">
        <v>54</v>
      </c>
      <c r="L17" s="73"/>
      <c r="M17" s="72"/>
      <c r="N17" s="74"/>
      <c r="O17" s="75"/>
      <c r="P17" s="76"/>
      <c r="Q17" s="77"/>
      <c r="R17" s="78"/>
      <c r="S17" s="77"/>
      <c r="T17" s="78"/>
      <c r="U17" s="77"/>
      <c r="V17" s="78"/>
      <c r="W17" s="77"/>
      <c r="X17" s="78"/>
      <c r="Y17" s="77"/>
      <c r="Z17" s="78"/>
      <c r="AA17" s="77"/>
      <c r="AB17" s="79">
        <f t="shared" si="6"/>
        <v>0</v>
      </c>
      <c r="AC17" s="80">
        <f t="shared" si="6"/>
        <v>0</v>
      </c>
      <c r="AD17" s="79">
        <f t="shared" si="5"/>
        <v>0</v>
      </c>
      <c r="AE17" s="80">
        <f t="shared" si="5"/>
        <v>0</v>
      </c>
      <c r="AF17" s="79">
        <f t="shared" si="4"/>
        <v>0</v>
      </c>
      <c r="AG17" s="80">
        <f t="shared" si="4"/>
        <v>0</v>
      </c>
      <c r="AH17" s="79">
        <f t="shared" si="4"/>
        <v>0</v>
      </c>
      <c r="AI17" s="80">
        <f t="shared" si="4"/>
        <v>0</v>
      </c>
      <c r="AJ17" s="79">
        <f t="shared" si="4"/>
        <v>0</v>
      </c>
      <c r="AK17" s="80">
        <f t="shared" si="4"/>
        <v>0</v>
      </c>
      <c r="AL17" s="79">
        <f t="shared" si="4"/>
        <v>0</v>
      </c>
      <c r="AM17" s="80">
        <f t="shared" si="4"/>
        <v>0</v>
      </c>
      <c r="AN17" s="79">
        <f t="shared" si="4"/>
        <v>0</v>
      </c>
      <c r="AO17" s="80">
        <f t="shared" si="4"/>
        <v>0</v>
      </c>
      <c r="AP17" s="274"/>
      <c r="AQ17" s="277"/>
    </row>
    <row r="18" spans="1:43" ht="48" customHeight="1" x14ac:dyDescent="0.25">
      <c r="A18" s="68" t="s">
        <v>35</v>
      </c>
      <c r="B18" s="69">
        <f t="shared" si="1"/>
        <v>3087.2</v>
      </c>
      <c r="C18" s="88">
        <f t="shared" si="2"/>
        <v>6524.39</v>
      </c>
      <c r="D18" s="71">
        <v>1</v>
      </c>
      <c r="E18" s="72">
        <v>447.48</v>
      </c>
      <c r="F18" s="71">
        <v>2</v>
      </c>
      <c r="G18" s="72">
        <v>745.8</v>
      </c>
      <c r="H18" s="73">
        <v>2</v>
      </c>
      <c r="I18" s="72">
        <v>894.96</v>
      </c>
      <c r="J18" s="73">
        <v>2</v>
      </c>
      <c r="K18" s="72">
        <v>969.54</v>
      </c>
      <c r="L18" s="73">
        <v>1</v>
      </c>
      <c r="M18" s="72">
        <v>372.9</v>
      </c>
      <c r="N18" s="74">
        <v>3</v>
      </c>
      <c r="O18" s="75">
        <v>1641</v>
      </c>
      <c r="P18" s="76">
        <v>4</v>
      </c>
      <c r="Q18" s="77">
        <v>324</v>
      </c>
      <c r="R18" s="78">
        <v>3</v>
      </c>
      <c r="S18" s="77">
        <v>98.75</v>
      </c>
      <c r="T18" s="78">
        <v>4</v>
      </c>
      <c r="U18" s="77">
        <v>1029.96</v>
      </c>
      <c r="V18" s="78"/>
      <c r="W18" s="77"/>
      <c r="X18" s="78"/>
      <c r="Y18" s="77"/>
      <c r="Z18" s="78"/>
      <c r="AA18" s="77"/>
      <c r="AB18" s="79">
        <v>3</v>
      </c>
      <c r="AC18" s="80">
        <v>1029.2</v>
      </c>
      <c r="AD18" s="79">
        <f t="shared" si="5"/>
        <v>1</v>
      </c>
      <c r="AE18" s="80">
        <f t="shared" si="5"/>
        <v>343</v>
      </c>
      <c r="AF18" s="79">
        <f t="shared" si="4"/>
        <v>1</v>
      </c>
      <c r="AG18" s="80">
        <f t="shared" si="4"/>
        <v>343</v>
      </c>
      <c r="AH18" s="79">
        <f t="shared" si="4"/>
        <v>1</v>
      </c>
      <c r="AI18" s="80">
        <f t="shared" si="4"/>
        <v>343</v>
      </c>
      <c r="AJ18" s="79">
        <f t="shared" si="4"/>
        <v>1</v>
      </c>
      <c r="AK18" s="80">
        <f t="shared" si="4"/>
        <v>343</v>
      </c>
      <c r="AL18" s="79">
        <f t="shared" si="4"/>
        <v>1</v>
      </c>
      <c r="AM18" s="80">
        <f t="shared" si="4"/>
        <v>343</v>
      </c>
      <c r="AN18" s="79">
        <f t="shared" si="4"/>
        <v>1</v>
      </c>
      <c r="AO18" s="80">
        <f t="shared" si="4"/>
        <v>343</v>
      </c>
      <c r="AP18" s="274"/>
      <c r="AQ18" s="277"/>
    </row>
    <row r="19" spans="1:43" ht="60.95" customHeight="1" x14ac:dyDescent="0.25">
      <c r="A19" s="68" t="s">
        <v>36</v>
      </c>
      <c r="B19" s="69">
        <f t="shared" si="1"/>
        <v>-1560</v>
      </c>
      <c r="C19" s="88">
        <f t="shared" si="2"/>
        <v>1155</v>
      </c>
      <c r="D19" s="71"/>
      <c r="E19" s="72"/>
      <c r="F19" s="71">
        <v>1</v>
      </c>
      <c r="G19" s="72">
        <v>1506.37</v>
      </c>
      <c r="H19" s="73">
        <v>1</v>
      </c>
      <c r="I19" s="72">
        <v>1506.37</v>
      </c>
      <c r="J19" s="73">
        <v>1</v>
      </c>
      <c r="K19" s="72">
        <v>1392.13</v>
      </c>
      <c r="L19" s="73">
        <v>1</v>
      </c>
      <c r="M19" s="72">
        <v>-4404.87</v>
      </c>
      <c r="N19" s="74"/>
      <c r="O19" s="75"/>
      <c r="P19" s="76"/>
      <c r="Q19" s="77"/>
      <c r="R19" s="78">
        <v>1</v>
      </c>
      <c r="S19" s="77">
        <v>1155</v>
      </c>
      <c r="T19" s="78"/>
      <c r="U19" s="77"/>
      <c r="V19" s="78">
        <v>1</v>
      </c>
      <c r="W19" s="77">
        <v>778.58</v>
      </c>
      <c r="X19" s="78"/>
      <c r="Y19" s="77">
        <f>-778.58</f>
        <v>-778.58</v>
      </c>
      <c r="Z19" s="78"/>
      <c r="AA19" s="77"/>
      <c r="AB19" s="79">
        <f t="shared" si="6"/>
        <v>0</v>
      </c>
      <c r="AC19" s="80">
        <f t="shared" si="6"/>
        <v>0</v>
      </c>
      <c r="AD19" s="79">
        <f t="shared" si="5"/>
        <v>0</v>
      </c>
      <c r="AE19" s="80">
        <f t="shared" si="5"/>
        <v>-260</v>
      </c>
      <c r="AF19" s="79">
        <f t="shared" si="4"/>
        <v>0</v>
      </c>
      <c r="AG19" s="80">
        <f t="shared" si="4"/>
        <v>-260</v>
      </c>
      <c r="AH19" s="79">
        <f t="shared" si="4"/>
        <v>0</v>
      </c>
      <c r="AI19" s="80">
        <f t="shared" si="4"/>
        <v>-260</v>
      </c>
      <c r="AJ19" s="79">
        <f t="shared" si="4"/>
        <v>0</v>
      </c>
      <c r="AK19" s="80">
        <f t="shared" si="4"/>
        <v>-260</v>
      </c>
      <c r="AL19" s="79">
        <f t="shared" si="4"/>
        <v>0</v>
      </c>
      <c r="AM19" s="80">
        <f t="shared" si="4"/>
        <v>-260</v>
      </c>
      <c r="AN19" s="79">
        <f t="shared" si="4"/>
        <v>0</v>
      </c>
      <c r="AO19" s="80">
        <f t="shared" si="4"/>
        <v>-260</v>
      </c>
      <c r="AP19" s="274"/>
      <c r="AQ19" s="277"/>
    </row>
    <row r="20" spans="1:43" ht="49.9" customHeight="1" x14ac:dyDescent="0.25">
      <c r="A20" s="68" t="s">
        <v>37</v>
      </c>
      <c r="B20" s="69">
        <f t="shared" si="1"/>
        <v>245158.13</v>
      </c>
      <c r="C20" s="88">
        <f t="shared" si="2"/>
        <v>413041.95999999996</v>
      </c>
      <c r="D20" s="71">
        <v>23</v>
      </c>
      <c r="E20" s="72">
        <v>29775.09</v>
      </c>
      <c r="F20" s="71">
        <v>23</v>
      </c>
      <c r="G20" s="72">
        <v>30821.35</v>
      </c>
      <c r="H20" s="73">
        <v>27</v>
      </c>
      <c r="I20" s="72">
        <v>40573.56</v>
      </c>
      <c r="J20" s="73">
        <v>33</v>
      </c>
      <c r="K20" s="72">
        <v>33715.49</v>
      </c>
      <c r="L20" s="73">
        <v>21</v>
      </c>
      <c r="M20" s="72">
        <v>40569.1</v>
      </c>
      <c r="N20" s="74">
        <v>22</v>
      </c>
      <c r="O20" s="75">
        <v>33875.129999999997</v>
      </c>
      <c r="P20" s="76">
        <v>21</v>
      </c>
      <c r="Q20" s="77">
        <v>33583.730000000003</v>
      </c>
      <c r="R20" s="78">
        <v>22</v>
      </c>
      <c r="S20" s="77">
        <v>35452.03</v>
      </c>
      <c r="T20" s="78">
        <v>22</v>
      </c>
      <c r="U20" s="77">
        <v>34661.730000000003</v>
      </c>
      <c r="V20" s="78">
        <v>15</v>
      </c>
      <c r="W20" s="77">
        <v>23919.18</v>
      </c>
      <c r="X20" s="78">
        <v>25</v>
      </c>
      <c r="Y20" s="77">
        <v>44073.43</v>
      </c>
      <c r="Z20" s="78">
        <v>21</v>
      </c>
      <c r="AA20" s="77">
        <v>32022.14</v>
      </c>
      <c r="AB20" s="79">
        <f t="shared" si="6"/>
        <v>20</v>
      </c>
      <c r="AC20" s="80">
        <v>30988.13</v>
      </c>
      <c r="AD20" s="79">
        <f t="shared" si="5"/>
        <v>22</v>
      </c>
      <c r="AE20" s="80">
        <f t="shared" si="5"/>
        <v>35695</v>
      </c>
      <c r="AF20" s="79">
        <f t="shared" si="4"/>
        <v>22</v>
      </c>
      <c r="AG20" s="80">
        <f t="shared" si="4"/>
        <v>35695</v>
      </c>
      <c r="AH20" s="79">
        <f t="shared" si="4"/>
        <v>22</v>
      </c>
      <c r="AI20" s="80">
        <f t="shared" si="4"/>
        <v>35695</v>
      </c>
      <c r="AJ20" s="79">
        <f t="shared" si="4"/>
        <v>22</v>
      </c>
      <c r="AK20" s="80">
        <f t="shared" si="4"/>
        <v>35695</v>
      </c>
      <c r="AL20" s="79">
        <f t="shared" si="4"/>
        <v>22</v>
      </c>
      <c r="AM20" s="80">
        <f t="shared" si="4"/>
        <v>35695</v>
      </c>
      <c r="AN20" s="79">
        <f t="shared" si="4"/>
        <v>22</v>
      </c>
      <c r="AO20" s="80">
        <f t="shared" si="4"/>
        <v>35695</v>
      </c>
      <c r="AP20" s="274"/>
      <c r="AQ20" s="277"/>
    </row>
    <row r="21" spans="1:43" ht="56.45" customHeight="1" x14ac:dyDescent="0.25">
      <c r="A21" s="68" t="s">
        <v>38</v>
      </c>
      <c r="B21" s="69">
        <f t="shared" si="1"/>
        <v>64862.97</v>
      </c>
      <c r="C21" s="88">
        <f t="shared" si="2"/>
        <v>157533.59</v>
      </c>
      <c r="D21" s="71">
        <f>D22+D23</f>
        <v>64</v>
      </c>
      <c r="E21" s="72">
        <f>E22+E23</f>
        <v>19176.27</v>
      </c>
      <c r="F21" s="76">
        <f t="shared" ref="F21:O21" si="7">F22+F23</f>
        <v>81</v>
      </c>
      <c r="G21" s="72">
        <f t="shared" si="7"/>
        <v>21157.61</v>
      </c>
      <c r="H21" s="76">
        <f t="shared" si="7"/>
        <v>77</v>
      </c>
      <c r="I21" s="72">
        <f t="shared" si="7"/>
        <v>15275.09</v>
      </c>
      <c r="J21" s="76">
        <f t="shared" si="7"/>
        <v>101</v>
      </c>
      <c r="K21" s="72">
        <f t="shared" si="7"/>
        <v>28650.739999999998</v>
      </c>
      <c r="L21" s="76">
        <f t="shared" si="7"/>
        <v>98</v>
      </c>
      <c r="M21" s="72">
        <f t="shared" si="7"/>
        <v>24273.95</v>
      </c>
      <c r="N21" s="76">
        <f t="shared" si="7"/>
        <v>70</v>
      </c>
      <c r="O21" s="72">
        <f t="shared" si="7"/>
        <v>-11331.039999999999</v>
      </c>
      <c r="P21" s="78">
        <f>P22+P23</f>
        <v>43</v>
      </c>
      <c r="Q21" s="89">
        <f>Q22+Q23</f>
        <v>11240.25</v>
      </c>
      <c r="R21" s="78">
        <f t="shared" ref="R21:AA21" si="8">R22+R23</f>
        <v>51</v>
      </c>
      <c r="S21" s="89">
        <f t="shared" si="8"/>
        <v>9897.0300000000007</v>
      </c>
      <c r="T21" s="78">
        <f t="shared" si="8"/>
        <v>56</v>
      </c>
      <c r="U21" s="89">
        <f t="shared" si="8"/>
        <v>15527.98</v>
      </c>
      <c r="V21" s="78">
        <f t="shared" si="8"/>
        <v>26</v>
      </c>
      <c r="W21" s="89">
        <f t="shared" si="8"/>
        <v>7078.82</v>
      </c>
      <c r="X21" s="78">
        <f>X22+X23</f>
        <v>39</v>
      </c>
      <c r="Y21" s="89">
        <f t="shared" si="8"/>
        <v>8005.9</v>
      </c>
      <c r="Z21" s="78">
        <f t="shared" si="8"/>
        <v>40</v>
      </c>
      <c r="AA21" s="89">
        <f t="shared" si="8"/>
        <v>8580.99</v>
      </c>
      <c r="AB21" s="79">
        <v>43</v>
      </c>
      <c r="AC21" s="80">
        <v>10562.97</v>
      </c>
      <c r="AD21" s="79">
        <f>AD22+AD23</f>
        <v>41</v>
      </c>
      <c r="AE21" s="79">
        <f t="shared" ref="AE21:AO21" si="9">AE22+AE23</f>
        <v>9050</v>
      </c>
      <c r="AF21" s="79">
        <f t="shared" si="9"/>
        <v>41</v>
      </c>
      <c r="AG21" s="79">
        <f t="shared" si="9"/>
        <v>9050</v>
      </c>
      <c r="AH21" s="79">
        <f t="shared" si="9"/>
        <v>41</v>
      </c>
      <c r="AI21" s="79">
        <f t="shared" si="9"/>
        <v>9050</v>
      </c>
      <c r="AJ21" s="79">
        <f t="shared" si="9"/>
        <v>41</v>
      </c>
      <c r="AK21" s="79">
        <f t="shared" si="9"/>
        <v>9050</v>
      </c>
      <c r="AL21" s="79">
        <f t="shared" si="9"/>
        <v>41</v>
      </c>
      <c r="AM21" s="79">
        <f t="shared" si="9"/>
        <v>9050</v>
      </c>
      <c r="AN21" s="79">
        <f t="shared" si="9"/>
        <v>41</v>
      </c>
      <c r="AO21" s="79">
        <f t="shared" si="9"/>
        <v>9050</v>
      </c>
      <c r="AP21" s="274"/>
      <c r="AQ21" s="277"/>
    </row>
    <row r="22" spans="1:43" ht="15.75" x14ac:dyDescent="0.25">
      <c r="A22" s="68" t="s">
        <v>76</v>
      </c>
      <c r="B22" s="69">
        <f t="shared" si="1"/>
        <v>64862.97</v>
      </c>
      <c r="C22" s="88">
        <f t="shared" si="2"/>
        <v>145701.60999999999</v>
      </c>
      <c r="D22" s="71">
        <v>64</v>
      </c>
      <c r="E22" s="72">
        <v>19176.27</v>
      </c>
      <c r="F22" s="71">
        <v>77</v>
      </c>
      <c r="G22" s="72">
        <v>19635.080000000002</v>
      </c>
      <c r="H22" s="73">
        <v>77</v>
      </c>
      <c r="I22" s="72">
        <v>15275.09</v>
      </c>
      <c r="J22" s="73">
        <v>97</v>
      </c>
      <c r="K22" s="72">
        <v>26912.21</v>
      </c>
      <c r="L22" s="73">
        <v>94</v>
      </c>
      <c r="M22" s="72">
        <v>22164.080000000002</v>
      </c>
      <c r="N22" s="74">
        <v>66</v>
      </c>
      <c r="O22" s="75">
        <v>-13496.07</v>
      </c>
      <c r="P22" s="73">
        <v>40</v>
      </c>
      <c r="Q22" s="77">
        <v>9033.56</v>
      </c>
      <c r="R22" s="90">
        <v>51</v>
      </c>
      <c r="S22" s="91">
        <v>9897.0300000000007</v>
      </c>
      <c r="T22" s="90">
        <v>53</v>
      </c>
      <c r="U22" s="91">
        <v>13438.65</v>
      </c>
      <c r="V22" s="90">
        <v>26</v>
      </c>
      <c r="W22" s="91">
        <v>7078.82</v>
      </c>
      <c r="X22" s="78">
        <v>39</v>
      </c>
      <c r="Y22" s="91">
        <v>8005.9</v>
      </c>
      <c r="Z22" s="90">
        <v>40</v>
      </c>
      <c r="AA22" s="91">
        <v>8580.99</v>
      </c>
      <c r="AB22" s="79">
        <v>43</v>
      </c>
      <c r="AC22" s="80">
        <v>10562.97</v>
      </c>
      <c r="AD22" s="79">
        <f t="shared" si="5"/>
        <v>41</v>
      </c>
      <c r="AE22" s="80">
        <f t="shared" si="5"/>
        <v>9050</v>
      </c>
      <c r="AF22" s="79">
        <f t="shared" si="4"/>
        <v>41</v>
      </c>
      <c r="AG22" s="80">
        <f t="shared" si="4"/>
        <v>9050</v>
      </c>
      <c r="AH22" s="79">
        <f t="shared" si="4"/>
        <v>41</v>
      </c>
      <c r="AI22" s="80">
        <f t="shared" si="4"/>
        <v>9050</v>
      </c>
      <c r="AJ22" s="79">
        <f t="shared" si="4"/>
        <v>41</v>
      </c>
      <c r="AK22" s="80">
        <f t="shared" si="4"/>
        <v>9050</v>
      </c>
      <c r="AL22" s="79">
        <f t="shared" si="4"/>
        <v>41</v>
      </c>
      <c r="AM22" s="80">
        <f t="shared" si="4"/>
        <v>9050</v>
      </c>
      <c r="AN22" s="79">
        <f t="shared" si="4"/>
        <v>41</v>
      </c>
      <c r="AO22" s="80">
        <f t="shared" si="4"/>
        <v>9050</v>
      </c>
      <c r="AP22" s="274"/>
      <c r="AQ22" s="277"/>
    </row>
    <row r="23" spans="1:43" ht="15.75" x14ac:dyDescent="0.25">
      <c r="A23" s="68" t="s">
        <v>77</v>
      </c>
      <c r="B23" s="69">
        <f t="shared" si="1"/>
        <v>0</v>
      </c>
      <c r="C23" s="88">
        <f t="shared" si="2"/>
        <v>11831.980000000001</v>
      </c>
      <c r="D23" s="71"/>
      <c r="E23" s="72"/>
      <c r="F23" s="71">
        <v>4</v>
      </c>
      <c r="G23" s="72">
        <v>1522.53</v>
      </c>
      <c r="H23" s="73"/>
      <c r="I23" s="72"/>
      <c r="J23" s="73">
        <v>4</v>
      </c>
      <c r="K23" s="72">
        <v>1738.53</v>
      </c>
      <c r="L23" s="73">
        <v>4</v>
      </c>
      <c r="M23" s="72">
        <v>2109.87</v>
      </c>
      <c r="N23" s="74">
        <v>4</v>
      </c>
      <c r="O23" s="75">
        <v>2165.0300000000002</v>
      </c>
      <c r="P23" s="73">
        <v>3</v>
      </c>
      <c r="Q23" s="77">
        <v>2206.69</v>
      </c>
      <c r="R23" s="90"/>
      <c r="S23" s="89"/>
      <c r="T23" s="90">
        <v>3</v>
      </c>
      <c r="U23" s="89">
        <v>2089.33</v>
      </c>
      <c r="V23" s="90"/>
      <c r="W23" s="89"/>
      <c r="X23" s="78"/>
      <c r="Y23" s="89"/>
      <c r="Z23" s="90"/>
      <c r="AA23" s="91"/>
      <c r="AB23" s="79">
        <f t="shared" si="6"/>
        <v>0</v>
      </c>
      <c r="AC23" s="80">
        <f t="shared" si="6"/>
        <v>0</v>
      </c>
      <c r="AD23" s="79">
        <f t="shared" si="5"/>
        <v>0</v>
      </c>
      <c r="AE23" s="80">
        <f t="shared" si="5"/>
        <v>0</v>
      </c>
      <c r="AF23" s="79">
        <f t="shared" si="4"/>
        <v>0</v>
      </c>
      <c r="AG23" s="80">
        <f t="shared" si="4"/>
        <v>0</v>
      </c>
      <c r="AH23" s="79">
        <f t="shared" si="4"/>
        <v>0</v>
      </c>
      <c r="AI23" s="80">
        <f t="shared" si="4"/>
        <v>0</v>
      </c>
      <c r="AJ23" s="79">
        <f t="shared" si="4"/>
        <v>0</v>
      </c>
      <c r="AK23" s="80">
        <f t="shared" si="4"/>
        <v>0</v>
      </c>
      <c r="AL23" s="79">
        <f t="shared" si="4"/>
        <v>0</v>
      </c>
      <c r="AM23" s="80">
        <f t="shared" si="4"/>
        <v>0</v>
      </c>
      <c r="AN23" s="79">
        <f t="shared" si="4"/>
        <v>0</v>
      </c>
      <c r="AO23" s="80">
        <f t="shared" si="4"/>
        <v>0</v>
      </c>
      <c r="AP23" s="274"/>
      <c r="AQ23" s="277"/>
    </row>
    <row r="24" spans="1:43" ht="54.6" customHeight="1" x14ac:dyDescent="0.25">
      <c r="A24" s="68" t="s">
        <v>39</v>
      </c>
      <c r="B24" s="69">
        <f t="shared" si="1"/>
        <v>479322.58</v>
      </c>
      <c r="C24" s="88">
        <f>E24+G24+I24+K24+M24+O24+Q24+S24+U24+W24+Y24+AA24</f>
        <v>1025976.25</v>
      </c>
      <c r="D24" s="71">
        <f>D25+D26</f>
        <v>401</v>
      </c>
      <c r="E24" s="92">
        <f t="shared" ref="E24:O24" si="10">E25+E26</f>
        <v>151596.88999999998</v>
      </c>
      <c r="F24" s="71">
        <f t="shared" si="10"/>
        <v>195</v>
      </c>
      <c r="G24" s="92">
        <f t="shared" si="10"/>
        <v>74027.399999999994</v>
      </c>
      <c r="H24" s="71">
        <f t="shared" si="10"/>
        <v>239</v>
      </c>
      <c r="I24" s="92">
        <f t="shared" si="10"/>
        <v>86716.36</v>
      </c>
      <c r="J24" s="71">
        <f t="shared" si="10"/>
        <v>230</v>
      </c>
      <c r="K24" s="92">
        <f t="shared" si="10"/>
        <v>89614.02</v>
      </c>
      <c r="L24" s="71">
        <f t="shared" si="10"/>
        <v>202</v>
      </c>
      <c r="M24" s="92">
        <f t="shared" si="10"/>
        <v>76337.460000000006</v>
      </c>
      <c r="N24" s="71">
        <f t="shared" si="10"/>
        <v>245</v>
      </c>
      <c r="O24" s="92">
        <f t="shared" si="10"/>
        <v>112221.94</v>
      </c>
      <c r="P24" s="93">
        <f>P26+P25</f>
        <v>248</v>
      </c>
      <c r="Q24" s="89">
        <f>Q26+Q25</f>
        <v>73999.72</v>
      </c>
      <c r="R24" s="78">
        <f t="shared" ref="R24:AA24" si="11">R26+R25</f>
        <v>187</v>
      </c>
      <c r="S24" s="89">
        <f t="shared" si="11"/>
        <v>41556.93</v>
      </c>
      <c r="T24" s="78">
        <f t="shared" si="11"/>
        <v>231</v>
      </c>
      <c r="U24" s="89">
        <f t="shared" si="11"/>
        <v>98557.6</v>
      </c>
      <c r="V24" s="78">
        <f t="shared" si="11"/>
        <v>248</v>
      </c>
      <c r="W24" s="89">
        <f t="shared" si="11"/>
        <v>71020.91</v>
      </c>
      <c r="X24" s="78">
        <f>X26+X25</f>
        <v>247</v>
      </c>
      <c r="Y24" s="89">
        <f t="shared" si="11"/>
        <v>76368.820000000007</v>
      </c>
      <c r="Z24" s="78">
        <f t="shared" si="11"/>
        <v>242</v>
      </c>
      <c r="AA24" s="89">
        <f t="shared" si="11"/>
        <v>73958.2</v>
      </c>
      <c r="AB24" s="79">
        <v>205</v>
      </c>
      <c r="AC24" s="80">
        <v>59556.58</v>
      </c>
      <c r="AD24" s="79">
        <f>AD25+AD26</f>
        <v>231</v>
      </c>
      <c r="AE24" s="79">
        <f t="shared" ref="AE24:AO24" si="12">AE25+AE26</f>
        <v>69961</v>
      </c>
      <c r="AF24" s="79">
        <f t="shared" si="12"/>
        <v>231</v>
      </c>
      <c r="AG24" s="79">
        <f t="shared" si="12"/>
        <v>69961</v>
      </c>
      <c r="AH24" s="79">
        <f t="shared" si="12"/>
        <v>231</v>
      </c>
      <c r="AI24" s="79">
        <f t="shared" si="12"/>
        <v>69961</v>
      </c>
      <c r="AJ24" s="79">
        <f t="shared" si="12"/>
        <v>231</v>
      </c>
      <c r="AK24" s="79">
        <f t="shared" si="12"/>
        <v>69961</v>
      </c>
      <c r="AL24" s="79">
        <f t="shared" si="12"/>
        <v>231</v>
      </c>
      <c r="AM24" s="79">
        <f t="shared" si="12"/>
        <v>69961</v>
      </c>
      <c r="AN24" s="79">
        <f t="shared" si="12"/>
        <v>231</v>
      </c>
      <c r="AO24" s="79">
        <f t="shared" si="12"/>
        <v>69961</v>
      </c>
      <c r="AP24" s="274"/>
      <c r="AQ24" s="277"/>
    </row>
    <row r="25" spans="1:43" ht="15.75" x14ac:dyDescent="0.25">
      <c r="A25" s="68" t="s">
        <v>78</v>
      </c>
      <c r="B25" s="69">
        <f>AC25+AE25+AG25+AI25+AK25+AM25+AO25</f>
        <v>462104.33</v>
      </c>
      <c r="C25" s="88">
        <f t="shared" si="2"/>
        <v>1013809.9999999999</v>
      </c>
      <c r="D25" s="71">
        <v>397</v>
      </c>
      <c r="E25" s="72">
        <v>149958.78</v>
      </c>
      <c r="F25" s="71">
        <v>195</v>
      </c>
      <c r="G25" s="72">
        <v>74027.399999999994</v>
      </c>
      <c r="H25" s="73">
        <v>235</v>
      </c>
      <c r="I25" s="72">
        <v>84657.279999999999</v>
      </c>
      <c r="J25" s="73">
        <v>230</v>
      </c>
      <c r="K25" s="72">
        <v>89614.02</v>
      </c>
      <c r="L25" s="73">
        <v>202</v>
      </c>
      <c r="M25" s="72">
        <v>76337.460000000006</v>
      </c>
      <c r="N25" s="74">
        <v>245</v>
      </c>
      <c r="O25" s="75">
        <v>112221.94</v>
      </c>
      <c r="P25" s="93">
        <v>248</v>
      </c>
      <c r="Q25" s="89">
        <v>73999.72</v>
      </c>
      <c r="R25" s="90">
        <v>183</v>
      </c>
      <c r="S25" s="91">
        <v>39792.959999999999</v>
      </c>
      <c r="T25" s="90">
        <v>231</v>
      </c>
      <c r="U25" s="91">
        <v>98557.6</v>
      </c>
      <c r="V25" s="90">
        <v>244</v>
      </c>
      <c r="W25" s="91">
        <v>68868.84</v>
      </c>
      <c r="X25" s="78">
        <v>243</v>
      </c>
      <c r="Y25" s="91">
        <v>74379.16</v>
      </c>
      <c r="Z25" s="90">
        <v>238</v>
      </c>
      <c r="AA25" s="91">
        <v>71394.84</v>
      </c>
      <c r="AB25" s="79">
        <v>201</v>
      </c>
      <c r="AC25" s="80">
        <v>56852.33</v>
      </c>
      <c r="AD25" s="79">
        <f t="shared" si="5"/>
        <v>227</v>
      </c>
      <c r="AE25" s="80">
        <f t="shared" si="5"/>
        <v>67542</v>
      </c>
      <c r="AF25" s="79">
        <f t="shared" si="4"/>
        <v>227</v>
      </c>
      <c r="AG25" s="80">
        <f t="shared" si="4"/>
        <v>67542</v>
      </c>
      <c r="AH25" s="79">
        <f t="shared" si="4"/>
        <v>227</v>
      </c>
      <c r="AI25" s="80">
        <f t="shared" si="4"/>
        <v>67542</v>
      </c>
      <c r="AJ25" s="79">
        <f t="shared" si="4"/>
        <v>227</v>
      </c>
      <c r="AK25" s="80">
        <f t="shared" si="4"/>
        <v>67542</v>
      </c>
      <c r="AL25" s="79">
        <f t="shared" si="4"/>
        <v>227</v>
      </c>
      <c r="AM25" s="80">
        <f t="shared" si="4"/>
        <v>67542</v>
      </c>
      <c r="AN25" s="79">
        <f t="shared" si="4"/>
        <v>227</v>
      </c>
      <c r="AO25" s="80">
        <f t="shared" si="4"/>
        <v>67542</v>
      </c>
      <c r="AP25" s="274"/>
      <c r="AQ25" s="277"/>
    </row>
    <row r="26" spans="1:43" ht="15.75" x14ac:dyDescent="0.25">
      <c r="A26" s="68" t="s">
        <v>77</v>
      </c>
      <c r="B26" s="69">
        <f t="shared" si="1"/>
        <v>17218.25</v>
      </c>
      <c r="C26" s="88">
        <f t="shared" si="2"/>
        <v>12166.25</v>
      </c>
      <c r="D26" s="71">
        <v>4</v>
      </c>
      <c r="E26" s="72">
        <v>1638.11</v>
      </c>
      <c r="F26" s="71"/>
      <c r="G26" s="72"/>
      <c r="H26" s="73">
        <v>4</v>
      </c>
      <c r="I26" s="72">
        <v>2059.08</v>
      </c>
      <c r="J26" s="73"/>
      <c r="K26" s="72"/>
      <c r="L26" s="73"/>
      <c r="M26" s="72"/>
      <c r="N26" s="74"/>
      <c r="O26" s="75"/>
      <c r="P26" s="73"/>
      <c r="Q26" s="77"/>
      <c r="R26" s="90">
        <v>4</v>
      </c>
      <c r="S26" s="91">
        <v>1763.97</v>
      </c>
      <c r="T26" s="78"/>
      <c r="U26" s="91"/>
      <c r="V26" s="90">
        <v>4</v>
      </c>
      <c r="W26" s="91">
        <v>2152.0700000000002</v>
      </c>
      <c r="X26" s="78">
        <v>4</v>
      </c>
      <c r="Y26" s="91">
        <v>1989.66</v>
      </c>
      <c r="Z26" s="90">
        <v>4</v>
      </c>
      <c r="AA26" s="91">
        <v>2563.36</v>
      </c>
      <c r="AB26" s="79">
        <v>4</v>
      </c>
      <c r="AC26" s="80">
        <v>2704.25</v>
      </c>
      <c r="AD26" s="79">
        <f t="shared" si="5"/>
        <v>4</v>
      </c>
      <c r="AE26" s="80">
        <f t="shared" si="5"/>
        <v>2419</v>
      </c>
      <c r="AF26" s="79">
        <f t="shared" si="4"/>
        <v>4</v>
      </c>
      <c r="AG26" s="80">
        <f t="shared" si="4"/>
        <v>2419</v>
      </c>
      <c r="AH26" s="79">
        <f t="shared" si="4"/>
        <v>4</v>
      </c>
      <c r="AI26" s="80">
        <f t="shared" si="4"/>
        <v>2419</v>
      </c>
      <c r="AJ26" s="79">
        <f t="shared" si="4"/>
        <v>4</v>
      </c>
      <c r="AK26" s="80">
        <f t="shared" si="4"/>
        <v>2419</v>
      </c>
      <c r="AL26" s="79">
        <f t="shared" si="4"/>
        <v>4</v>
      </c>
      <c r="AM26" s="80">
        <f t="shared" si="4"/>
        <v>2419</v>
      </c>
      <c r="AN26" s="79">
        <f t="shared" si="4"/>
        <v>4</v>
      </c>
      <c r="AO26" s="80">
        <f t="shared" si="4"/>
        <v>2419</v>
      </c>
      <c r="AP26" s="274"/>
      <c r="AQ26" s="277"/>
    </row>
    <row r="27" spans="1:43" ht="54.95" customHeight="1" x14ac:dyDescent="0.25">
      <c r="A27" s="94" t="s">
        <v>40</v>
      </c>
      <c r="B27" s="69">
        <f t="shared" si="1"/>
        <v>780455.19</v>
      </c>
      <c r="C27" s="95">
        <f>SUM(C28:C158)</f>
        <v>1324971.2600000002</v>
      </c>
      <c r="D27" s="96">
        <f t="shared" ref="D27:AA27" si="13">SUM(D28:D158)</f>
        <v>1182</v>
      </c>
      <c r="E27" s="97">
        <f t="shared" si="13"/>
        <v>107856.84999999999</v>
      </c>
      <c r="F27" s="96">
        <f t="shared" si="13"/>
        <v>1063</v>
      </c>
      <c r="G27" s="97">
        <f t="shared" si="13"/>
        <v>98249.600000000006</v>
      </c>
      <c r="H27" s="96">
        <f t="shared" si="13"/>
        <v>1006</v>
      </c>
      <c r="I27" s="97">
        <f t="shared" si="13"/>
        <v>108653.54999999999</v>
      </c>
      <c r="J27" s="96">
        <f t="shared" si="13"/>
        <v>986</v>
      </c>
      <c r="K27" s="97">
        <f t="shared" si="13"/>
        <v>108741.15</v>
      </c>
      <c r="L27" s="96">
        <f t="shared" si="13"/>
        <v>849</v>
      </c>
      <c r="M27" s="97">
        <f t="shared" si="13"/>
        <v>92911.14</v>
      </c>
      <c r="N27" s="96">
        <f t="shared" si="13"/>
        <v>1147</v>
      </c>
      <c r="O27" s="97">
        <f t="shared" si="13"/>
        <v>124792.92000000001</v>
      </c>
      <c r="P27" s="96">
        <f t="shared" si="13"/>
        <v>976</v>
      </c>
      <c r="Q27" s="97">
        <f t="shared" si="13"/>
        <v>118758.91</v>
      </c>
      <c r="R27" s="96">
        <f t="shared" si="13"/>
        <v>914</v>
      </c>
      <c r="S27" s="97">
        <f t="shared" si="13"/>
        <v>97904.990000000034</v>
      </c>
      <c r="T27" s="96">
        <f t="shared" si="13"/>
        <v>1085</v>
      </c>
      <c r="U27" s="97">
        <f>SUM(U28:U158)</f>
        <v>131586.77000000002</v>
      </c>
      <c r="V27" s="96">
        <f t="shared" si="13"/>
        <v>435</v>
      </c>
      <c r="W27" s="97">
        <f t="shared" si="13"/>
        <v>115016.68000000001</v>
      </c>
      <c r="X27" s="96">
        <f t="shared" si="13"/>
        <v>691</v>
      </c>
      <c r="Y27" s="97">
        <f t="shared" si="13"/>
        <v>76386.779999999984</v>
      </c>
      <c r="Z27" s="96">
        <f t="shared" si="13"/>
        <v>1029</v>
      </c>
      <c r="AA27" s="97">
        <f t="shared" si="13"/>
        <v>144111.92000000004</v>
      </c>
      <c r="AB27" s="79">
        <v>1080</v>
      </c>
      <c r="AC27" s="80">
        <v>113153.19</v>
      </c>
      <c r="AD27" s="79">
        <f>ROUND((X27+Z27+AB27)/3,0)</f>
        <v>933</v>
      </c>
      <c r="AE27" s="80">
        <f t="shared" si="5"/>
        <v>111217</v>
      </c>
      <c r="AF27" s="79">
        <f t="shared" si="4"/>
        <v>933</v>
      </c>
      <c r="AG27" s="80">
        <f t="shared" si="4"/>
        <v>111217</v>
      </c>
      <c r="AH27" s="79">
        <f t="shared" si="4"/>
        <v>933</v>
      </c>
      <c r="AI27" s="80">
        <f t="shared" si="4"/>
        <v>111217</v>
      </c>
      <c r="AJ27" s="79">
        <f t="shared" si="4"/>
        <v>933</v>
      </c>
      <c r="AK27" s="80">
        <f t="shared" si="4"/>
        <v>111217</v>
      </c>
      <c r="AL27" s="79">
        <f t="shared" si="4"/>
        <v>933</v>
      </c>
      <c r="AM27" s="80">
        <f t="shared" si="4"/>
        <v>111217</v>
      </c>
      <c r="AN27" s="79">
        <f t="shared" si="4"/>
        <v>933</v>
      </c>
      <c r="AO27" s="80">
        <f t="shared" si="4"/>
        <v>111217</v>
      </c>
      <c r="AP27" s="275"/>
      <c r="AQ27" s="278"/>
    </row>
    <row r="28" spans="1:43" ht="15.75" x14ac:dyDescent="0.25">
      <c r="A28" s="98" t="s">
        <v>79</v>
      </c>
      <c r="B28" s="69">
        <f>AC28+AE28+AG28+AI28+AK28+AM28+AO28</f>
        <v>0</v>
      </c>
      <c r="C28" s="88">
        <f>E28+G28+I28+K28+M28+O28+Q28+S28+U28+W28+Y28+AA28</f>
        <v>6061</v>
      </c>
      <c r="D28" s="71">
        <v>1</v>
      </c>
      <c r="E28" s="72">
        <v>430</v>
      </c>
      <c r="F28" s="71">
        <v>3</v>
      </c>
      <c r="G28" s="72">
        <v>735</v>
      </c>
      <c r="H28" s="73">
        <v>1</v>
      </c>
      <c r="I28" s="72">
        <v>430</v>
      </c>
      <c r="J28" s="73"/>
      <c r="K28" s="72"/>
      <c r="L28" s="73"/>
      <c r="M28" s="72"/>
      <c r="N28" s="74">
        <v>3</v>
      </c>
      <c r="O28" s="75">
        <v>1260</v>
      </c>
      <c r="P28" s="73"/>
      <c r="Q28" s="77"/>
      <c r="R28" s="78">
        <v>1</v>
      </c>
      <c r="S28" s="77">
        <v>700</v>
      </c>
      <c r="T28" s="78"/>
      <c r="U28" s="77"/>
      <c r="V28" s="78"/>
      <c r="W28" s="77">
        <v>700</v>
      </c>
      <c r="X28" s="99">
        <f>3+1</f>
        <v>4</v>
      </c>
      <c r="Y28" s="100">
        <f>1106+700</f>
        <v>1806</v>
      </c>
      <c r="Z28" s="78"/>
      <c r="AA28" s="77"/>
      <c r="AB28" s="79"/>
      <c r="AC28" s="101"/>
      <c r="AD28" s="79"/>
      <c r="AE28" s="372"/>
      <c r="AF28" s="79"/>
      <c r="AG28" s="372"/>
      <c r="AH28" s="79"/>
      <c r="AI28" s="372"/>
      <c r="AJ28" s="79"/>
      <c r="AK28" s="372"/>
      <c r="AL28" s="79"/>
      <c r="AM28" s="372"/>
      <c r="AN28" s="79"/>
      <c r="AO28" s="372"/>
      <c r="AP28" s="102"/>
      <c r="AQ28" s="103"/>
    </row>
    <row r="29" spans="1:43" ht="25.5" x14ac:dyDescent="0.25">
      <c r="A29" s="104" t="s">
        <v>80</v>
      </c>
      <c r="B29" s="69">
        <f t="shared" ref="B29:B92" si="14">AC29+AE29+AG29+AI29+AK29+AM29+AO29</f>
        <v>0</v>
      </c>
      <c r="C29" s="88">
        <f t="shared" ref="C29:C92" si="15">E29+G29+I29+K29+M29+O29+Q29+S29+U29+W29+Y29+AA29</f>
        <v>800</v>
      </c>
      <c r="D29" s="71"/>
      <c r="E29" s="72"/>
      <c r="F29" s="71"/>
      <c r="G29" s="72"/>
      <c r="H29" s="73"/>
      <c r="I29" s="72"/>
      <c r="J29" s="73"/>
      <c r="K29" s="72"/>
      <c r="L29" s="73"/>
      <c r="M29" s="72"/>
      <c r="N29" s="74"/>
      <c r="O29" s="75"/>
      <c r="P29" s="73"/>
      <c r="Q29" s="77"/>
      <c r="R29" s="78"/>
      <c r="S29" s="77"/>
      <c r="T29" s="78">
        <v>1</v>
      </c>
      <c r="U29" s="77">
        <v>800</v>
      </c>
      <c r="V29" s="78"/>
      <c r="W29" s="77"/>
      <c r="X29" s="99"/>
      <c r="Y29" s="100"/>
      <c r="Z29" s="78"/>
      <c r="AA29" s="77"/>
      <c r="AB29" s="79"/>
      <c r="AC29" s="101"/>
      <c r="AD29" s="79"/>
      <c r="AE29" s="372"/>
      <c r="AF29" s="79"/>
      <c r="AG29" s="372"/>
      <c r="AH29" s="79"/>
      <c r="AI29" s="372"/>
      <c r="AJ29" s="79"/>
      <c r="AK29" s="372"/>
      <c r="AL29" s="79"/>
      <c r="AM29" s="372"/>
      <c r="AN29" s="79"/>
      <c r="AO29" s="372"/>
      <c r="AP29" s="102"/>
      <c r="AQ29" s="103"/>
    </row>
    <row r="30" spans="1:43" ht="15.75" x14ac:dyDescent="0.25">
      <c r="A30" s="105" t="s">
        <v>81</v>
      </c>
      <c r="B30" s="69">
        <f t="shared" si="14"/>
        <v>0</v>
      </c>
      <c r="C30" s="88">
        <f t="shared" si="15"/>
        <v>124</v>
      </c>
      <c r="D30" s="71"/>
      <c r="E30" s="72"/>
      <c r="F30" s="71">
        <v>1</v>
      </c>
      <c r="G30" s="72">
        <v>124</v>
      </c>
      <c r="H30" s="73"/>
      <c r="I30" s="72"/>
      <c r="J30" s="73"/>
      <c r="K30" s="72"/>
      <c r="L30" s="73"/>
      <c r="M30" s="72"/>
      <c r="N30" s="106"/>
      <c r="O30" s="75"/>
      <c r="P30" s="73"/>
      <c r="Q30" s="77"/>
      <c r="R30" s="78"/>
      <c r="S30" s="77"/>
      <c r="T30" s="78"/>
      <c r="U30" s="77"/>
      <c r="V30" s="78"/>
      <c r="W30" s="77"/>
      <c r="X30" s="99"/>
      <c r="Y30" s="100"/>
      <c r="Z30" s="78"/>
      <c r="AA30" s="77"/>
      <c r="AB30" s="79"/>
      <c r="AC30" s="101"/>
      <c r="AD30" s="79"/>
      <c r="AE30" s="372"/>
      <c r="AF30" s="79"/>
      <c r="AG30" s="372"/>
      <c r="AH30" s="79"/>
      <c r="AI30" s="372"/>
      <c r="AJ30" s="79"/>
      <c r="AK30" s="372"/>
      <c r="AL30" s="79"/>
      <c r="AM30" s="372"/>
      <c r="AN30" s="79"/>
      <c r="AO30" s="372"/>
      <c r="AP30" s="102"/>
      <c r="AQ30" s="103"/>
    </row>
    <row r="31" spans="1:43" ht="15.75" x14ac:dyDescent="0.25">
      <c r="A31" s="105" t="s">
        <v>82</v>
      </c>
      <c r="B31" s="69">
        <f t="shared" si="14"/>
        <v>0</v>
      </c>
      <c r="C31" s="88">
        <f t="shared" si="15"/>
        <v>153.30000000000001</v>
      </c>
      <c r="D31" s="71">
        <v>1</v>
      </c>
      <c r="E31" s="72">
        <v>153.30000000000001</v>
      </c>
      <c r="F31" s="71"/>
      <c r="G31" s="72"/>
      <c r="H31" s="73"/>
      <c r="I31" s="72"/>
      <c r="J31" s="73"/>
      <c r="K31" s="72"/>
      <c r="L31" s="73"/>
      <c r="M31" s="72"/>
      <c r="N31" s="106"/>
      <c r="O31" s="75"/>
      <c r="P31" s="73"/>
      <c r="Q31" s="77"/>
      <c r="R31" s="78"/>
      <c r="S31" s="77"/>
      <c r="T31" s="78"/>
      <c r="U31" s="77"/>
      <c r="V31" s="78"/>
      <c r="W31" s="77"/>
      <c r="X31" s="99"/>
      <c r="Y31" s="100"/>
      <c r="Z31" s="78"/>
      <c r="AA31" s="77"/>
      <c r="AB31" s="79"/>
      <c r="AC31" s="101"/>
      <c r="AD31" s="79"/>
      <c r="AE31" s="372"/>
      <c r="AF31" s="79"/>
      <c r="AG31" s="372"/>
      <c r="AH31" s="79"/>
      <c r="AI31" s="372"/>
      <c r="AJ31" s="79"/>
      <c r="AK31" s="372"/>
      <c r="AL31" s="79"/>
      <c r="AM31" s="372"/>
      <c r="AN31" s="79"/>
      <c r="AO31" s="372"/>
      <c r="AP31" s="102"/>
      <c r="AQ31" s="103"/>
    </row>
    <row r="32" spans="1:43" ht="15.75" x14ac:dyDescent="0.25">
      <c r="A32" s="105" t="s">
        <v>83</v>
      </c>
      <c r="B32" s="69">
        <f t="shared" si="14"/>
        <v>0</v>
      </c>
      <c r="C32" s="88">
        <f t="shared" si="15"/>
        <v>715.41</v>
      </c>
      <c r="D32" s="71">
        <v>3</v>
      </c>
      <c r="E32" s="72">
        <v>715.41</v>
      </c>
      <c r="F32" s="71"/>
      <c r="G32" s="72"/>
      <c r="H32" s="73"/>
      <c r="I32" s="72"/>
      <c r="J32" s="73"/>
      <c r="K32" s="72"/>
      <c r="L32" s="73"/>
      <c r="M32" s="72"/>
      <c r="N32" s="106"/>
      <c r="O32" s="75"/>
      <c r="P32" s="73"/>
      <c r="Q32" s="77"/>
      <c r="R32" s="78"/>
      <c r="S32" s="77"/>
      <c r="T32" s="78"/>
      <c r="U32" s="77"/>
      <c r="V32" s="78"/>
      <c r="W32" s="77"/>
      <c r="X32" s="99"/>
      <c r="Y32" s="100"/>
      <c r="Z32" s="78"/>
      <c r="AA32" s="77"/>
      <c r="AB32" s="79"/>
      <c r="AC32" s="101"/>
      <c r="AD32" s="79"/>
      <c r="AE32" s="372"/>
      <c r="AF32" s="79"/>
      <c r="AG32" s="372"/>
      <c r="AH32" s="79"/>
      <c r="AI32" s="372"/>
      <c r="AJ32" s="79"/>
      <c r="AK32" s="372"/>
      <c r="AL32" s="79"/>
      <c r="AM32" s="372"/>
      <c r="AN32" s="79"/>
      <c r="AO32" s="372"/>
      <c r="AP32" s="102"/>
      <c r="AQ32" s="103"/>
    </row>
    <row r="33" spans="1:43" ht="15.75" x14ac:dyDescent="0.25">
      <c r="A33" s="105" t="s">
        <v>84</v>
      </c>
      <c r="B33" s="69">
        <f t="shared" si="14"/>
        <v>0</v>
      </c>
      <c r="C33" s="88">
        <f t="shared" si="15"/>
        <v>0</v>
      </c>
      <c r="D33" s="71"/>
      <c r="E33" s="72"/>
      <c r="F33" s="71"/>
      <c r="G33" s="72"/>
      <c r="H33" s="73"/>
      <c r="I33" s="72"/>
      <c r="J33" s="73"/>
      <c r="K33" s="72"/>
      <c r="L33" s="73"/>
      <c r="M33" s="72"/>
      <c r="N33" s="106"/>
      <c r="O33" s="75"/>
      <c r="P33" s="73"/>
      <c r="Q33" s="77"/>
      <c r="R33" s="78"/>
      <c r="S33" s="77"/>
      <c r="T33" s="78"/>
      <c r="U33" s="77"/>
      <c r="V33" s="78"/>
      <c r="W33" s="77"/>
      <c r="X33" s="99"/>
      <c r="Y33" s="100"/>
      <c r="Z33" s="78"/>
      <c r="AA33" s="77"/>
      <c r="AB33" s="79"/>
      <c r="AC33" s="101"/>
      <c r="AD33" s="79"/>
      <c r="AE33" s="372"/>
      <c r="AF33" s="79"/>
      <c r="AG33" s="372"/>
      <c r="AH33" s="79"/>
      <c r="AI33" s="372"/>
      <c r="AJ33" s="79"/>
      <c r="AK33" s="372"/>
      <c r="AL33" s="79"/>
      <c r="AM33" s="372"/>
      <c r="AN33" s="79"/>
      <c r="AO33" s="372"/>
      <c r="AP33" s="102"/>
      <c r="AQ33" s="103"/>
    </row>
    <row r="34" spans="1:43" ht="15.75" x14ac:dyDescent="0.25">
      <c r="A34" s="105" t="s">
        <v>85</v>
      </c>
      <c r="B34" s="69">
        <f t="shared" si="14"/>
        <v>0</v>
      </c>
      <c r="C34" s="88">
        <f t="shared" si="15"/>
        <v>0</v>
      </c>
      <c r="D34" s="71"/>
      <c r="E34" s="72"/>
      <c r="F34" s="71">
        <v>1</v>
      </c>
      <c r="G34" s="72">
        <v>153</v>
      </c>
      <c r="H34" s="73">
        <v>1</v>
      </c>
      <c r="I34" s="72">
        <v>422.76</v>
      </c>
      <c r="J34" s="73"/>
      <c r="K34" s="72">
        <v>-575.76</v>
      </c>
      <c r="L34" s="73"/>
      <c r="M34" s="72"/>
      <c r="N34" s="106"/>
      <c r="O34" s="75"/>
      <c r="P34" s="73"/>
      <c r="Q34" s="77"/>
      <c r="R34" s="78"/>
      <c r="S34" s="77"/>
      <c r="T34" s="78"/>
      <c r="U34" s="77"/>
      <c r="V34" s="78"/>
      <c r="W34" s="77"/>
      <c r="X34" s="99"/>
      <c r="Y34" s="100"/>
      <c r="Z34" s="78"/>
      <c r="AA34" s="77"/>
      <c r="AB34" s="79"/>
      <c r="AC34" s="101"/>
      <c r="AD34" s="79"/>
      <c r="AE34" s="372"/>
      <c r="AF34" s="79"/>
      <c r="AG34" s="372"/>
      <c r="AH34" s="79"/>
      <c r="AI34" s="372"/>
      <c r="AJ34" s="79"/>
      <c r="AK34" s="372"/>
      <c r="AL34" s="79"/>
      <c r="AM34" s="372"/>
      <c r="AN34" s="79"/>
      <c r="AO34" s="372"/>
      <c r="AP34" s="102"/>
      <c r="AQ34" s="103"/>
    </row>
    <row r="35" spans="1:43" ht="63.6" customHeight="1" x14ac:dyDescent="0.25">
      <c r="A35" s="98" t="s">
        <v>86</v>
      </c>
      <c r="B35" s="69">
        <f t="shared" si="14"/>
        <v>0</v>
      </c>
      <c r="C35" s="88">
        <f t="shared" si="15"/>
        <v>600</v>
      </c>
      <c r="D35" s="71"/>
      <c r="E35" s="72"/>
      <c r="F35" s="71">
        <v>1</v>
      </c>
      <c r="G35" s="72">
        <v>300</v>
      </c>
      <c r="H35" s="73"/>
      <c r="I35" s="72"/>
      <c r="J35" s="73"/>
      <c r="K35" s="72"/>
      <c r="L35" s="73"/>
      <c r="M35" s="72"/>
      <c r="N35" s="74"/>
      <c r="O35" s="75"/>
      <c r="P35" s="73"/>
      <c r="Q35" s="77"/>
      <c r="R35" s="78"/>
      <c r="S35" s="77"/>
      <c r="T35" s="78"/>
      <c r="U35" s="77"/>
      <c r="V35" s="78">
        <v>1</v>
      </c>
      <c r="W35" s="77">
        <v>300</v>
      </c>
      <c r="X35" s="99"/>
      <c r="Y35" s="100"/>
      <c r="Z35" s="78"/>
      <c r="AA35" s="77"/>
      <c r="AB35" s="79"/>
      <c r="AC35" s="101"/>
      <c r="AD35" s="79"/>
      <c r="AE35" s="372"/>
      <c r="AF35" s="79"/>
      <c r="AG35" s="372"/>
      <c r="AH35" s="79"/>
      <c r="AI35" s="372"/>
      <c r="AJ35" s="79"/>
      <c r="AK35" s="372"/>
      <c r="AL35" s="79"/>
      <c r="AM35" s="372"/>
      <c r="AN35" s="79"/>
      <c r="AO35" s="372"/>
      <c r="AP35" s="102"/>
      <c r="AQ35" s="107"/>
    </row>
    <row r="36" spans="1:43" ht="15.75" x14ac:dyDescent="0.25">
      <c r="A36" s="98" t="s">
        <v>87</v>
      </c>
      <c r="B36" s="69">
        <f t="shared" si="14"/>
        <v>0</v>
      </c>
      <c r="C36" s="88">
        <f t="shared" si="15"/>
        <v>0</v>
      </c>
      <c r="D36" s="71"/>
      <c r="E36" s="72"/>
      <c r="F36" s="71"/>
      <c r="G36" s="72"/>
      <c r="H36" s="73"/>
      <c r="I36" s="72"/>
      <c r="J36" s="73"/>
      <c r="K36" s="72"/>
      <c r="L36" s="73"/>
      <c r="M36" s="72"/>
      <c r="N36" s="74"/>
      <c r="O36" s="75"/>
      <c r="P36" s="73"/>
      <c r="Q36" s="77"/>
      <c r="R36" s="78"/>
      <c r="S36" s="77"/>
      <c r="T36" s="78"/>
      <c r="U36" s="77"/>
      <c r="V36" s="78"/>
      <c r="W36" s="77"/>
      <c r="X36" s="99"/>
      <c r="Y36" s="100"/>
      <c r="Z36" s="78"/>
      <c r="AA36" s="77"/>
      <c r="AB36" s="79"/>
      <c r="AC36" s="101"/>
      <c r="AD36" s="79"/>
      <c r="AE36" s="372"/>
      <c r="AF36" s="79"/>
      <c r="AG36" s="372"/>
      <c r="AH36" s="79"/>
      <c r="AI36" s="372"/>
      <c r="AJ36" s="79"/>
      <c r="AK36" s="372"/>
      <c r="AL36" s="79"/>
      <c r="AM36" s="372"/>
      <c r="AN36" s="79"/>
      <c r="AO36" s="372"/>
      <c r="AP36" s="102"/>
      <c r="AQ36" s="103"/>
    </row>
    <row r="37" spans="1:43" ht="15.75" x14ac:dyDescent="0.25">
      <c r="A37" s="105" t="s">
        <v>88</v>
      </c>
      <c r="B37" s="69">
        <f t="shared" si="14"/>
        <v>0</v>
      </c>
      <c r="C37" s="88">
        <f t="shared" si="15"/>
        <v>890.18999999999994</v>
      </c>
      <c r="D37" s="71">
        <v>1</v>
      </c>
      <c r="E37" s="72">
        <v>45.99</v>
      </c>
      <c r="F37" s="71">
        <v>3</v>
      </c>
      <c r="G37" s="72">
        <v>84.51</v>
      </c>
      <c r="H37" s="73"/>
      <c r="I37" s="72"/>
      <c r="J37" s="73">
        <v>2</v>
      </c>
      <c r="K37" s="72">
        <v>73.48</v>
      </c>
      <c r="L37" s="73">
        <v>2</v>
      </c>
      <c r="M37" s="72">
        <v>47.05</v>
      </c>
      <c r="N37" s="108">
        <v>3</v>
      </c>
      <c r="O37" s="82">
        <v>109.69</v>
      </c>
      <c r="P37" s="73">
        <v>1</v>
      </c>
      <c r="Q37" s="77">
        <v>93.5</v>
      </c>
      <c r="R37" s="78">
        <v>1</v>
      </c>
      <c r="S37" s="77">
        <v>87.36</v>
      </c>
      <c r="T37" s="78">
        <v>2</v>
      </c>
      <c r="U37" s="77">
        <v>83.69</v>
      </c>
      <c r="V37" s="78">
        <v>3</v>
      </c>
      <c r="W37" s="77">
        <v>73.8</v>
      </c>
      <c r="X37" s="99">
        <v>3</v>
      </c>
      <c r="Y37" s="100">
        <v>104.12</v>
      </c>
      <c r="Z37" s="78">
        <v>3</v>
      </c>
      <c r="AA37" s="77">
        <v>87</v>
      </c>
      <c r="AB37" s="79"/>
      <c r="AC37" s="101"/>
      <c r="AD37" s="79"/>
      <c r="AE37" s="372"/>
      <c r="AF37" s="79"/>
      <c r="AG37" s="372"/>
      <c r="AH37" s="79"/>
      <c r="AI37" s="372"/>
      <c r="AJ37" s="79"/>
      <c r="AK37" s="372"/>
      <c r="AL37" s="79"/>
      <c r="AM37" s="372"/>
      <c r="AN37" s="79"/>
      <c r="AO37" s="372"/>
      <c r="AP37" s="102"/>
      <c r="AQ37" s="103"/>
    </row>
    <row r="38" spans="1:43" ht="15.75" x14ac:dyDescent="0.25">
      <c r="A38" s="331" t="s">
        <v>89</v>
      </c>
      <c r="B38" s="69">
        <f t="shared" si="14"/>
        <v>0</v>
      </c>
      <c r="C38" s="88">
        <f t="shared" si="15"/>
        <v>281.97000000000003</v>
      </c>
      <c r="D38" s="71"/>
      <c r="E38" s="72"/>
      <c r="F38" s="71"/>
      <c r="G38" s="72"/>
      <c r="H38" s="73"/>
      <c r="I38" s="72"/>
      <c r="J38" s="73"/>
      <c r="K38" s="72"/>
      <c r="L38" s="73"/>
      <c r="M38" s="72"/>
      <c r="N38" s="108"/>
      <c r="O38" s="82"/>
      <c r="P38" s="73"/>
      <c r="Q38" s="77"/>
      <c r="R38" s="78"/>
      <c r="S38" s="77"/>
      <c r="T38" s="78"/>
      <c r="U38" s="77"/>
      <c r="V38" s="78"/>
      <c r="W38" s="77"/>
      <c r="X38" s="99">
        <v>1</v>
      </c>
      <c r="Y38" s="100">
        <v>49.44</v>
      </c>
      <c r="Z38" s="78">
        <v>7</v>
      </c>
      <c r="AA38" s="77">
        <v>232.53</v>
      </c>
      <c r="AB38" s="79"/>
      <c r="AC38" s="101"/>
      <c r="AD38" s="79"/>
      <c r="AE38" s="372"/>
      <c r="AF38" s="79"/>
      <c r="AG38" s="372"/>
      <c r="AH38" s="79"/>
      <c r="AI38" s="372"/>
      <c r="AJ38" s="79"/>
      <c r="AK38" s="372"/>
      <c r="AL38" s="79"/>
      <c r="AM38" s="372"/>
      <c r="AN38" s="79"/>
      <c r="AO38" s="372"/>
      <c r="AP38" s="102"/>
      <c r="AQ38" s="103"/>
    </row>
    <row r="39" spans="1:43" ht="25.5" x14ac:dyDescent="0.25">
      <c r="A39" s="105" t="s">
        <v>90</v>
      </c>
      <c r="B39" s="69">
        <f t="shared" si="14"/>
        <v>0</v>
      </c>
      <c r="C39" s="88">
        <f t="shared" si="15"/>
        <v>0</v>
      </c>
      <c r="D39" s="71"/>
      <c r="E39" s="72"/>
      <c r="F39" s="71"/>
      <c r="G39" s="72"/>
      <c r="H39" s="73"/>
      <c r="I39" s="72"/>
      <c r="J39" s="73"/>
      <c r="K39" s="72"/>
      <c r="L39" s="73"/>
      <c r="M39" s="72"/>
      <c r="N39" s="108"/>
      <c r="O39" s="82"/>
      <c r="P39" s="73"/>
      <c r="Q39" s="77"/>
      <c r="R39" s="78"/>
      <c r="S39" s="77"/>
      <c r="T39" s="78"/>
      <c r="U39" s="77"/>
      <c r="V39" s="78"/>
      <c r="W39" s="77"/>
      <c r="X39" s="99"/>
      <c r="Y39" s="100"/>
      <c r="Z39" s="78"/>
      <c r="AA39" s="77"/>
      <c r="AB39" s="79"/>
      <c r="AC39" s="101"/>
      <c r="AD39" s="79"/>
      <c r="AE39" s="372"/>
      <c r="AF39" s="79"/>
      <c r="AG39" s="372"/>
      <c r="AH39" s="79"/>
      <c r="AI39" s="372"/>
      <c r="AJ39" s="79"/>
      <c r="AK39" s="372"/>
      <c r="AL39" s="79"/>
      <c r="AM39" s="372"/>
      <c r="AN39" s="79"/>
      <c r="AO39" s="372"/>
      <c r="AP39" s="102"/>
      <c r="AQ39" s="103"/>
    </row>
    <row r="40" spans="1:43" ht="25.5" x14ac:dyDescent="0.25">
      <c r="A40" s="105" t="s">
        <v>91</v>
      </c>
      <c r="B40" s="69">
        <f t="shared" si="14"/>
        <v>0</v>
      </c>
      <c r="C40" s="88">
        <f t="shared" si="15"/>
        <v>0</v>
      </c>
      <c r="D40" s="71"/>
      <c r="E40" s="72"/>
      <c r="F40" s="71"/>
      <c r="G40" s="72"/>
      <c r="H40" s="73"/>
      <c r="I40" s="72"/>
      <c r="J40" s="73"/>
      <c r="K40" s="72"/>
      <c r="L40" s="73"/>
      <c r="M40" s="72"/>
      <c r="N40" s="108"/>
      <c r="O40" s="82"/>
      <c r="P40" s="73"/>
      <c r="Q40" s="77"/>
      <c r="R40" s="78"/>
      <c r="S40" s="77"/>
      <c r="T40" s="78"/>
      <c r="U40" s="77"/>
      <c r="V40" s="78"/>
      <c r="W40" s="77"/>
      <c r="X40" s="99"/>
      <c r="Y40" s="100"/>
      <c r="Z40" s="78"/>
      <c r="AA40" s="77"/>
      <c r="AB40" s="79"/>
      <c r="AC40" s="101"/>
      <c r="AD40" s="79"/>
      <c r="AE40" s="372"/>
      <c r="AF40" s="79"/>
      <c r="AG40" s="372"/>
      <c r="AH40" s="79"/>
      <c r="AI40" s="372"/>
      <c r="AJ40" s="79"/>
      <c r="AK40" s="372"/>
      <c r="AL40" s="79"/>
      <c r="AM40" s="372"/>
      <c r="AN40" s="79"/>
      <c r="AO40" s="372"/>
      <c r="AP40" s="102"/>
      <c r="AQ40" s="103"/>
    </row>
    <row r="41" spans="1:43" ht="15.75" x14ac:dyDescent="0.25">
      <c r="A41" s="105" t="s">
        <v>92</v>
      </c>
      <c r="B41" s="69">
        <f t="shared" si="14"/>
        <v>0</v>
      </c>
      <c r="C41" s="88">
        <f t="shared" si="15"/>
        <v>315</v>
      </c>
      <c r="D41" s="71">
        <v>1</v>
      </c>
      <c r="E41" s="72">
        <v>315</v>
      </c>
      <c r="F41" s="71"/>
      <c r="G41" s="72"/>
      <c r="H41" s="73"/>
      <c r="I41" s="72"/>
      <c r="J41" s="73"/>
      <c r="K41" s="72"/>
      <c r="L41" s="73"/>
      <c r="M41" s="72"/>
      <c r="N41" s="108"/>
      <c r="O41" s="82"/>
      <c r="P41" s="73"/>
      <c r="Q41" s="77"/>
      <c r="R41" s="78"/>
      <c r="S41" s="77"/>
      <c r="T41" s="78"/>
      <c r="U41" s="77"/>
      <c r="V41" s="78"/>
      <c r="W41" s="77"/>
      <c r="X41" s="99"/>
      <c r="Y41" s="100"/>
      <c r="Z41" s="78"/>
      <c r="AA41" s="77"/>
      <c r="AB41" s="79"/>
      <c r="AC41" s="101"/>
      <c r="AD41" s="79"/>
      <c r="AE41" s="372"/>
      <c r="AF41" s="79"/>
      <c r="AG41" s="372"/>
      <c r="AH41" s="79"/>
      <c r="AI41" s="372"/>
      <c r="AJ41" s="79"/>
      <c r="AK41" s="372"/>
      <c r="AL41" s="79"/>
      <c r="AM41" s="372"/>
      <c r="AN41" s="79"/>
      <c r="AO41" s="372"/>
      <c r="AP41" s="102"/>
      <c r="AQ41" s="110"/>
    </row>
    <row r="42" spans="1:43" ht="15.75" x14ac:dyDescent="0.25">
      <c r="A42" s="105" t="s">
        <v>93</v>
      </c>
      <c r="B42" s="69">
        <f t="shared" si="14"/>
        <v>0</v>
      </c>
      <c r="C42" s="88">
        <f t="shared" si="15"/>
        <v>0</v>
      </c>
      <c r="D42" s="71"/>
      <c r="E42" s="72"/>
      <c r="F42" s="71"/>
      <c r="G42" s="72"/>
      <c r="H42" s="73"/>
      <c r="I42" s="72"/>
      <c r="J42" s="73"/>
      <c r="K42" s="72"/>
      <c r="L42" s="73"/>
      <c r="M42" s="72"/>
      <c r="N42" s="108"/>
      <c r="O42" s="82"/>
      <c r="P42" s="73"/>
      <c r="Q42" s="77"/>
      <c r="R42" s="78"/>
      <c r="S42" s="77"/>
      <c r="T42" s="78"/>
      <c r="U42" s="77"/>
      <c r="V42" s="78"/>
      <c r="W42" s="77"/>
      <c r="X42" s="99"/>
      <c r="Y42" s="100"/>
      <c r="Z42" s="78"/>
      <c r="AA42" s="77"/>
      <c r="AB42" s="79"/>
      <c r="AC42" s="101"/>
      <c r="AD42" s="79"/>
      <c r="AE42" s="372"/>
      <c r="AF42" s="79"/>
      <c r="AG42" s="372"/>
      <c r="AH42" s="79"/>
      <c r="AI42" s="372"/>
      <c r="AJ42" s="79"/>
      <c r="AK42" s="372"/>
      <c r="AL42" s="79"/>
      <c r="AM42" s="372"/>
      <c r="AN42" s="79"/>
      <c r="AO42" s="372"/>
      <c r="AP42" s="102"/>
      <c r="AQ42" s="110"/>
    </row>
    <row r="43" spans="1:43" ht="15.75" x14ac:dyDescent="0.25">
      <c r="A43" s="105" t="s">
        <v>94</v>
      </c>
      <c r="B43" s="69">
        <f t="shared" si="14"/>
        <v>0</v>
      </c>
      <c r="C43" s="88">
        <f t="shared" si="15"/>
        <v>750</v>
      </c>
      <c r="D43" s="71">
        <v>1</v>
      </c>
      <c r="E43" s="72">
        <v>50</v>
      </c>
      <c r="F43" s="71">
        <v>1</v>
      </c>
      <c r="G43" s="72">
        <v>50</v>
      </c>
      <c r="H43" s="73">
        <v>1</v>
      </c>
      <c r="I43" s="72">
        <v>50</v>
      </c>
      <c r="J43" s="73">
        <v>1</v>
      </c>
      <c r="K43" s="72">
        <v>50</v>
      </c>
      <c r="L43" s="73">
        <v>3</v>
      </c>
      <c r="M43" s="72">
        <v>150</v>
      </c>
      <c r="N43" s="108">
        <v>1</v>
      </c>
      <c r="O43" s="82">
        <v>50</v>
      </c>
      <c r="P43" s="73">
        <v>2</v>
      </c>
      <c r="Q43" s="77">
        <v>100</v>
      </c>
      <c r="R43" s="78">
        <v>1</v>
      </c>
      <c r="S43" s="77">
        <v>50</v>
      </c>
      <c r="T43" s="78">
        <v>1</v>
      </c>
      <c r="U43" s="77">
        <v>50</v>
      </c>
      <c r="V43" s="78">
        <v>1</v>
      </c>
      <c r="W43" s="77">
        <v>50</v>
      </c>
      <c r="X43" s="99">
        <v>1</v>
      </c>
      <c r="Y43" s="100">
        <v>50</v>
      </c>
      <c r="Z43" s="78">
        <v>1</v>
      </c>
      <c r="AA43" s="77">
        <v>50</v>
      </c>
      <c r="AB43" s="79"/>
      <c r="AC43" s="101"/>
      <c r="AD43" s="79"/>
      <c r="AE43" s="372"/>
      <c r="AF43" s="79"/>
      <c r="AG43" s="372"/>
      <c r="AH43" s="79"/>
      <c r="AI43" s="372"/>
      <c r="AJ43" s="79"/>
      <c r="AK43" s="372"/>
      <c r="AL43" s="79"/>
      <c r="AM43" s="372"/>
      <c r="AN43" s="79"/>
      <c r="AO43" s="372"/>
      <c r="AP43" s="102"/>
      <c r="AQ43" s="110"/>
    </row>
    <row r="44" spans="1:43" ht="25.5" x14ac:dyDescent="0.25">
      <c r="A44" s="105" t="s">
        <v>95</v>
      </c>
      <c r="B44" s="69">
        <f t="shared" si="14"/>
        <v>0</v>
      </c>
      <c r="C44" s="88">
        <f t="shared" si="15"/>
        <v>2769.42</v>
      </c>
      <c r="D44" s="71">
        <v>1</v>
      </c>
      <c r="E44" s="72">
        <v>91.64</v>
      </c>
      <c r="F44" s="71">
        <v>1</v>
      </c>
      <c r="G44" s="72">
        <v>114.55</v>
      </c>
      <c r="H44" s="73">
        <v>1</v>
      </c>
      <c r="I44" s="72">
        <v>389.47</v>
      </c>
      <c r="J44" s="73">
        <v>2</v>
      </c>
      <c r="K44" s="72">
        <v>493.78</v>
      </c>
      <c r="L44" s="73">
        <v>2</v>
      </c>
      <c r="M44" s="72">
        <v>516.69000000000005</v>
      </c>
      <c r="N44" s="108">
        <v>2</v>
      </c>
      <c r="O44" s="82">
        <v>498.9</v>
      </c>
      <c r="P44" s="73">
        <v>1</v>
      </c>
      <c r="Q44" s="77">
        <v>435.29</v>
      </c>
      <c r="R44" s="78">
        <v>1</v>
      </c>
      <c r="S44" s="77">
        <v>229.1</v>
      </c>
      <c r="T44" s="78"/>
      <c r="U44" s="77"/>
      <c r="V44" s="78"/>
      <c r="W44" s="77"/>
      <c r="X44" s="99"/>
      <c r="Y44" s="100"/>
      <c r="Z44" s="78"/>
      <c r="AA44" s="77"/>
      <c r="AB44" s="79"/>
      <c r="AC44" s="101"/>
      <c r="AD44" s="79"/>
      <c r="AE44" s="372"/>
      <c r="AF44" s="79"/>
      <c r="AG44" s="372"/>
      <c r="AH44" s="79"/>
      <c r="AI44" s="372"/>
      <c r="AJ44" s="79"/>
      <c r="AK44" s="372"/>
      <c r="AL44" s="79"/>
      <c r="AM44" s="372"/>
      <c r="AN44" s="79"/>
      <c r="AO44" s="372"/>
      <c r="AP44" s="102"/>
      <c r="AQ44" s="110"/>
    </row>
    <row r="45" spans="1:43" ht="25.5" x14ac:dyDescent="0.25">
      <c r="A45" s="105" t="s">
        <v>96</v>
      </c>
      <c r="B45" s="69">
        <f t="shared" si="14"/>
        <v>0</v>
      </c>
      <c r="C45" s="88">
        <f t="shared" si="15"/>
        <v>907177.49000000022</v>
      </c>
      <c r="D45" s="71">
        <v>597</v>
      </c>
      <c r="E45" s="72">
        <v>60198.05</v>
      </c>
      <c r="F45" s="71">
        <v>593</v>
      </c>
      <c r="G45" s="72">
        <v>56014.400000000001</v>
      </c>
      <c r="H45" s="73">
        <v>557</v>
      </c>
      <c r="I45" s="72">
        <v>76535.34</v>
      </c>
      <c r="J45" s="73">
        <v>570</v>
      </c>
      <c r="K45" s="72">
        <v>75842.880000000005</v>
      </c>
      <c r="L45" s="73">
        <v>426</v>
      </c>
      <c r="M45" s="72">
        <v>60090.14</v>
      </c>
      <c r="N45" s="108">
        <v>705</v>
      </c>
      <c r="O45" s="82">
        <v>86596.35</v>
      </c>
      <c r="P45" s="73">
        <v>554</v>
      </c>
      <c r="Q45" s="77">
        <v>79330.06</v>
      </c>
      <c r="R45" s="78">
        <v>519</v>
      </c>
      <c r="S45" s="77">
        <v>65658.740000000005</v>
      </c>
      <c r="T45" s="78">
        <v>712</v>
      </c>
      <c r="U45" s="77">
        <v>100627.93</v>
      </c>
      <c r="V45" s="78">
        <v>76</v>
      </c>
      <c r="W45" s="77">
        <v>88215.1</v>
      </c>
      <c r="X45" s="99">
        <v>514</v>
      </c>
      <c r="Y45" s="100">
        <v>59190.93</v>
      </c>
      <c r="Z45" s="78">
        <v>624</v>
      </c>
      <c r="AA45" s="77">
        <v>98877.57</v>
      </c>
      <c r="AB45" s="79"/>
      <c r="AC45" s="101"/>
      <c r="AD45" s="79"/>
      <c r="AE45" s="372"/>
      <c r="AF45" s="79"/>
      <c r="AG45" s="372"/>
      <c r="AH45" s="79"/>
      <c r="AI45" s="372"/>
      <c r="AJ45" s="79"/>
      <c r="AK45" s="372"/>
      <c r="AL45" s="79"/>
      <c r="AM45" s="372"/>
      <c r="AN45" s="79"/>
      <c r="AO45" s="372"/>
      <c r="AP45" s="102"/>
      <c r="AQ45" s="110"/>
    </row>
    <row r="46" spans="1:43" ht="15.75" x14ac:dyDescent="0.25">
      <c r="A46" s="105" t="s">
        <v>97</v>
      </c>
      <c r="B46" s="69">
        <f t="shared" si="14"/>
        <v>0</v>
      </c>
      <c r="C46" s="88">
        <f t="shared" si="15"/>
        <v>0</v>
      </c>
      <c r="D46" s="71"/>
      <c r="E46" s="72"/>
      <c r="F46" s="71"/>
      <c r="G46" s="72"/>
      <c r="H46" s="73"/>
      <c r="I46" s="72"/>
      <c r="J46" s="73"/>
      <c r="K46" s="72"/>
      <c r="L46" s="73"/>
      <c r="M46" s="72"/>
      <c r="N46" s="108"/>
      <c r="O46" s="82"/>
      <c r="P46" s="73"/>
      <c r="Q46" s="77"/>
      <c r="R46" s="78"/>
      <c r="S46" s="77"/>
      <c r="T46" s="78"/>
      <c r="U46" s="77"/>
      <c r="V46" s="78"/>
      <c r="W46" s="77"/>
      <c r="X46" s="99"/>
      <c r="Y46" s="100"/>
      <c r="Z46" s="78"/>
      <c r="AA46" s="77"/>
      <c r="AB46" s="79"/>
      <c r="AC46" s="101"/>
      <c r="AD46" s="79"/>
      <c r="AE46" s="372"/>
      <c r="AF46" s="79"/>
      <c r="AG46" s="372"/>
      <c r="AH46" s="79"/>
      <c r="AI46" s="372"/>
      <c r="AJ46" s="79"/>
      <c r="AK46" s="372"/>
      <c r="AL46" s="79"/>
      <c r="AM46" s="372"/>
      <c r="AN46" s="79"/>
      <c r="AO46" s="372"/>
      <c r="AP46" s="102"/>
      <c r="AQ46" s="110"/>
    </row>
    <row r="47" spans="1:43" ht="15.75" x14ac:dyDescent="0.25">
      <c r="A47" s="105" t="s">
        <v>98</v>
      </c>
      <c r="B47" s="69">
        <f t="shared" si="14"/>
        <v>0</v>
      </c>
      <c r="C47" s="88">
        <f t="shared" si="15"/>
        <v>1292.9000000000001</v>
      </c>
      <c r="D47" s="71">
        <v>11</v>
      </c>
      <c r="E47" s="72">
        <v>1292.9000000000001</v>
      </c>
      <c r="F47" s="71"/>
      <c r="G47" s="72"/>
      <c r="H47" s="73"/>
      <c r="I47" s="72"/>
      <c r="J47" s="73"/>
      <c r="K47" s="72"/>
      <c r="L47" s="73"/>
      <c r="M47" s="72"/>
      <c r="N47" s="108"/>
      <c r="O47" s="82"/>
      <c r="P47" s="73"/>
      <c r="Q47" s="77"/>
      <c r="R47" s="78"/>
      <c r="S47" s="77"/>
      <c r="T47" s="78"/>
      <c r="U47" s="77"/>
      <c r="V47" s="78"/>
      <c r="W47" s="77"/>
      <c r="X47" s="99"/>
      <c r="Y47" s="100"/>
      <c r="Z47" s="78"/>
      <c r="AA47" s="77"/>
      <c r="AB47" s="79"/>
      <c r="AC47" s="101"/>
      <c r="AD47" s="79"/>
      <c r="AE47" s="372"/>
      <c r="AF47" s="79"/>
      <c r="AG47" s="372"/>
      <c r="AH47" s="79"/>
      <c r="AI47" s="372"/>
      <c r="AJ47" s="79"/>
      <c r="AK47" s="372"/>
      <c r="AL47" s="79"/>
      <c r="AM47" s="372"/>
      <c r="AN47" s="79"/>
      <c r="AO47" s="372"/>
      <c r="AP47" s="102"/>
      <c r="AQ47" s="110"/>
    </row>
    <row r="48" spans="1:43" ht="15.75" x14ac:dyDescent="0.25">
      <c r="A48" s="105" t="s">
        <v>99</v>
      </c>
      <c r="B48" s="69">
        <f t="shared" si="14"/>
        <v>0</v>
      </c>
      <c r="C48" s="88">
        <f t="shared" si="15"/>
        <v>408</v>
      </c>
      <c r="D48" s="71"/>
      <c r="E48" s="72"/>
      <c r="F48" s="71"/>
      <c r="G48" s="72"/>
      <c r="H48" s="73"/>
      <c r="I48" s="72"/>
      <c r="J48" s="73"/>
      <c r="K48" s="72"/>
      <c r="L48" s="73"/>
      <c r="M48" s="72"/>
      <c r="N48" s="108"/>
      <c r="O48" s="82"/>
      <c r="P48" s="73">
        <v>2</v>
      </c>
      <c r="Q48" s="77">
        <v>159</v>
      </c>
      <c r="R48" s="78"/>
      <c r="S48" s="77"/>
      <c r="T48" s="78">
        <v>3</v>
      </c>
      <c r="U48" s="77">
        <v>249</v>
      </c>
      <c r="V48" s="78"/>
      <c r="W48" s="77"/>
      <c r="X48" s="99"/>
      <c r="Y48" s="100"/>
      <c r="Z48" s="78"/>
      <c r="AA48" s="77"/>
      <c r="AB48" s="79"/>
      <c r="AC48" s="101"/>
      <c r="AD48" s="79"/>
      <c r="AE48" s="372"/>
      <c r="AF48" s="79"/>
      <c r="AG48" s="372"/>
      <c r="AH48" s="79"/>
      <c r="AI48" s="372"/>
      <c r="AJ48" s="79"/>
      <c r="AK48" s="372"/>
      <c r="AL48" s="79"/>
      <c r="AM48" s="372"/>
      <c r="AN48" s="79"/>
      <c r="AO48" s="372"/>
      <c r="AP48" s="102"/>
      <c r="AQ48" s="110"/>
    </row>
    <row r="49" spans="1:43" ht="38.25" x14ac:dyDescent="0.25">
      <c r="A49" s="105" t="s">
        <v>100</v>
      </c>
      <c r="B49" s="69">
        <f t="shared" si="14"/>
        <v>0</v>
      </c>
      <c r="C49" s="88">
        <f t="shared" si="15"/>
        <v>2558.39</v>
      </c>
      <c r="D49" s="71">
        <v>39</v>
      </c>
      <c r="E49" s="72">
        <v>2558.39</v>
      </c>
      <c r="F49" s="71"/>
      <c r="G49" s="72"/>
      <c r="H49" s="73"/>
      <c r="I49" s="72"/>
      <c r="J49" s="73"/>
      <c r="K49" s="72"/>
      <c r="L49" s="73"/>
      <c r="M49" s="72"/>
      <c r="N49" s="108"/>
      <c r="O49" s="82"/>
      <c r="P49" s="73"/>
      <c r="Q49" s="77"/>
      <c r="R49" s="78"/>
      <c r="S49" s="77"/>
      <c r="T49" s="78"/>
      <c r="U49" s="77"/>
      <c r="V49" s="78"/>
      <c r="W49" s="77"/>
      <c r="X49" s="99"/>
      <c r="Y49" s="100"/>
      <c r="Z49" s="78"/>
      <c r="AA49" s="77"/>
      <c r="AB49" s="79"/>
      <c r="AC49" s="101"/>
      <c r="AD49" s="79"/>
      <c r="AE49" s="372"/>
      <c r="AF49" s="79"/>
      <c r="AG49" s="372"/>
      <c r="AH49" s="79"/>
      <c r="AI49" s="372"/>
      <c r="AJ49" s="79"/>
      <c r="AK49" s="372"/>
      <c r="AL49" s="79"/>
      <c r="AM49" s="372"/>
      <c r="AN49" s="79"/>
      <c r="AO49" s="372"/>
      <c r="AP49" s="102"/>
      <c r="AQ49" s="110"/>
    </row>
    <row r="50" spans="1:43" ht="15.75" x14ac:dyDescent="0.25">
      <c r="A50" s="105" t="s">
        <v>101</v>
      </c>
      <c r="B50" s="69">
        <f t="shared" si="14"/>
        <v>0</v>
      </c>
      <c r="C50" s="88">
        <f t="shared" si="15"/>
        <v>23376.97</v>
      </c>
      <c r="D50" s="71"/>
      <c r="E50" s="72"/>
      <c r="F50" s="71">
        <v>39</v>
      </c>
      <c r="G50" s="72">
        <v>2165.04</v>
      </c>
      <c r="H50" s="73">
        <v>35</v>
      </c>
      <c r="I50" s="72">
        <v>2136.37</v>
      </c>
      <c r="J50" s="73">
        <v>38</v>
      </c>
      <c r="K50" s="72">
        <v>2457.0300000000002</v>
      </c>
      <c r="L50" s="73">
        <v>36</v>
      </c>
      <c r="M50" s="72">
        <v>2166.59</v>
      </c>
      <c r="N50" s="108">
        <v>43</v>
      </c>
      <c r="O50" s="82">
        <v>2751.76</v>
      </c>
      <c r="P50" s="73">
        <v>42</v>
      </c>
      <c r="Q50" s="77">
        <v>2625.18</v>
      </c>
      <c r="R50" s="78">
        <v>28</v>
      </c>
      <c r="S50" s="77">
        <v>1966.3</v>
      </c>
      <c r="T50" s="78">
        <v>24</v>
      </c>
      <c r="U50" s="77">
        <v>1779.52</v>
      </c>
      <c r="V50" s="78">
        <v>17</v>
      </c>
      <c r="W50" s="77">
        <v>1219</v>
      </c>
      <c r="X50" s="99">
        <v>35</v>
      </c>
      <c r="Y50" s="100">
        <v>1940.24</v>
      </c>
      <c r="Z50" s="78">
        <v>37</v>
      </c>
      <c r="AA50" s="77">
        <v>2169.94</v>
      </c>
      <c r="AB50" s="79"/>
      <c r="AC50" s="101"/>
      <c r="AD50" s="79"/>
      <c r="AE50" s="372"/>
      <c r="AF50" s="79"/>
      <c r="AG50" s="372"/>
      <c r="AH50" s="79"/>
      <c r="AI50" s="372"/>
      <c r="AJ50" s="79"/>
      <c r="AK50" s="372"/>
      <c r="AL50" s="79"/>
      <c r="AM50" s="372"/>
      <c r="AN50" s="79"/>
      <c r="AO50" s="372"/>
      <c r="AP50" s="102"/>
      <c r="AQ50" s="110"/>
    </row>
    <row r="51" spans="1:43" ht="25.5" x14ac:dyDescent="0.25">
      <c r="A51" s="105" t="s">
        <v>102</v>
      </c>
      <c r="B51" s="69">
        <f t="shared" si="14"/>
        <v>0</v>
      </c>
      <c r="C51" s="88">
        <f t="shared" si="15"/>
        <v>1186.3500000000001</v>
      </c>
      <c r="D51" s="71">
        <v>3</v>
      </c>
      <c r="E51" s="72">
        <v>77.55</v>
      </c>
      <c r="F51" s="71">
        <v>3</v>
      </c>
      <c r="G51" s="72">
        <v>110</v>
      </c>
      <c r="H51" s="73">
        <v>3</v>
      </c>
      <c r="I51" s="72">
        <v>103.4</v>
      </c>
      <c r="J51" s="73">
        <v>3</v>
      </c>
      <c r="K51" s="72">
        <v>99</v>
      </c>
      <c r="L51" s="73">
        <v>3</v>
      </c>
      <c r="M51" s="72">
        <v>105.6</v>
      </c>
      <c r="N51" s="108">
        <v>3</v>
      </c>
      <c r="O51" s="82">
        <v>121</v>
      </c>
      <c r="P51" s="73">
        <v>3</v>
      </c>
      <c r="Q51" s="77">
        <v>121</v>
      </c>
      <c r="R51" s="78"/>
      <c r="S51" s="77"/>
      <c r="T51" s="78">
        <v>3</v>
      </c>
      <c r="U51" s="77">
        <v>149.6</v>
      </c>
      <c r="V51" s="78">
        <v>1</v>
      </c>
      <c r="W51" s="77">
        <v>46.2</v>
      </c>
      <c r="X51" s="99">
        <v>3</v>
      </c>
      <c r="Y51" s="100">
        <v>140.80000000000001</v>
      </c>
      <c r="Z51" s="78">
        <v>3</v>
      </c>
      <c r="AA51" s="77">
        <v>112.2</v>
      </c>
      <c r="AB51" s="79"/>
      <c r="AC51" s="101"/>
      <c r="AD51" s="79"/>
      <c r="AE51" s="372"/>
      <c r="AF51" s="79"/>
      <c r="AG51" s="372"/>
      <c r="AH51" s="79"/>
      <c r="AI51" s="372"/>
      <c r="AJ51" s="79"/>
      <c r="AK51" s="372"/>
      <c r="AL51" s="79"/>
      <c r="AM51" s="372"/>
      <c r="AN51" s="79"/>
      <c r="AO51" s="372"/>
      <c r="AP51" s="102"/>
      <c r="AQ51" s="110"/>
    </row>
    <row r="52" spans="1:43" ht="15.75" x14ac:dyDescent="0.25">
      <c r="A52" s="105" t="s">
        <v>103</v>
      </c>
      <c r="B52" s="69">
        <f t="shared" si="14"/>
        <v>0</v>
      </c>
      <c r="C52" s="88">
        <f t="shared" si="15"/>
        <v>5196.46</v>
      </c>
      <c r="D52" s="71">
        <v>10</v>
      </c>
      <c r="E52" s="72">
        <v>653.42999999999995</v>
      </c>
      <c r="F52" s="71">
        <v>6</v>
      </c>
      <c r="G52" s="72">
        <v>384.41</v>
      </c>
      <c r="H52" s="73">
        <v>7</v>
      </c>
      <c r="I52" s="72">
        <v>496.73</v>
      </c>
      <c r="J52" s="73">
        <v>7</v>
      </c>
      <c r="K52" s="72">
        <v>511.79</v>
      </c>
      <c r="L52" s="73">
        <v>7</v>
      </c>
      <c r="M52" s="72">
        <v>399.03</v>
      </c>
      <c r="N52" s="108">
        <v>8</v>
      </c>
      <c r="O52" s="82">
        <v>467.95</v>
      </c>
      <c r="P52" s="73">
        <v>7</v>
      </c>
      <c r="Q52" s="77">
        <v>713.42</v>
      </c>
      <c r="R52" s="78">
        <v>6</v>
      </c>
      <c r="S52" s="77">
        <v>431.13</v>
      </c>
      <c r="T52" s="78">
        <v>3</v>
      </c>
      <c r="U52" s="77">
        <v>181.42</v>
      </c>
      <c r="V52" s="78">
        <v>4</v>
      </c>
      <c r="W52" s="77">
        <v>241.25</v>
      </c>
      <c r="X52" s="99">
        <v>5</v>
      </c>
      <c r="Y52" s="100">
        <v>345.27</v>
      </c>
      <c r="Z52" s="78">
        <v>4</v>
      </c>
      <c r="AA52" s="77">
        <v>370.63</v>
      </c>
      <c r="AB52" s="79"/>
      <c r="AC52" s="101"/>
      <c r="AD52" s="79"/>
      <c r="AE52" s="372"/>
      <c r="AF52" s="79"/>
      <c r="AG52" s="372"/>
      <c r="AH52" s="79"/>
      <c r="AI52" s="372"/>
      <c r="AJ52" s="79"/>
      <c r="AK52" s="372"/>
      <c r="AL52" s="79"/>
      <c r="AM52" s="372"/>
      <c r="AN52" s="79"/>
      <c r="AO52" s="372"/>
      <c r="AP52" s="102"/>
      <c r="AQ52" s="110"/>
    </row>
    <row r="53" spans="1:43" ht="15.75" x14ac:dyDescent="0.25">
      <c r="A53" s="105" t="s">
        <v>104</v>
      </c>
      <c r="B53" s="69">
        <f t="shared" si="14"/>
        <v>0</v>
      </c>
      <c r="C53" s="88">
        <f t="shared" si="15"/>
        <v>746</v>
      </c>
      <c r="D53" s="71">
        <v>2</v>
      </c>
      <c r="E53" s="72">
        <v>61.6</v>
      </c>
      <c r="F53" s="71">
        <v>2</v>
      </c>
      <c r="G53" s="72">
        <v>89.6</v>
      </c>
      <c r="H53" s="73">
        <v>2</v>
      </c>
      <c r="I53" s="72">
        <v>100.8</v>
      </c>
      <c r="J53" s="73">
        <v>2</v>
      </c>
      <c r="K53" s="72">
        <v>50.4</v>
      </c>
      <c r="L53" s="73">
        <v>2</v>
      </c>
      <c r="M53" s="72">
        <v>37.68</v>
      </c>
      <c r="N53" s="108"/>
      <c r="O53" s="82"/>
      <c r="P53" s="73">
        <v>2</v>
      </c>
      <c r="Q53" s="77">
        <v>117.58</v>
      </c>
      <c r="R53" s="78"/>
      <c r="S53" s="77"/>
      <c r="T53" s="78"/>
      <c r="U53" s="77"/>
      <c r="V53" s="78"/>
      <c r="W53" s="77"/>
      <c r="X53" s="99">
        <v>3</v>
      </c>
      <c r="Y53" s="100">
        <v>129.4</v>
      </c>
      <c r="Z53" s="78">
        <v>3</v>
      </c>
      <c r="AA53" s="77">
        <v>158.94</v>
      </c>
      <c r="AB53" s="79"/>
      <c r="AC53" s="101"/>
      <c r="AD53" s="79"/>
      <c r="AE53" s="372"/>
      <c r="AF53" s="79"/>
      <c r="AG53" s="372"/>
      <c r="AH53" s="79"/>
      <c r="AI53" s="372"/>
      <c r="AJ53" s="79"/>
      <c r="AK53" s="372"/>
      <c r="AL53" s="79"/>
      <c r="AM53" s="372"/>
      <c r="AN53" s="79"/>
      <c r="AO53" s="372"/>
      <c r="AP53" s="102"/>
      <c r="AQ53" s="110"/>
    </row>
    <row r="54" spans="1:43" ht="15.75" x14ac:dyDescent="0.25">
      <c r="A54" s="105" t="s">
        <v>105</v>
      </c>
      <c r="B54" s="69">
        <f t="shared" si="14"/>
        <v>0</v>
      </c>
      <c r="C54" s="88">
        <f t="shared" si="15"/>
        <v>280</v>
      </c>
      <c r="D54" s="71">
        <v>1</v>
      </c>
      <c r="E54" s="72">
        <v>20</v>
      </c>
      <c r="F54" s="71">
        <v>2</v>
      </c>
      <c r="G54" s="72">
        <v>40</v>
      </c>
      <c r="H54" s="73">
        <v>2</v>
      </c>
      <c r="I54" s="72">
        <v>40</v>
      </c>
      <c r="J54" s="73">
        <v>2</v>
      </c>
      <c r="K54" s="72">
        <v>40</v>
      </c>
      <c r="L54" s="73">
        <v>2</v>
      </c>
      <c r="M54" s="72">
        <v>40</v>
      </c>
      <c r="N54" s="108">
        <v>2</v>
      </c>
      <c r="O54" s="82">
        <v>40</v>
      </c>
      <c r="P54" s="73"/>
      <c r="Q54" s="77"/>
      <c r="R54" s="78"/>
      <c r="S54" s="77"/>
      <c r="T54" s="78"/>
      <c r="U54" s="77"/>
      <c r="V54" s="78">
        <v>1</v>
      </c>
      <c r="W54" s="77">
        <v>20</v>
      </c>
      <c r="X54" s="99">
        <v>1</v>
      </c>
      <c r="Y54" s="100">
        <v>20</v>
      </c>
      <c r="Z54" s="78">
        <v>1</v>
      </c>
      <c r="AA54" s="77">
        <v>20</v>
      </c>
      <c r="AB54" s="79"/>
      <c r="AC54" s="101"/>
      <c r="AD54" s="79"/>
      <c r="AE54" s="372"/>
      <c r="AF54" s="79"/>
      <c r="AG54" s="372"/>
      <c r="AH54" s="79"/>
      <c r="AI54" s="372"/>
      <c r="AJ54" s="79"/>
      <c r="AK54" s="372"/>
      <c r="AL54" s="79"/>
      <c r="AM54" s="372"/>
      <c r="AN54" s="79"/>
      <c r="AO54" s="372"/>
      <c r="AP54" s="102"/>
      <c r="AQ54" s="110"/>
    </row>
    <row r="55" spans="1:43" ht="25.5" x14ac:dyDescent="0.25">
      <c r="A55" s="105" t="s">
        <v>106</v>
      </c>
      <c r="B55" s="69">
        <f t="shared" si="14"/>
        <v>0</v>
      </c>
      <c r="C55" s="88">
        <f t="shared" si="15"/>
        <v>0</v>
      </c>
      <c r="D55" s="71"/>
      <c r="E55" s="72"/>
      <c r="F55" s="71"/>
      <c r="G55" s="72"/>
      <c r="H55" s="73"/>
      <c r="I55" s="72"/>
      <c r="J55" s="73"/>
      <c r="K55" s="72"/>
      <c r="L55" s="73"/>
      <c r="M55" s="72"/>
      <c r="N55" s="108"/>
      <c r="O55" s="82"/>
      <c r="P55" s="73"/>
      <c r="Q55" s="77"/>
      <c r="R55" s="78"/>
      <c r="S55" s="77"/>
      <c r="T55" s="78"/>
      <c r="U55" s="77"/>
      <c r="V55" s="78"/>
      <c r="W55" s="77"/>
      <c r="X55" s="99"/>
      <c r="Y55" s="100"/>
      <c r="Z55" s="78"/>
      <c r="AA55" s="77"/>
      <c r="AB55" s="79"/>
      <c r="AC55" s="101"/>
      <c r="AD55" s="79"/>
      <c r="AE55" s="372"/>
      <c r="AF55" s="79"/>
      <c r="AG55" s="372"/>
      <c r="AH55" s="79"/>
      <c r="AI55" s="372"/>
      <c r="AJ55" s="79"/>
      <c r="AK55" s="372"/>
      <c r="AL55" s="79"/>
      <c r="AM55" s="372"/>
      <c r="AN55" s="79"/>
      <c r="AO55" s="372"/>
      <c r="AP55" s="102"/>
      <c r="AQ55" s="110"/>
    </row>
    <row r="56" spans="1:43" ht="15.75" x14ac:dyDescent="0.25">
      <c r="A56" s="105" t="s">
        <v>107</v>
      </c>
      <c r="B56" s="69">
        <f t="shared" si="14"/>
        <v>0</v>
      </c>
      <c r="C56" s="88">
        <f t="shared" si="15"/>
        <v>2197.3000000000002</v>
      </c>
      <c r="D56" s="71">
        <v>6</v>
      </c>
      <c r="E56" s="72">
        <v>2197.3000000000002</v>
      </c>
      <c r="F56" s="71">
        <v>5</v>
      </c>
      <c r="G56" s="72">
        <v>2044</v>
      </c>
      <c r="H56" s="73"/>
      <c r="I56" s="72">
        <v>-2044</v>
      </c>
      <c r="J56" s="73"/>
      <c r="K56" s="72"/>
      <c r="L56" s="73"/>
      <c r="M56" s="72"/>
      <c r="N56" s="108"/>
      <c r="O56" s="82"/>
      <c r="P56" s="73"/>
      <c r="Q56" s="77"/>
      <c r="R56" s="78"/>
      <c r="S56" s="77"/>
      <c r="T56" s="78"/>
      <c r="U56" s="77"/>
      <c r="V56" s="78"/>
      <c r="W56" s="77"/>
      <c r="X56" s="99"/>
      <c r="Y56" s="100"/>
      <c r="Z56" s="78"/>
      <c r="AA56" s="77"/>
      <c r="AB56" s="79"/>
      <c r="AC56" s="101"/>
      <c r="AD56" s="79"/>
      <c r="AE56" s="372"/>
      <c r="AF56" s="79"/>
      <c r="AG56" s="372"/>
      <c r="AH56" s="79"/>
      <c r="AI56" s="372"/>
      <c r="AJ56" s="79"/>
      <c r="AK56" s="372"/>
      <c r="AL56" s="79"/>
      <c r="AM56" s="372"/>
      <c r="AN56" s="79"/>
      <c r="AO56" s="372"/>
      <c r="AP56" s="102"/>
      <c r="AQ56" s="110"/>
    </row>
    <row r="57" spans="1:43" ht="25.5" x14ac:dyDescent="0.25">
      <c r="A57" s="105" t="s">
        <v>108</v>
      </c>
      <c r="B57" s="69">
        <f t="shared" si="14"/>
        <v>0</v>
      </c>
      <c r="C57" s="88">
        <f t="shared" si="15"/>
        <v>153</v>
      </c>
      <c r="D57" s="71">
        <v>1</v>
      </c>
      <c r="E57" s="72">
        <v>153</v>
      </c>
      <c r="F57" s="71"/>
      <c r="G57" s="72"/>
      <c r="H57" s="73"/>
      <c r="I57" s="72"/>
      <c r="J57" s="73"/>
      <c r="K57" s="72"/>
      <c r="L57" s="73"/>
      <c r="M57" s="72"/>
      <c r="N57" s="108"/>
      <c r="O57" s="82"/>
      <c r="P57" s="73"/>
      <c r="Q57" s="77"/>
      <c r="R57" s="78"/>
      <c r="S57" s="77"/>
      <c r="T57" s="78"/>
      <c r="U57" s="77"/>
      <c r="V57" s="78"/>
      <c r="W57" s="77"/>
      <c r="X57" s="99"/>
      <c r="Y57" s="100"/>
      <c r="Z57" s="78"/>
      <c r="AA57" s="77"/>
      <c r="AB57" s="79"/>
      <c r="AC57" s="101"/>
      <c r="AD57" s="79"/>
      <c r="AE57" s="372"/>
      <c r="AF57" s="79"/>
      <c r="AG57" s="372"/>
      <c r="AH57" s="79"/>
      <c r="AI57" s="372"/>
      <c r="AJ57" s="79"/>
      <c r="AK57" s="372"/>
      <c r="AL57" s="79"/>
      <c r="AM57" s="372"/>
      <c r="AN57" s="79"/>
      <c r="AO57" s="372"/>
      <c r="AP57" s="102"/>
      <c r="AQ57" s="110"/>
    </row>
    <row r="58" spans="1:43" ht="15.75" x14ac:dyDescent="0.25">
      <c r="A58" s="105" t="s">
        <v>109</v>
      </c>
      <c r="B58" s="69">
        <f t="shared" si="14"/>
        <v>0</v>
      </c>
      <c r="C58" s="88">
        <f t="shared" si="15"/>
        <v>1400</v>
      </c>
      <c r="D58" s="71"/>
      <c r="E58" s="72"/>
      <c r="F58" s="71"/>
      <c r="G58" s="72"/>
      <c r="H58" s="73"/>
      <c r="I58" s="72"/>
      <c r="J58" s="73">
        <v>1</v>
      </c>
      <c r="K58" s="72">
        <v>350</v>
      </c>
      <c r="L58" s="73">
        <v>1</v>
      </c>
      <c r="M58" s="72">
        <v>350</v>
      </c>
      <c r="N58" s="108"/>
      <c r="O58" s="82"/>
      <c r="P58" s="73"/>
      <c r="Q58" s="77"/>
      <c r="R58" s="78"/>
      <c r="S58" s="77"/>
      <c r="T58" s="78">
        <v>1</v>
      </c>
      <c r="U58" s="77">
        <v>350</v>
      </c>
      <c r="V58" s="78"/>
      <c r="W58" s="77"/>
      <c r="X58" s="99">
        <v>1</v>
      </c>
      <c r="Y58" s="100">
        <v>350</v>
      </c>
      <c r="Z58" s="78"/>
      <c r="AA58" s="77"/>
      <c r="AB58" s="79"/>
      <c r="AC58" s="101"/>
      <c r="AD58" s="79"/>
      <c r="AE58" s="372"/>
      <c r="AF58" s="79"/>
      <c r="AG58" s="372"/>
      <c r="AH58" s="79"/>
      <c r="AI58" s="372"/>
      <c r="AJ58" s="79"/>
      <c r="AK58" s="372"/>
      <c r="AL58" s="79"/>
      <c r="AM58" s="372"/>
      <c r="AN58" s="79"/>
      <c r="AO58" s="372"/>
      <c r="AP58" s="102"/>
      <c r="AQ58" s="110"/>
    </row>
    <row r="59" spans="1:43" ht="38.25" x14ac:dyDescent="0.25">
      <c r="A59" s="105" t="s">
        <v>110</v>
      </c>
      <c r="B59" s="69">
        <f t="shared" si="14"/>
        <v>0</v>
      </c>
      <c r="C59" s="88">
        <f t="shared" si="15"/>
        <v>800</v>
      </c>
      <c r="D59" s="71"/>
      <c r="E59" s="72"/>
      <c r="F59" s="71">
        <v>1</v>
      </c>
      <c r="G59" s="72">
        <v>400</v>
      </c>
      <c r="H59" s="73"/>
      <c r="I59" s="72"/>
      <c r="J59" s="73"/>
      <c r="K59" s="72"/>
      <c r="L59" s="73"/>
      <c r="M59" s="72"/>
      <c r="N59" s="108"/>
      <c r="O59" s="82"/>
      <c r="P59" s="73">
        <v>1</v>
      </c>
      <c r="Q59" s="77">
        <v>400</v>
      </c>
      <c r="R59" s="78"/>
      <c r="S59" s="77"/>
      <c r="T59" s="78"/>
      <c r="U59" s="77"/>
      <c r="V59" s="78"/>
      <c r="W59" s="77"/>
      <c r="X59" s="99"/>
      <c r="Y59" s="100"/>
      <c r="Z59" s="78"/>
      <c r="AA59" s="77"/>
      <c r="AB59" s="79"/>
      <c r="AC59" s="101"/>
      <c r="AD59" s="79"/>
      <c r="AE59" s="372"/>
      <c r="AF59" s="79"/>
      <c r="AG59" s="372"/>
      <c r="AH59" s="79"/>
      <c r="AI59" s="372"/>
      <c r="AJ59" s="79"/>
      <c r="AK59" s="372"/>
      <c r="AL59" s="79"/>
      <c r="AM59" s="372"/>
      <c r="AN59" s="79"/>
      <c r="AO59" s="372"/>
      <c r="AP59" s="102"/>
      <c r="AQ59" s="110"/>
    </row>
    <row r="60" spans="1:43" ht="15.75" x14ac:dyDescent="0.25">
      <c r="A60" s="105" t="s">
        <v>111</v>
      </c>
      <c r="B60" s="69">
        <f t="shared" si="14"/>
        <v>0</v>
      </c>
      <c r="C60" s="88">
        <f t="shared" si="15"/>
        <v>15834.99</v>
      </c>
      <c r="D60" s="71"/>
      <c r="E60" s="72"/>
      <c r="F60" s="71"/>
      <c r="G60" s="72"/>
      <c r="H60" s="73"/>
      <c r="I60" s="72"/>
      <c r="J60" s="73"/>
      <c r="K60" s="72"/>
      <c r="L60" s="73">
        <v>2</v>
      </c>
      <c r="M60" s="72">
        <v>435.54</v>
      </c>
      <c r="N60" s="108">
        <v>2</v>
      </c>
      <c r="O60" s="82">
        <v>642.94000000000005</v>
      </c>
      <c r="P60" s="73">
        <v>13</v>
      </c>
      <c r="Q60" s="77">
        <v>3318.4</v>
      </c>
      <c r="R60" s="78">
        <v>11</v>
      </c>
      <c r="S60" s="77">
        <v>3536.17</v>
      </c>
      <c r="T60" s="78">
        <v>11</v>
      </c>
      <c r="U60" s="77">
        <v>3536.17</v>
      </c>
      <c r="V60" s="78">
        <v>11</v>
      </c>
      <c r="W60" s="77">
        <v>2260.66</v>
      </c>
      <c r="X60" s="99">
        <v>7</v>
      </c>
      <c r="Y60" s="100">
        <v>860.71</v>
      </c>
      <c r="Z60" s="78">
        <v>6</v>
      </c>
      <c r="AA60" s="77">
        <v>1244.4000000000001</v>
      </c>
      <c r="AB60" s="79"/>
      <c r="AC60" s="101"/>
      <c r="AD60" s="79"/>
      <c r="AE60" s="372"/>
      <c r="AF60" s="79"/>
      <c r="AG60" s="372"/>
      <c r="AH60" s="79"/>
      <c r="AI60" s="372"/>
      <c r="AJ60" s="79"/>
      <c r="AK60" s="372"/>
      <c r="AL60" s="79"/>
      <c r="AM60" s="372"/>
      <c r="AN60" s="79"/>
      <c r="AO60" s="372"/>
      <c r="AP60" s="102"/>
      <c r="AQ60" s="110"/>
    </row>
    <row r="61" spans="1:43" ht="25.5" x14ac:dyDescent="0.25">
      <c r="A61" s="105" t="s">
        <v>112</v>
      </c>
      <c r="B61" s="69">
        <f t="shared" si="14"/>
        <v>0</v>
      </c>
      <c r="C61" s="88">
        <f t="shared" si="15"/>
        <v>15767.36</v>
      </c>
      <c r="D61" s="71"/>
      <c r="E61" s="72"/>
      <c r="F61" s="71">
        <v>5</v>
      </c>
      <c r="G61" s="72">
        <v>1724.4</v>
      </c>
      <c r="H61" s="73">
        <v>5</v>
      </c>
      <c r="I61" s="72">
        <v>1886.36</v>
      </c>
      <c r="J61" s="73">
        <v>5</v>
      </c>
      <c r="K61" s="72">
        <v>1886.38</v>
      </c>
      <c r="L61" s="73">
        <v>4</v>
      </c>
      <c r="M61" s="72">
        <v>1467.19</v>
      </c>
      <c r="N61" s="108"/>
      <c r="O61" s="82"/>
      <c r="P61" s="73">
        <v>4</v>
      </c>
      <c r="Q61" s="77">
        <v>1467.17</v>
      </c>
      <c r="R61" s="78">
        <v>4</v>
      </c>
      <c r="S61" s="77">
        <v>1467.16</v>
      </c>
      <c r="T61" s="78">
        <v>4</v>
      </c>
      <c r="U61" s="77">
        <v>1467.17</v>
      </c>
      <c r="V61" s="78">
        <v>4</v>
      </c>
      <c r="W61" s="77">
        <v>1467.17</v>
      </c>
      <c r="X61" s="99">
        <v>4</v>
      </c>
      <c r="Y61" s="100">
        <v>1467.19</v>
      </c>
      <c r="Z61" s="78">
        <v>4</v>
      </c>
      <c r="AA61" s="77">
        <v>1467.17</v>
      </c>
      <c r="AB61" s="79"/>
      <c r="AC61" s="101"/>
      <c r="AD61" s="79"/>
      <c r="AE61" s="372"/>
      <c r="AF61" s="79"/>
      <c r="AG61" s="372"/>
      <c r="AH61" s="79"/>
      <c r="AI61" s="372"/>
      <c r="AJ61" s="79"/>
      <c r="AK61" s="372"/>
      <c r="AL61" s="79"/>
      <c r="AM61" s="372"/>
      <c r="AN61" s="79"/>
      <c r="AO61" s="372"/>
      <c r="AP61" s="102"/>
      <c r="AQ61" s="110"/>
    </row>
    <row r="62" spans="1:43" ht="15.75" x14ac:dyDescent="0.25">
      <c r="A62" s="105" t="s">
        <v>113</v>
      </c>
      <c r="B62" s="69">
        <f t="shared" si="14"/>
        <v>0</v>
      </c>
      <c r="C62" s="88">
        <f t="shared" si="15"/>
        <v>0</v>
      </c>
      <c r="D62" s="71"/>
      <c r="E62" s="72"/>
      <c r="F62" s="71"/>
      <c r="G62" s="72"/>
      <c r="H62" s="73"/>
      <c r="I62" s="72"/>
      <c r="J62" s="73"/>
      <c r="K62" s="72"/>
      <c r="L62" s="73"/>
      <c r="M62" s="72"/>
      <c r="N62" s="108"/>
      <c r="O62" s="82"/>
      <c r="P62" s="73"/>
      <c r="Q62" s="77"/>
      <c r="R62" s="78"/>
      <c r="S62" s="77"/>
      <c r="T62" s="78"/>
      <c r="U62" s="77"/>
      <c r="V62" s="78"/>
      <c r="W62" s="77"/>
      <c r="X62" s="99"/>
      <c r="Y62" s="100"/>
      <c r="Z62" s="78"/>
      <c r="AA62" s="77"/>
      <c r="AB62" s="79"/>
      <c r="AC62" s="101"/>
      <c r="AD62" s="79"/>
      <c r="AE62" s="372"/>
      <c r="AF62" s="79"/>
      <c r="AG62" s="372"/>
      <c r="AH62" s="79"/>
      <c r="AI62" s="372"/>
      <c r="AJ62" s="79"/>
      <c r="AK62" s="372"/>
      <c r="AL62" s="79"/>
      <c r="AM62" s="372"/>
      <c r="AN62" s="79"/>
      <c r="AO62" s="372"/>
      <c r="AP62" s="102"/>
      <c r="AQ62" s="110"/>
    </row>
    <row r="63" spans="1:43" ht="58.5" customHeight="1" x14ac:dyDescent="0.25">
      <c r="A63" s="105" t="s">
        <v>114</v>
      </c>
      <c r="B63" s="69">
        <f t="shared" si="14"/>
        <v>0</v>
      </c>
      <c r="C63" s="88">
        <f t="shared" si="15"/>
        <v>0</v>
      </c>
      <c r="D63" s="71"/>
      <c r="E63" s="72"/>
      <c r="F63" s="71"/>
      <c r="G63" s="72"/>
      <c r="H63" s="73"/>
      <c r="I63" s="72"/>
      <c r="J63" s="73"/>
      <c r="K63" s="72"/>
      <c r="L63" s="73"/>
      <c r="M63" s="72"/>
      <c r="N63" s="108"/>
      <c r="O63" s="82"/>
      <c r="P63" s="73"/>
      <c r="Q63" s="77"/>
      <c r="R63" s="78"/>
      <c r="S63" s="77"/>
      <c r="T63" s="78"/>
      <c r="U63" s="77"/>
      <c r="V63" s="78"/>
      <c r="W63" s="77"/>
      <c r="X63" s="99"/>
      <c r="Y63" s="100"/>
      <c r="Z63" s="78"/>
      <c r="AA63" s="77"/>
      <c r="AB63" s="79"/>
      <c r="AC63" s="101"/>
      <c r="AD63" s="79"/>
      <c r="AE63" s="372"/>
      <c r="AF63" s="79"/>
      <c r="AG63" s="372"/>
      <c r="AH63" s="79"/>
      <c r="AI63" s="372"/>
      <c r="AJ63" s="79"/>
      <c r="AK63" s="372"/>
      <c r="AL63" s="79"/>
      <c r="AM63" s="372"/>
      <c r="AN63" s="79"/>
      <c r="AO63" s="372"/>
      <c r="AP63" s="102"/>
      <c r="AQ63" s="110"/>
    </row>
    <row r="64" spans="1:43" ht="74.099999999999994" customHeight="1" x14ac:dyDescent="0.25">
      <c r="A64" s="105" t="s">
        <v>115</v>
      </c>
      <c r="B64" s="69">
        <f t="shared" si="14"/>
        <v>0</v>
      </c>
      <c r="C64" s="88">
        <f t="shared" si="15"/>
        <v>0</v>
      </c>
      <c r="D64" s="71"/>
      <c r="E64" s="72"/>
      <c r="F64" s="71"/>
      <c r="G64" s="72"/>
      <c r="H64" s="73"/>
      <c r="I64" s="72"/>
      <c r="J64" s="73"/>
      <c r="K64" s="72"/>
      <c r="L64" s="73"/>
      <c r="M64" s="72"/>
      <c r="N64" s="108"/>
      <c r="O64" s="82"/>
      <c r="P64" s="73"/>
      <c r="Q64" s="77"/>
      <c r="R64" s="78"/>
      <c r="S64" s="77"/>
      <c r="T64" s="78"/>
      <c r="U64" s="77"/>
      <c r="V64" s="78"/>
      <c r="W64" s="77"/>
      <c r="X64" s="99"/>
      <c r="Y64" s="100"/>
      <c r="Z64" s="78"/>
      <c r="AA64" s="77"/>
      <c r="AB64" s="79"/>
      <c r="AC64" s="101"/>
      <c r="AD64" s="79"/>
      <c r="AE64" s="372"/>
      <c r="AF64" s="79"/>
      <c r="AG64" s="372"/>
      <c r="AH64" s="79"/>
      <c r="AI64" s="372"/>
      <c r="AJ64" s="79"/>
      <c r="AK64" s="372"/>
      <c r="AL64" s="79"/>
      <c r="AM64" s="372"/>
      <c r="AN64" s="79"/>
      <c r="AO64" s="372"/>
      <c r="AP64" s="102"/>
      <c r="AQ64" s="110"/>
    </row>
    <row r="65" spans="1:43" ht="15.75" x14ac:dyDescent="0.25">
      <c r="A65" s="105" t="s">
        <v>116</v>
      </c>
      <c r="B65" s="69">
        <f t="shared" si="14"/>
        <v>0</v>
      </c>
      <c r="C65" s="88">
        <f t="shared" si="15"/>
        <v>1838.6900000000005</v>
      </c>
      <c r="D65" s="71">
        <v>1</v>
      </c>
      <c r="E65" s="72">
        <v>75.260000000000005</v>
      </c>
      <c r="F65" s="71"/>
      <c r="G65" s="72"/>
      <c r="H65" s="73">
        <v>2</v>
      </c>
      <c r="I65" s="72">
        <v>518.52</v>
      </c>
      <c r="J65" s="73">
        <v>2</v>
      </c>
      <c r="K65" s="72">
        <v>188.43</v>
      </c>
      <c r="L65" s="73">
        <v>2</v>
      </c>
      <c r="M65" s="72">
        <v>188.43</v>
      </c>
      <c r="N65" s="108">
        <v>2</v>
      </c>
      <c r="O65" s="82">
        <v>74.430000000000007</v>
      </c>
      <c r="P65" s="73">
        <v>2</v>
      </c>
      <c r="Q65" s="77">
        <v>140.63</v>
      </c>
      <c r="R65" s="78">
        <v>2</v>
      </c>
      <c r="S65" s="77">
        <v>111.17</v>
      </c>
      <c r="T65" s="78">
        <v>2</v>
      </c>
      <c r="U65" s="77">
        <v>160.97</v>
      </c>
      <c r="V65" s="78">
        <v>2</v>
      </c>
      <c r="W65" s="77">
        <v>160.97</v>
      </c>
      <c r="X65" s="99">
        <v>2</v>
      </c>
      <c r="Y65" s="100">
        <v>160.97</v>
      </c>
      <c r="Z65" s="78">
        <v>1</v>
      </c>
      <c r="AA65" s="77">
        <v>58.91</v>
      </c>
      <c r="AB65" s="79"/>
      <c r="AC65" s="101"/>
      <c r="AD65" s="79"/>
      <c r="AE65" s="372"/>
      <c r="AF65" s="79"/>
      <c r="AG65" s="372"/>
      <c r="AH65" s="79"/>
      <c r="AI65" s="372"/>
      <c r="AJ65" s="79"/>
      <c r="AK65" s="372"/>
      <c r="AL65" s="79"/>
      <c r="AM65" s="372"/>
      <c r="AN65" s="79"/>
      <c r="AO65" s="372"/>
      <c r="AP65" s="102"/>
      <c r="AQ65" s="110"/>
    </row>
    <row r="66" spans="1:43" ht="25.5" x14ac:dyDescent="0.25">
      <c r="A66" s="105" t="s">
        <v>117</v>
      </c>
      <c r="B66" s="69">
        <f t="shared" si="14"/>
        <v>0</v>
      </c>
      <c r="C66" s="88">
        <f t="shared" si="15"/>
        <v>2425.17</v>
      </c>
      <c r="D66" s="71">
        <v>3</v>
      </c>
      <c r="E66" s="72">
        <v>958</v>
      </c>
      <c r="F66" s="71"/>
      <c r="G66" s="72"/>
      <c r="H66" s="73"/>
      <c r="I66" s="72"/>
      <c r="J66" s="73"/>
      <c r="K66" s="72"/>
      <c r="L66" s="73"/>
      <c r="M66" s="72"/>
      <c r="N66" s="108">
        <v>4</v>
      </c>
      <c r="O66" s="82">
        <v>1467.17</v>
      </c>
      <c r="P66" s="73"/>
      <c r="Q66" s="77"/>
      <c r="R66" s="78"/>
      <c r="S66" s="77"/>
      <c r="T66" s="78"/>
      <c r="U66" s="77"/>
      <c r="V66" s="78"/>
      <c r="W66" s="77"/>
      <c r="X66" s="99"/>
      <c r="Y66" s="100"/>
      <c r="Z66" s="78"/>
      <c r="AA66" s="77"/>
      <c r="AB66" s="79"/>
      <c r="AC66" s="101"/>
      <c r="AD66" s="79"/>
      <c r="AE66" s="372"/>
      <c r="AF66" s="79"/>
      <c r="AG66" s="372"/>
      <c r="AH66" s="79"/>
      <c r="AI66" s="372"/>
      <c r="AJ66" s="79"/>
      <c r="AK66" s="372"/>
      <c r="AL66" s="79"/>
      <c r="AM66" s="372"/>
      <c r="AN66" s="79"/>
      <c r="AO66" s="372"/>
      <c r="AP66" s="102"/>
      <c r="AQ66" s="110"/>
    </row>
    <row r="67" spans="1:43" ht="25.5" x14ac:dyDescent="0.25">
      <c r="A67" s="105" t="s">
        <v>118</v>
      </c>
      <c r="B67" s="69">
        <f t="shared" si="14"/>
        <v>0</v>
      </c>
      <c r="C67" s="88">
        <f t="shared" si="15"/>
        <v>0</v>
      </c>
      <c r="D67" s="71"/>
      <c r="E67" s="72"/>
      <c r="F67" s="71"/>
      <c r="G67" s="72"/>
      <c r="H67" s="73"/>
      <c r="I67" s="72"/>
      <c r="J67" s="73"/>
      <c r="K67" s="72"/>
      <c r="L67" s="73"/>
      <c r="M67" s="72"/>
      <c r="N67" s="108"/>
      <c r="O67" s="82"/>
      <c r="P67" s="73"/>
      <c r="Q67" s="77"/>
      <c r="R67" s="78"/>
      <c r="S67" s="77"/>
      <c r="T67" s="78"/>
      <c r="U67" s="77"/>
      <c r="V67" s="78"/>
      <c r="W67" s="77"/>
      <c r="X67" s="99"/>
      <c r="Y67" s="100"/>
      <c r="Z67" s="78"/>
      <c r="AA67" s="77"/>
      <c r="AB67" s="79"/>
      <c r="AC67" s="101"/>
      <c r="AD67" s="79"/>
      <c r="AE67" s="372"/>
      <c r="AF67" s="79"/>
      <c r="AG67" s="372"/>
      <c r="AH67" s="79"/>
      <c r="AI67" s="372"/>
      <c r="AJ67" s="79"/>
      <c r="AK67" s="372"/>
      <c r="AL67" s="79"/>
      <c r="AM67" s="372"/>
      <c r="AN67" s="79"/>
      <c r="AO67" s="372"/>
      <c r="AP67" s="102"/>
      <c r="AQ67" s="110"/>
    </row>
    <row r="68" spans="1:43" ht="15.75" x14ac:dyDescent="0.25">
      <c r="A68" s="105" t="s">
        <v>119</v>
      </c>
      <c r="B68" s="69">
        <f t="shared" si="14"/>
        <v>0</v>
      </c>
      <c r="C68" s="88">
        <f t="shared" si="15"/>
        <v>300</v>
      </c>
      <c r="D68" s="71"/>
      <c r="E68" s="72"/>
      <c r="F68" s="71"/>
      <c r="G68" s="72"/>
      <c r="H68" s="73"/>
      <c r="I68" s="72"/>
      <c r="J68" s="73"/>
      <c r="K68" s="72"/>
      <c r="L68" s="73"/>
      <c r="M68" s="72"/>
      <c r="N68" s="108">
        <v>1</v>
      </c>
      <c r="O68" s="82">
        <v>300</v>
      </c>
      <c r="P68" s="73"/>
      <c r="Q68" s="77"/>
      <c r="R68" s="78"/>
      <c r="S68" s="77"/>
      <c r="T68" s="78"/>
      <c r="U68" s="77"/>
      <c r="V68" s="78"/>
      <c r="W68" s="77"/>
      <c r="X68" s="99"/>
      <c r="Y68" s="100"/>
      <c r="Z68" s="78"/>
      <c r="AA68" s="77"/>
      <c r="AB68" s="79"/>
      <c r="AC68" s="101"/>
      <c r="AD68" s="79"/>
      <c r="AE68" s="372"/>
      <c r="AF68" s="79"/>
      <c r="AG68" s="372"/>
      <c r="AH68" s="79"/>
      <c r="AI68" s="372"/>
      <c r="AJ68" s="79"/>
      <c r="AK68" s="372"/>
      <c r="AL68" s="79"/>
      <c r="AM68" s="372"/>
      <c r="AN68" s="79"/>
      <c r="AO68" s="372"/>
      <c r="AP68" s="102"/>
      <c r="AQ68" s="110"/>
    </row>
    <row r="69" spans="1:43" ht="15.75" x14ac:dyDescent="0.25">
      <c r="A69" s="111" t="s">
        <v>120</v>
      </c>
      <c r="B69" s="69">
        <f t="shared" si="14"/>
        <v>0</v>
      </c>
      <c r="C69" s="88">
        <f t="shared" si="15"/>
        <v>674</v>
      </c>
      <c r="D69" s="71"/>
      <c r="E69" s="72"/>
      <c r="F69" s="71"/>
      <c r="G69" s="72"/>
      <c r="H69" s="73"/>
      <c r="I69" s="72"/>
      <c r="J69" s="73"/>
      <c r="K69" s="72"/>
      <c r="L69" s="73"/>
      <c r="M69" s="72"/>
      <c r="N69" s="108"/>
      <c r="O69" s="82"/>
      <c r="P69" s="73">
        <v>4</v>
      </c>
      <c r="Q69" s="77">
        <v>337</v>
      </c>
      <c r="R69" s="78">
        <v>4</v>
      </c>
      <c r="S69" s="77">
        <v>337</v>
      </c>
      <c r="T69" s="78"/>
      <c r="U69" s="77"/>
      <c r="V69" s="78"/>
      <c r="W69" s="77"/>
      <c r="X69" s="99"/>
      <c r="Y69" s="100"/>
      <c r="Z69" s="78"/>
      <c r="AA69" s="77"/>
      <c r="AB69" s="79"/>
      <c r="AC69" s="101"/>
      <c r="AD69" s="79"/>
      <c r="AE69" s="372"/>
      <c r="AF69" s="79"/>
      <c r="AG69" s="372"/>
      <c r="AH69" s="79"/>
      <c r="AI69" s="372"/>
      <c r="AJ69" s="79"/>
      <c r="AK69" s="372"/>
      <c r="AL69" s="79"/>
      <c r="AM69" s="372"/>
      <c r="AN69" s="79"/>
      <c r="AO69" s="372"/>
      <c r="AP69" s="102"/>
      <c r="AQ69" s="110"/>
    </row>
    <row r="70" spans="1:43" ht="15.75" x14ac:dyDescent="0.25">
      <c r="A70" s="105" t="s">
        <v>121</v>
      </c>
      <c r="B70" s="69">
        <f t="shared" si="14"/>
        <v>0</v>
      </c>
      <c r="C70" s="88">
        <f t="shared" si="15"/>
        <v>300.22000000000003</v>
      </c>
      <c r="D70" s="71"/>
      <c r="E70" s="72"/>
      <c r="F70" s="71">
        <v>3</v>
      </c>
      <c r="G70" s="72">
        <v>250.22</v>
      </c>
      <c r="H70" s="73"/>
      <c r="I70" s="72"/>
      <c r="J70" s="73"/>
      <c r="K70" s="72"/>
      <c r="L70" s="73"/>
      <c r="M70" s="72"/>
      <c r="N70" s="108">
        <v>1</v>
      </c>
      <c r="O70" s="82">
        <v>50</v>
      </c>
      <c r="P70" s="73"/>
      <c r="Q70" s="77"/>
      <c r="R70" s="78"/>
      <c r="S70" s="77"/>
      <c r="T70" s="78"/>
      <c r="U70" s="77"/>
      <c r="V70" s="78"/>
      <c r="W70" s="77"/>
      <c r="X70" s="99"/>
      <c r="Y70" s="100"/>
      <c r="Z70" s="78"/>
      <c r="AA70" s="77"/>
      <c r="AB70" s="79"/>
      <c r="AC70" s="101"/>
      <c r="AD70" s="79"/>
      <c r="AE70" s="372"/>
      <c r="AF70" s="79"/>
      <c r="AG70" s="372"/>
      <c r="AH70" s="79"/>
      <c r="AI70" s="372"/>
      <c r="AJ70" s="79"/>
      <c r="AK70" s="372"/>
      <c r="AL70" s="79"/>
      <c r="AM70" s="372"/>
      <c r="AN70" s="79"/>
      <c r="AO70" s="372"/>
      <c r="AP70" s="102"/>
      <c r="AQ70" s="110"/>
    </row>
    <row r="71" spans="1:43" ht="38.25" x14ac:dyDescent="0.25">
      <c r="A71" s="105" t="s">
        <v>122</v>
      </c>
      <c r="B71" s="69">
        <f t="shared" si="14"/>
        <v>0</v>
      </c>
      <c r="C71" s="88">
        <f t="shared" si="15"/>
        <v>4075</v>
      </c>
      <c r="D71" s="71">
        <v>75</v>
      </c>
      <c r="E71" s="72">
        <v>3800</v>
      </c>
      <c r="F71" s="71">
        <v>1</v>
      </c>
      <c r="G71" s="72">
        <v>50</v>
      </c>
      <c r="H71" s="73">
        <v>1</v>
      </c>
      <c r="I71" s="72">
        <v>50</v>
      </c>
      <c r="J71" s="73">
        <v>2</v>
      </c>
      <c r="K71" s="72">
        <v>70</v>
      </c>
      <c r="L71" s="73">
        <v>3</v>
      </c>
      <c r="M71" s="72">
        <v>105</v>
      </c>
      <c r="N71" s="108"/>
      <c r="O71" s="82"/>
      <c r="P71" s="73"/>
      <c r="Q71" s="77"/>
      <c r="R71" s="78"/>
      <c r="S71" s="77"/>
      <c r="T71" s="78"/>
      <c r="U71" s="77"/>
      <c r="V71" s="78"/>
      <c r="W71" s="77"/>
      <c r="X71" s="99"/>
      <c r="Y71" s="100"/>
      <c r="Z71" s="78"/>
      <c r="AA71" s="77"/>
      <c r="AB71" s="79"/>
      <c r="AC71" s="101"/>
      <c r="AD71" s="79"/>
      <c r="AE71" s="372"/>
      <c r="AF71" s="79"/>
      <c r="AG71" s="372"/>
      <c r="AH71" s="79"/>
      <c r="AI71" s="372"/>
      <c r="AJ71" s="79"/>
      <c r="AK71" s="372"/>
      <c r="AL71" s="79"/>
      <c r="AM71" s="372"/>
      <c r="AN71" s="79"/>
      <c r="AO71" s="372"/>
      <c r="AP71" s="102"/>
      <c r="AQ71" s="110"/>
    </row>
    <row r="72" spans="1:43" ht="15.75" x14ac:dyDescent="0.25">
      <c r="A72" s="105" t="s">
        <v>123</v>
      </c>
      <c r="B72" s="69">
        <f t="shared" si="14"/>
        <v>0</v>
      </c>
      <c r="C72" s="88">
        <f t="shared" si="15"/>
        <v>800</v>
      </c>
      <c r="D72" s="71">
        <v>1</v>
      </c>
      <c r="E72" s="72">
        <v>100</v>
      </c>
      <c r="F72" s="71">
        <v>1</v>
      </c>
      <c r="G72" s="72">
        <v>100</v>
      </c>
      <c r="H72" s="73">
        <v>1</v>
      </c>
      <c r="I72" s="72">
        <v>100</v>
      </c>
      <c r="J72" s="73"/>
      <c r="K72" s="72"/>
      <c r="L72" s="73"/>
      <c r="M72" s="72"/>
      <c r="N72" s="108"/>
      <c r="O72" s="82"/>
      <c r="P72" s="73">
        <v>1</v>
      </c>
      <c r="Q72" s="77">
        <v>100</v>
      </c>
      <c r="R72" s="78">
        <v>1</v>
      </c>
      <c r="S72" s="77">
        <v>100</v>
      </c>
      <c r="T72" s="78"/>
      <c r="U72" s="77"/>
      <c r="V72" s="78">
        <v>1</v>
      </c>
      <c r="W72" s="77">
        <v>100</v>
      </c>
      <c r="X72" s="99">
        <v>1</v>
      </c>
      <c r="Y72" s="100">
        <v>100</v>
      </c>
      <c r="Z72" s="78">
        <v>1</v>
      </c>
      <c r="AA72" s="77">
        <v>100</v>
      </c>
      <c r="AB72" s="79"/>
      <c r="AC72" s="101"/>
      <c r="AD72" s="79"/>
      <c r="AE72" s="372"/>
      <c r="AF72" s="79"/>
      <c r="AG72" s="372"/>
      <c r="AH72" s="79"/>
      <c r="AI72" s="372"/>
      <c r="AJ72" s="79"/>
      <c r="AK72" s="372"/>
      <c r="AL72" s="79"/>
      <c r="AM72" s="372"/>
      <c r="AN72" s="79"/>
      <c r="AO72" s="372"/>
      <c r="AP72" s="102"/>
      <c r="AQ72" s="110"/>
    </row>
    <row r="73" spans="1:43" ht="25.5" x14ac:dyDescent="0.25">
      <c r="A73" s="331" t="s">
        <v>124</v>
      </c>
      <c r="B73" s="69">
        <f t="shared" si="14"/>
        <v>0</v>
      </c>
      <c r="C73" s="88">
        <f t="shared" si="15"/>
        <v>2500</v>
      </c>
      <c r="D73" s="71"/>
      <c r="E73" s="72"/>
      <c r="F73" s="71"/>
      <c r="G73" s="72"/>
      <c r="H73" s="73"/>
      <c r="I73" s="72"/>
      <c r="J73" s="73"/>
      <c r="K73" s="72"/>
      <c r="L73" s="73"/>
      <c r="M73" s="72"/>
      <c r="N73" s="108"/>
      <c r="O73" s="82"/>
      <c r="P73" s="73"/>
      <c r="Q73" s="77"/>
      <c r="R73" s="78"/>
      <c r="S73" s="77"/>
      <c r="T73" s="78"/>
      <c r="U73" s="77"/>
      <c r="V73" s="78"/>
      <c r="W73" s="77"/>
      <c r="X73" s="99">
        <v>3</v>
      </c>
      <c r="Y73" s="100">
        <v>2100</v>
      </c>
      <c r="Z73" s="78">
        <v>4</v>
      </c>
      <c r="AA73" s="77">
        <v>400</v>
      </c>
      <c r="AB73" s="79"/>
      <c r="AC73" s="101"/>
      <c r="AD73" s="79"/>
      <c r="AE73" s="372"/>
      <c r="AF73" s="79"/>
      <c r="AG73" s="372"/>
      <c r="AH73" s="79"/>
      <c r="AI73" s="372"/>
      <c r="AJ73" s="79"/>
      <c r="AK73" s="372"/>
      <c r="AL73" s="79"/>
      <c r="AM73" s="372"/>
      <c r="AN73" s="79"/>
      <c r="AO73" s="372"/>
      <c r="AP73" s="102"/>
      <c r="AQ73" s="110"/>
    </row>
    <row r="74" spans="1:43" ht="15.75" x14ac:dyDescent="0.25">
      <c r="A74" s="105" t="s">
        <v>125</v>
      </c>
      <c r="B74" s="69">
        <f t="shared" si="14"/>
        <v>0</v>
      </c>
      <c r="C74" s="88">
        <f t="shared" si="15"/>
        <v>100</v>
      </c>
      <c r="D74" s="71">
        <v>1</v>
      </c>
      <c r="E74" s="72">
        <v>100</v>
      </c>
      <c r="F74" s="71"/>
      <c r="G74" s="72"/>
      <c r="H74" s="73"/>
      <c r="I74" s="72"/>
      <c r="J74" s="73"/>
      <c r="K74" s="72"/>
      <c r="L74" s="73"/>
      <c r="M74" s="72"/>
      <c r="N74" s="108"/>
      <c r="O74" s="82"/>
      <c r="P74" s="73"/>
      <c r="Q74" s="77"/>
      <c r="R74" s="78"/>
      <c r="S74" s="77"/>
      <c r="T74" s="78"/>
      <c r="U74" s="77"/>
      <c r="V74" s="78"/>
      <c r="W74" s="77"/>
      <c r="X74" s="99"/>
      <c r="Y74" s="100"/>
      <c r="Z74" s="78"/>
      <c r="AA74" s="77"/>
      <c r="AB74" s="79"/>
      <c r="AC74" s="101"/>
      <c r="AD74" s="79"/>
      <c r="AE74" s="372"/>
      <c r="AF74" s="79"/>
      <c r="AG74" s="372"/>
      <c r="AH74" s="79"/>
      <c r="AI74" s="372"/>
      <c r="AJ74" s="79"/>
      <c r="AK74" s="372"/>
      <c r="AL74" s="79"/>
      <c r="AM74" s="372"/>
      <c r="AN74" s="79"/>
      <c r="AO74" s="372"/>
      <c r="AP74" s="102"/>
      <c r="AQ74" s="110"/>
    </row>
    <row r="75" spans="1:43" ht="15.75" x14ac:dyDescent="0.25">
      <c r="A75" s="105" t="s">
        <v>126</v>
      </c>
      <c r="B75" s="69">
        <f t="shared" si="14"/>
        <v>0</v>
      </c>
      <c r="C75" s="88">
        <f t="shared" si="15"/>
        <v>0</v>
      </c>
      <c r="D75" s="71"/>
      <c r="E75" s="72"/>
      <c r="F75" s="71"/>
      <c r="G75" s="72"/>
      <c r="H75" s="73"/>
      <c r="I75" s="72"/>
      <c r="J75" s="73"/>
      <c r="K75" s="72"/>
      <c r="L75" s="73"/>
      <c r="M75" s="72"/>
      <c r="N75" s="108"/>
      <c r="O75" s="82"/>
      <c r="P75" s="73"/>
      <c r="Q75" s="77"/>
      <c r="R75" s="78"/>
      <c r="S75" s="77"/>
      <c r="T75" s="78"/>
      <c r="U75" s="77"/>
      <c r="V75" s="78"/>
      <c r="W75" s="77"/>
      <c r="X75" s="99"/>
      <c r="Y75" s="100"/>
      <c r="Z75" s="78"/>
      <c r="AA75" s="77"/>
      <c r="AB75" s="79"/>
      <c r="AC75" s="101"/>
      <c r="AD75" s="79"/>
      <c r="AE75" s="372"/>
      <c r="AF75" s="79"/>
      <c r="AG75" s="372"/>
      <c r="AH75" s="79"/>
      <c r="AI75" s="372"/>
      <c r="AJ75" s="79"/>
      <c r="AK75" s="372"/>
      <c r="AL75" s="79"/>
      <c r="AM75" s="372"/>
      <c r="AN75" s="79"/>
      <c r="AO75" s="372"/>
      <c r="AP75" s="102"/>
      <c r="AQ75" s="110"/>
    </row>
    <row r="76" spans="1:43" ht="15.75" x14ac:dyDescent="0.25">
      <c r="A76" s="105" t="s">
        <v>127</v>
      </c>
      <c r="B76" s="69">
        <f t="shared" si="14"/>
        <v>0</v>
      </c>
      <c r="C76" s="88">
        <f t="shared" si="15"/>
        <v>120</v>
      </c>
      <c r="D76" s="71"/>
      <c r="E76" s="72"/>
      <c r="F76" s="71"/>
      <c r="G76" s="72"/>
      <c r="H76" s="73"/>
      <c r="I76" s="72"/>
      <c r="J76" s="73"/>
      <c r="K76" s="72"/>
      <c r="L76" s="73"/>
      <c r="M76" s="72"/>
      <c r="N76" s="108">
        <v>3</v>
      </c>
      <c r="O76" s="82">
        <v>60</v>
      </c>
      <c r="P76" s="73">
        <v>3</v>
      </c>
      <c r="Q76" s="77">
        <v>60</v>
      </c>
      <c r="R76" s="78"/>
      <c r="S76" s="77"/>
      <c r="T76" s="78"/>
      <c r="U76" s="77"/>
      <c r="V76" s="78"/>
      <c r="W76" s="77"/>
      <c r="X76" s="99"/>
      <c r="Y76" s="100"/>
      <c r="Z76" s="78"/>
      <c r="AA76" s="77"/>
      <c r="AB76" s="79"/>
      <c r="AC76" s="101"/>
      <c r="AD76" s="79"/>
      <c r="AE76" s="372"/>
      <c r="AF76" s="79"/>
      <c r="AG76" s="372"/>
      <c r="AH76" s="79"/>
      <c r="AI76" s="372"/>
      <c r="AJ76" s="79"/>
      <c r="AK76" s="372"/>
      <c r="AL76" s="79"/>
      <c r="AM76" s="372"/>
      <c r="AN76" s="79"/>
      <c r="AO76" s="372"/>
      <c r="AP76" s="102"/>
      <c r="AQ76" s="110"/>
    </row>
    <row r="77" spans="1:43" ht="38.25" x14ac:dyDescent="0.25">
      <c r="A77" s="105" t="s">
        <v>128</v>
      </c>
      <c r="B77" s="69">
        <f t="shared" si="14"/>
        <v>0</v>
      </c>
      <c r="C77" s="88">
        <f t="shared" si="15"/>
        <v>2459.6</v>
      </c>
      <c r="D77" s="71">
        <v>7</v>
      </c>
      <c r="E77" s="72">
        <v>260</v>
      </c>
      <c r="F77" s="71">
        <v>7</v>
      </c>
      <c r="G77" s="72">
        <v>234</v>
      </c>
      <c r="H77" s="73"/>
      <c r="I77" s="72"/>
      <c r="J77" s="73">
        <v>7</v>
      </c>
      <c r="K77" s="72">
        <v>291.2</v>
      </c>
      <c r="L77" s="73">
        <v>6</v>
      </c>
      <c r="M77" s="72">
        <v>249.6</v>
      </c>
      <c r="N77" s="108">
        <v>6</v>
      </c>
      <c r="O77" s="82">
        <v>236.6</v>
      </c>
      <c r="P77" s="73">
        <v>7</v>
      </c>
      <c r="Q77" s="77">
        <v>319.8</v>
      </c>
      <c r="R77" s="78">
        <v>6</v>
      </c>
      <c r="S77" s="77">
        <v>189.8</v>
      </c>
      <c r="T77" s="78">
        <v>5</v>
      </c>
      <c r="U77" s="77">
        <v>156</v>
      </c>
      <c r="V77" s="78">
        <v>5</v>
      </c>
      <c r="W77" s="77">
        <v>148.19999999999999</v>
      </c>
      <c r="X77" s="99">
        <v>4</v>
      </c>
      <c r="Y77" s="100">
        <v>169</v>
      </c>
      <c r="Z77" s="78">
        <v>4</v>
      </c>
      <c r="AA77" s="77">
        <v>205.4</v>
      </c>
      <c r="AB77" s="79"/>
      <c r="AC77" s="101"/>
      <c r="AD77" s="79"/>
      <c r="AE77" s="372"/>
      <c r="AF77" s="79"/>
      <c r="AG77" s="372"/>
      <c r="AH77" s="79"/>
      <c r="AI77" s="372"/>
      <c r="AJ77" s="79"/>
      <c r="AK77" s="372"/>
      <c r="AL77" s="79"/>
      <c r="AM77" s="372"/>
      <c r="AN77" s="79"/>
      <c r="AO77" s="372"/>
      <c r="AP77" s="102"/>
      <c r="AQ77" s="110"/>
    </row>
    <row r="78" spans="1:43" ht="15.75" x14ac:dyDescent="0.25">
      <c r="A78" s="105" t="s">
        <v>129</v>
      </c>
      <c r="B78" s="69">
        <f t="shared" si="14"/>
        <v>0</v>
      </c>
      <c r="C78" s="88">
        <f t="shared" si="15"/>
        <v>1588.78</v>
      </c>
      <c r="D78" s="71">
        <v>5</v>
      </c>
      <c r="E78" s="72">
        <v>281.8</v>
      </c>
      <c r="F78" s="71">
        <v>4</v>
      </c>
      <c r="G78" s="72">
        <v>292.86</v>
      </c>
      <c r="H78" s="73">
        <v>5</v>
      </c>
      <c r="I78" s="72">
        <v>125.73</v>
      </c>
      <c r="J78" s="73">
        <v>3</v>
      </c>
      <c r="K78" s="72">
        <v>67.319999999999993</v>
      </c>
      <c r="L78" s="73">
        <v>3</v>
      </c>
      <c r="M78" s="72">
        <v>183.42</v>
      </c>
      <c r="N78" s="108">
        <v>3</v>
      </c>
      <c r="O78" s="82">
        <v>221.31</v>
      </c>
      <c r="P78" s="73">
        <v>3</v>
      </c>
      <c r="Q78" s="77">
        <v>67.680000000000007</v>
      </c>
      <c r="R78" s="78">
        <v>3</v>
      </c>
      <c r="S78" s="77">
        <v>73.709999999999994</v>
      </c>
      <c r="T78" s="78">
        <v>3</v>
      </c>
      <c r="U78" s="77">
        <v>99.36</v>
      </c>
      <c r="V78" s="78">
        <v>1</v>
      </c>
      <c r="W78" s="77">
        <v>4.8600000000000003</v>
      </c>
      <c r="X78" s="99"/>
      <c r="Y78" s="100"/>
      <c r="Z78" s="78">
        <v>5</v>
      </c>
      <c r="AA78" s="77">
        <v>170.73</v>
      </c>
      <c r="AB78" s="79"/>
      <c r="AC78" s="101"/>
      <c r="AD78" s="79"/>
      <c r="AE78" s="372"/>
      <c r="AF78" s="79"/>
      <c r="AG78" s="372"/>
      <c r="AH78" s="79"/>
      <c r="AI78" s="372"/>
      <c r="AJ78" s="79"/>
      <c r="AK78" s="372"/>
      <c r="AL78" s="79"/>
      <c r="AM78" s="372"/>
      <c r="AN78" s="79"/>
      <c r="AO78" s="372"/>
      <c r="AP78" s="102"/>
      <c r="AQ78" s="110"/>
    </row>
    <row r="79" spans="1:43" ht="38.25" x14ac:dyDescent="0.25">
      <c r="A79" s="105" t="s">
        <v>130</v>
      </c>
      <c r="B79" s="69">
        <f t="shared" si="14"/>
        <v>0</v>
      </c>
      <c r="C79" s="88">
        <f t="shared" si="15"/>
        <v>935.90000000000009</v>
      </c>
      <c r="D79" s="71">
        <v>4</v>
      </c>
      <c r="E79" s="72">
        <v>127.55</v>
      </c>
      <c r="F79" s="71">
        <v>5</v>
      </c>
      <c r="G79" s="72">
        <v>149.69999999999999</v>
      </c>
      <c r="H79" s="73"/>
      <c r="I79" s="72"/>
      <c r="J79" s="73">
        <v>4</v>
      </c>
      <c r="K79" s="72">
        <v>188.3</v>
      </c>
      <c r="L79" s="73">
        <v>4</v>
      </c>
      <c r="M79" s="72">
        <v>132.80000000000001</v>
      </c>
      <c r="N79" s="108">
        <v>4</v>
      </c>
      <c r="O79" s="82">
        <v>183.05</v>
      </c>
      <c r="P79" s="73">
        <v>3</v>
      </c>
      <c r="Q79" s="77">
        <v>127.3</v>
      </c>
      <c r="R79" s="78"/>
      <c r="S79" s="77"/>
      <c r="T79" s="78"/>
      <c r="U79" s="77"/>
      <c r="V79" s="78"/>
      <c r="W79" s="77"/>
      <c r="X79" s="99">
        <v>1</v>
      </c>
      <c r="Y79" s="100">
        <v>13.6</v>
      </c>
      <c r="Z79" s="78">
        <v>1</v>
      </c>
      <c r="AA79" s="77">
        <v>13.6</v>
      </c>
      <c r="AB79" s="79"/>
      <c r="AC79" s="101"/>
      <c r="AD79" s="79"/>
      <c r="AE79" s="372"/>
      <c r="AF79" s="79"/>
      <c r="AG79" s="372"/>
      <c r="AH79" s="79"/>
      <c r="AI79" s="372"/>
      <c r="AJ79" s="79"/>
      <c r="AK79" s="372"/>
      <c r="AL79" s="79"/>
      <c r="AM79" s="372"/>
      <c r="AN79" s="79"/>
      <c r="AO79" s="372"/>
      <c r="AP79" s="102"/>
      <c r="AQ79" s="110"/>
    </row>
    <row r="80" spans="1:43" ht="15.75" x14ac:dyDescent="0.25">
      <c r="A80" s="105" t="s">
        <v>131</v>
      </c>
      <c r="B80" s="69">
        <f t="shared" si="14"/>
        <v>0</v>
      </c>
      <c r="C80" s="88">
        <f t="shared" si="15"/>
        <v>1927.8600000000001</v>
      </c>
      <c r="D80" s="71"/>
      <c r="E80" s="72"/>
      <c r="F80" s="71"/>
      <c r="G80" s="72"/>
      <c r="H80" s="73">
        <v>3</v>
      </c>
      <c r="I80" s="72">
        <v>251.13</v>
      </c>
      <c r="J80" s="73">
        <v>4</v>
      </c>
      <c r="K80" s="72">
        <v>273</v>
      </c>
      <c r="L80" s="73">
        <v>4</v>
      </c>
      <c r="M80" s="72">
        <v>336</v>
      </c>
      <c r="N80" s="108">
        <v>5</v>
      </c>
      <c r="O80" s="82">
        <v>262.5</v>
      </c>
      <c r="P80" s="73">
        <v>2</v>
      </c>
      <c r="Q80" s="77">
        <v>121.63</v>
      </c>
      <c r="R80" s="78">
        <v>2</v>
      </c>
      <c r="S80" s="77">
        <v>98</v>
      </c>
      <c r="T80" s="78">
        <v>3</v>
      </c>
      <c r="U80" s="77">
        <v>129.5</v>
      </c>
      <c r="V80" s="78">
        <v>3</v>
      </c>
      <c r="W80" s="77">
        <v>315</v>
      </c>
      <c r="X80" s="99">
        <v>2</v>
      </c>
      <c r="Y80" s="100">
        <v>82</v>
      </c>
      <c r="Z80" s="78">
        <v>1</v>
      </c>
      <c r="AA80" s="77">
        <v>59.1</v>
      </c>
      <c r="AB80" s="79"/>
      <c r="AC80" s="101"/>
      <c r="AD80" s="79"/>
      <c r="AE80" s="372"/>
      <c r="AF80" s="79"/>
      <c r="AG80" s="372"/>
      <c r="AH80" s="79"/>
      <c r="AI80" s="372"/>
      <c r="AJ80" s="79"/>
      <c r="AK80" s="372"/>
      <c r="AL80" s="79"/>
      <c r="AM80" s="372"/>
      <c r="AN80" s="79"/>
      <c r="AO80" s="372"/>
      <c r="AP80" s="102"/>
      <c r="AQ80" s="110"/>
    </row>
    <row r="81" spans="1:43" ht="15.75" x14ac:dyDescent="0.25">
      <c r="A81" s="105" t="s">
        <v>132</v>
      </c>
      <c r="B81" s="69">
        <f t="shared" si="14"/>
        <v>0</v>
      </c>
      <c r="C81" s="88">
        <f t="shared" si="15"/>
        <v>1102.49</v>
      </c>
      <c r="D81" s="71"/>
      <c r="E81" s="72"/>
      <c r="F81" s="71"/>
      <c r="G81" s="72"/>
      <c r="H81" s="73">
        <v>2</v>
      </c>
      <c r="I81" s="72">
        <v>111.24</v>
      </c>
      <c r="J81" s="73">
        <v>4</v>
      </c>
      <c r="K81" s="72">
        <v>236.73</v>
      </c>
      <c r="L81" s="73">
        <v>4</v>
      </c>
      <c r="M81" s="72">
        <v>140.4</v>
      </c>
      <c r="N81" s="108">
        <v>4</v>
      </c>
      <c r="O81" s="82">
        <v>137.58000000000001</v>
      </c>
      <c r="P81" s="73">
        <v>3</v>
      </c>
      <c r="Q81" s="77">
        <v>114.33</v>
      </c>
      <c r="R81" s="78"/>
      <c r="S81" s="77"/>
      <c r="T81" s="78"/>
      <c r="U81" s="77"/>
      <c r="V81" s="78"/>
      <c r="W81" s="77"/>
      <c r="X81" s="99">
        <v>5</v>
      </c>
      <c r="Y81" s="100">
        <v>204.62</v>
      </c>
      <c r="Z81" s="78">
        <v>4</v>
      </c>
      <c r="AA81" s="77">
        <v>157.59</v>
      </c>
      <c r="AB81" s="79"/>
      <c r="AC81" s="101"/>
      <c r="AD81" s="79"/>
      <c r="AE81" s="372"/>
      <c r="AF81" s="79"/>
      <c r="AG81" s="372"/>
      <c r="AH81" s="79"/>
      <c r="AI81" s="372"/>
      <c r="AJ81" s="79"/>
      <c r="AK81" s="372"/>
      <c r="AL81" s="79"/>
      <c r="AM81" s="372"/>
      <c r="AN81" s="79"/>
      <c r="AO81" s="372"/>
      <c r="AP81" s="102"/>
      <c r="AQ81" s="110"/>
    </row>
    <row r="82" spans="1:43" ht="15.75" x14ac:dyDescent="0.25">
      <c r="A82" s="105" t="s">
        <v>133</v>
      </c>
      <c r="B82" s="69">
        <f t="shared" si="14"/>
        <v>0</v>
      </c>
      <c r="C82" s="88">
        <f t="shared" si="15"/>
        <v>2351.4900000000007</v>
      </c>
      <c r="D82" s="71">
        <v>5</v>
      </c>
      <c r="E82" s="72">
        <v>278.10000000000002</v>
      </c>
      <c r="F82" s="71">
        <v>5</v>
      </c>
      <c r="G82" s="72">
        <v>231.75</v>
      </c>
      <c r="H82" s="73">
        <v>5</v>
      </c>
      <c r="I82" s="72">
        <v>278.10000000000002</v>
      </c>
      <c r="J82" s="73">
        <v>6</v>
      </c>
      <c r="K82" s="72">
        <v>373.89</v>
      </c>
      <c r="L82" s="73">
        <v>6</v>
      </c>
      <c r="M82" s="72">
        <v>265.74</v>
      </c>
      <c r="N82" s="108">
        <v>6</v>
      </c>
      <c r="O82" s="82">
        <v>355.35</v>
      </c>
      <c r="P82" s="73">
        <v>5</v>
      </c>
      <c r="Q82" s="77">
        <v>253.38</v>
      </c>
      <c r="R82" s="78"/>
      <c r="S82" s="77"/>
      <c r="T82" s="78"/>
      <c r="U82" s="77"/>
      <c r="V82" s="78"/>
      <c r="W82" s="77"/>
      <c r="X82" s="99">
        <v>4</v>
      </c>
      <c r="Y82" s="100">
        <v>126.69</v>
      </c>
      <c r="Z82" s="78">
        <v>4</v>
      </c>
      <c r="AA82" s="77">
        <v>188.49</v>
      </c>
      <c r="AB82" s="79"/>
      <c r="AC82" s="101"/>
      <c r="AD82" s="79"/>
      <c r="AE82" s="372"/>
      <c r="AF82" s="79"/>
      <c r="AG82" s="372"/>
      <c r="AH82" s="79"/>
      <c r="AI82" s="372"/>
      <c r="AJ82" s="79"/>
      <c r="AK82" s="372"/>
      <c r="AL82" s="79"/>
      <c r="AM82" s="372"/>
      <c r="AN82" s="79"/>
      <c r="AO82" s="372"/>
      <c r="AP82" s="102"/>
      <c r="AQ82" s="110"/>
    </row>
    <row r="83" spans="1:43" ht="15.75" x14ac:dyDescent="0.25">
      <c r="A83" s="331" t="s">
        <v>134</v>
      </c>
      <c r="B83" s="69">
        <f t="shared" si="14"/>
        <v>0</v>
      </c>
      <c r="C83" s="88">
        <f t="shared" si="15"/>
        <v>300</v>
      </c>
      <c r="D83" s="71"/>
      <c r="E83" s="72"/>
      <c r="F83" s="71"/>
      <c r="G83" s="72"/>
      <c r="H83" s="73"/>
      <c r="I83" s="72"/>
      <c r="J83" s="73"/>
      <c r="K83" s="72"/>
      <c r="L83" s="73"/>
      <c r="M83" s="72"/>
      <c r="N83" s="108"/>
      <c r="O83" s="82"/>
      <c r="P83" s="73"/>
      <c r="Q83" s="77"/>
      <c r="R83" s="78"/>
      <c r="S83" s="77"/>
      <c r="T83" s="78">
        <v>6</v>
      </c>
      <c r="U83" s="77">
        <v>300</v>
      </c>
      <c r="V83" s="78"/>
      <c r="W83" s="77"/>
      <c r="X83" s="99"/>
      <c r="Y83" s="100"/>
      <c r="Z83" s="78"/>
      <c r="AA83" s="77"/>
      <c r="AB83" s="79"/>
      <c r="AC83" s="101"/>
      <c r="AD83" s="79"/>
      <c r="AE83" s="372"/>
      <c r="AF83" s="79"/>
      <c r="AG83" s="372"/>
      <c r="AH83" s="79"/>
      <c r="AI83" s="372"/>
      <c r="AJ83" s="79"/>
      <c r="AK83" s="372"/>
      <c r="AL83" s="79"/>
      <c r="AM83" s="372"/>
      <c r="AN83" s="79"/>
      <c r="AO83" s="372"/>
      <c r="AP83" s="102"/>
      <c r="AQ83" s="110"/>
    </row>
    <row r="84" spans="1:43" ht="15.75" x14ac:dyDescent="0.25">
      <c r="A84" s="105" t="s">
        <v>135</v>
      </c>
      <c r="B84" s="69">
        <f t="shared" si="14"/>
        <v>0</v>
      </c>
      <c r="C84" s="88">
        <f t="shared" si="15"/>
        <v>6450</v>
      </c>
      <c r="D84" s="71">
        <v>4</v>
      </c>
      <c r="E84" s="72">
        <v>600</v>
      </c>
      <c r="F84" s="71">
        <v>2</v>
      </c>
      <c r="G84" s="72">
        <v>300</v>
      </c>
      <c r="H84" s="73">
        <v>2</v>
      </c>
      <c r="I84" s="72">
        <v>300</v>
      </c>
      <c r="J84" s="73">
        <v>6</v>
      </c>
      <c r="K84" s="72">
        <v>900</v>
      </c>
      <c r="L84" s="73">
        <v>5</v>
      </c>
      <c r="M84" s="72">
        <v>750</v>
      </c>
      <c r="N84" s="108">
        <v>6</v>
      </c>
      <c r="O84" s="82">
        <v>900</v>
      </c>
      <c r="P84" s="73">
        <v>3</v>
      </c>
      <c r="Q84" s="77">
        <v>450</v>
      </c>
      <c r="R84" s="78"/>
      <c r="S84" s="77"/>
      <c r="T84" s="78">
        <v>4</v>
      </c>
      <c r="U84" s="77">
        <v>600</v>
      </c>
      <c r="V84" s="78"/>
      <c r="W84" s="77"/>
      <c r="X84" s="99">
        <v>6</v>
      </c>
      <c r="Y84" s="100">
        <v>900</v>
      </c>
      <c r="Z84" s="78">
        <v>5</v>
      </c>
      <c r="AA84" s="77">
        <v>750</v>
      </c>
      <c r="AB84" s="79"/>
      <c r="AC84" s="101"/>
      <c r="AD84" s="79"/>
      <c r="AE84" s="372"/>
      <c r="AF84" s="79"/>
      <c r="AG84" s="372"/>
      <c r="AH84" s="79"/>
      <c r="AI84" s="372"/>
      <c r="AJ84" s="79"/>
      <c r="AK84" s="372"/>
      <c r="AL84" s="79"/>
      <c r="AM84" s="372"/>
      <c r="AN84" s="79"/>
      <c r="AO84" s="372"/>
      <c r="AP84" s="102"/>
      <c r="AQ84" s="110"/>
    </row>
    <row r="85" spans="1:43" ht="25.5" x14ac:dyDescent="0.25">
      <c r="A85" s="111" t="s">
        <v>136</v>
      </c>
      <c r="B85" s="69">
        <f t="shared" si="14"/>
        <v>0</v>
      </c>
      <c r="C85" s="88">
        <f t="shared" si="15"/>
        <v>1800</v>
      </c>
      <c r="D85" s="71"/>
      <c r="E85" s="72"/>
      <c r="F85" s="71"/>
      <c r="G85" s="72"/>
      <c r="H85" s="73"/>
      <c r="I85" s="72"/>
      <c r="J85" s="73"/>
      <c r="K85" s="72"/>
      <c r="L85" s="73"/>
      <c r="M85" s="72"/>
      <c r="N85" s="108"/>
      <c r="O85" s="82"/>
      <c r="P85" s="73">
        <v>2</v>
      </c>
      <c r="Q85" s="77">
        <v>1800</v>
      </c>
      <c r="R85" s="78"/>
      <c r="S85" s="77"/>
      <c r="T85" s="78"/>
      <c r="U85" s="77"/>
      <c r="V85" s="78"/>
      <c r="W85" s="77"/>
      <c r="X85" s="99"/>
      <c r="Y85" s="100"/>
      <c r="Z85" s="78"/>
      <c r="AA85" s="77"/>
      <c r="AB85" s="79"/>
      <c r="AC85" s="101"/>
      <c r="AD85" s="79"/>
      <c r="AE85" s="372"/>
      <c r="AF85" s="79"/>
      <c r="AG85" s="372"/>
      <c r="AH85" s="79"/>
      <c r="AI85" s="372"/>
      <c r="AJ85" s="79"/>
      <c r="AK85" s="372"/>
      <c r="AL85" s="79"/>
      <c r="AM85" s="372"/>
      <c r="AN85" s="79"/>
      <c r="AO85" s="372"/>
      <c r="AP85" s="102"/>
      <c r="AQ85" s="110"/>
    </row>
    <row r="86" spans="1:43" ht="25.5" x14ac:dyDescent="0.25">
      <c r="A86" s="109" t="s">
        <v>137</v>
      </c>
      <c r="B86" s="69">
        <f t="shared" si="14"/>
        <v>0</v>
      </c>
      <c r="C86" s="88">
        <f t="shared" si="15"/>
        <v>275</v>
      </c>
      <c r="D86" s="71"/>
      <c r="E86" s="72"/>
      <c r="F86" s="71"/>
      <c r="G86" s="72"/>
      <c r="H86" s="73"/>
      <c r="I86" s="72"/>
      <c r="J86" s="73"/>
      <c r="K86" s="72"/>
      <c r="L86" s="73"/>
      <c r="M86" s="72"/>
      <c r="N86" s="108"/>
      <c r="O86" s="82"/>
      <c r="P86" s="73"/>
      <c r="Q86" s="77"/>
      <c r="R86" s="78"/>
      <c r="S86" s="77"/>
      <c r="T86" s="78"/>
      <c r="U86" s="77"/>
      <c r="V86" s="78">
        <v>7</v>
      </c>
      <c r="W86" s="77">
        <v>275</v>
      </c>
      <c r="X86" s="99"/>
      <c r="Y86" s="100"/>
      <c r="Z86" s="78"/>
      <c r="AA86" s="77"/>
      <c r="AB86" s="79"/>
      <c r="AC86" s="101"/>
      <c r="AD86" s="79"/>
      <c r="AE86" s="372"/>
      <c r="AF86" s="79"/>
      <c r="AG86" s="372"/>
      <c r="AH86" s="79"/>
      <c r="AI86" s="372"/>
      <c r="AJ86" s="79"/>
      <c r="AK86" s="372"/>
      <c r="AL86" s="79"/>
      <c r="AM86" s="372"/>
      <c r="AN86" s="79"/>
      <c r="AO86" s="372"/>
      <c r="AP86" s="102"/>
      <c r="AQ86" s="110"/>
    </row>
    <row r="87" spans="1:43" ht="15.75" x14ac:dyDescent="0.25">
      <c r="A87" s="331" t="s">
        <v>138</v>
      </c>
      <c r="B87" s="69">
        <f t="shared" si="14"/>
        <v>0</v>
      </c>
      <c r="C87" s="88">
        <f t="shared" si="15"/>
        <v>144</v>
      </c>
      <c r="D87" s="71"/>
      <c r="E87" s="72"/>
      <c r="F87" s="71"/>
      <c r="G87" s="72"/>
      <c r="H87" s="73"/>
      <c r="I87" s="72"/>
      <c r="J87" s="73"/>
      <c r="K87" s="72"/>
      <c r="L87" s="73"/>
      <c r="M87" s="72"/>
      <c r="N87" s="108"/>
      <c r="O87" s="82"/>
      <c r="P87" s="73"/>
      <c r="Q87" s="77"/>
      <c r="R87" s="78"/>
      <c r="S87" s="77"/>
      <c r="T87" s="78"/>
      <c r="U87" s="77"/>
      <c r="V87" s="78"/>
      <c r="W87" s="77"/>
      <c r="X87" s="99">
        <v>3</v>
      </c>
      <c r="Y87" s="100">
        <v>54</v>
      </c>
      <c r="Z87" s="78">
        <v>4</v>
      </c>
      <c r="AA87" s="77">
        <v>90</v>
      </c>
      <c r="AB87" s="79"/>
      <c r="AC87" s="101"/>
      <c r="AD87" s="79"/>
      <c r="AE87" s="372"/>
      <c r="AF87" s="79"/>
      <c r="AG87" s="372"/>
      <c r="AH87" s="79"/>
      <c r="AI87" s="372"/>
      <c r="AJ87" s="79"/>
      <c r="AK87" s="372"/>
      <c r="AL87" s="79"/>
      <c r="AM87" s="372"/>
      <c r="AN87" s="79"/>
      <c r="AO87" s="372"/>
      <c r="AP87" s="102"/>
      <c r="AQ87" s="110"/>
    </row>
    <row r="88" spans="1:43" ht="15.75" x14ac:dyDescent="0.25">
      <c r="A88" s="105" t="s">
        <v>139</v>
      </c>
      <c r="B88" s="69">
        <f t="shared" si="14"/>
        <v>0</v>
      </c>
      <c r="C88" s="88">
        <f t="shared" si="15"/>
        <v>0</v>
      </c>
      <c r="D88" s="71"/>
      <c r="E88" s="72"/>
      <c r="F88" s="71"/>
      <c r="G88" s="72"/>
      <c r="H88" s="73"/>
      <c r="I88" s="72"/>
      <c r="J88" s="73"/>
      <c r="K88" s="72"/>
      <c r="L88" s="73"/>
      <c r="M88" s="72"/>
      <c r="N88" s="108"/>
      <c r="O88" s="82"/>
      <c r="P88" s="73"/>
      <c r="Q88" s="77"/>
      <c r="R88" s="78"/>
      <c r="S88" s="77"/>
      <c r="T88" s="78"/>
      <c r="U88" s="77"/>
      <c r="V88" s="78"/>
      <c r="W88" s="77"/>
      <c r="X88" s="99"/>
      <c r="Y88" s="100"/>
      <c r="Z88" s="78"/>
      <c r="AA88" s="77"/>
      <c r="AB88" s="79"/>
      <c r="AC88" s="101"/>
      <c r="AD88" s="79"/>
      <c r="AE88" s="372"/>
      <c r="AF88" s="79"/>
      <c r="AG88" s="372"/>
      <c r="AH88" s="79"/>
      <c r="AI88" s="372"/>
      <c r="AJ88" s="79"/>
      <c r="AK88" s="372"/>
      <c r="AL88" s="79"/>
      <c r="AM88" s="372"/>
      <c r="AN88" s="79"/>
      <c r="AO88" s="372"/>
      <c r="AP88" s="102"/>
      <c r="AQ88" s="110"/>
    </row>
    <row r="89" spans="1:43" ht="15.75" x14ac:dyDescent="0.25">
      <c r="A89" s="105" t="s">
        <v>140</v>
      </c>
      <c r="B89" s="69">
        <f t="shared" si="14"/>
        <v>0</v>
      </c>
      <c r="C89" s="88">
        <f t="shared" si="15"/>
        <v>2313</v>
      </c>
      <c r="D89" s="71">
        <v>5</v>
      </c>
      <c r="E89" s="72">
        <v>404</v>
      </c>
      <c r="F89" s="71">
        <v>5</v>
      </c>
      <c r="G89" s="72">
        <v>404</v>
      </c>
      <c r="H89" s="73"/>
      <c r="I89" s="72"/>
      <c r="J89" s="73">
        <v>5</v>
      </c>
      <c r="K89" s="112">
        <v>404</v>
      </c>
      <c r="L89" s="73">
        <v>4</v>
      </c>
      <c r="M89" s="72">
        <v>404</v>
      </c>
      <c r="N89" s="108">
        <v>4</v>
      </c>
      <c r="O89" s="82">
        <v>337</v>
      </c>
      <c r="P89" s="73"/>
      <c r="Q89" s="77"/>
      <c r="R89" s="78"/>
      <c r="S89" s="77"/>
      <c r="T89" s="78"/>
      <c r="U89" s="77"/>
      <c r="V89" s="78"/>
      <c r="W89" s="77"/>
      <c r="X89" s="99"/>
      <c r="Y89" s="100"/>
      <c r="Z89" s="78">
        <v>4</v>
      </c>
      <c r="AA89" s="77">
        <v>360</v>
      </c>
      <c r="AB89" s="79"/>
      <c r="AC89" s="101"/>
      <c r="AD89" s="79"/>
      <c r="AE89" s="372"/>
      <c r="AF89" s="79"/>
      <c r="AG89" s="372"/>
      <c r="AH89" s="79"/>
      <c r="AI89" s="372"/>
      <c r="AJ89" s="79"/>
      <c r="AK89" s="372"/>
      <c r="AL89" s="79"/>
      <c r="AM89" s="372"/>
      <c r="AN89" s="79"/>
      <c r="AO89" s="372"/>
      <c r="AP89" s="102"/>
      <c r="AQ89" s="110"/>
    </row>
    <row r="90" spans="1:43" ht="25.5" x14ac:dyDescent="0.25">
      <c r="A90" s="105" t="s">
        <v>141</v>
      </c>
      <c r="B90" s="69">
        <f t="shared" si="14"/>
        <v>0</v>
      </c>
      <c r="C90" s="88">
        <f t="shared" si="15"/>
        <v>540.96</v>
      </c>
      <c r="D90" s="71">
        <v>1</v>
      </c>
      <c r="E90" s="72">
        <v>50</v>
      </c>
      <c r="F90" s="71">
        <v>3</v>
      </c>
      <c r="G90" s="72">
        <v>150</v>
      </c>
      <c r="H90" s="73"/>
      <c r="I90" s="72"/>
      <c r="J90" s="73">
        <v>1</v>
      </c>
      <c r="K90" s="112">
        <v>50</v>
      </c>
      <c r="L90" s="73">
        <v>1</v>
      </c>
      <c r="M90" s="72">
        <v>50</v>
      </c>
      <c r="N90" s="108">
        <v>1</v>
      </c>
      <c r="O90" s="82">
        <v>40.96</v>
      </c>
      <c r="P90" s="73">
        <v>2</v>
      </c>
      <c r="Q90" s="77">
        <v>100</v>
      </c>
      <c r="R90" s="78"/>
      <c r="S90" s="77"/>
      <c r="T90" s="78">
        <v>1</v>
      </c>
      <c r="U90" s="77">
        <v>50</v>
      </c>
      <c r="V90" s="78"/>
      <c r="W90" s="77"/>
      <c r="X90" s="99">
        <v>1</v>
      </c>
      <c r="Y90" s="100">
        <v>50</v>
      </c>
      <c r="Z90" s="78"/>
      <c r="AA90" s="77"/>
      <c r="AB90" s="79"/>
      <c r="AC90" s="101"/>
      <c r="AD90" s="79"/>
      <c r="AE90" s="372"/>
      <c r="AF90" s="79"/>
      <c r="AG90" s="372"/>
      <c r="AH90" s="79"/>
      <c r="AI90" s="372"/>
      <c r="AJ90" s="79"/>
      <c r="AK90" s="372"/>
      <c r="AL90" s="79"/>
      <c r="AM90" s="372"/>
      <c r="AN90" s="79"/>
      <c r="AO90" s="372"/>
      <c r="AP90" s="102"/>
      <c r="AQ90" s="110"/>
    </row>
    <row r="91" spans="1:43" ht="25.5" x14ac:dyDescent="0.25">
      <c r="A91" s="109" t="s">
        <v>142</v>
      </c>
      <c r="B91" s="69">
        <f t="shared" si="14"/>
        <v>0</v>
      </c>
      <c r="C91" s="88">
        <f t="shared" si="15"/>
        <v>40</v>
      </c>
      <c r="D91" s="71"/>
      <c r="E91" s="72"/>
      <c r="F91" s="71"/>
      <c r="G91" s="72"/>
      <c r="H91" s="73"/>
      <c r="I91" s="72"/>
      <c r="J91" s="73"/>
      <c r="K91" s="112"/>
      <c r="L91" s="73"/>
      <c r="M91" s="72"/>
      <c r="N91" s="108"/>
      <c r="O91" s="82"/>
      <c r="P91" s="73"/>
      <c r="Q91" s="77"/>
      <c r="R91" s="78"/>
      <c r="S91" s="77"/>
      <c r="T91" s="78"/>
      <c r="U91" s="77"/>
      <c r="V91" s="78"/>
      <c r="W91" s="77"/>
      <c r="X91" s="99"/>
      <c r="Y91" s="100"/>
      <c r="Z91" s="78">
        <v>1</v>
      </c>
      <c r="AA91" s="77">
        <v>40</v>
      </c>
      <c r="AB91" s="79"/>
      <c r="AC91" s="101"/>
      <c r="AD91" s="79"/>
      <c r="AE91" s="372"/>
      <c r="AF91" s="79"/>
      <c r="AG91" s="372"/>
      <c r="AH91" s="79"/>
      <c r="AI91" s="372"/>
      <c r="AJ91" s="79"/>
      <c r="AK91" s="372"/>
      <c r="AL91" s="79"/>
      <c r="AM91" s="372"/>
      <c r="AN91" s="79"/>
      <c r="AO91" s="372"/>
      <c r="AP91" s="102"/>
      <c r="AQ91" s="110"/>
    </row>
    <row r="92" spans="1:43" ht="15.75" x14ac:dyDescent="0.25">
      <c r="A92" s="105" t="s">
        <v>143</v>
      </c>
      <c r="B92" s="69">
        <f t="shared" si="14"/>
        <v>0</v>
      </c>
      <c r="C92" s="88">
        <f t="shared" si="15"/>
        <v>0</v>
      </c>
      <c r="D92" s="71"/>
      <c r="E92" s="72"/>
      <c r="F92" s="71"/>
      <c r="G92" s="72"/>
      <c r="H92" s="73"/>
      <c r="I92" s="72"/>
      <c r="J92" s="73"/>
      <c r="K92" s="112"/>
      <c r="L92" s="73"/>
      <c r="M92" s="72"/>
      <c r="N92" s="108"/>
      <c r="O92" s="82"/>
      <c r="P92" s="73"/>
      <c r="Q92" s="77"/>
      <c r="R92" s="78"/>
      <c r="S92" s="77"/>
      <c r="T92" s="78"/>
      <c r="U92" s="77"/>
      <c r="V92" s="78"/>
      <c r="W92" s="77"/>
      <c r="X92" s="99"/>
      <c r="Y92" s="100"/>
      <c r="Z92" s="78"/>
      <c r="AA92" s="77"/>
      <c r="AB92" s="79"/>
      <c r="AC92" s="101"/>
      <c r="AD92" s="79"/>
      <c r="AE92" s="372"/>
      <c r="AF92" s="79"/>
      <c r="AG92" s="372"/>
      <c r="AH92" s="79"/>
      <c r="AI92" s="372"/>
      <c r="AJ92" s="79"/>
      <c r="AK92" s="372"/>
      <c r="AL92" s="79"/>
      <c r="AM92" s="372"/>
      <c r="AN92" s="79"/>
      <c r="AO92" s="372"/>
      <c r="AP92" s="102"/>
      <c r="AQ92" s="110"/>
    </row>
    <row r="93" spans="1:43" ht="15.75" x14ac:dyDescent="0.25">
      <c r="A93" s="105" t="s">
        <v>144</v>
      </c>
      <c r="B93" s="69">
        <f t="shared" ref="B93:B156" si="16">AC93+AE93+AG93+AI93+AK93+AM93+AO93</f>
        <v>0</v>
      </c>
      <c r="C93" s="88">
        <f t="shared" ref="C93:C156" si="17">E93+G93+I93+K93+M93+O93+Q93+S93+U93+W93+Y93+AA93</f>
        <v>0</v>
      </c>
      <c r="D93" s="71"/>
      <c r="E93" s="72"/>
      <c r="F93" s="71"/>
      <c r="G93" s="72"/>
      <c r="H93" s="73"/>
      <c r="I93" s="72"/>
      <c r="J93" s="73"/>
      <c r="K93" s="112"/>
      <c r="L93" s="73"/>
      <c r="M93" s="72"/>
      <c r="N93" s="108"/>
      <c r="O93" s="82"/>
      <c r="P93" s="73"/>
      <c r="Q93" s="77"/>
      <c r="R93" s="78"/>
      <c r="S93" s="77"/>
      <c r="T93" s="78"/>
      <c r="U93" s="77"/>
      <c r="V93" s="78"/>
      <c r="W93" s="77"/>
      <c r="X93" s="99"/>
      <c r="Y93" s="100"/>
      <c r="Z93" s="78"/>
      <c r="AA93" s="77"/>
      <c r="AB93" s="79"/>
      <c r="AC93" s="101"/>
      <c r="AD93" s="79"/>
      <c r="AE93" s="372"/>
      <c r="AF93" s="79"/>
      <c r="AG93" s="372"/>
      <c r="AH93" s="79"/>
      <c r="AI93" s="372"/>
      <c r="AJ93" s="79"/>
      <c r="AK93" s="372"/>
      <c r="AL93" s="79"/>
      <c r="AM93" s="372"/>
      <c r="AN93" s="79"/>
      <c r="AO93" s="372"/>
      <c r="AP93" s="102"/>
      <c r="AQ93" s="110"/>
    </row>
    <row r="94" spans="1:43" ht="25.5" x14ac:dyDescent="0.25">
      <c r="A94" s="105" t="s">
        <v>145</v>
      </c>
      <c r="B94" s="69">
        <f t="shared" si="16"/>
        <v>0</v>
      </c>
      <c r="C94" s="88">
        <f t="shared" si="17"/>
        <v>648.07000000000005</v>
      </c>
      <c r="D94" s="71">
        <v>3</v>
      </c>
      <c r="E94" s="72">
        <v>56.49</v>
      </c>
      <c r="F94" s="71">
        <v>3</v>
      </c>
      <c r="G94" s="72">
        <v>48</v>
      </c>
      <c r="H94" s="73">
        <v>3</v>
      </c>
      <c r="I94" s="72">
        <v>87.96</v>
      </c>
      <c r="J94" s="73">
        <v>3</v>
      </c>
      <c r="K94" s="112">
        <v>76.23</v>
      </c>
      <c r="L94" s="73">
        <v>2</v>
      </c>
      <c r="M94" s="72">
        <v>30.48</v>
      </c>
      <c r="N94" s="108">
        <v>3</v>
      </c>
      <c r="O94" s="82">
        <v>99.63</v>
      </c>
      <c r="P94" s="73"/>
      <c r="Q94" s="77"/>
      <c r="R94" s="78">
        <v>3</v>
      </c>
      <c r="S94" s="77">
        <v>114.28</v>
      </c>
      <c r="T94" s="78"/>
      <c r="U94" s="77"/>
      <c r="V94" s="78"/>
      <c r="W94" s="77"/>
      <c r="X94" s="99"/>
      <c r="Y94" s="100"/>
      <c r="Z94" s="78">
        <v>3</v>
      </c>
      <c r="AA94" s="77">
        <v>135</v>
      </c>
      <c r="AB94" s="79"/>
      <c r="AC94" s="101"/>
      <c r="AD94" s="79"/>
      <c r="AE94" s="372"/>
      <c r="AF94" s="79"/>
      <c r="AG94" s="372"/>
      <c r="AH94" s="79"/>
      <c r="AI94" s="372"/>
      <c r="AJ94" s="79"/>
      <c r="AK94" s="372"/>
      <c r="AL94" s="79"/>
      <c r="AM94" s="372"/>
      <c r="AN94" s="79"/>
      <c r="AO94" s="372"/>
      <c r="AP94" s="102"/>
      <c r="AQ94" s="110"/>
    </row>
    <row r="95" spans="1:43" ht="15.75" x14ac:dyDescent="0.25">
      <c r="A95" s="105" t="s">
        <v>146</v>
      </c>
      <c r="B95" s="69">
        <f t="shared" si="16"/>
        <v>0</v>
      </c>
      <c r="C95" s="88">
        <f t="shared" si="17"/>
        <v>0</v>
      </c>
      <c r="D95" s="71"/>
      <c r="E95" s="72"/>
      <c r="F95" s="71"/>
      <c r="G95" s="72"/>
      <c r="H95" s="73"/>
      <c r="I95" s="72"/>
      <c r="J95" s="73"/>
      <c r="K95" s="112"/>
      <c r="L95" s="73"/>
      <c r="M95" s="72"/>
      <c r="N95" s="108"/>
      <c r="O95" s="82"/>
      <c r="P95" s="73"/>
      <c r="Q95" s="77"/>
      <c r="R95" s="78"/>
      <c r="S95" s="77"/>
      <c r="T95" s="78"/>
      <c r="U95" s="77"/>
      <c r="V95" s="78"/>
      <c r="W95" s="77"/>
      <c r="X95" s="99"/>
      <c r="Y95" s="100"/>
      <c r="Z95" s="78"/>
      <c r="AA95" s="77"/>
      <c r="AB95" s="79"/>
      <c r="AC95" s="101"/>
      <c r="AD95" s="79"/>
      <c r="AE95" s="372"/>
      <c r="AF95" s="79"/>
      <c r="AG95" s="372"/>
      <c r="AH95" s="79"/>
      <c r="AI95" s="372"/>
      <c r="AJ95" s="79"/>
      <c r="AK95" s="372"/>
      <c r="AL95" s="79"/>
      <c r="AM95" s="372"/>
      <c r="AN95" s="79"/>
      <c r="AO95" s="372"/>
      <c r="AP95" s="102"/>
      <c r="AQ95" s="110"/>
    </row>
    <row r="96" spans="1:43" ht="15.75" x14ac:dyDescent="0.25">
      <c r="A96" s="105" t="s">
        <v>147</v>
      </c>
      <c r="B96" s="69">
        <f t="shared" si="16"/>
        <v>0</v>
      </c>
      <c r="C96" s="88">
        <f t="shared" si="17"/>
        <v>3832.65</v>
      </c>
      <c r="D96" s="71">
        <v>39</v>
      </c>
      <c r="E96" s="72">
        <v>336.6</v>
      </c>
      <c r="F96" s="71">
        <v>32</v>
      </c>
      <c r="G96" s="112">
        <v>215.05</v>
      </c>
      <c r="H96" s="73">
        <v>43</v>
      </c>
      <c r="I96" s="72">
        <v>362.1</v>
      </c>
      <c r="J96" s="73">
        <v>37</v>
      </c>
      <c r="K96" s="112">
        <v>325.55</v>
      </c>
      <c r="L96" s="73">
        <v>43</v>
      </c>
      <c r="M96" s="72">
        <v>308.55</v>
      </c>
      <c r="N96" s="108">
        <v>38</v>
      </c>
      <c r="O96" s="82">
        <v>322.14999999999998</v>
      </c>
      <c r="P96" s="73">
        <v>33</v>
      </c>
      <c r="Q96" s="77">
        <v>279.64999999999998</v>
      </c>
      <c r="R96" s="78">
        <v>41</v>
      </c>
      <c r="S96" s="77">
        <v>352.75</v>
      </c>
      <c r="T96" s="78">
        <v>45</v>
      </c>
      <c r="U96" s="77">
        <v>419.05</v>
      </c>
      <c r="V96" s="78">
        <v>40</v>
      </c>
      <c r="W96" s="77">
        <v>334.05</v>
      </c>
      <c r="X96" s="99">
        <v>33</v>
      </c>
      <c r="Y96" s="100">
        <v>273.7</v>
      </c>
      <c r="Z96" s="78">
        <v>43</v>
      </c>
      <c r="AA96" s="77">
        <v>303.45</v>
      </c>
      <c r="AB96" s="79"/>
      <c r="AC96" s="101"/>
      <c r="AD96" s="79"/>
      <c r="AE96" s="372"/>
      <c r="AF96" s="79"/>
      <c r="AG96" s="372"/>
      <c r="AH96" s="79"/>
      <c r="AI96" s="372"/>
      <c r="AJ96" s="79"/>
      <c r="AK96" s="372"/>
      <c r="AL96" s="79"/>
      <c r="AM96" s="372"/>
      <c r="AN96" s="79"/>
      <c r="AO96" s="372"/>
      <c r="AP96" s="102"/>
      <c r="AQ96" s="110"/>
    </row>
    <row r="97" spans="1:43" ht="15.75" x14ac:dyDescent="0.25">
      <c r="A97" s="113" t="s">
        <v>148</v>
      </c>
      <c r="B97" s="69">
        <f t="shared" si="16"/>
        <v>0</v>
      </c>
      <c r="C97" s="88">
        <f t="shared" si="17"/>
        <v>50</v>
      </c>
      <c r="D97" s="71"/>
      <c r="E97" s="72"/>
      <c r="F97" s="71"/>
      <c r="G97" s="112"/>
      <c r="H97" s="73"/>
      <c r="I97" s="72"/>
      <c r="J97" s="73"/>
      <c r="K97" s="112"/>
      <c r="L97" s="73"/>
      <c r="M97" s="72"/>
      <c r="N97" s="108"/>
      <c r="O97" s="82"/>
      <c r="P97" s="73"/>
      <c r="Q97" s="77"/>
      <c r="R97" s="78">
        <v>1</v>
      </c>
      <c r="S97" s="77">
        <v>50</v>
      </c>
      <c r="T97" s="78"/>
      <c r="U97" s="77"/>
      <c r="V97" s="78"/>
      <c r="W97" s="77"/>
      <c r="X97" s="99"/>
      <c r="Y97" s="100"/>
      <c r="Z97" s="78"/>
      <c r="AA97" s="77"/>
      <c r="AB97" s="79"/>
      <c r="AC97" s="101"/>
      <c r="AD97" s="79"/>
      <c r="AE97" s="372"/>
      <c r="AF97" s="79"/>
      <c r="AG97" s="372"/>
      <c r="AH97" s="79"/>
      <c r="AI97" s="372"/>
      <c r="AJ97" s="79"/>
      <c r="AK97" s="372"/>
      <c r="AL97" s="79"/>
      <c r="AM97" s="372"/>
      <c r="AN97" s="79"/>
      <c r="AO97" s="372"/>
      <c r="AP97" s="102"/>
      <c r="AQ97" s="110"/>
    </row>
    <row r="98" spans="1:43" ht="15.75" x14ac:dyDescent="0.25">
      <c r="A98" s="105" t="s">
        <v>149</v>
      </c>
      <c r="B98" s="69">
        <f t="shared" si="16"/>
        <v>0</v>
      </c>
      <c r="C98" s="88">
        <f t="shared" si="17"/>
        <v>0</v>
      </c>
      <c r="D98" s="71"/>
      <c r="E98" s="72"/>
      <c r="F98" s="71"/>
      <c r="G98" s="72"/>
      <c r="H98" s="73"/>
      <c r="I98" s="72"/>
      <c r="J98" s="73"/>
      <c r="K98" s="72"/>
      <c r="L98" s="73"/>
      <c r="M98" s="72"/>
      <c r="N98" s="108"/>
      <c r="O98" s="82"/>
      <c r="P98" s="73"/>
      <c r="Q98" s="77"/>
      <c r="R98" s="78"/>
      <c r="S98" s="77"/>
      <c r="T98" s="78"/>
      <c r="U98" s="77"/>
      <c r="V98" s="78"/>
      <c r="W98" s="77"/>
      <c r="X98" s="99"/>
      <c r="Y98" s="100"/>
      <c r="Z98" s="78"/>
      <c r="AA98" s="77"/>
      <c r="AB98" s="79"/>
      <c r="AC98" s="101"/>
      <c r="AD98" s="79"/>
      <c r="AE98" s="372"/>
      <c r="AF98" s="79"/>
      <c r="AG98" s="372"/>
      <c r="AH98" s="79"/>
      <c r="AI98" s="372"/>
      <c r="AJ98" s="79"/>
      <c r="AK98" s="372"/>
      <c r="AL98" s="79"/>
      <c r="AM98" s="372"/>
      <c r="AN98" s="79"/>
      <c r="AO98" s="372"/>
      <c r="AP98" s="102"/>
      <c r="AQ98" s="110"/>
    </row>
    <row r="99" spans="1:43" ht="15.75" x14ac:dyDescent="0.25">
      <c r="A99" s="331" t="s">
        <v>120</v>
      </c>
      <c r="B99" s="69">
        <f t="shared" si="16"/>
        <v>0</v>
      </c>
      <c r="C99" s="88">
        <f t="shared" si="17"/>
        <v>900</v>
      </c>
      <c r="D99" s="71"/>
      <c r="E99" s="72"/>
      <c r="F99" s="71"/>
      <c r="G99" s="72"/>
      <c r="H99" s="73"/>
      <c r="I99" s="72"/>
      <c r="J99" s="73"/>
      <c r="K99" s="72"/>
      <c r="L99" s="73"/>
      <c r="M99" s="72"/>
      <c r="N99" s="108"/>
      <c r="O99" s="82"/>
      <c r="P99" s="73"/>
      <c r="Q99" s="77"/>
      <c r="R99" s="78"/>
      <c r="S99" s="77"/>
      <c r="T99" s="78">
        <v>4</v>
      </c>
      <c r="U99" s="77">
        <v>360</v>
      </c>
      <c r="V99" s="78">
        <v>3</v>
      </c>
      <c r="W99" s="77">
        <v>270</v>
      </c>
      <c r="X99" s="99">
        <v>3</v>
      </c>
      <c r="Y99" s="100">
        <v>270</v>
      </c>
      <c r="Z99" s="78"/>
      <c r="AA99" s="77"/>
      <c r="AB99" s="79"/>
      <c r="AC99" s="101"/>
      <c r="AD99" s="79"/>
      <c r="AE99" s="372"/>
      <c r="AF99" s="79"/>
      <c r="AG99" s="372"/>
      <c r="AH99" s="79"/>
      <c r="AI99" s="372"/>
      <c r="AJ99" s="79"/>
      <c r="AK99" s="372"/>
      <c r="AL99" s="79"/>
      <c r="AM99" s="372"/>
      <c r="AN99" s="79"/>
      <c r="AO99" s="372"/>
      <c r="AP99" s="102"/>
      <c r="AQ99" s="110"/>
    </row>
    <row r="100" spans="1:43" ht="15.75" x14ac:dyDescent="0.25">
      <c r="A100" s="109" t="s">
        <v>150</v>
      </c>
      <c r="B100" s="69">
        <f t="shared" si="16"/>
        <v>0</v>
      </c>
      <c r="C100" s="88">
        <f t="shared" si="17"/>
        <v>890</v>
      </c>
      <c r="D100" s="71"/>
      <c r="E100" s="72"/>
      <c r="F100" s="71"/>
      <c r="G100" s="72"/>
      <c r="H100" s="73"/>
      <c r="I100" s="72"/>
      <c r="J100" s="73"/>
      <c r="K100" s="72"/>
      <c r="L100" s="73"/>
      <c r="M100" s="72"/>
      <c r="N100" s="108"/>
      <c r="O100" s="82"/>
      <c r="P100" s="73"/>
      <c r="Q100" s="77"/>
      <c r="R100" s="78"/>
      <c r="S100" s="77"/>
      <c r="T100" s="78"/>
      <c r="U100" s="77"/>
      <c r="V100" s="78">
        <v>15</v>
      </c>
      <c r="W100" s="77">
        <v>750</v>
      </c>
      <c r="X100" s="99">
        <v>4</v>
      </c>
      <c r="Y100" s="100">
        <v>140</v>
      </c>
      <c r="Z100" s="78"/>
      <c r="AA100" s="77"/>
      <c r="AB100" s="79"/>
      <c r="AC100" s="101"/>
      <c r="AD100" s="79"/>
      <c r="AE100" s="372"/>
      <c r="AF100" s="79"/>
      <c r="AG100" s="372"/>
      <c r="AH100" s="79"/>
      <c r="AI100" s="372"/>
      <c r="AJ100" s="79"/>
      <c r="AK100" s="372"/>
      <c r="AL100" s="79"/>
      <c r="AM100" s="372"/>
      <c r="AN100" s="79"/>
      <c r="AO100" s="372"/>
      <c r="AP100" s="102"/>
      <c r="AQ100" s="110"/>
    </row>
    <row r="101" spans="1:43" ht="15.75" x14ac:dyDescent="0.25">
      <c r="A101" s="105" t="s">
        <v>151</v>
      </c>
      <c r="B101" s="69">
        <f t="shared" si="16"/>
        <v>0</v>
      </c>
      <c r="C101" s="88">
        <f t="shared" si="17"/>
        <v>150</v>
      </c>
      <c r="D101" s="71"/>
      <c r="E101" s="72"/>
      <c r="F101" s="71"/>
      <c r="G101" s="72"/>
      <c r="H101" s="73"/>
      <c r="I101" s="72"/>
      <c r="J101" s="73"/>
      <c r="K101" s="72"/>
      <c r="L101" s="73"/>
      <c r="M101" s="72"/>
      <c r="N101" s="108"/>
      <c r="O101" s="82"/>
      <c r="P101" s="73"/>
      <c r="Q101" s="77"/>
      <c r="R101" s="78">
        <v>1</v>
      </c>
      <c r="S101" s="77">
        <v>50</v>
      </c>
      <c r="T101" s="78">
        <v>2</v>
      </c>
      <c r="U101" s="77">
        <v>100</v>
      </c>
      <c r="V101" s="78"/>
      <c r="W101" s="77"/>
      <c r="X101" s="99"/>
      <c r="Y101" s="100"/>
      <c r="Z101" s="78"/>
      <c r="AA101" s="77"/>
      <c r="AB101" s="79"/>
      <c r="AC101" s="101"/>
      <c r="AD101" s="79"/>
      <c r="AE101" s="372"/>
      <c r="AF101" s="79"/>
      <c r="AG101" s="372"/>
      <c r="AH101" s="79"/>
      <c r="AI101" s="372"/>
      <c r="AJ101" s="79"/>
      <c r="AK101" s="372"/>
      <c r="AL101" s="79"/>
      <c r="AM101" s="372"/>
      <c r="AN101" s="79"/>
      <c r="AO101" s="372"/>
      <c r="AP101" s="102"/>
      <c r="AQ101" s="110"/>
    </row>
    <row r="102" spans="1:43" ht="15.75" x14ac:dyDescent="0.25">
      <c r="A102" s="331" t="s">
        <v>152</v>
      </c>
      <c r="B102" s="69">
        <f t="shared" si="16"/>
        <v>0</v>
      </c>
      <c r="C102" s="88">
        <f t="shared" si="17"/>
        <v>200</v>
      </c>
      <c r="D102" s="71"/>
      <c r="E102" s="72"/>
      <c r="F102" s="71"/>
      <c r="G102" s="72"/>
      <c r="H102" s="73"/>
      <c r="I102" s="72"/>
      <c r="J102" s="73"/>
      <c r="K102" s="72"/>
      <c r="L102" s="73"/>
      <c r="M102" s="72"/>
      <c r="N102" s="108"/>
      <c r="O102" s="82"/>
      <c r="P102" s="73"/>
      <c r="Q102" s="77"/>
      <c r="R102" s="78"/>
      <c r="S102" s="77"/>
      <c r="T102" s="78">
        <v>5</v>
      </c>
      <c r="U102" s="77">
        <v>200</v>
      </c>
      <c r="V102" s="78"/>
      <c r="W102" s="77"/>
      <c r="X102" s="99"/>
      <c r="Y102" s="100"/>
      <c r="Z102" s="78"/>
      <c r="AA102" s="77"/>
      <c r="AB102" s="79"/>
      <c r="AC102" s="101"/>
      <c r="AD102" s="79"/>
      <c r="AE102" s="372"/>
      <c r="AF102" s="79"/>
      <c r="AG102" s="372"/>
      <c r="AH102" s="79"/>
      <c r="AI102" s="372"/>
      <c r="AJ102" s="79"/>
      <c r="AK102" s="372"/>
      <c r="AL102" s="79"/>
      <c r="AM102" s="372"/>
      <c r="AN102" s="79"/>
      <c r="AO102" s="372"/>
      <c r="AP102" s="102"/>
      <c r="AQ102" s="110"/>
    </row>
    <row r="103" spans="1:43" ht="15.75" x14ac:dyDescent="0.25">
      <c r="A103" s="109" t="s">
        <v>153</v>
      </c>
      <c r="B103" s="69">
        <f t="shared" si="16"/>
        <v>0</v>
      </c>
      <c r="C103" s="88">
        <f t="shared" si="17"/>
        <v>80</v>
      </c>
      <c r="D103" s="71"/>
      <c r="E103" s="72"/>
      <c r="F103" s="71"/>
      <c r="G103" s="72"/>
      <c r="H103" s="73"/>
      <c r="I103" s="72"/>
      <c r="J103" s="73"/>
      <c r="K103" s="72"/>
      <c r="L103" s="73"/>
      <c r="M103" s="72"/>
      <c r="N103" s="108"/>
      <c r="O103" s="82"/>
      <c r="P103" s="73"/>
      <c r="Q103" s="77"/>
      <c r="R103" s="78"/>
      <c r="S103" s="77"/>
      <c r="T103" s="78"/>
      <c r="U103" s="77"/>
      <c r="V103" s="78">
        <v>2</v>
      </c>
      <c r="W103" s="77">
        <v>80</v>
      </c>
      <c r="X103" s="99"/>
      <c r="Y103" s="100"/>
      <c r="Z103" s="78"/>
      <c r="AA103" s="77"/>
      <c r="AB103" s="79"/>
      <c r="AC103" s="101"/>
      <c r="AD103" s="79"/>
      <c r="AE103" s="372"/>
      <c r="AF103" s="79"/>
      <c r="AG103" s="372"/>
      <c r="AH103" s="79"/>
      <c r="AI103" s="372"/>
      <c r="AJ103" s="79"/>
      <c r="AK103" s="372"/>
      <c r="AL103" s="79"/>
      <c r="AM103" s="372"/>
      <c r="AN103" s="79"/>
      <c r="AO103" s="372"/>
      <c r="AP103" s="102"/>
      <c r="AQ103" s="110"/>
    </row>
    <row r="104" spans="1:43" ht="25.5" x14ac:dyDescent="0.25">
      <c r="A104" s="105" t="s">
        <v>154</v>
      </c>
      <c r="B104" s="69">
        <f t="shared" si="16"/>
        <v>0</v>
      </c>
      <c r="C104" s="88">
        <f t="shared" si="17"/>
        <v>0</v>
      </c>
      <c r="D104" s="71"/>
      <c r="E104" s="72"/>
      <c r="F104" s="71"/>
      <c r="G104" s="72"/>
      <c r="H104" s="73"/>
      <c r="I104" s="72"/>
      <c r="J104" s="73"/>
      <c r="K104" s="72"/>
      <c r="L104" s="73"/>
      <c r="M104" s="72"/>
      <c r="N104" s="108"/>
      <c r="O104" s="82"/>
      <c r="P104" s="73"/>
      <c r="Q104" s="77"/>
      <c r="R104" s="78"/>
      <c r="S104" s="77"/>
      <c r="T104" s="78"/>
      <c r="U104" s="77"/>
      <c r="V104" s="78"/>
      <c r="W104" s="77"/>
      <c r="X104" s="99"/>
      <c r="Y104" s="100"/>
      <c r="Z104" s="78"/>
      <c r="AA104" s="77"/>
      <c r="AB104" s="79"/>
      <c r="AC104" s="101"/>
      <c r="AD104" s="79"/>
      <c r="AE104" s="372"/>
      <c r="AF104" s="79"/>
      <c r="AG104" s="372"/>
      <c r="AH104" s="79"/>
      <c r="AI104" s="372"/>
      <c r="AJ104" s="79"/>
      <c r="AK104" s="372"/>
      <c r="AL104" s="79"/>
      <c r="AM104" s="372"/>
      <c r="AN104" s="79"/>
      <c r="AO104" s="372"/>
      <c r="AP104" s="102"/>
      <c r="AQ104" s="110"/>
    </row>
    <row r="105" spans="1:43" ht="25.5" x14ac:dyDescent="0.25">
      <c r="A105" s="105" t="s">
        <v>155</v>
      </c>
      <c r="B105" s="69">
        <f t="shared" si="16"/>
        <v>0</v>
      </c>
      <c r="C105" s="88">
        <f t="shared" si="17"/>
        <v>0</v>
      </c>
      <c r="D105" s="71"/>
      <c r="E105" s="72"/>
      <c r="F105" s="71"/>
      <c r="G105" s="72"/>
      <c r="H105" s="73"/>
      <c r="I105" s="72"/>
      <c r="J105" s="73"/>
      <c r="K105" s="72"/>
      <c r="L105" s="73"/>
      <c r="M105" s="72"/>
      <c r="N105" s="108"/>
      <c r="O105" s="82"/>
      <c r="P105" s="73"/>
      <c r="Q105" s="77"/>
      <c r="R105" s="78"/>
      <c r="S105" s="77"/>
      <c r="T105" s="78"/>
      <c r="U105" s="77"/>
      <c r="V105" s="78"/>
      <c r="W105" s="77"/>
      <c r="X105" s="99"/>
      <c r="Y105" s="100"/>
      <c r="Z105" s="78"/>
      <c r="AA105" s="77"/>
      <c r="AB105" s="79"/>
      <c r="AC105" s="101"/>
      <c r="AD105" s="79"/>
      <c r="AE105" s="372"/>
      <c r="AF105" s="79"/>
      <c r="AG105" s="372"/>
      <c r="AH105" s="79"/>
      <c r="AI105" s="372"/>
      <c r="AJ105" s="79"/>
      <c r="AK105" s="372"/>
      <c r="AL105" s="79"/>
      <c r="AM105" s="372"/>
      <c r="AN105" s="79"/>
      <c r="AO105" s="372"/>
      <c r="AP105" s="102"/>
      <c r="AQ105" s="110"/>
    </row>
    <row r="106" spans="1:43" ht="15.75" x14ac:dyDescent="0.25">
      <c r="A106" s="105" t="s">
        <v>156</v>
      </c>
      <c r="B106" s="69">
        <f t="shared" si="16"/>
        <v>0</v>
      </c>
      <c r="C106" s="88">
        <f t="shared" si="17"/>
        <v>15</v>
      </c>
      <c r="D106" s="71"/>
      <c r="E106" s="72"/>
      <c r="F106" s="71"/>
      <c r="G106" s="72"/>
      <c r="H106" s="73"/>
      <c r="I106" s="72"/>
      <c r="J106" s="73"/>
      <c r="K106" s="72"/>
      <c r="L106" s="73"/>
      <c r="M106" s="72"/>
      <c r="N106" s="108"/>
      <c r="O106" s="82"/>
      <c r="P106" s="73"/>
      <c r="Q106" s="77"/>
      <c r="R106" s="78"/>
      <c r="S106" s="77"/>
      <c r="T106" s="78">
        <v>1</v>
      </c>
      <c r="U106" s="77">
        <v>15</v>
      </c>
      <c r="V106" s="78"/>
      <c r="W106" s="77"/>
      <c r="X106" s="99"/>
      <c r="Y106" s="100"/>
      <c r="Z106" s="78"/>
      <c r="AA106" s="77"/>
      <c r="AB106" s="79"/>
      <c r="AC106" s="101"/>
      <c r="AD106" s="79"/>
      <c r="AE106" s="372"/>
      <c r="AF106" s="79"/>
      <c r="AG106" s="372"/>
      <c r="AH106" s="79"/>
      <c r="AI106" s="372"/>
      <c r="AJ106" s="79"/>
      <c r="AK106" s="372"/>
      <c r="AL106" s="79"/>
      <c r="AM106" s="372"/>
      <c r="AN106" s="79"/>
      <c r="AO106" s="372"/>
      <c r="AP106" s="102"/>
      <c r="AQ106" s="110"/>
    </row>
    <row r="107" spans="1:43" ht="15.75" x14ac:dyDescent="0.25">
      <c r="A107" s="105" t="s">
        <v>157</v>
      </c>
      <c r="B107" s="69">
        <f t="shared" si="16"/>
        <v>0</v>
      </c>
      <c r="C107" s="88">
        <f t="shared" si="17"/>
        <v>0</v>
      </c>
      <c r="D107" s="71"/>
      <c r="E107" s="72"/>
      <c r="F107" s="71"/>
      <c r="G107" s="72"/>
      <c r="H107" s="73"/>
      <c r="I107" s="72"/>
      <c r="J107" s="73"/>
      <c r="K107" s="72"/>
      <c r="L107" s="73"/>
      <c r="M107" s="72"/>
      <c r="N107" s="108"/>
      <c r="O107" s="82"/>
      <c r="P107" s="73"/>
      <c r="Q107" s="77"/>
      <c r="R107" s="78"/>
      <c r="S107" s="77"/>
      <c r="T107" s="78"/>
      <c r="U107" s="77"/>
      <c r="V107" s="78"/>
      <c r="W107" s="77"/>
      <c r="X107" s="99"/>
      <c r="Y107" s="100"/>
      <c r="Z107" s="78"/>
      <c r="AA107" s="77"/>
      <c r="AB107" s="79"/>
      <c r="AC107" s="101"/>
      <c r="AD107" s="79"/>
      <c r="AE107" s="372"/>
      <c r="AF107" s="79"/>
      <c r="AG107" s="372"/>
      <c r="AH107" s="79"/>
      <c r="AI107" s="372"/>
      <c r="AJ107" s="79"/>
      <c r="AK107" s="372"/>
      <c r="AL107" s="79"/>
      <c r="AM107" s="372"/>
      <c r="AN107" s="79"/>
      <c r="AO107" s="372"/>
      <c r="AP107" s="102"/>
      <c r="AQ107" s="110"/>
    </row>
    <row r="108" spans="1:43" ht="15.75" x14ac:dyDescent="0.25">
      <c r="A108" s="105" t="s">
        <v>158</v>
      </c>
      <c r="B108" s="69">
        <f t="shared" si="16"/>
        <v>0</v>
      </c>
      <c r="C108" s="88">
        <f t="shared" si="17"/>
        <v>370.61999999999995</v>
      </c>
      <c r="D108" s="71"/>
      <c r="E108" s="72"/>
      <c r="F108" s="71">
        <v>1</v>
      </c>
      <c r="G108" s="72">
        <v>55.91</v>
      </c>
      <c r="H108" s="73"/>
      <c r="I108" s="72"/>
      <c r="J108" s="73"/>
      <c r="K108" s="72"/>
      <c r="L108" s="73">
        <v>2</v>
      </c>
      <c r="M108" s="72">
        <v>95.88</v>
      </c>
      <c r="N108" s="108">
        <v>1</v>
      </c>
      <c r="O108" s="82">
        <v>100</v>
      </c>
      <c r="P108" s="73">
        <v>1</v>
      </c>
      <c r="Q108" s="77">
        <v>28</v>
      </c>
      <c r="R108" s="78"/>
      <c r="S108" s="77">
        <f>-28</f>
        <v>-28</v>
      </c>
      <c r="T108" s="78"/>
      <c r="U108" s="77"/>
      <c r="V108" s="78">
        <v>2</v>
      </c>
      <c r="W108" s="77">
        <v>118.83</v>
      </c>
      <c r="X108" s="99"/>
      <c r="Y108" s="100"/>
      <c r="Z108" s="78"/>
      <c r="AA108" s="77"/>
      <c r="AB108" s="79"/>
      <c r="AC108" s="101"/>
      <c r="AD108" s="79"/>
      <c r="AE108" s="372"/>
      <c r="AF108" s="79"/>
      <c r="AG108" s="372"/>
      <c r="AH108" s="79"/>
      <c r="AI108" s="372"/>
      <c r="AJ108" s="79"/>
      <c r="AK108" s="372"/>
      <c r="AL108" s="79"/>
      <c r="AM108" s="372"/>
      <c r="AN108" s="79"/>
      <c r="AO108" s="372"/>
      <c r="AP108" s="102"/>
      <c r="AQ108" s="110"/>
    </row>
    <row r="109" spans="1:43" ht="15.75" x14ac:dyDescent="0.25">
      <c r="A109" s="105" t="s">
        <v>159</v>
      </c>
      <c r="B109" s="69">
        <f t="shared" si="16"/>
        <v>0</v>
      </c>
      <c r="C109" s="88">
        <f t="shared" si="17"/>
        <v>160</v>
      </c>
      <c r="D109" s="71">
        <v>15</v>
      </c>
      <c r="E109" s="72">
        <v>150</v>
      </c>
      <c r="F109" s="71"/>
      <c r="G109" s="72"/>
      <c r="H109" s="73"/>
      <c r="I109" s="72"/>
      <c r="J109" s="73"/>
      <c r="K109" s="72"/>
      <c r="L109" s="73"/>
      <c r="M109" s="72"/>
      <c r="N109" s="108"/>
      <c r="O109" s="82"/>
      <c r="P109" s="73"/>
      <c r="Q109" s="77"/>
      <c r="R109" s="78"/>
      <c r="S109" s="77"/>
      <c r="T109" s="78"/>
      <c r="U109" s="77"/>
      <c r="V109" s="78"/>
      <c r="W109" s="77"/>
      <c r="X109" s="99"/>
      <c r="Y109" s="100"/>
      <c r="Z109" s="78">
        <v>1</v>
      </c>
      <c r="AA109" s="77">
        <v>10</v>
      </c>
      <c r="AB109" s="79"/>
      <c r="AC109" s="101"/>
      <c r="AD109" s="79"/>
      <c r="AE109" s="372"/>
      <c r="AF109" s="79"/>
      <c r="AG109" s="372"/>
      <c r="AH109" s="79"/>
      <c r="AI109" s="372"/>
      <c r="AJ109" s="79"/>
      <c r="AK109" s="372"/>
      <c r="AL109" s="79"/>
      <c r="AM109" s="372"/>
      <c r="AN109" s="79"/>
      <c r="AO109" s="372"/>
      <c r="AP109" s="102"/>
      <c r="AQ109" s="110"/>
    </row>
    <row r="110" spans="1:43" ht="15.75" x14ac:dyDescent="0.25">
      <c r="A110" s="105" t="s">
        <v>160</v>
      </c>
      <c r="B110" s="69">
        <f t="shared" si="16"/>
        <v>0</v>
      </c>
      <c r="C110" s="88">
        <f t="shared" si="17"/>
        <v>116.20000000000002</v>
      </c>
      <c r="D110" s="71"/>
      <c r="E110" s="72"/>
      <c r="F110" s="71"/>
      <c r="G110" s="72"/>
      <c r="H110" s="73">
        <v>1</v>
      </c>
      <c r="I110" s="72">
        <v>12.81</v>
      </c>
      <c r="J110" s="73">
        <v>1</v>
      </c>
      <c r="K110" s="72">
        <v>12.08</v>
      </c>
      <c r="L110" s="73">
        <v>1</v>
      </c>
      <c r="M110" s="72">
        <v>7.98</v>
      </c>
      <c r="N110" s="108">
        <v>1</v>
      </c>
      <c r="O110" s="82">
        <v>18.899999999999999</v>
      </c>
      <c r="P110" s="73"/>
      <c r="Q110" s="77"/>
      <c r="R110" s="78">
        <v>1</v>
      </c>
      <c r="S110" s="77">
        <v>8.19</v>
      </c>
      <c r="T110" s="78">
        <v>1</v>
      </c>
      <c r="U110" s="77">
        <v>14.52</v>
      </c>
      <c r="V110" s="78">
        <v>1</v>
      </c>
      <c r="W110" s="77">
        <v>14.01</v>
      </c>
      <c r="X110" s="99">
        <v>1</v>
      </c>
      <c r="Y110" s="100">
        <v>15.18</v>
      </c>
      <c r="Z110" s="78">
        <v>1</v>
      </c>
      <c r="AA110" s="77">
        <v>12.53</v>
      </c>
      <c r="AB110" s="79"/>
      <c r="AC110" s="101"/>
      <c r="AD110" s="79"/>
      <c r="AE110" s="372"/>
      <c r="AF110" s="79"/>
      <c r="AG110" s="372"/>
      <c r="AH110" s="79"/>
      <c r="AI110" s="372"/>
      <c r="AJ110" s="79"/>
      <c r="AK110" s="372"/>
      <c r="AL110" s="79"/>
      <c r="AM110" s="372"/>
      <c r="AN110" s="79"/>
      <c r="AO110" s="372"/>
      <c r="AP110" s="102"/>
      <c r="AQ110" s="110"/>
    </row>
    <row r="111" spans="1:43" ht="15.75" x14ac:dyDescent="0.25">
      <c r="A111" s="105" t="s">
        <v>161</v>
      </c>
      <c r="B111" s="69">
        <f t="shared" si="16"/>
        <v>0</v>
      </c>
      <c r="C111" s="88">
        <f t="shared" si="17"/>
        <v>246059.55000000002</v>
      </c>
      <c r="D111" s="71">
        <v>288</v>
      </c>
      <c r="E111" s="72">
        <v>25370.07</v>
      </c>
      <c r="F111" s="71">
        <v>284</v>
      </c>
      <c r="G111" s="72">
        <v>27203.22</v>
      </c>
      <c r="H111" s="73">
        <v>282</v>
      </c>
      <c r="I111" s="72">
        <v>23409.87</v>
      </c>
      <c r="J111" s="73">
        <v>238</v>
      </c>
      <c r="K111" s="72">
        <v>20854.349999999999</v>
      </c>
      <c r="L111" s="73">
        <v>238</v>
      </c>
      <c r="M111" s="72">
        <v>21003.18</v>
      </c>
      <c r="N111" s="108">
        <v>234</v>
      </c>
      <c r="O111" s="82">
        <v>22418.880000000001</v>
      </c>
      <c r="P111" s="73">
        <v>234</v>
      </c>
      <c r="Q111" s="77">
        <v>22916.19</v>
      </c>
      <c r="R111" s="78">
        <v>232</v>
      </c>
      <c r="S111" s="77">
        <v>17852.34</v>
      </c>
      <c r="T111" s="78">
        <v>202</v>
      </c>
      <c r="U111" s="77">
        <v>16683.48</v>
      </c>
      <c r="V111" s="78">
        <v>203</v>
      </c>
      <c r="W111" s="77">
        <v>15434.76</v>
      </c>
      <c r="X111" s="99"/>
      <c r="Y111" s="100"/>
      <c r="Z111" s="78">
        <v>205</v>
      </c>
      <c r="AA111" s="77">
        <v>32913.21</v>
      </c>
      <c r="AB111" s="79"/>
      <c r="AC111" s="101"/>
      <c r="AD111" s="79"/>
      <c r="AE111" s="372"/>
      <c r="AF111" s="79"/>
      <c r="AG111" s="372"/>
      <c r="AH111" s="79"/>
      <c r="AI111" s="372"/>
      <c r="AJ111" s="79"/>
      <c r="AK111" s="372"/>
      <c r="AL111" s="79"/>
      <c r="AM111" s="372"/>
      <c r="AN111" s="79"/>
      <c r="AO111" s="372"/>
      <c r="AP111" s="102"/>
      <c r="AQ111" s="110"/>
    </row>
    <row r="112" spans="1:43" ht="25.5" x14ac:dyDescent="0.25">
      <c r="A112" s="105" t="s">
        <v>162</v>
      </c>
      <c r="B112" s="69">
        <f t="shared" si="16"/>
        <v>0</v>
      </c>
      <c r="C112" s="88">
        <f t="shared" si="17"/>
        <v>600</v>
      </c>
      <c r="D112" s="71"/>
      <c r="E112" s="72"/>
      <c r="F112" s="71"/>
      <c r="G112" s="72"/>
      <c r="H112" s="73">
        <v>1</v>
      </c>
      <c r="I112" s="72">
        <v>200</v>
      </c>
      <c r="J112" s="73"/>
      <c r="K112" s="72"/>
      <c r="L112" s="73">
        <v>1</v>
      </c>
      <c r="M112" s="72">
        <v>200</v>
      </c>
      <c r="N112" s="108">
        <v>1</v>
      </c>
      <c r="O112" s="82">
        <v>200</v>
      </c>
      <c r="P112" s="73"/>
      <c r="Q112" s="77"/>
      <c r="R112" s="78"/>
      <c r="S112" s="77"/>
      <c r="T112" s="78"/>
      <c r="U112" s="77"/>
      <c r="V112" s="78"/>
      <c r="W112" s="77"/>
      <c r="X112" s="99"/>
      <c r="Y112" s="100"/>
      <c r="Z112" s="78"/>
      <c r="AA112" s="77"/>
      <c r="AB112" s="79"/>
      <c r="AC112" s="101"/>
      <c r="AD112" s="79"/>
      <c r="AE112" s="372"/>
      <c r="AF112" s="79"/>
      <c r="AG112" s="372"/>
      <c r="AH112" s="79"/>
      <c r="AI112" s="372"/>
      <c r="AJ112" s="79"/>
      <c r="AK112" s="372"/>
      <c r="AL112" s="79"/>
      <c r="AM112" s="372"/>
      <c r="AN112" s="79"/>
      <c r="AO112" s="372"/>
      <c r="AP112" s="102"/>
      <c r="AQ112" s="110"/>
    </row>
    <row r="113" spans="1:43" ht="25.5" x14ac:dyDescent="0.25">
      <c r="A113" s="331" t="s">
        <v>163</v>
      </c>
      <c r="B113" s="69">
        <f t="shared" si="16"/>
        <v>0</v>
      </c>
      <c r="C113" s="88">
        <f t="shared" si="17"/>
        <v>220</v>
      </c>
      <c r="D113" s="71"/>
      <c r="E113" s="72"/>
      <c r="F113" s="71"/>
      <c r="G113" s="72"/>
      <c r="H113" s="73"/>
      <c r="I113" s="72"/>
      <c r="J113" s="73"/>
      <c r="K113" s="72"/>
      <c r="L113" s="73"/>
      <c r="M113" s="72"/>
      <c r="N113" s="108"/>
      <c r="O113" s="82"/>
      <c r="P113" s="73"/>
      <c r="Q113" s="77"/>
      <c r="R113" s="78"/>
      <c r="S113" s="77"/>
      <c r="T113" s="78"/>
      <c r="U113" s="77"/>
      <c r="V113" s="78">
        <v>2</v>
      </c>
      <c r="W113" s="77">
        <v>110</v>
      </c>
      <c r="X113" s="99">
        <v>2</v>
      </c>
      <c r="Y113" s="100">
        <v>110</v>
      </c>
      <c r="Z113" s="78"/>
      <c r="AA113" s="77"/>
      <c r="AB113" s="79"/>
      <c r="AC113" s="101"/>
      <c r="AD113" s="79"/>
      <c r="AE113" s="372"/>
      <c r="AF113" s="79"/>
      <c r="AG113" s="372"/>
      <c r="AH113" s="79"/>
      <c r="AI113" s="372"/>
      <c r="AJ113" s="79"/>
      <c r="AK113" s="372"/>
      <c r="AL113" s="79"/>
      <c r="AM113" s="372"/>
      <c r="AN113" s="79"/>
      <c r="AO113" s="372"/>
      <c r="AP113" s="102"/>
      <c r="AQ113" s="110"/>
    </row>
    <row r="114" spans="1:43" ht="15.75" x14ac:dyDescent="0.25">
      <c r="A114" s="105" t="s">
        <v>164</v>
      </c>
      <c r="B114" s="69">
        <f t="shared" si="16"/>
        <v>0</v>
      </c>
      <c r="C114" s="88">
        <f t="shared" si="17"/>
        <v>300</v>
      </c>
      <c r="D114" s="71"/>
      <c r="E114" s="72"/>
      <c r="F114" s="71"/>
      <c r="G114" s="72"/>
      <c r="H114" s="73">
        <v>2</v>
      </c>
      <c r="I114" s="72">
        <v>200</v>
      </c>
      <c r="J114" s="73"/>
      <c r="K114" s="72"/>
      <c r="L114" s="73"/>
      <c r="M114" s="72"/>
      <c r="N114" s="108"/>
      <c r="O114" s="82"/>
      <c r="P114" s="73"/>
      <c r="Q114" s="77"/>
      <c r="R114" s="78"/>
      <c r="S114" s="77"/>
      <c r="T114" s="78">
        <v>1</v>
      </c>
      <c r="U114" s="77">
        <v>100</v>
      </c>
      <c r="V114" s="78"/>
      <c r="W114" s="77"/>
      <c r="X114" s="99"/>
      <c r="Y114" s="100"/>
      <c r="Z114" s="78"/>
      <c r="AA114" s="77"/>
      <c r="AB114" s="79"/>
      <c r="AC114" s="101"/>
      <c r="AD114" s="79"/>
      <c r="AE114" s="372"/>
      <c r="AF114" s="79"/>
      <c r="AG114" s="372"/>
      <c r="AH114" s="79"/>
      <c r="AI114" s="372"/>
      <c r="AJ114" s="79"/>
      <c r="AK114" s="372"/>
      <c r="AL114" s="79"/>
      <c r="AM114" s="372"/>
      <c r="AN114" s="79"/>
      <c r="AO114" s="372"/>
      <c r="AP114" s="102"/>
      <c r="AQ114" s="110"/>
    </row>
    <row r="115" spans="1:43" ht="15.75" x14ac:dyDescent="0.25">
      <c r="A115" s="105" t="s">
        <v>165</v>
      </c>
      <c r="B115" s="69">
        <f t="shared" si="16"/>
        <v>0</v>
      </c>
      <c r="C115" s="88">
        <f t="shared" si="17"/>
        <v>792.2</v>
      </c>
      <c r="D115" s="71">
        <v>1</v>
      </c>
      <c r="E115" s="72">
        <v>700.2</v>
      </c>
      <c r="F115" s="71"/>
      <c r="G115" s="72"/>
      <c r="H115" s="73"/>
      <c r="I115" s="72"/>
      <c r="J115" s="73"/>
      <c r="K115" s="72"/>
      <c r="L115" s="73"/>
      <c r="M115" s="72"/>
      <c r="N115" s="108">
        <v>1</v>
      </c>
      <c r="O115" s="82">
        <v>92</v>
      </c>
      <c r="P115" s="73"/>
      <c r="Q115" s="77"/>
      <c r="R115" s="78"/>
      <c r="S115" s="77"/>
      <c r="T115" s="78"/>
      <c r="U115" s="77"/>
      <c r="V115" s="78"/>
      <c r="W115" s="77"/>
      <c r="X115" s="99"/>
      <c r="Y115" s="100"/>
      <c r="Z115" s="78"/>
      <c r="AA115" s="77"/>
      <c r="AB115" s="79"/>
      <c r="AC115" s="101"/>
      <c r="AD115" s="79"/>
      <c r="AE115" s="372"/>
      <c r="AF115" s="79"/>
      <c r="AG115" s="372"/>
      <c r="AH115" s="79"/>
      <c r="AI115" s="372"/>
      <c r="AJ115" s="79"/>
      <c r="AK115" s="372"/>
      <c r="AL115" s="79"/>
      <c r="AM115" s="372"/>
      <c r="AN115" s="79"/>
      <c r="AO115" s="372"/>
      <c r="AP115" s="102"/>
      <c r="AQ115" s="110"/>
    </row>
    <row r="116" spans="1:43" ht="15.75" x14ac:dyDescent="0.25">
      <c r="A116" s="105" t="s">
        <v>166</v>
      </c>
      <c r="B116" s="69">
        <f t="shared" si="16"/>
        <v>0</v>
      </c>
      <c r="C116" s="88">
        <f t="shared" si="17"/>
        <v>892.17000000000007</v>
      </c>
      <c r="D116" s="71"/>
      <c r="E116" s="72"/>
      <c r="F116" s="71"/>
      <c r="G116" s="72"/>
      <c r="H116" s="73"/>
      <c r="I116" s="72"/>
      <c r="J116" s="73"/>
      <c r="K116" s="72"/>
      <c r="L116" s="73">
        <v>1</v>
      </c>
      <c r="M116" s="72">
        <v>28.59</v>
      </c>
      <c r="N116" s="108">
        <v>1</v>
      </c>
      <c r="O116" s="82">
        <v>29.33</v>
      </c>
      <c r="P116" s="73">
        <v>1</v>
      </c>
      <c r="Q116" s="77">
        <v>28.55</v>
      </c>
      <c r="R116" s="78">
        <v>5</v>
      </c>
      <c r="S116" s="77">
        <v>750</v>
      </c>
      <c r="T116" s="78"/>
      <c r="U116" s="77"/>
      <c r="V116" s="78"/>
      <c r="W116" s="77"/>
      <c r="X116" s="99">
        <v>1</v>
      </c>
      <c r="Y116" s="100">
        <v>30</v>
      </c>
      <c r="Z116" s="78">
        <v>1</v>
      </c>
      <c r="AA116" s="77">
        <v>25.7</v>
      </c>
      <c r="AB116" s="79"/>
      <c r="AC116" s="101"/>
      <c r="AD116" s="79"/>
      <c r="AE116" s="372"/>
      <c r="AF116" s="79"/>
      <c r="AG116" s="372"/>
      <c r="AH116" s="79"/>
      <c r="AI116" s="372"/>
      <c r="AJ116" s="79"/>
      <c r="AK116" s="372"/>
      <c r="AL116" s="79"/>
      <c r="AM116" s="372"/>
      <c r="AN116" s="79"/>
      <c r="AO116" s="372"/>
      <c r="AP116" s="102"/>
      <c r="AQ116" s="110"/>
    </row>
    <row r="117" spans="1:43" ht="15.75" x14ac:dyDescent="0.25">
      <c r="A117" s="105" t="s">
        <v>167</v>
      </c>
      <c r="B117" s="69">
        <f t="shared" si="16"/>
        <v>0</v>
      </c>
      <c r="C117" s="88">
        <f t="shared" si="17"/>
        <v>145.19999999999999</v>
      </c>
      <c r="D117" s="71"/>
      <c r="E117" s="72"/>
      <c r="F117" s="71"/>
      <c r="G117" s="72"/>
      <c r="H117" s="73">
        <v>1</v>
      </c>
      <c r="I117" s="72">
        <v>29.04</v>
      </c>
      <c r="J117" s="73"/>
      <c r="K117" s="72"/>
      <c r="L117" s="73"/>
      <c r="M117" s="72"/>
      <c r="N117" s="108"/>
      <c r="O117" s="82"/>
      <c r="P117" s="73"/>
      <c r="Q117" s="77"/>
      <c r="R117" s="78"/>
      <c r="S117" s="77"/>
      <c r="T117" s="78"/>
      <c r="U117" s="77"/>
      <c r="V117" s="78"/>
      <c r="W117" s="77"/>
      <c r="X117" s="99"/>
      <c r="Y117" s="100"/>
      <c r="Z117" s="78">
        <v>8</v>
      </c>
      <c r="AA117" s="77">
        <v>116.16</v>
      </c>
      <c r="AB117" s="79"/>
      <c r="AC117" s="101"/>
      <c r="AD117" s="79"/>
      <c r="AE117" s="372"/>
      <c r="AF117" s="79"/>
      <c r="AG117" s="372"/>
      <c r="AH117" s="79"/>
      <c r="AI117" s="372"/>
      <c r="AJ117" s="79"/>
      <c r="AK117" s="372"/>
      <c r="AL117" s="79"/>
      <c r="AM117" s="372"/>
      <c r="AN117" s="79"/>
      <c r="AO117" s="372"/>
      <c r="AP117" s="102"/>
      <c r="AQ117" s="110"/>
    </row>
    <row r="118" spans="1:43" ht="15.75" x14ac:dyDescent="0.25">
      <c r="A118" s="105" t="s">
        <v>168</v>
      </c>
      <c r="B118" s="69">
        <f t="shared" si="16"/>
        <v>0</v>
      </c>
      <c r="C118" s="88">
        <f t="shared" si="17"/>
        <v>0</v>
      </c>
      <c r="D118" s="71"/>
      <c r="E118" s="72"/>
      <c r="F118" s="71"/>
      <c r="G118" s="72"/>
      <c r="H118" s="73"/>
      <c r="I118" s="72"/>
      <c r="J118" s="73"/>
      <c r="K118" s="72"/>
      <c r="L118" s="73"/>
      <c r="M118" s="72"/>
      <c r="N118" s="108"/>
      <c r="O118" s="82"/>
      <c r="P118" s="73"/>
      <c r="Q118" s="77"/>
      <c r="R118" s="78"/>
      <c r="S118" s="77"/>
      <c r="T118" s="78"/>
      <c r="U118" s="77"/>
      <c r="V118" s="78"/>
      <c r="W118" s="77"/>
      <c r="X118" s="99"/>
      <c r="Y118" s="100"/>
      <c r="Z118" s="78"/>
      <c r="AA118" s="77"/>
      <c r="AB118" s="79"/>
      <c r="AC118" s="101"/>
      <c r="AD118" s="79"/>
      <c r="AE118" s="372"/>
      <c r="AF118" s="79"/>
      <c r="AG118" s="372"/>
      <c r="AH118" s="79"/>
      <c r="AI118" s="372"/>
      <c r="AJ118" s="79"/>
      <c r="AK118" s="372"/>
      <c r="AL118" s="79"/>
      <c r="AM118" s="372"/>
      <c r="AN118" s="79"/>
      <c r="AO118" s="372"/>
      <c r="AP118" s="102"/>
      <c r="AQ118" s="110"/>
    </row>
    <row r="119" spans="1:43" ht="15.75" x14ac:dyDescent="0.25">
      <c r="A119" s="105" t="s">
        <v>169</v>
      </c>
      <c r="B119" s="69">
        <f t="shared" si="16"/>
        <v>0</v>
      </c>
      <c r="C119" s="88">
        <f t="shared" si="17"/>
        <v>280</v>
      </c>
      <c r="D119" s="71">
        <v>1</v>
      </c>
      <c r="E119" s="72">
        <v>200</v>
      </c>
      <c r="F119" s="71"/>
      <c r="G119" s="72"/>
      <c r="H119" s="73">
        <v>1</v>
      </c>
      <c r="I119" s="72">
        <v>80</v>
      </c>
      <c r="J119" s="73"/>
      <c r="K119" s="72"/>
      <c r="L119" s="73"/>
      <c r="M119" s="72"/>
      <c r="N119" s="108"/>
      <c r="O119" s="82"/>
      <c r="P119" s="73"/>
      <c r="Q119" s="77"/>
      <c r="R119" s="78"/>
      <c r="S119" s="77"/>
      <c r="T119" s="78"/>
      <c r="U119" s="77"/>
      <c r="V119" s="78"/>
      <c r="W119" s="77"/>
      <c r="X119" s="99"/>
      <c r="Y119" s="100"/>
      <c r="Z119" s="78"/>
      <c r="AA119" s="77"/>
      <c r="AB119" s="79"/>
      <c r="AC119" s="101"/>
      <c r="AD119" s="79"/>
      <c r="AE119" s="372"/>
      <c r="AF119" s="79"/>
      <c r="AG119" s="372"/>
      <c r="AH119" s="79"/>
      <c r="AI119" s="372"/>
      <c r="AJ119" s="79"/>
      <c r="AK119" s="372"/>
      <c r="AL119" s="79"/>
      <c r="AM119" s="372"/>
      <c r="AN119" s="79"/>
      <c r="AO119" s="372"/>
      <c r="AP119" s="102"/>
      <c r="AQ119" s="110"/>
    </row>
    <row r="120" spans="1:43" ht="15.75" x14ac:dyDescent="0.25">
      <c r="A120" s="105" t="s">
        <v>170</v>
      </c>
      <c r="B120" s="69">
        <f t="shared" si="16"/>
        <v>0</v>
      </c>
      <c r="C120" s="88">
        <f t="shared" si="17"/>
        <v>5858.0700000000006</v>
      </c>
      <c r="D120" s="71">
        <v>6</v>
      </c>
      <c r="E120" s="72">
        <v>450.64</v>
      </c>
      <c r="F120" s="71">
        <v>7</v>
      </c>
      <c r="G120" s="72">
        <v>641.53</v>
      </c>
      <c r="H120" s="73">
        <v>2</v>
      </c>
      <c r="I120" s="72">
        <v>236.2</v>
      </c>
      <c r="J120" s="73">
        <v>4</v>
      </c>
      <c r="K120" s="72">
        <v>390.65</v>
      </c>
      <c r="L120" s="73">
        <v>9</v>
      </c>
      <c r="M120" s="72">
        <v>796</v>
      </c>
      <c r="N120" s="108">
        <v>7</v>
      </c>
      <c r="O120" s="82">
        <v>823</v>
      </c>
      <c r="P120" s="73">
        <v>7</v>
      </c>
      <c r="Q120" s="77">
        <v>670</v>
      </c>
      <c r="R120" s="78">
        <v>4</v>
      </c>
      <c r="S120" s="77">
        <v>313</v>
      </c>
      <c r="T120" s="78">
        <v>4</v>
      </c>
      <c r="U120" s="77">
        <v>238</v>
      </c>
      <c r="V120" s="78">
        <v>2</v>
      </c>
      <c r="W120" s="77">
        <v>365.5</v>
      </c>
      <c r="X120" s="99">
        <v>5</v>
      </c>
      <c r="Y120" s="100">
        <v>408.55</v>
      </c>
      <c r="Z120" s="78">
        <v>7</v>
      </c>
      <c r="AA120" s="77">
        <v>525</v>
      </c>
      <c r="AB120" s="79"/>
      <c r="AC120" s="101"/>
      <c r="AD120" s="79"/>
      <c r="AE120" s="372"/>
      <c r="AF120" s="79"/>
      <c r="AG120" s="372"/>
      <c r="AH120" s="79"/>
      <c r="AI120" s="372"/>
      <c r="AJ120" s="79"/>
      <c r="AK120" s="372"/>
      <c r="AL120" s="79"/>
      <c r="AM120" s="372"/>
      <c r="AN120" s="79"/>
      <c r="AO120" s="372"/>
      <c r="AP120" s="102"/>
      <c r="AQ120" s="110"/>
    </row>
    <row r="121" spans="1:43" ht="15.75" x14ac:dyDescent="0.25">
      <c r="A121" s="331" t="s">
        <v>171</v>
      </c>
      <c r="B121" s="69">
        <f t="shared" si="16"/>
        <v>0</v>
      </c>
      <c r="C121" s="88">
        <f t="shared" si="17"/>
        <v>90</v>
      </c>
      <c r="D121" s="71"/>
      <c r="E121" s="72"/>
      <c r="F121" s="71"/>
      <c r="G121" s="72"/>
      <c r="H121" s="73"/>
      <c r="I121" s="72"/>
      <c r="J121" s="73"/>
      <c r="K121" s="72"/>
      <c r="L121" s="73"/>
      <c r="M121" s="72"/>
      <c r="N121" s="108"/>
      <c r="O121" s="82"/>
      <c r="P121" s="73"/>
      <c r="Q121" s="77"/>
      <c r="R121" s="78"/>
      <c r="S121" s="77"/>
      <c r="T121" s="78"/>
      <c r="U121" s="77"/>
      <c r="V121" s="78"/>
      <c r="W121" s="77"/>
      <c r="X121" s="99">
        <v>1</v>
      </c>
      <c r="Y121" s="100">
        <v>90</v>
      </c>
      <c r="Z121" s="78"/>
      <c r="AA121" s="77"/>
      <c r="AB121" s="79"/>
      <c r="AC121" s="101"/>
      <c r="AD121" s="79"/>
      <c r="AE121" s="372"/>
      <c r="AF121" s="79"/>
      <c r="AG121" s="372"/>
      <c r="AH121" s="79"/>
      <c r="AI121" s="372"/>
      <c r="AJ121" s="79"/>
      <c r="AK121" s="372"/>
      <c r="AL121" s="79"/>
      <c r="AM121" s="372"/>
      <c r="AN121" s="79"/>
      <c r="AO121" s="372"/>
      <c r="AP121" s="102"/>
      <c r="AQ121" s="110"/>
    </row>
    <row r="122" spans="1:43" ht="15.75" x14ac:dyDescent="0.25">
      <c r="A122" s="105" t="s">
        <v>172</v>
      </c>
      <c r="B122" s="69">
        <f t="shared" si="16"/>
        <v>0</v>
      </c>
      <c r="C122" s="88">
        <f t="shared" si="17"/>
        <v>0</v>
      </c>
      <c r="D122" s="71"/>
      <c r="E122" s="72"/>
      <c r="F122" s="71"/>
      <c r="G122" s="72"/>
      <c r="H122" s="73"/>
      <c r="I122" s="72"/>
      <c r="J122" s="73"/>
      <c r="K122" s="72"/>
      <c r="L122" s="73"/>
      <c r="M122" s="72"/>
      <c r="N122" s="108"/>
      <c r="O122" s="82"/>
      <c r="P122" s="73"/>
      <c r="Q122" s="77"/>
      <c r="R122" s="78"/>
      <c r="S122" s="77"/>
      <c r="T122" s="78"/>
      <c r="U122" s="77"/>
      <c r="V122" s="78"/>
      <c r="W122" s="77"/>
      <c r="X122" s="99"/>
      <c r="Y122" s="100"/>
      <c r="Z122" s="78"/>
      <c r="AA122" s="77"/>
      <c r="AB122" s="79"/>
      <c r="AC122" s="101"/>
      <c r="AD122" s="79"/>
      <c r="AE122" s="372"/>
      <c r="AF122" s="79"/>
      <c r="AG122" s="372"/>
      <c r="AH122" s="79"/>
      <c r="AI122" s="372"/>
      <c r="AJ122" s="79"/>
      <c r="AK122" s="372"/>
      <c r="AL122" s="79"/>
      <c r="AM122" s="372"/>
      <c r="AN122" s="79"/>
      <c r="AO122" s="372"/>
      <c r="AP122" s="102"/>
      <c r="AQ122" s="110"/>
    </row>
    <row r="123" spans="1:43" ht="15.75" x14ac:dyDescent="0.25">
      <c r="A123" s="105" t="s">
        <v>173</v>
      </c>
      <c r="B123" s="69">
        <f t="shared" si="16"/>
        <v>0</v>
      </c>
      <c r="C123" s="88">
        <f t="shared" si="17"/>
        <v>9900</v>
      </c>
      <c r="D123" s="71">
        <v>9</v>
      </c>
      <c r="E123" s="72">
        <v>675</v>
      </c>
      <c r="F123" s="71">
        <v>9</v>
      </c>
      <c r="G123" s="72">
        <v>675</v>
      </c>
      <c r="H123" s="73">
        <v>14</v>
      </c>
      <c r="I123" s="72">
        <v>1050</v>
      </c>
      <c r="J123" s="73">
        <v>11</v>
      </c>
      <c r="K123" s="72">
        <v>825</v>
      </c>
      <c r="L123" s="73">
        <v>7</v>
      </c>
      <c r="M123" s="72">
        <v>525</v>
      </c>
      <c r="N123" s="108">
        <v>18</v>
      </c>
      <c r="O123" s="82">
        <v>1350</v>
      </c>
      <c r="P123" s="73">
        <v>5</v>
      </c>
      <c r="Q123" s="77">
        <v>375</v>
      </c>
      <c r="R123" s="78">
        <v>15</v>
      </c>
      <c r="S123" s="77">
        <v>1125</v>
      </c>
      <c r="T123" s="78">
        <v>16</v>
      </c>
      <c r="U123" s="77">
        <v>1200</v>
      </c>
      <c r="V123" s="78">
        <v>15</v>
      </c>
      <c r="W123" s="77">
        <v>1125</v>
      </c>
      <c r="X123" s="99">
        <v>8</v>
      </c>
      <c r="Y123" s="100">
        <v>600</v>
      </c>
      <c r="Z123" s="78">
        <v>5</v>
      </c>
      <c r="AA123" s="77">
        <v>375</v>
      </c>
      <c r="AB123" s="79"/>
      <c r="AC123" s="101"/>
      <c r="AD123" s="79"/>
      <c r="AE123" s="372"/>
      <c r="AF123" s="79"/>
      <c r="AG123" s="372"/>
      <c r="AH123" s="79"/>
      <c r="AI123" s="372"/>
      <c r="AJ123" s="79"/>
      <c r="AK123" s="372"/>
      <c r="AL123" s="79"/>
      <c r="AM123" s="372"/>
      <c r="AN123" s="79"/>
      <c r="AO123" s="372"/>
      <c r="AP123" s="102"/>
      <c r="AQ123" s="110"/>
    </row>
    <row r="124" spans="1:43" ht="25.5" x14ac:dyDescent="0.25">
      <c r="A124" s="105" t="s">
        <v>174</v>
      </c>
      <c r="B124" s="69">
        <f t="shared" si="16"/>
        <v>0</v>
      </c>
      <c r="C124" s="88">
        <f t="shared" si="17"/>
        <v>5572.35</v>
      </c>
      <c r="D124" s="71">
        <v>2</v>
      </c>
      <c r="E124" s="72">
        <v>447.18</v>
      </c>
      <c r="F124" s="71">
        <v>3</v>
      </c>
      <c r="G124" s="72">
        <v>485.45</v>
      </c>
      <c r="H124" s="73">
        <v>3</v>
      </c>
      <c r="I124" s="72">
        <v>514.91999999999996</v>
      </c>
      <c r="J124" s="73">
        <v>3</v>
      </c>
      <c r="K124" s="72">
        <v>406.52</v>
      </c>
      <c r="L124" s="73">
        <v>3</v>
      </c>
      <c r="M124" s="72">
        <v>406.52</v>
      </c>
      <c r="N124" s="108">
        <v>3</v>
      </c>
      <c r="O124" s="82">
        <v>406.52</v>
      </c>
      <c r="P124" s="73">
        <v>3</v>
      </c>
      <c r="Q124" s="77">
        <v>406.52</v>
      </c>
      <c r="R124" s="78">
        <v>3</v>
      </c>
      <c r="S124" s="77">
        <v>406.52</v>
      </c>
      <c r="T124" s="78">
        <v>2</v>
      </c>
      <c r="U124" s="77">
        <v>325.22000000000003</v>
      </c>
      <c r="V124" s="78">
        <v>2</v>
      </c>
      <c r="W124" s="77">
        <v>325.22000000000003</v>
      </c>
      <c r="X124" s="99">
        <v>3</v>
      </c>
      <c r="Y124" s="100">
        <v>574.54</v>
      </c>
      <c r="Z124" s="78">
        <v>3</v>
      </c>
      <c r="AA124" s="77">
        <v>867.22</v>
      </c>
      <c r="AB124" s="79"/>
      <c r="AC124" s="101"/>
      <c r="AD124" s="79"/>
      <c r="AE124" s="372"/>
      <c r="AF124" s="79"/>
      <c r="AG124" s="372"/>
      <c r="AH124" s="79"/>
      <c r="AI124" s="372"/>
      <c r="AJ124" s="79"/>
      <c r="AK124" s="372"/>
      <c r="AL124" s="79"/>
      <c r="AM124" s="372"/>
      <c r="AN124" s="79"/>
      <c r="AO124" s="372"/>
      <c r="AP124" s="102"/>
      <c r="AQ124" s="110"/>
    </row>
    <row r="125" spans="1:43" ht="25.5" x14ac:dyDescent="0.25">
      <c r="A125" s="105" t="s">
        <v>175</v>
      </c>
      <c r="B125" s="69">
        <f t="shared" si="16"/>
        <v>0</v>
      </c>
      <c r="C125" s="88">
        <f t="shared" si="17"/>
        <v>890.42000000000007</v>
      </c>
      <c r="D125" s="71"/>
      <c r="E125" s="72"/>
      <c r="F125" s="71"/>
      <c r="G125" s="72"/>
      <c r="H125" s="73"/>
      <c r="I125" s="72"/>
      <c r="J125" s="73"/>
      <c r="K125" s="72"/>
      <c r="L125" s="73"/>
      <c r="M125" s="72"/>
      <c r="N125" s="108">
        <v>1</v>
      </c>
      <c r="O125" s="82">
        <v>700.7</v>
      </c>
      <c r="P125" s="73"/>
      <c r="Q125" s="77"/>
      <c r="R125" s="78"/>
      <c r="S125" s="77"/>
      <c r="T125" s="78"/>
      <c r="U125" s="77"/>
      <c r="V125" s="78"/>
      <c r="W125" s="77"/>
      <c r="X125" s="99">
        <v>1</v>
      </c>
      <c r="Y125" s="100">
        <v>189.72</v>
      </c>
      <c r="Z125" s="78"/>
      <c r="AA125" s="77"/>
      <c r="AB125" s="79"/>
      <c r="AC125" s="101"/>
      <c r="AD125" s="79"/>
      <c r="AE125" s="372"/>
      <c r="AF125" s="79"/>
      <c r="AG125" s="372"/>
      <c r="AH125" s="79"/>
      <c r="AI125" s="372"/>
      <c r="AJ125" s="79"/>
      <c r="AK125" s="372"/>
      <c r="AL125" s="79"/>
      <c r="AM125" s="372"/>
      <c r="AN125" s="79"/>
      <c r="AO125" s="372"/>
      <c r="AP125" s="102"/>
      <c r="AQ125" s="110"/>
    </row>
    <row r="126" spans="1:43" ht="25.5" x14ac:dyDescent="0.25">
      <c r="A126" s="105" t="s">
        <v>176</v>
      </c>
      <c r="B126" s="69">
        <f t="shared" si="16"/>
        <v>0</v>
      </c>
      <c r="C126" s="88">
        <f t="shared" si="17"/>
        <v>360.84000000000003</v>
      </c>
      <c r="D126" s="71"/>
      <c r="E126" s="72"/>
      <c r="F126" s="71"/>
      <c r="G126" s="72"/>
      <c r="H126" s="73"/>
      <c r="I126" s="72"/>
      <c r="J126" s="73"/>
      <c r="K126" s="72"/>
      <c r="L126" s="73"/>
      <c r="M126" s="72"/>
      <c r="N126" s="108">
        <v>1</v>
      </c>
      <c r="O126" s="82">
        <v>25.77</v>
      </c>
      <c r="P126" s="73">
        <v>6</v>
      </c>
      <c r="Q126" s="77">
        <v>51.55</v>
      </c>
      <c r="R126" s="78">
        <v>6</v>
      </c>
      <c r="S126" s="77">
        <v>51.55</v>
      </c>
      <c r="T126" s="78">
        <v>6</v>
      </c>
      <c r="U126" s="77">
        <v>51.55</v>
      </c>
      <c r="V126" s="78">
        <v>6</v>
      </c>
      <c r="W126" s="77">
        <v>51.55</v>
      </c>
      <c r="X126" s="99">
        <v>5</v>
      </c>
      <c r="Y126" s="100">
        <v>42.96</v>
      </c>
      <c r="Z126" s="78">
        <v>10</v>
      </c>
      <c r="AA126" s="77">
        <v>85.91</v>
      </c>
      <c r="AB126" s="79"/>
      <c r="AC126" s="101"/>
      <c r="AD126" s="79"/>
      <c r="AE126" s="372"/>
      <c r="AF126" s="79"/>
      <c r="AG126" s="372"/>
      <c r="AH126" s="79"/>
      <c r="AI126" s="372"/>
      <c r="AJ126" s="79"/>
      <c r="AK126" s="372"/>
      <c r="AL126" s="79"/>
      <c r="AM126" s="372"/>
      <c r="AN126" s="79"/>
      <c r="AO126" s="372"/>
      <c r="AP126" s="102"/>
      <c r="AQ126" s="110"/>
    </row>
    <row r="127" spans="1:43" ht="25.5" x14ac:dyDescent="0.25">
      <c r="A127" s="331" t="s">
        <v>177</v>
      </c>
      <c r="B127" s="69">
        <f t="shared" si="16"/>
        <v>0</v>
      </c>
      <c r="C127" s="88">
        <f t="shared" si="17"/>
        <v>2561.5</v>
      </c>
      <c r="D127" s="71"/>
      <c r="E127" s="72"/>
      <c r="F127" s="71"/>
      <c r="G127" s="72"/>
      <c r="H127" s="73"/>
      <c r="I127" s="72"/>
      <c r="J127" s="73"/>
      <c r="K127" s="72"/>
      <c r="L127" s="73"/>
      <c r="M127" s="72"/>
      <c r="N127" s="108"/>
      <c r="O127" s="82"/>
      <c r="P127" s="73"/>
      <c r="Q127" s="77"/>
      <c r="R127" s="78">
        <v>1</v>
      </c>
      <c r="S127" s="77">
        <v>272.5</v>
      </c>
      <c r="T127" s="78">
        <v>1</v>
      </c>
      <c r="U127" s="77">
        <v>599.5</v>
      </c>
      <c r="V127" s="78"/>
      <c r="W127" s="77"/>
      <c r="X127" s="99">
        <v>1</v>
      </c>
      <c r="Y127" s="100">
        <v>1689.5</v>
      </c>
      <c r="Z127" s="78"/>
      <c r="AA127" s="77"/>
      <c r="AB127" s="79"/>
      <c r="AC127" s="101"/>
      <c r="AD127" s="79"/>
      <c r="AE127" s="372"/>
      <c r="AF127" s="79"/>
      <c r="AG127" s="372"/>
      <c r="AH127" s="79"/>
      <c r="AI127" s="372"/>
      <c r="AJ127" s="79"/>
      <c r="AK127" s="372"/>
      <c r="AL127" s="79"/>
      <c r="AM127" s="372"/>
      <c r="AN127" s="79"/>
      <c r="AO127" s="372"/>
      <c r="AP127" s="102"/>
      <c r="AQ127" s="110"/>
    </row>
    <row r="128" spans="1:43" ht="25.5" x14ac:dyDescent="0.25">
      <c r="A128" s="332" t="s">
        <v>178</v>
      </c>
      <c r="B128" s="69">
        <f t="shared" si="16"/>
        <v>0</v>
      </c>
      <c r="C128" s="88">
        <f t="shared" si="17"/>
        <v>587.94000000000005</v>
      </c>
      <c r="D128" s="71"/>
      <c r="E128" s="72"/>
      <c r="F128" s="71"/>
      <c r="G128" s="72"/>
      <c r="H128" s="73"/>
      <c r="I128" s="72"/>
      <c r="J128" s="73"/>
      <c r="K128" s="72"/>
      <c r="L128" s="73"/>
      <c r="M128" s="72"/>
      <c r="N128" s="108"/>
      <c r="O128" s="82"/>
      <c r="P128" s="73"/>
      <c r="Q128" s="77"/>
      <c r="R128" s="78">
        <v>1</v>
      </c>
      <c r="S128" s="77">
        <v>480.06</v>
      </c>
      <c r="T128" s="78">
        <v>2</v>
      </c>
      <c r="U128" s="77">
        <v>107.88</v>
      </c>
      <c r="V128" s="78"/>
      <c r="W128" s="77"/>
      <c r="X128" s="99"/>
      <c r="Y128" s="100"/>
      <c r="Z128" s="78"/>
      <c r="AA128" s="77"/>
      <c r="AB128" s="79"/>
      <c r="AC128" s="101"/>
      <c r="AD128" s="79"/>
      <c r="AE128" s="372"/>
      <c r="AF128" s="79"/>
      <c r="AG128" s="372"/>
      <c r="AH128" s="79"/>
      <c r="AI128" s="372"/>
      <c r="AJ128" s="79"/>
      <c r="AK128" s="372"/>
      <c r="AL128" s="79"/>
      <c r="AM128" s="372"/>
      <c r="AN128" s="79"/>
      <c r="AO128" s="372"/>
      <c r="AP128" s="102"/>
      <c r="AQ128" s="110"/>
    </row>
    <row r="129" spans="1:43" ht="15.75" x14ac:dyDescent="0.25">
      <c r="A129" s="98" t="s">
        <v>179</v>
      </c>
      <c r="B129" s="69">
        <f t="shared" si="16"/>
        <v>0</v>
      </c>
      <c r="C129" s="88">
        <f t="shared" si="17"/>
        <v>0</v>
      </c>
      <c r="D129" s="71"/>
      <c r="E129" s="72"/>
      <c r="F129" s="71"/>
      <c r="G129" s="72"/>
      <c r="H129" s="73"/>
      <c r="I129" s="72"/>
      <c r="J129" s="73"/>
      <c r="K129" s="72"/>
      <c r="L129" s="73"/>
      <c r="M129" s="72"/>
      <c r="N129" s="108"/>
      <c r="O129" s="82"/>
      <c r="P129" s="73"/>
      <c r="Q129" s="77"/>
      <c r="R129" s="78"/>
      <c r="S129" s="77"/>
      <c r="T129" s="78"/>
      <c r="U129" s="77"/>
      <c r="V129" s="78"/>
      <c r="W129" s="77"/>
      <c r="X129" s="99"/>
      <c r="Y129" s="100"/>
      <c r="Z129" s="78"/>
      <c r="AA129" s="77"/>
      <c r="AB129" s="79"/>
      <c r="AC129" s="101"/>
      <c r="AD129" s="79"/>
      <c r="AE129" s="372"/>
      <c r="AF129" s="79"/>
      <c r="AG129" s="372"/>
      <c r="AH129" s="79"/>
      <c r="AI129" s="372"/>
      <c r="AJ129" s="79"/>
      <c r="AK129" s="372"/>
      <c r="AL129" s="79"/>
      <c r="AM129" s="372"/>
      <c r="AN129" s="79"/>
      <c r="AO129" s="372"/>
      <c r="AP129" s="102"/>
      <c r="AQ129" s="110"/>
    </row>
    <row r="130" spans="1:43" ht="38.25" x14ac:dyDescent="0.25">
      <c r="A130" s="98" t="s">
        <v>180</v>
      </c>
      <c r="B130" s="69">
        <f t="shared" si="16"/>
        <v>0</v>
      </c>
      <c r="C130" s="88">
        <f t="shared" si="17"/>
        <v>416.5</v>
      </c>
      <c r="D130" s="71">
        <v>1</v>
      </c>
      <c r="E130" s="72">
        <v>416.5</v>
      </c>
      <c r="F130" s="71"/>
      <c r="G130" s="72"/>
      <c r="H130" s="73"/>
      <c r="I130" s="72"/>
      <c r="J130" s="73"/>
      <c r="K130" s="72"/>
      <c r="L130" s="73"/>
      <c r="M130" s="72"/>
      <c r="N130" s="108"/>
      <c r="O130" s="82"/>
      <c r="P130" s="73"/>
      <c r="Q130" s="77"/>
      <c r="R130" s="78"/>
      <c r="S130" s="77"/>
      <c r="T130" s="78"/>
      <c r="U130" s="77"/>
      <c r="V130" s="78"/>
      <c r="W130" s="77"/>
      <c r="X130" s="99"/>
      <c r="Y130" s="100"/>
      <c r="Z130" s="78"/>
      <c r="AA130" s="77"/>
      <c r="AB130" s="79"/>
      <c r="AC130" s="101"/>
      <c r="AD130" s="79"/>
      <c r="AE130" s="372"/>
      <c r="AF130" s="79"/>
      <c r="AG130" s="372"/>
      <c r="AH130" s="79"/>
      <c r="AI130" s="372"/>
      <c r="AJ130" s="79"/>
      <c r="AK130" s="372"/>
      <c r="AL130" s="79"/>
      <c r="AM130" s="372"/>
      <c r="AN130" s="79"/>
      <c r="AO130" s="372"/>
      <c r="AP130" s="102"/>
      <c r="AQ130" s="110"/>
    </row>
    <row r="131" spans="1:43" ht="25.5" x14ac:dyDescent="0.25">
      <c r="A131" s="98" t="s">
        <v>181</v>
      </c>
      <c r="B131" s="69">
        <f t="shared" si="16"/>
        <v>0</v>
      </c>
      <c r="C131" s="88">
        <f t="shared" si="17"/>
        <v>1389.09</v>
      </c>
      <c r="D131" s="71">
        <v>1</v>
      </c>
      <c r="E131" s="72">
        <v>205.43</v>
      </c>
      <c r="F131" s="71">
        <v>3</v>
      </c>
      <c r="G131" s="72">
        <v>123.54</v>
      </c>
      <c r="H131" s="73"/>
      <c r="I131" s="72"/>
      <c r="J131" s="73"/>
      <c r="K131" s="72"/>
      <c r="L131" s="73"/>
      <c r="M131" s="72"/>
      <c r="N131" s="108">
        <v>2</v>
      </c>
      <c r="O131" s="82">
        <v>210.59</v>
      </c>
      <c r="P131" s="73">
        <v>1</v>
      </c>
      <c r="Q131" s="77">
        <v>111.52</v>
      </c>
      <c r="R131" s="78">
        <v>1</v>
      </c>
      <c r="S131" s="77">
        <v>173.42</v>
      </c>
      <c r="T131" s="78"/>
      <c r="U131" s="77"/>
      <c r="V131" s="78">
        <v>2</v>
      </c>
      <c r="W131" s="77">
        <v>274.55</v>
      </c>
      <c r="X131" s="99">
        <v>2</v>
      </c>
      <c r="Y131" s="100">
        <v>290.04000000000002</v>
      </c>
      <c r="Z131" s="78"/>
      <c r="AA131" s="77"/>
      <c r="AB131" s="79"/>
      <c r="AC131" s="101"/>
      <c r="AD131" s="79"/>
      <c r="AE131" s="372"/>
      <c r="AF131" s="79"/>
      <c r="AG131" s="372"/>
      <c r="AH131" s="79"/>
      <c r="AI131" s="372"/>
      <c r="AJ131" s="79"/>
      <c r="AK131" s="372"/>
      <c r="AL131" s="79"/>
      <c r="AM131" s="372"/>
      <c r="AN131" s="79"/>
      <c r="AO131" s="372"/>
      <c r="AP131" s="102"/>
      <c r="AQ131" s="110"/>
    </row>
    <row r="132" spans="1:43" ht="15.75" x14ac:dyDescent="0.25">
      <c r="A132" s="98" t="s">
        <v>182</v>
      </c>
      <c r="B132" s="69">
        <f t="shared" si="16"/>
        <v>0</v>
      </c>
      <c r="C132" s="88">
        <f t="shared" si="17"/>
        <v>3106.09</v>
      </c>
      <c r="D132" s="71"/>
      <c r="E132" s="72"/>
      <c r="F132" s="71">
        <v>8</v>
      </c>
      <c r="G132" s="72">
        <v>368.76</v>
      </c>
      <c r="H132" s="73">
        <v>8</v>
      </c>
      <c r="I132" s="72">
        <v>383.2</v>
      </c>
      <c r="J132" s="73">
        <v>8</v>
      </c>
      <c r="K132" s="72">
        <v>395.7</v>
      </c>
      <c r="L132" s="73">
        <v>6</v>
      </c>
      <c r="M132" s="72">
        <v>311.60000000000002</v>
      </c>
      <c r="N132" s="108">
        <v>7</v>
      </c>
      <c r="O132" s="82">
        <v>389.5</v>
      </c>
      <c r="P132" s="73">
        <v>7</v>
      </c>
      <c r="Q132" s="77">
        <v>577.5</v>
      </c>
      <c r="R132" s="78">
        <v>3</v>
      </c>
      <c r="S132" s="77">
        <v>137.5</v>
      </c>
      <c r="T132" s="78">
        <v>2</v>
      </c>
      <c r="U132" s="77">
        <v>216</v>
      </c>
      <c r="V132" s="78">
        <v>1</v>
      </c>
      <c r="W132" s="77">
        <v>66</v>
      </c>
      <c r="X132" s="99">
        <v>2</v>
      </c>
      <c r="Y132" s="100">
        <v>65.37</v>
      </c>
      <c r="Z132" s="78">
        <v>3</v>
      </c>
      <c r="AA132" s="77">
        <v>194.96</v>
      </c>
      <c r="AB132" s="79"/>
      <c r="AC132" s="101"/>
      <c r="AD132" s="79"/>
      <c r="AE132" s="372"/>
      <c r="AF132" s="79"/>
      <c r="AG132" s="372"/>
      <c r="AH132" s="79"/>
      <c r="AI132" s="372"/>
      <c r="AJ132" s="79"/>
      <c r="AK132" s="372"/>
      <c r="AL132" s="79"/>
      <c r="AM132" s="372"/>
      <c r="AN132" s="79"/>
      <c r="AO132" s="372"/>
      <c r="AP132" s="102"/>
      <c r="AQ132" s="110"/>
    </row>
    <row r="133" spans="1:43" ht="15.75" x14ac:dyDescent="0.25">
      <c r="A133" s="332" t="s">
        <v>183</v>
      </c>
      <c r="B133" s="69">
        <f t="shared" si="16"/>
        <v>0</v>
      </c>
      <c r="C133" s="88">
        <f t="shared" si="17"/>
        <v>1334.06</v>
      </c>
      <c r="D133" s="71"/>
      <c r="E133" s="72"/>
      <c r="F133" s="71"/>
      <c r="G133" s="72"/>
      <c r="H133" s="73"/>
      <c r="I133" s="72"/>
      <c r="J133" s="73"/>
      <c r="K133" s="72"/>
      <c r="L133" s="73"/>
      <c r="M133" s="72"/>
      <c r="N133" s="108"/>
      <c r="O133" s="82"/>
      <c r="P133" s="73"/>
      <c r="Q133" s="77"/>
      <c r="R133" s="78"/>
      <c r="S133" s="77"/>
      <c r="T133" s="78"/>
      <c r="U133" s="77"/>
      <c r="V133" s="78"/>
      <c r="W133" s="77"/>
      <c r="X133" s="99">
        <v>1</v>
      </c>
      <c r="Y133" s="100">
        <v>490.06</v>
      </c>
      <c r="Z133" s="78">
        <v>1</v>
      </c>
      <c r="AA133" s="77">
        <v>844</v>
      </c>
      <c r="AB133" s="79"/>
      <c r="AC133" s="101"/>
      <c r="AD133" s="79"/>
      <c r="AE133" s="372"/>
      <c r="AF133" s="79"/>
      <c r="AG133" s="372"/>
      <c r="AH133" s="79"/>
      <c r="AI133" s="372"/>
      <c r="AJ133" s="79"/>
      <c r="AK133" s="372"/>
      <c r="AL133" s="79"/>
      <c r="AM133" s="372"/>
      <c r="AN133" s="79"/>
      <c r="AO133" s="372"/>
      <c r="AP133" s="102"/>
      <c r="AQ133" s="110"/>
    </row>
    <row r="134" spans="1:43" ht="15.75" x14ac:dyDescent="0.25">
      <c r="A134" s="98" t="s">
        <v>184</v>
      </c>
      <c r="B134" s="69">
        <f t="shared" si="16"/>
        <v>0</v>
      </c>
      <c r="C134" s="88">
        <f t="shared" si="17"/>
        <v>100</v>
      </c>
      <c r="D134" s="71"/>
      <c r="E134" s="72"/>
      <c r="F134" s="71"/>
      <c r="G134" s="72"/>
      <c r="H134" s="73"/>
      <c r="I134" s="72"/>
      <c r="J134" s="73"/>
      <c r="K134" s="72"/>
      <c r="L134" s="73"/>
      <c r="M134" s="72"/>
      <c r="N134" s="108"/>
      <c r="O134" s="82"/>
      <c r="P134" s="73"/>
      <c r="Q134" s="77"/>
      <c r="R134" s="78">
        <v>1</v>
      </c>
      <c r="S134" s="77">
        <v>100</v>
      </c>
      <c r="T134" s="78"/>
      <c r="U134" s="77"/>
      <c r="V134" s="78"/>
      <c r="W134" s="77"/>
      <c r="X134" s="99"/>
      <c r="Y134" s="100"/>
      <c r="Z134" s="78"/>
      <c r="AA134" s="77"/>
      <c r="AB134" s="79"/>
      <c r="AC134" s="101"/>
      <c r="AD134" s="79"/>
      <c r="AE134" s="372"/>
      <c r="AF134" s="79"/>
      <c r="AG134" s="372"/>
      <c r="AH134" s="79"/>
      <c r="AI134" s="372"/>
      <c r="AJ134" s="79"/>
      <c r="AK134" s="372"/>
      <c r="AL134" s="79"/>
      <c r="AM134" s="372"/>
      <c r="AN134" s="79"/>
      <c r="AO134" s="372"/>
      <c r="AP134" s="102"/>
      <c r="AQ134" s="110"/>
    </row>
    <row r="135" spans="1:43" ht="38.25" x14ac:dyDescent="0.25">
      <c r="A135" s="98" t="s">
        <v>185</v>
      </c>
      <c r="B135" s="69">
        <f t="shared" si="16"/>
        <v>0</v>
      </c>
      <c r="C135" s="88">
        <f t="shared" si="17"/>
        <v>160</v>
      </c>
      <c r="D135" s="71"/>
      <c r="E135" s="72"/>
      <c r="F135" s="71"/>
      <c r="G135" s="72"/>
      <c r="H135" s="73">
        <v>3</v>
      </c>
      <c r="I135" s="72">
        <v>120</v>
      </c>
      <c r="J135" s="73"/>
      <c r="K135" s="72"/>
      <c r="L135" s="73"/>
      <c r="M135" s="72"/>
      <c r="N135" s="108">
        <v>1</v>
      </c>
      <c r="O135" s="82">
        <v>40</v>
      </c>
      <c r="P135" s="73"/>
      <c r="Q135" s="77"/>
      <c r="R135" s="78"/>
      <c r="S135" s="77"/>
      <c r="T135" s="78"/>
      <c r="U135" s="77"/>
      <c r="V135" s="78"/>
      <c r="W135" s="77"/>
      <c r="X135" s="99"/>
      <c r="Y135" s="100"/>
      <c r="Z135" s="78"/>
      <c r="AA135" s="77"/>
      <c r="AB135" s="79"/>
      <c r="AC135" s="101"/>
      <c r="AD135" s="79"/>
      <c r="AE135" s="372"/>
      <c r="AF135" s="79"/>
      <c r="AG135" s="372"/>
      <c r="AH135" s="79"/>
      <c r="AI135" s="372"/>
      <c r="AJ135" s="79"/>
      <c r="AK135" s="372"/>
      <c r="AL135" s="79"/>
      <c r="AM135" s="372"/>
      <c r="AN135" s="79"/>
      <c r="AO135" s="372"/>
      <c r="AP135" s="102"/>
      <c r="AQ135" s="110"/>
    </row>
    <row r="136" spans="1:43" ht="15.75" x14ac:dyDescent="0.25">
      <c r="A136" s="98" t="s">
        <v>186</v>
      </c>
      <c r="B136" s="69">
        <f t="shared" si="16"/>
        <v>0</v>
      </c>
      <c r="C136" s="88">
        <f t="shared" si="17"/>
        <v>191.12</v>
      </c>
      <c r="D136" s="71"/>
      <c r="E136" s="72"/>
      <c r="F136" s="71">
        <v>1</v>
      </c>
      <c r="G136" s="72">
        <v>27.3</v>
      </c>
      <c r="H136" s="73"/>
      <c r="I136" s="72"/>
      <c r="J136" s="73"/>
      <c r="K136" s="72"/>
      <c r="L136" s="73">
        <v>1</v>
      </c>
      <c r="M136" s="72">
        <v>21.84</v>
      </c>
      <c r="N136" s="108"/>
      <c r="O136" s="82"/>
      <c r="P136" s="73"/>
      <c r="Q136" s="77"/>
      <c r="R136" s="78"/>
      <c r="S136" s="77"/>
      <c r="T136" s="78"/>
      <c r="U136" s="77"/>
      <c r="V136" s="78"/>
      <c r="W136" s="77"/>
      <c r="X136" s="99">
        <v>2</v>
      </c>
      <c r="Y136" s="100">
        <v>78.099999999999994</v>
      </c>
      <c r="Z136" s="78">
        <v>2</v>
      </c>
      <c r="AA136" s="77">
        <v>63.88</v>
      </c>
      <c r="AB136" s="79"/>
      <c r="AC136" s="101"/>
      <c r="AD136" s="79"/>
      <c r="AE136" s="372"/>
      <c r="AF136" s="79"/>
      <c r="AG136" s="372"/>
      <c r="AH136" s="79"/>
      <c r="AI136" s="372"/>
      <c r="AJ136" s="79"/>
      <c r="AK136" s="372"/>
      <c r="AL136" s="79"/>
      <c r="AM136" s="372"/>
      <c r="AN136" s="79"/>
      <c r="AO136" s="372"/>
      <c r="AP136" s="102"/>
      <c r="AQ136" s="110"/>
    </row>
    <row r="137" spans="1:43" ht="25.5" x14ac:dyDescent="0.25">
      <c r="A137" s="98" t="s">
        <v>187</v>
      </c>
      <c r="B137" s="69">
        <f t="shared" si="16"/>
        <v>0</v>
      </c>
      <c r="C137" s="88">
        <f t="shared" si="17"/>
        <v>535.44000000000005</v>
      </c>
      <c r="D137" s="71">
        <v>1</v>
      </c>
      <c r="E137" s="72">
        <v>52.08</v>
      </c>
      <c r="F137" s="71"/>
      <c r="G137" s="72"/>
      <c r="H137" s="73"/>
      <c r="I137" s="72"/>
      <c r="J137" s="73"/>
      <c r="K137" s="72"/>
      <c r="L137" s="73">
        <v>1</v>
      </c>
      <c r="M137" s="72">
        <v>54.56</v>
      </c>
      <c r="N137" s="108">
        <v>1</v>
      </c>
      <c r="O137" s="82">
        <v>126.48</v>
      </c>
      <c r="P137" s="73">
        <v>1</v>
      </c>
      <c r="Q137" s="77">
        <v>52.08</v>
      </c>
      <c r="R137" s="78">
        <v>1</v>
      </c>
      <c r="S137" s="77">
        <v>69.92</v>
      </c>
      <c r="T137" s="78">
        <v>1</v>
      </c>
      <c r="U137" s="77">
        <v>66.239999999999995</v>
      </c>
      <c r="V137" s="78"/>
      <c r="W137" s="77"/>
      <c r="X137" s="99">
        <v>1</v>
      </c>
      <c r="Y137" s="100">
        <v>114.08</v>
      </c>
      <c r="Z137" s="78"/>
      <c r="AA137" s="77"/>
      <c r="AB137" s="79"/>
      <c r="AC137" s="101"/>
      <c r="AD137" s="79"/>
      <c r="AE137" s="372"/>
      <c r="AF137" s="79"/>
      <c r="AG137" s="372"/>
      <c r="AH137" s="79"/>
      <c r="AI137" s="372"/>
      <c r="AJ137" s="79"/>
      <c r="AK137" s="372"/>
      <c r="AL137" s="79"/>
      <c r="AM137" s="372"/>
      <c r="AN137" s="79"/>
      <c r="AO137" s="372"/>
      <c r="AP137" s="102"/>
      <c r="AQ137" s="110"/>
    </row>
    <row r="138" spans="1:43" ht="38.25" x14ac:dyDescent="0.25">
      <c r="A138" s="105" t="s">
        <v>188</v>
      </c>
      <c r="B138" s="69">
        <f t="shared" si="16"/>
        <v>0</v>
      </c>
      <c r="C138" s="88">
        <f t="shared" si="17"/>
        <v>0</v>
      </c>
      <c r="D138" s="71"/>
      <c r="E138" s="72"/>
      <c r="F138" s="71"/>
      <c r="G138" s="72"/>
      <c r="H138" s="73"/>
      <c r="I138" s="72"/>
      <c r="J138" s="73"/>
      <c r="K138" s="72"/>
      <c r="L138" s="73"/>
      <c r="M138" s="72"/>
      <c r="N138" s="108"/>
      <c r="O138" s="82"/>
      <c r="P138" s="73"/>
      <c r="Q138" s="77"/>
      <c r="R138" s="78"/>
      <c r="S138" s="77"/>
      <c r="T138" s="78"/>
      <c r="U138" s="77"/>
      <c r="V138" s="78"/>
      <c r="W138" s="77"/>
      <c r="X138" s="99"/>
      <c r="Y138" s="100"/>
      <c r="Z138" s="78"/>
      <c r="AA138" s="77"/>
      <c r="AB138" s="79"/>
      <c r="AC138" s="101"/>
      <c r="AD138" s="79"/>
      <c r="AE138" s="372"/>
      <c r="AF138" s="79"/>
      <c r="AG138" s="372"/>
      <c r="AH138" s="79"/>
      <c r="AI138" s="372"/>
      <c r="AJ138" s="79"/>
      <c r="AK138" s="372"/>
      <c r="AL138" s="79"/>
      <c r="AM138" s="372"/>
      <c r="AN138" s="79"/>
      <c r="AO138" s="372"/>
      <c r="AP138" s="102"/>
      <c r="AQ138" s="110"/>
    </row>
    <row r="139" spans="1:43" ht="102" customHeight="1" x14ac:dyDescent="0.25">
      <c r="A139" s="105" t="s">
        <v>189</v>
      </c>
      <c r="B139" s="69">
        <f t="shared" si="16"/>
        <v>0</v>
      </c>
      <c r="C139" s="88">
        <f t="shared" si="17"/>
        <v>0</v>
      </c>
      <c r="D139" s="71"/>
      <c r="E139" s="72"/>
      <c r="F139" s="71"/>
      <c r="G139" s="72"/>
      <c r="H139" s="73"/>
      <c r="I139" s="72"/>
      <c r="J139" s="73"/>
      <c r="K139" s="72"/>
      <c r="L139" s="73"/>
      <c r="M139" s="72"/>
      <c r="N139" s="108"/>
      <c r="O139" s="82"/>
      <c r="P139" s="73"/>
      <c r="Q139" s="77"/>
      <c r="R139" s="78"/>
      <c r="S139" s="77"/>
      <c r="T139" s="78"/>
      <c r="U139" s="77"/>
      <c r="V139" s="78"/>
      <c r="W139" s="77"/>
      <c r="X139" s="99"/>
      <c r="Y139" s="100"/>
      <c r="Z139" s="78"/>
      <c r="AA139" s="77"/>
      <c r="AB139" s="79"/>
      <c r="AC139" s="101"/>
      <c r="AD139" s="79"/>
      <c r="AE139" s="372"/>
      <c r="AF139" s="79"/>
      <c r="AG139" s="372"/>
      <c r="AH139" s="79"/>
      <c r="AI139" s="372"/>
      <c r="AJ139" s="79"/>
      <c r="AK139" s="372"/>
      <c r="AL139" s="79"/>
      <c r="AM139" s="372"/>
      <c r="AN139" s="79"/>
      <c r="AO139" s="372"/>
      <c r="AP139" s="102"/>
      <c r="AQ139" s="110"/>
    </row>
    <row r="140" spans="1:43" ht="89.25" x14ac:dyDescent="0.25">
      <c r="A140" s="105" t="s">
        <v>190</v>
      </c>
      <c r="B140" s="69">
        <f t="shared" si="16"/>
        <v>0</v>
      </c>
      <c r="C140" s="88">
        <f t="shared" si="17"/>
        <v>0</v>
      </c>
      <c r="D140" s="71"/>
      <c r="E140" s="72"/>
      <c r="F140" s="71"/>
      <c r="G140" s="72"/>
      <c r="H140" s="73"/>
      <c r="I140" s="72"/>
      <c r="J140" s="73"/>
      <c r="K140" s="72"/>
      <c r="L140" s="73"/>
      <c r="M140" s="72"/>
      <c r="N140" s="108"/>
      <c r="O140" s="82"/>
      <c r="P140" s="73"/>
      <c r="Q140" s="77"/>
      <c r="R140" s="78"/>
      <c r="S140" s="77"/>
      <c r="T140" s="78"/>
      <c r="U140" s="77"/>
      <c r="V140" s="78"/>
      <c r="W140" s="77"/>
      <c r="X140" s="99"/>
      <c r="Y140" s="100"/>
      <c r="Z140" s="78"/>
      <c r="AA140" s="77"/>
      <c r="AB140" s="79"/>
      <c r="AC140" s="101"/>
      <c r="AD140" s="79"/>
      <c r="AE140" s="372"/>
      <c r="AF140" s="79"/>
      <c r="AG140" s="372"/>
      <c r="AH140" s="79"/>
      <c r="AI140" s="372"/>
      <c r="AJ140" s="79"/>
      <c r="AK140" s="372"/>
      <c r="AL140" s="79"/>
      <c r="AM140" s="372"/>
      <c r="AN140" s="79"/>
      <c r="AO140" s="372"/>
      <c r="AP140" s="102"/>
      <c r="AQ140" s="110"/>
    </row>
    <row r="141" spans="1:43" ht="15.75" x14ac:dyDescent="0.25">
      <c r="A141" s="105" t="s">
        <v>191</v>
      </c>
      <c r="B141" s="69">
        <f t="shared" si="16"/>
        <v>0</v>
      </c>
      <c r="C141" s="88">
        <f t="shared" si="17"/>
        <v>76.650000000000006</v>
      </c>
      <c r="D141" s="71">
        <v>1</v>
      </c>
      <c r="E141" s="72">
        <v>76.650000000000006</v>
      </c>
      <c r="F141" s="71"/>
      <c r="G141" s="72"/>
      <c r="H141" s="73"/>
      <c r="I141" s="72"/>
      <c r="J141" s="73"/>
      <c r="K141" s="72"/>
      <c r="L141" s="73"/>
      <c r="M141" s="72"/>
      <c r="N141" s="108"/>
      <c r="O141" s="82"/>
      <c r="P141" s="73"/>
      <c r="Q141" s="77"/>
      <c r="R141" s="78"/>
      <c r="S141" s="77"/>
      <c r="T141" s="78"/>
      <c r="U141" s="77"/>
      <c r="V141" s="78"/>
      <c r="W141" s="77"/>
      <c r="X141" s="99"/>
      <c r="Y141" s="100"/>
      <c r="Z141" s="78"/>
      <c r="AA141" s="77"/>
      <c r="AB141" s="79"/>
      <c r="AC141" s="101"/>
      <c r="AD141" s="79"/>
      <c r="AE141" s="372"/>
      <c r="AF141" s="79"/>
      <c r="AG141" s="372"/>
      <c r="AH141" s="79"/>
      <c r="AI141" s="372"/>
      <c r="AJ141" s="79"/>
      <c r="AK141" s="372"/>
      <c r="AL141" s="79"/>
      <c r="AM141" s="372"/>
      <c r="AN141" s="79"/>
      <c r="AO141" s="372"/>
      <c r="AP141" s="102"/>
      <c r="AQ141" s="110"/>
    </row>
    <row r="142" spans="1:43" ht="15.75" x14ac:dyDescent="0.25">
      <c r="A142" s="105" t="s">
        <v>192</v>
      </c>
      <c r="B142" s="69">
        <f t="shared" si="16"/>
        <v>0</v>
      </c>
      <c r="C142" s="88">
        <f t="shared" si="17"/>
        <v>0</v>
      </c>
      <c r="D142" s="71"/>
      <c r="E142" s="72"/>
      <c r="F142" s="71"/>
      <c r="G142" s="72"/>
      <c r="H142" s="73"/>
      <c r="I142" s="72"/>
      <c r="J142" s="73"/>
      <c r="K142" s="72"/>
      <c r="L142" s="73"/>
      <c r="M142" s="72"/>
      <c r="N142" s="108"/>
      <c r="O142" s="82"/>
      <c r="P142" s="73"/>
      <c r="Q142" s="77"/>
      <c r="R142" s="78"/>
      <c r="S142" s="77"/>
      <c r="T142" s="78"/>
      <c r="U142" s="77"/>
      <c r="V142" s="78"/>
      <c r="W142" s="77"/>
      <c r="X142" s="99"/>
      <c r="Y142" s="100"/>
      <c r="Z142" s="78"/>
      <c r="AA142" s="77"/>
      <c r="AB142" s="79"/>
      <c r="AC142" s="101"/>
      <c r="AD142" s="79"/>
      <c r="AE142" s="372"/>
      <c r="AF142" s="79"/>
      <c r="AG142" s="372"/>
      <c r="AH142" s="79"/>
      <c r="AI142" s="372"/>
      <c r="AJ142" s="79"/>
      <c r="AK142" s="372"/>
      <c r="AL142" s="79"/>
      <c r="AM142" s="372"/>
      <c r="AN142" s="79"/>
      <c r="AO142" s="372"/>
      <c r="AP142" s="102"/>
      <c r="AQ142" s="110"/>
    </row>
    <row r="143" spans="1:43" ht="15.75" x14ac:dyDescent="0.25">
      <c r="A143" s="105" t="s">
        <v>193</v>
      </c>
      <c r="B143" s="69">
        <f t="shared" si="16"/>
        <v>0</v>
      </c>
      <c r="C143" s="88">
        <f t="shared" si="17"/>
        <v>0</v>
      </c>
      <c r="D143" s="114"/>
      <c r="E143" s="72"/>
      <c r="F143" s="114"/>
      <c r="G143" s="72"/>
      <c r="H143" s="76"/>
      <c r="I143" s="72"/>
      <c r="J143" s="76"/>
      <c r="K143" s="72"/>
      <c r="L143" s="76"/>
      <c r="M143" s="72"/>
      <c r="N143" s="108"/>
      <c r="O143" s="82"/>
      <c r="P143" s="76"/>
      <c r="Q143" s="77"/>
      <c r="R143" s="78"/>
      <c r="S143" s="77"/>
      <c r="T143" s="78"/>
      <c r="U143" s="77"/>
      <c r="V143" s="78"/>
      <c r="W143" s="77"/>
      <c r="X143" s="99"/>
      <c r="Y143" s="100"/>
      <c r="Z143" s="78"/>
      <c r="AA143" s="77"/>
      <c r="AB143" s="79"/>
      <c r="AC143" s="101"/>
      <c r="AD143" s="79"/>
      <c r="AE143" s="372"/>
      <c r="AF143" s="79"/>
      <c r="AG143" s="372"/>
      <c r="AH143" s="79"/>
      <c r="AI143" s="372"/>
      <c r="AJ143" s="79"/>
      <c r="AK143" s="372"/>
      <c r="AL143" s="79"/>
      <c r="AM143" s="372"/>
      <c r="AN143" s="79"/>
      <c r="AO143" s="372"/>
      <c r="AP143" s="102"/>
      <c r="AQ143" s="115"/>
    </row>
    <row r="144" spans="1:43" ht="15.75" x14ac:dyDescent="0.25">
      <c r="A144" s="105" t="s">
        <v>194</v>
      </c>
      <c r="B144" s="69">
        <f t="shared" si="16"/>
        <v>0</v>
      </c>
      <c r="C144" s="88">
        <f t="shared" si="17"/>
        <v>0</v>
      </c>
      <c r="D144" s="116"/>
      <c r="E144" s="77"/>
      <c r="F144" s="116"/>
      <c r="G144" s="77"/>
      <c r="H144" s="83"/>
      <c r="I144" s="77"/>
      <c r="J144" s="83"/>
      <c r="K144" s="77"/>
      <c r="L144" s="83"/>
      <c r="M144" s="77"/>
      <c r="N144" s="108"/>
      <c r="O144" s="82"/>
      <c r="P144" s="83"/>
      <c r="Q144" s="77"/>
      <c r="R144" s="78"/>
      <c r="S144" s="77"/>
      <c r="T144" s="78"/>
      <c r="U144" s="77"/>
      <c r="V144" s="78"/>
      <c r="W144" s="77"/>
      <c r="X144" s="99"/>
      <c r="Y144" s="100"/>
      <c r="Z144" s="78"/>
      <c r="AA144" s="77"/>
      <c r="AB144" s="79"/>
      <c r="AC144" s="101"/>
      <c r="AD144" s="79"/>
      <c r="AE144" s="372"/>
      <c r="AF144" s="79"/>
      <c r="AG144" s="372"/>
      <c r="AH144" s="79"/>
      <c r="AI144" s="372"/>
      <c r="AJ144" s="79"/>
      <c r="AK144" s="372"/>
      <c r="AL144" s="79"/>
      <c r="AM144" s="372"/>
      <c r="AN144" s="79"/>
      <c r="AO144" s="372"/>
      <c r="AP144" s="102"/>
      <c r="AQ144" s="115"/>
    </row>
    <row r="145" spans="1:43" ht="15.75" x14ac:dyDescent="0.25">
      <c r="A145" s="105" t="s">
        <v>195</v>
      </c>
      <c r="B145" s="69">
        <f t="shared" si="16"/>
        <v>0</v>
      </c>
      <c r="C145" s="88">
        <f t="shared" si="17"/>
        <v>114.55</v>
      </c>
      <c r="D145" s="116">
        <v>1</v>
      </c>
      <c r="E145" s="77">
        <v>114.55</v>
      </c>
      <c r="F145" s="116"/>
      <c r="G145" s="77"/>
      <c r="H145" s="83"/>
      <c r="I145" s="77"/>
      <c r="J145" s="83"/>
      <c r="K145" s="77"/>
      <c r="L145" s="83"/>
      <c r="M145" s="77"/>
      <c r="N145" s="108"/>
      <c r="O145" s="82"/>
      <c r="P145" s="83"/>
      <c r="Q145" s="77"/>
      <c r="R145" s="78"/>
      <c r="S145" s="77"/>
      <c r="T145" s="78"/>
      <c r="U145" s="77"/>
      <c r="V145" s="78"/>
      <c r="W145" s="77"/>
      <c r="X145" s="99"/>
      <c r="Y145" s="100"/>
      <c r="Z145" s="78"/>
      <c r="AA145" s="77"/>
      <c r="AB145" s="79"/>
      <c r="AC145" s="101"/>
      <c r="AD145" s="79"/>
      <c r="AE145" s="372"/>
      <c r="AF145" s="79"/>
      <c r="AG145" s="372"/>
      <c r="AH145" s="79"/>
      <c r="AI145" s="372"/>
      <c r="AJ145" s="79"/>
      <c r="AK145" s="372"/>
      <c r="AL145" s="79"/>
      <c r="AM145" s="372"/>
      <c r="AN145" s="79"/>
      <c r="AO145" s="372"/>
      <c r="AP145" s="102"/>
      <c r="AQ145" s="115"/>
    </row>
    <row r="146" spans="1:43" ht="25.5" x14ac:dyDescent="0.25">
      <c r="A146" s="105" t="s">
        <v>196</v>
      </c>
      <c r="B146" s="69">
        <f t="shared" si="16"/>
        <v>0</v>
      </c>
      <c r="C146" s="88">
        <f t="shared" si="17"/>
        <v>1.81</v>
      </c>
      <c r="D146" s="116"/>
      <c r="E146" s="77">
        <v>1.81</v>
      </c>
      <c r="F146" s="116"/>
      <c r="G146" s="77"/>
      <c r="H146" s="83"/>
      <c r="I146" s="77"/>
      <c r="J146" s="83"/>
      <c r="K146" s="77"/>
      <c r="L146" s="83"/>
      <c r="M146" s="77"/>
      <c r="N146" s="108"/>
      <c r="O146" s="82"/>
      <c r="P146" s="83"/>
      <c r="Q146" s="77"/>
      <c r="R146" s="78"/>
      <c r="S146" s="77"/>
      <c r="T146" s="78"/>
      <c r="U146" s="77"/>
      <c r="V146" s="78"/>
      <c r="W146" s="77"/>
      <c r="X146" s="99"/>
      <c r="Y146" s="100"/>
      <c r="Z146" s="78"/>
      <c r="AA146" s="77"/>
      <c r="AB146" s="79"/>
      <c r="AC146" s="101"/>
      <c r="AD146" s="79"/>
      <c r="AE146" s="372"/>
      <c r="AF146" s="79"/>
      <c r="AG146" s="372"/>
      <c r="AH146" s="79"/>
      <c r="AI146" s="372"/>
      <c r="AJ146" s="79"/>
      <c r="AK146" s="372"/>
      <c r="AL146" s="79"/>
      <c r="AM146" s="372"/>
      <c r="AN146" s="79"/>
      <c r="AO146" s="372"/>
      <c r="AP146" s="102"/>
      <c r="AQ146" s="115"/>
    </row>
    <row r="147" spans="1:43" ht="25.5" x14ac:dyDescent="0.25">
      <c r="A147" s="105" t="s">
        <v>197</v>
      </c>
      <c r="B147" s="69">
        <f t="shared" si="16"/>
        <v>0</v>
      </c>
      <c r="C147" s="88">
        <f t="shared" si="17"/>
        <v>1226.4000000000001</v>
      </c>
      <c r="D147" s="116">
        <v>3</v>
      </c>
      <c r="E147" s="77">
        <v>1226.4000000000001</v>
      </c>
      <c r="F147" s="116"/>
      <c r="G147" s="77"/>
      <c r="H147" s="83"/>
      <c r="I147" s="77"/>
      <c r="J147" s="83"/>
      <c r="K147" s="77"/>
      <c r="L147" s="83"/>
      <c r="M147" s="77"/>
      <c r="N147" s="108"/>
      <c r="O147" s="82"/>
      <c r="P147" s="83"/>
      <c r="Q147" s="77"/>
      <c r="R147" s="78"/>
      <c r="S147" s="77"/>
      <c r="T147" s="78"/>
      <c r="U147" s="77"/>
      <c r="V147" s="78"/>
      <c r="W147" s="77"/>
      <c r="X147" s="99"/>
      <c r="Y147" s="100"/>
      <c r="Z147" s="78"/>
      <c r="AA147" s="77"/>
      <c r="AB147" s="79"/>
      <c r="AC147" s="101"/>
      <c r="AD147" s="79"/>
      <c r="AE147" s="372"/>
      <c r="AF147" s="79"/>
      <c r="AG147" s="372"/>
      <c r="AH147" s="79"/>
      <c r="AI147" s="372"/>
      <c r="AJ147" s="79"/>
      <c r="AK147" s="372"/>
      <c r="AL147" s="79"/>
      <c r="AM147" s="372"/>
      <c r="AN147" s="79"/>
      <c r="AO147" s="372"/>
      <c r="AP147" s="102"/>
      <c r="AQ147" s="115"/>
    </row>
    <row r="148" spans="1:43" ht="25.5" x14ac:dyDescent="0.25">
      <c r="A148" s="98" t="s">
        <v>198</v>
      </c>
      <c r="B148" s="69">
        <f t="shared" si="16"/>
        <v>0</v>
      </c>
      <c r="C148" s="88">
        <f t="shared" si="17"/>
        <v>1244.77</v>
      </c>
      <c r="D148" s="116">
        <v>1</v>
      </c>
      <c r="E148" s="77">
        <v>565.66999999999996</v>
      </c>
      <c r="F148" s="116">
        <v>1</v>
      </c>
      <c r="G148" s="77">
        <v>679.1</v>
      </c>
      <c r="H148" s="83"/>
      <c r="I148" s="77"/>
      <c r="J148" s="83"/>
      <c r="K148" s="77"/>
      <c r="L148" s="83"/>
      <c r="M148" s="77"/>
      <c r="N148" s="108"/>
      <c r="O148" s="82"/>
      <c r="P148" s="83"/>
      <c r="Q148" s="77"/>
      <c r="R148" s="78"/>
      <c r="S148" s="77"/>
      <c r="T148" s="78"/>
      <c r="U148" s="77"/>
      <c r="V148" s="78"/>
      <c r="W148" s="77"/>
      <c r="X148" s="99"/>
      <c r="Y148" s="100"/>
      <c r="Z148" s="78"/>
      <c r="AA148" s="77"/>
      <c r="AB148" s="79"/>
      <c r="AC148" s="101"/>
      <c r="AD148" s="79"/>
      <c r="AE148" s="372"/>
      <c r="AF148" s="79"/>
      <c r="AG148" s="372"/>
      <c r="AH148" s="79"/>
      <c r="AI148" s="372"/>
      <c r="AJ148" s="79"/>
      <c r="AK148" s="372"/>
      <c r="AL148" s="79"/>
      <c r="AM148" s="372"/>
      <c r="AN148" s="79"/>
      <c r="AO148" s="372"/>
      <c r="AP148" s="102"/>
      <c r="AQ148" s="115"/>
    </row>
    <row r="149" spans="1:43" ht="25.5" x14ac:dyDescent="0.25">
      <c r="A149" s="98" t="s">
        <v>199</v>
      </c>
      <c r="B149" s="69">
        <f t="shared" si="16"/>
        <v>0</v>
      </c>
      <c r="C149" s="88">
        <f t="shared" si="17"/>
        <v>-340.79</v>
      </c>
      <c r="D149" s="116">
        <v>3</v>
      </c>
      <c r="E149" s="77">
        <v>338.31</v>
      </c>
      <c r="F149" s="116"/>
      <c r="G149" s="77"/>
      <c r="H149" s="83"/>
      <c r="I149" s="77">
        <v>-679.1</v>
      </c>
      <c r="J149" s="83"/>
      <c r="K149" s="77"/>
      <c r="L149" s="83"/>
      <c r="M149" s="77"/>
      <c r="N149" s="108"/>
      <c r="O149" s="82"/>
      <c r="P149" s="83"/>
      <c r="Q149" s="77"/>
      <c r="R149" s="78"/>
      <c r="S149" s="77"/>
      <c r="T149" s="78"/>
      <c r="U149" s="77"/>
      <c r="V149" s="78"/>
      <c r="W149" s="77"/>
      <c r="X149" s="99"/>
      <c r="Y149" s="100"/>
      <c r="Z149" s="78"/>
      <c r="AA149" s="77"/>
      <c r="AB149" s="79"/>
      <c r="AC149" s="101"/>
      <c r="AD149" s="79"/>
      <c r="AE149" s="372"/>
      <c r="AF149" s="79"/>
      <c r="AG149" s="372"/>
      <c r="AH149" s="79"/>
      <c r="AI149" s="372"/>
      <c r="AJ149" s="79"/>
      <c r="AK149" s="372"/>
      <c r="AL149" s="79"/>
      <c r="AM149" s="372"/>
      <c r="AN149" s="79"/>
      <c r="AO149" s="372"/>
      <c r="AP149" s="102"/>
      <c r="AQ149" s="115"/>
    </row>
    <row r="150" spans="1:43" ht="15.75" x14ac:dyDescent="0.25">
      <c r="A150" s="105" t="s">
        <v>200</v>
      </c>
      <c r="B150" s="69">
        <f t="shared" si="16"/>
        <v>0</v>
      </c>
      <c r="C150" s="88">
        <f t="shared" si="17"/>
        <v>20</v>
      </c>
      <c r="D150" s="116">
        <v>1</v>
      </c>
      <c r="E150" s="77">
        <v>5</v>
      </c>
      <c r="F150" s="116"/>
      <c r="G150" s="77"/>
      <c r="H150" s="83">
        <v>3</v>
      </c>
      <c r="I150" s="77">
        <v>15</v>
      </c>
      <c r="J150" s="83"/>
      <c r="K150" s="77"/>
      <c r="L150" s="83"/>
      <c r="M150" s="77"/>
      <c r="N150" s="108"/>
      <c r="O150" s="117"/>
      <c r="P150" s="83"/>
      <c r="Q150" s="77"/>
      <c r="R150" s="78"/>
      <c r="S150" s="77"/>
      <c r="T150" s="78"/>
      <c r="U150" s="77"/>
      <c r="V150" s="78"/>
      <c r="W150" s="77"/>
      <c r="X150" s="99"/>
      <c r="Y150" s="100"/>
      <c r="Z150" s="78"/>
      <c r="AA150" s="77"/>
      <c r="AB150" s="79"/>
      <c r="AC150" s="101"/>
      <c r="AD150" s="79"/>
      <c r="AE150" s="372"/>
      <c r="AF150" s="79"/>
      <c r="AG150" s="372"/>
      <c r="AH150" s="79"/>
      <c r="AI150" s="372"/>
      <c r="AJ150" s="79"/>
      <c r="AK150" s="372"/>
      <c r="AL150" s="79"/>
      <c r="AM150" s="372"/>
      <c r="AN150" s="79"/>
      <c r="AO150" s="372"/>
      <c r="AP150" s="102"/>
      <c r="AQ150" s="115"/>
    </row>
    <row r="151" spans="1:43" ht="15.75" x14ac:dyDescent="0.25">
      <c r="A151" s="105" t="s">
        <v>201</v>
      </c>
      <c r="B151" s="69">
        <f t="shared" si="16"/>
        <v>0</v>
      </c>
      <c r="C151" s="88">
        <f t="shared" si="17"/>
        <v>1364.22</v>
      </c>
      <c r="D151" s="116"/>
      <c r="E151" s="118"/>
      <c r="F151" s="116"/>
      <c r="G151" s="118"/>
      <c r="H151" s="116">
        <v>2</v>
      </c>
      <c r="I151" s="118">
        <v>164.6</v>
      </c>
      <c r="J151" s="116">
        <v>1</v>
      </c>
      <c r="K151" s="118">
        <v>120</v>
      </c>
      <c r="L151" s="116"/>
      <c r="M151" s="118"/>
      <c r="N151" s="108">
        <v>3</v>
      </c>
      <c r="O151" s="117">
        <v>265.60000000000002</v>
      </c>
      <c r="P151" s="83">
        <v>4</v>
      </c>
      <c r="Q151" s="118">
        <v>348</v>
      </c>
      <c r="R151" s="78">
        <v>3</v>
      </c>
      <c r="S151" s="118">
        <v>90.32</v>
      </c>
      <c r="T151" s="78">
        <v>1</v>
      </c>
      <c r="U151" s="118">
        <v>120</v>
      </c>
      <c r="V151" s="78"/>
      <c r="W151" s="118"/>
      <c r="X151" s="99"/>
      <c r="Y151" s="119"/>
      <c r="Z151" s="78">
        <v>4</v>
      </c>
      <c r="AA151" s="118">
        <v>255.7</v>
      </c>
      <c r="AB151" s="79"/>
      <c r="AC151" s="120"/>
      <c r="AD151" s="79"/>
      <c r="AE151" s="373"/>
      <c r="AF151" s="79"/>
      <c r="AG151" s="373"/>
      <c r="AH151" s="79"/>
      <c r="AI151" s="373"/>
      <c r="AJ151" s="79"/>
      <c r="AK151" s="373"/>
      <c r="AL151" s="79"/>
      <c r="AM151" s="373"/>
      <c r="AN151" s="79"/>
      <c r="AO151" s="373"/>
      <c r="AP151" s="121"/>
      <c r="AQ151" s="115"/>
    </row>
    <row r="152" spans="1:43" ht="15.75" x14ac:dyDescent="0.25">
      <c r="A152" s="105" t="s">
        <v>202</v>
      </c>
      <c r="B152" s="69">
        <f t="shared" si="16"/>
        <v>0</v>
      </c>
      <c r="C152" s="88">
        <f t="shared" si="17"/>
        <v>227</v>
      </c>
      <c r="D152" s="116"/>
      <c r="E152" s="118"/>
      <c r="F152" s="116"/>
      <c r="G152" s="118"/>
      <c r="H152" s="116">
        <v>1</v>
      </c>
      <c r="I152" s="118">
        <v>185</v>
      </c>
      <c r="J152" s="116"/>
      <c r="K152" s="118"/>
      <c r="L152" s="116"/>
      <c r="M152" s="118"/>
      <c r="N152" s="108"/>
      <c r="O152" s="117"/>
      <c r="P152" s="83">
        <v>1</v>
      </c>
      <c r="Q152" s="118">
        <v>42</v>
      </c>
      <c r="R152" s="78"/>
      <c r="S152" s="118"/>
      <c r="T152" s="78"/>
      <c r="U152" s="118"/>
      <c r="V152" s="78"/>
      <c r="W152" s="118"/>
      <c r="X152" s="99"/>
      <c r="Y152" s="119"/>
      <c r="Z152" s="78"/>
      <c r="AA152" s="118"/>
      <c r="AB152" s="79"/>
      <c r="AC152" s="120"/>
      <c r="AD152" s="79"/>
      <c r="AE152" s="373"/>
      <c r="AF152" s="79"/>
      <c r="AG152" s="373"/>
      <c r="AH152" s="79"/>
      <c r="AI152" s="373"/>
      <c r="AJ152" s="79"/>
      <c r="AK152" s="373"/>
      <c r="AL152" s="79"/>
      <c r="AM152" s="373"/>
      <c r="AN152" s="79"/>
      <c r="AO152" s="373"/>
      <c r="AP152" s="121"/>
      <c r="AQ152" s="115"/>
    </row>
    <row r="153" spans="1:43" ht="15.75" x14ac:dyDescent="0.25">
      <c r="A153" s="98" t="s">
        <v>203</v>
      </c>
      <c r="B153" s="69">
        <f t="shared" si="16"/>
        <v>0</v>
      </c>
      <c r="C153" s="88">
        <f t="shared" si="17"/>
        <v>200</v>
      </c>
      <c r="D153" s="116"/>
      <c r="E153" s="118"/>
      <c r="F153" s="116">
        <v>1</v>
      </c>
      <c r="G153" s="118">
        <v>100</v>
      </c>
      <c r="H153" s="116"/>
      <c r="I153" s="118"/>
      <c r="J153" s="116"/>
      <c r="K153" s="118"/>
      <c r="L153" s="116"/>
      <c r="M153" s="118"/>
      <c r="N153" s="108"/>
      <c r="O153" s="117"/>
      <c r="P153" s="83"/>
      <c r="Q153" s="118"/>
      <c r="R153" s="78"/>
      <c r="S153" s="118"/>
      <c r="T153" s="78"/>
      <c r="U153" s="118"/>
      <c r="V153" s="78">
        <v>1</v>
      </c>
      <c r="W153" s="118">
        <v>100</v>
      </c>
      <c r="X153" s="99"/>
      <c r="Y153" s="119"/>
      <c r="Z153" s="78"/>
      <c r="AA153" s="118"/>
      <c r="AB153" s="79"/>
      <c r="AC153" s="120"/>
      <c r="AD153" s="79"/>
      <c r="AE153" s="373"/>
      <c r="AF153" s="79"/>
      <c r="AG153" s="373"/>
      <c r="AH153" s="79"/>
      <c r="AI153" s="373"/>
      <c r="AJ153" s="79"/>
      <c r="AK153" s="373"/>
      <c r="AL153" s="79"/>
      <c r="AM153" s="373"/>
      <c r="AN153" s="79"/>
      <c r="AO153" s="373"/>
      <c r="AP153" s="121"/>
      <c r="AQ153" s="115"/>
    </row>
    <row r="154" spans="1:43" ht="15.75" x14ac:dyDescent="0.25">
      <c r="A154" s="98" t="s">
        <v>204</v>
      </c>
      <c r="B154" s="69">
        <f t="shared" si="16"/>
        <v>0</v>
      </c>
      <c r="C154" s="88">
        <f t="shared" si="17"/>
        <v>100</v>
      </c>
      <c r="D154" s="116"/>
      <c r="E154" s="118"/>
      <c r="F154" s="116">
        <v>1</v>
      </c>
      <c r="G154" s="118">
        <v>100</v>
      </c>
      <c r="H154" s="116"/>
      <c r="I154" s="118"/>
      <c r="J154" s="116"/>
      <c r="K154" s="118"/>
      <c r="L154" s="116"/>
      <c r="M154" s="118"/>
      <c r="N154" s="108"/>
      <c r="O154" s="117"/>
      <c r="P154" s="83"/>
      <c r="Q154" s="118"/>
      <c r="R154" s="78"/>
      <c r="S154" s="118"/>
      <c r="T154" s="78"/>
      <c r="U154" s="118"/>
      <c r="V154" s="78"/>
      <c r="W154" s="118"/>
      <c r="X154" s="99"/>
      <c r="Y154" s="119"/>
      <c r="Z154" s="78"/>
      <c r="AA154" s="118"/>
      <c r="AB154" s="79"/>
      <c r="AC154" s="120"/>
      <c r="AD154" s="79"/>
      <c r="AE154" s="373"/>
      <c r="AF154" s="79"/>
      <c r="AG154" s="373"/>
      <c r="AH154" s="79"/>
      <c r="AI154" s="373"/>
      <c r="AJ154" s="79"/>
      <c r="AK154" s="373"/>
      <c r="AL154" s="79"/>
      <c r="AM154" s="373"/>
      <c r="AN154" s="79"/>
      <c r="AO154" s="373"/>
      <c r="AP154" s="121"/>
      <c r="AQ154" s="115"/>
    </row>
    <row r="155" spans="1:43" ht="15.75" x14ac:dyDescent="0.25">
      <c r="A155" s="98" t="s">
        <v>205</v>
      </c>
      <c r="B155" s="69">
        <f t="shared" si="16"/>
        <v>0</v>
      </c>
      <c r="C155" s="88">
        <f t="shared" si="17"/>
        <v>3000</v>
      </c>
      <c r="D155" s="116"/>
      <c r="E155" s="118"/>
      <c r="F155" s="116">
        <v>1</v>
      </c>
      <c r="G155" s="118">
        <v>500</v>
      </c>
      <c r="H155" s="116"/>
      <c r="I155" s="118"/>
      <c r="J155" s="116">
        <v>2</v>
      </c>
      <c r="K155" s="118">
        <v>1000</v>
      </c>
      <c r="L155" s="116">
        <v>1</v>
      </c>
      <c r="M155" s="118">
        <v>500</v>
      </c>
      <c r="N155" s="108"/>
      <c r="O155" s="117"/>
      <c r="P155" s="83"/>
      <c r="Q155" s="118"/>
      <c r="R155" s="78">
        <v>1</v>
      </c>
      <c r="S155" s="118">
        <v>500</v>
      </c>
      <c r="T155" s="78"/>
      <c r="U155" s="118"/>
      <c r="V155" s="78"/>
      <c r="W155" s="118"/>
      <c r="X155" s="78">
        <v>1</v>
      </c>
      <c r="Y155" s="118">
        <v>500</v>
      </c>
      <c r="Z155" s="78"/>
      <c r="AA155" s="118"/>
      <c r="AB155" s="79"/>
      <c r="AC155" s="120"/>
      <c r="AD155" s="79"/>
      <c r="AE155" s="373"/>
      <c r="AF155" s="79"/>
      <c r="AG155" s="373"/>
      <c r="AH155" s="79"/>
      <c r="AI155" s="373"/>
      <c r="AJ155" s="79"/>
      <c r="AK155" s="373"/>
      <c r="AL155" s="79"/>
      <c r="AM155" s="373"/>
      <c r="AN155" s="79"/>
      <c r="AO155" s="373"/>
      <c r="AP155" s="121"/>
      <c r="AQ155" s="115"/>
    </row>
    <row r="156" spans="1:43" ht="15.75" x14ac:dyDescent="0.25">
      <c r="A156" s="98"/>
      <c r="B156" s="69">
        <f t="shared" si="16"/>
        <v>0</v>
      </c>
      <c r="C156" s="88">
        <f t="shared" si="17"/>
        <v>331.3</v>
      </c>
      <c r="D156" s="116"/>
      <c r="E156" s="118"/>
      <c r="F156" s="116">
        <v>5</v>
      </c>
      <c r="G156" s="118">
        <v>331.3</v>
      </c>
      <c r="H156" s="116"/>
      <c r="I156" s="118"/>
      <c r="J156" s="116"/>
      <c r="K156" s="118"/>
      <c r="L156" s="116"/>
      <c r="M156" s="118"/>
      <c r="N156" s="108"/>
      <c r="O156" s="117"/>
      <c r="P156" s="83"/>
      <c r="Q156" s="118"/>
      <c r="R156" s="78"/>
      <c r="S156" s="118"/>
      <c r="T156" s="78"/>
      <c r="U156" s="118"/>
      <c r="V156" s="78"/>
      <c r="W156" s="118"/>
      <c r="X156" s="78"/>
      <c r="Y156" s="118"/>
      <c r="Z156" s="78"/>
      <c r="AA156" s="118"/>
      <c r="AB156" s="79"/>
      <c r="AC156" s="120"/>
      <c r="AD156" s="79"/>
      <c r="AE156" s="373"/>
      <c r="AF156" s="79"/>
      <c r="AG156" s="373"/>
      <c r="AH156" s="79"/>
      <c r="AI156" s="373"/>
      <c r="AJ156" s="79"/>
      <c r="AK156" s="373"/>
      <c r="AL156" s="79"/>
      <c r="AM156" s="373"/>
      <c r="AN156" s="79"/>
      <c r="AO156" s="373"/>
      <c r="AP156" s="121"/>
      <c r="AQ156" s="115"/>
    </row>
    <row r="157" spans="1:43" ht="15.75" x14ac:dyDescent="0.25">
      <c r="A157" s="98" t="s">
        <v>206</v>
      </c>
      <c r="B157" s="69">
        <f t="shared" ref="B157:B158" si="18">AC157+AE157+AG157+AI157+AK157+AM157+AO157</f>
        <v>0</v>
      </c>
      <c r="C157" s="88">
        <f t="shared" ref="C157:C158" si="19">E157+G157+I157+K157+M157+O157+Q157+S157+U157+W157+Y157+AA157</f>
        <v>420</v>
      </c>
      <c r="D157" s="116">
        <v>14</v>
      </c>
      <c r="E157" s="118">
        <v>420</v>
      </c>
      <c r="F157" s="116"/>
      <c r="G157" s="118"/>
      <c r="H157" s="116"/>
      <c r="I157" s="118"/>
      <c r="J157" s="116"/>
      <c r="K157" s="118"/>
      <c r="L157" s="116"/>
      <c r="M157" s="118"/>
      <c r="N157" s="108"/>
      <c r="O157" s="117"/>
      <c r="P157" s="83"/>
      <c r="Q157" s="118"/>
      <c r="R157" s="78"/>
      <c r="S157" s="118"/>
      <c r="T157" s="78"/>
      <c r="U157" s="118"/>
      <c r="V157" s="78"/>
      <c r="W157" s="118"/>
      <c r="X157" s="78"/>
      <c r="Y157" s="118"/>
      <c r="Z157" s="78"/>
      <c r="AA157" s="118"/>
      <c r="AB157" s="79"/>
      <c r="AC157" s="120"/>
      <c r="AD157" s="79"/>
      <c r="AE157" s="373"/>
      <c r="AF157" s="79"/>
      <c r="AG157" s="373"/>
      <c r="AH157" s="79"/>
      <c r="AI157" s="373"/>
      <c r="AJ157" s="79"/>
      <c r="AK157" s="373"/>
      <c r="AL157" s="79"/>
      <c r="AM157" s="373"/>
      <c r="AN157" s="79"/>
      <c r="AO157" s="373"/>
      <c r="AP157" s="121"/>
      <c r="AQ157" s="115"/>
    </row>
    <row r="158" spans="1:43" ht="15.75" x14ac:dyDescent="0.25">
      <c r="A158" s="122" t="s">
        <v>207</v>
      </c>
      <c r="B158" s="69">
        <f t="shared" si="18"/>
        <v>0</v>
      </c>
      <c r="C158" s="88">
        <f t="shared" si="19"/>
        <v>32.61</v>
      </c>
      <c r="D158" s="116"/>
      <c r="E158" s="118"/>
      <c r="F158" s="116"/>
      <c r="G158" s="118"/>
      <c r="H158" s="116"/>
      <c r="I158" s="118"/>
      <c r="J158" s="83">
        <v>1</v>
      </c>
      <c r="K158" s="118">
        <v>13.22</v>
      </c>
      <c r="L158" s="83">
        <v>1</v>
      </c>
      <c r="M158" s="118">
        <v>10.06</v>
      </c>
      <c r="N158" s="108">
        <v>1</v>
      </c>
      <c r="O158" s="117">
        <v>9.33</v>
      </c>
      <c r="P158" s="83"/>
      <c r="Q158" s="118"/>
      <c r="R158" s="78"/>
      <c r="S158" s="118"/>
      <c r="T158" s="78"/>
      <c r="U158" s="118"/>
      <c r="V158" s="78"/>
      <c r="W158" s="118"/>
      <c r="X158" s="78"/>
      <c r="Y158" s="118"/>
      <c r="Z158" s="78"/>
      <c r="AA158" s="118"/>
      <c r="AB158" s="79"/>
      <c r="AC158" s="120"/>
      <c r="AD158" s="79"/>
      <c r="AE158" s="373"/>
      <c r="AF158" s="79"/>
      <c r="AG158" s="373"/>
      <c r="AH158" s="79"/>
      <c r="AI158" s="373"/>
      <c r="AJ158" s="79"/>
      <c r="AK158" s="373"/>
      <c r="AL158" s="79"/>
      <c r="AM158" s="373"/>
      <c r="AN158" s="79"/>
      <c r="AO158" s="373"/>
      <c r="AP158" s="121"/>
      <c r="AQ158" s="115"/>
    </row>
    <row r="159" spans="1:43" s="123" customFormat="1" ht="15" customHeight="1" x14ac:dyDescent="0.25">
      <c r="A159" s="333" t="s">
        <v>16</v>
      </c>
      <c r="B159" s="334">
        <f>AC159+AE159+AG159+AI159+AK159+AM159+AO159</f>
        <v>8901631</v>
      </c>
      <c r="C159" s="335">
        <f>C27+C24+C21+C20+C19+C18+C17+C16+C14+C15+C13+C12+C11+C10+C9+C8</f>
        <v>14810909.200000001</v>
      </c>
      <c r="D159" s="336">
        <f>D27+D24+D21+D20+D19+D18+D17+D16+D14+D13+D12+D11+D10+D9+D8</f>
        <v>8223</v>
      </c>
      <c r="E159" s="337">
        <f>E27+E24+E21+E20+E19+E18+E17+E16+E14+E13+E12+E11+E10+E9+E8</f>
        <v>1078026.46</v>
      </c>
      <c r="F159" s="336">
        <f>F27+F24+F21+F20+F19+F18+F17+F16+F14+F13+F12+F11+F10+F9+F8+F15</f>
        <v>9594</v>
      </c>
      <c r="G159" s="337">
        <f>G27+G24+G21+G20+G19+G18+G17+G16+G14+G13+G12+G11+G10+G9+G8+G15</f>
        <v>1566138.6399999997</v>
      </c>
      <c r="H159" s="336">
        <f t="shared" ref="H159:M159" si="20">H27+H24+H21+H20+H19+H18+H17+H16+H15+H14+H13+H12+H11+H10+H9+H8</f>
        <v>9169</v>
      </c>
      <c r="I159" s="338">
        <f t="shared" si="20"/>
        <v>1382378.46</v>
      </c>
      <c r="J159" s="336">
        <f t="shared" si="20"/>
        <v>8894</v>
      </c>
      <c r="K159" s="337">
        <f t="shared" si="20"/>
        <v>1331167.0699999998</v>
      </c>
      <c r="L159" s="336">
        <f t="shared" si="20"/>
        <v>8336</v>
      </c>
      <c r="M159" s="337">
        <f t="shared" si="20"/>
        <v>1312339.01</v>
      </c>
      <c r="N159" s="336">
        <f>N27+N24+N21+N20+N19+N18+N17+N16+N15+N14+N13+N12+N11+N10+N9+N8</f>
        <v>8443</v>
      </c>
      <c r="O159" s="339">
        <f>O27+O24+O21+O20+O19+O18+O17+O16+O15+O14+O13+O12+O11+O10+O9+O8</f>
        <v>1227448.53</v>
      </c>
      <c r="P159" s="340">
        <f t="shared" ref="P159:AA159" si="21">P27+P24+P21+P20+P19+P18+P17+P16+P14+P15+P13+P12+P11+P10+P9+P8</f>
        <v>7967</v>
      </c>
      <c r="Q159" s="337">
        <f t="shared" si="21"/>
        <v>1165246.8500000001</v>
      </c>
      <c r="R159" s="336">
        <f t="shared" si="21"/>
        <v>7963</v>
      </c>
      <c r="S159" s="337">
        <f t="shared" si="21"/>
        <v>1133984.8500000003</v>
      </c>
      <c r="T159" s="336">
        <f t="shared" si="21"/>
        <v>7851</v>
      </c>
      <c r="U159" s="337">
        <f t="shared" si="21"/>
        <v>1186769.42</v>
      </c>
      <c r="V159" s="336">
        <f t="shared" si="21"/>
        <v>6970</v>
      </c>
      <c r="W159" s="337">
        <f t="shared" si="21"/>
        <v>1086250.47</v>
      </c>
      <c r="X159" s="336">
        <f>X27+X24+X21+X20+X19+X18+X17+X16+X14+X15+X13+X12+X11+X10+X9+X8</f>
        <v>7716</v>
      </c>
      <c r="Y159" s="337">
        <f t="shared" si="21"/>
        <v>1191199.8900000001</v>
      </c>
      <c r="Z159" s="336">
        <f>Z27+Z24+Z21+Z20+Z19+Z18+Z17+Z16+Z14+Z15+Z13+Z12+Z11+Z10+Z9+Z8</f>
        <v>7510</v>
      </c>
      <c r="AA159" s="337">
        <f t="shared" si="21"/>
        <v>1149959.55</v>
      </c>
      <c r="AB159" s="341">
        <f>AB27+AB24+AB21+AB20+AB19+AB18+AB17+AB16+AB14+AB15+AB13+AB12+AB11+AB10+AB9+AB8</f>
        <v>6705</v>
      </c>
      <c r="AC159" s="342">
        <f>ROUND(AC27+AC24+AC21+AC20+AC19+AC18+AC17+AC16+AC14+AC15+AC13+AC12+AC11+AC10+AC9+AC8,0)</f>
        <v>956911</v>
      </c>
      <c r="AD159" s="341">
        <f>AD27+AD24+AD21+AD20+AD19+AD18+AD17+AD16+AD14+AD15+AD13+AD12+AD11+AD10+AD9+AD8</f>
        <v>8223</v>
      </c>
      <c r="AE159" s="342">
        <f>ROUND(AE27+AE24+AE21+AE20+AE19+AE18+AE17+AE16+AE14+AE15+AE13+AE12+AE11+AE10+AE9+AE8,0)</f>
        <v>1324120</v>
      </c>
      <c r="AF159" s="341">
        <f>AF27+AF24+AF21+AF20+AF19+AF18+AF17+AF16+AF14+AF15+AF13+AF12+AF11+AF10+AF9+AF8</f>
        <v>8223</v>
      </c>
      <c r="AG159" s="342">
        <f>ROUND(AG27+AG24+AG21+AG20+AG19+AG18+AG17+AG16+AG14+AG15+AG13+AG12+AG11+AG10+AG9+AG8,0)</f>
        <v>1324120</v>
      </c>
      <c r="AH159" s="341">
        <f>AH27+AH24+AH21+AH20+AH19+AH18+AH17+AH16+AH14+AH15+AH13+AH12+AH11+AH10+AH9+AH8</f>
        <v>8223</v>
      </c>
      <c r="AI159" s="342">
        <f>ROUND(AI27+AI24+AI21+AI20+AI19+AI18+AI17+AI16+AI14+AI15+AI13+AI12+AI11+AI10+AI9+AI8,0)</f>
        <v>1324120</v>
      </c>
      <c r="AJ159" s="341">
        <f>AJ27+AJ24+AJ21+AJ20+AJ19+AJ18+AJ17+AJ16+AJ14+AJ15+AJ13+AJ12+AJ11+AJ10+AJ9+AJ8</f>
        <v>8223</v>
      </c>
      <c r="AK159" s="342">
        <f>ROUND(AK27+AK24+AK21+AK20+AK19+AK18+AK17+AK16+AK14+AK15+AK13+AK12+AK11+AK10+AK9+AK8,0)</f>
        <v>1324120</v>
      </c>
      <c r="AL159" s="341">
        <f>AL27+AL24+AL21+AL20+AL19+AL18+AL17+AL16+AL14+AL15+AL13+AL12+AL11+AL10+AL9+AL8</f>
        <v>8223</v>
      </c>
      <c r="AM159" s="342">
        <f>ROUND(AM27+AM24+AM21+AM20+AM19+AM18+AM17+AM16+AM14+AM15+AM13+AM12+AM11+AM10+AM9+AM8,0)</f>
        <v>1324120</v>
      </c>
      <c r="AN159" s="341">
        <f>AN27+AN24+AN21+AN20+AN19+AN18+AN17+AN16+AN14+AN15+AN13+AN12+AN11+AN10+AN9+AN8</f>
        <v>8223</v>
      </c>
      <c r="AO159" s="342">
        <f>ROUND(AO27+AO24+AO21+AO20+AO19+AO18+AO17+AO16+AO14+AO15+AO13+AO12+AO11+AO10+AO9+AO8,0)</f>
        <v>1324120</v>
      </c>
      <c r="AP159" s="343" t="s">
        <v>17</v>
      </c>
      <c r="AQ159" s="343"/>
    </row>
    <row r="160" spans="1:43" ht="15.75" thickBot="1" x14ac:dyDescent="0.3">
      <c r="A160" s="344" t="s">
        <v>317</v>
      </c>
      <c r="B160" s="334">
        <f t="shared" ref="B160:B161" si="22">AC160+AE160+AG160+AI160+AK160+AM160+AO160</f>
        <v>1279638</v>
      </c>
      <c r="C160" s="345"/>
      <c r="D160" s="346"/>
      <c r="E160" s="347"/>
      <c r="F160" s="348"/>
      <c r="G160" s="347"/>
      <c r="H160" s="346"/>
      <c r="I160" s="349"/>
      <c r="J160" s="346"/>
      <c r="K160" s="349"/>
      <c r="L160" s="350"/>
      <c r="M160" s="351"/>
      <c r="N160" s="352"/>
      <c r="O160" s="353"/>
      <c r="P160" s="352"/>
      <c r="Q160" s="351"/>
      <c r="R160" s="352"/>
      <c r="S160" s="351"/>
      <c r="T160" s="352"/>
      <c r="U160" s="351"/>
      <c r="V160" s="352"/>
      <c r="W160" s="351"/>
      <c r="X160" s="352"/>
      <c r="Y160" s="351"/>
      <c r="Z160" s="352"/>
      <c r="AA160" s="351"/>
      <c r="AB160" s="352"/>
      <c r="AC160" s="353"/>
      <c r="AD160" s="352"/>
      <c r="AE160" s="374">
        <f>ROUND(AE159*(1-$B$162),0)</f>
        <v>213273</v>
      </c>
      <c r="AF160" s="375"/>
      <c r="AG160" s="374">
        <f>ROUND(AG159*(1-$B$162),0)</f>
        <v>213273</v>
      </c>
      <c r="AH160" s="375"/>
      <c r="AI160" s="374">
        <f>ROUND(AI159*(1-$B$162),0)</f>
        <v>213273</v>
      </c>
      <c r="AJ160" s="375"/>
      <c r="AK160" s="374">
        <f>ROUND(AK159*(1-$B$162),0)</f>
        <v>213273</v>
      </c>
      <c r="AL160" s="375"/>
      <c r="AM160" s="374">
        <f>ROUND(AM159*(1-$B$162),0)</f>
        <v>213273</v>
      </c>
      <c r="AN160" s="375"/>
      <c r="AO160" s="374">
        <f>ROUND(AO159*(1-$B$162),0)</f>
        <v>213273</v>
      </c>
      <c r="AP160" s="354" t="s">
        <v>318</v>
      </c>
      <c r="AQ160" s="355"/>
    </row>
    <row r="161" spans="1:43" ht="16.5" thickTop="1" thickBot="1" x14ac:dyDescent="0.3">
      <c r="A161" s="356" t="s">
        <v>319</v>
      </c>
      <c r="B161" s="357">
        <f t="shared" si="22"/>
        <v>7621993</v>
      </c>
      <c r="C161" s="358"/>
      <c r="D161" s="359"/>
      <c r="E161" s="360"/>
      <c r="F161" s="359"/>
      <c r="G161" s="360"/>
      <c r="H161" s="359"/>
      <c r="I161" s="360"/>
      <c r="J161" s="359"/>
      <c r="K161" s="360"/>
      <c r="L161" s="361"/>
      <c r="M161" s="362"/>
      <c r="N161" s="363"/>
      <c r="O161" s="364"/>
      <c r="P161" s="363"/>
      <c r="Q161" s="362"/>
      <c r="R161" s="363"/>
      <c r="S161" s="362"/>
      <c r="T161" s="363"/>
      <c r="U161" s="362"/>
      <c r="V161" s="363"/>
      <c r="W161" s="362"/>
      <c r="X161" s="363"/>
      <c r="Y161" s="362"/>
      <c r="Z161" s="363"/>
      <c r="AA161" s="362"/>
      <c r="AB161" s="376"/>
      <c r="AC161" s="377">
        <f>AC159</f>
        <v>956911</v>
      </c>
      <c r="AD161" s="378"/>
      <c r="AE161" s="379">
        <f>AE159-AE160</f>
        <v>1110847</v>
      </c>
      <c r="AF161" s="376"/>
      <c r="AG161" s="379">
        <f>AG159-AG160</f>
        <v>1110847</v>
      </c>
      <c r="AH161" s="376"/>
      <c r="AI161" s="379">
        <f>AI159-AI160</f>
        <v>1110847</v>
      </c>
      <c r="AJ161" s="376"/>
      <c r="AK161" s="379">
        <f>AK159-AK160</f>
        <v>1110847</v>
      </c>
      <c r="AL161" s="376"/>
      <c r="AM161" s="379">
        <f>AM159-AM160</f>
        <v>1110847</v>
      </c>
      <c r="AN161" s="376"/>
      <c r="AO161" s="379">
        <f>AO159-AO160</f>
        <v>1110847</v>
      </c>
      <c r="AP161" s="365"/>
      <c r="AQ161" s="366"/>
    </row>
    <row r="162" spans="1:43" ht="16.5" thickTop="1" thickBot="1" x14ac:dyDescent="0.3">
      <c r="A162" s="367" t="s">
        <v>320</v>
      </c>
      <c r="B162" s="368">
        <v>0.83893194569999996</v>
      </c>
      <c r="W162" s="128"/>
    </row>
    <row r="163" spans="1:43" x14ac:dyDescent="0.25">
      <c r="S163" s="128"/>
    </row>
    <row r="164" spans="1:43" x14ac:dyDescent="0.25">
      <c r="Z164" s="130"/>
    </row>
    <row r="166" spans="1:43" x14ac:dyDescent="0.25">
      <c r="AC166" s="128"/>
    </row>
  </sheetData>
  <mergeCells count="49">
    <mergeCell ref="AP160:AQ160"/>
    <mergeCell ref="AP161:AQ161"/>
    <mergeCell ref="A1:AQ1"/>
    <mergeCell ref="A2:AQ2"/>
    <mergeCell ref="D3:E3"/>
    <mergeCell ref="F3:G3"/>
    <mergeCell ref="H3:I3"/>
    <mergeCell ref="J3:K3"/>
    <mergeCell ref="L3:M3"/>
    <mergeCell ref="N3:O3"/>
    <mergeCell ref="P3:Q3"/>
    <mergeCell ref="R3:S3"/>
    <mergeCell ref="T3:U3"/>
    <mergeCell ref="V3:W3"/>
    <mergeCell ref="X3:Y3"/>
    <mergeCell ref="Z3:AA3"/>
    <mergeCell ref="AB3:AC3"/>
    <mergeCell ref="AD3:AE3"/>
    <mergeCell ref="AF3:AG3"/>
    <mergeCell ref="AH3:AI3"/>
    <mergeCell ref="AJ3:AK3"/>
    <mergeCell ref="AL3:AM3"/>
    <mergeCell ref="AN3:AO3"/>
    <mergeCell ref="X4:Y4"/>
    <mergeCell ref="Z4:AA4"/>
    <mergeCell ref="AB4:AC4"/>
    <mergeCell ref="AD4:AE4"/>
    <mergeCell ref="AF4:AG4"/>
    <mergeCell ref="N4:O4"/>
    <mergeCell ref="P4:Q4"/>
    <mergeCell ref="R4:S4"/>
    <mergeCell ref="T4:U4"/>
    <mergeCell ref="V4:W4"/>
    <mergeCell ref="D4:E4"/>
    <mergeCell ref="F4:G4"/>
    <mergeCell ref="H4:I4"/>
    <mergeCell ref="J4:K4"/>
    <mergeCell ref="L4:M4"/>
    <mergeCell ref="AH4:AI4"/>
    <mergeCell ref="AJ4:AK4"/>
    <mergeCell ref="AL4:AM4"/>
    <mergeCell ref="AN4:AO4"/>
    <mergeCell ref="AP159:AQ159"/>
    <mergeCell ref="AP7:AQ7"/>
    <mergeCell ref="AP8:AP27"/>
    <mergeCell ref="AQ8:AQ10"/>
    <mergeCell ref="AQ11:AQ13"/>
    <mergeCell ref="AQ14:AQ27"/>
    <mergeCell ref="AP3:AQ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3CD0B6-C2A5-4A36-B1B5-E40AF722450B}">
  <dimension ref="A1:AP20"/>
  <sheetViews>
    <sheetView workbookViewId="0">
      <selection activeCell="AB20" sqref="AB20"/>
    </sheetView>
  </sheetViews>
  <sheetFormatPr defaultColWidth="9.42578125" defaultRowHeight="15" x14ac:dyDescent="0.25"/>
  <cols>
    <col min="1" max="1" width="32.85546875" style="12" customWidth="1"/>
    <col min="2" max="3" width="16.7109375" style="13" customWidth="1"/>
    <col min="4" max="27" width="16.7109375" style="13" hidden="1" customWidth="1"/>
    <col min="28" max="41" width="16.7109375" style="13" customWidth="1"/>
    <col min="42" max="42" width="51.28515625" style="151" customWidth="1"/>
    <col min="43" max="43" width="6.140625" style="132" customWidth="1"/>
    <col min="44" max="284" width="9.42578125" style="132"/>
    <col min="285" max="285" width="32.85546875" style="132" customWidth="1"/>
    <col min="286" max="297" width="16.7109375" style="132" customWidth="1"/>
    <col min="298" max="298" width="48.5703125" style="132" customWidth="1"/>
    <col min="299" max="299" width="6.140625" style="132" customWidth="1"/>
    <col min="300" max="540" width="9.42578125" style="132"/>
    <col min="541" max="541" width="32.85546875" style="132" customWidth="1"/>
    <col min="542" max="553" width="16.7109375" style="132" customWidth="1"/>
    <col min="554" max="554" width="48.5703125" style="132" customWidth="1"/>
    <col min="555" max="555" width="6.140625" style="132" customWidth="1"/>
    <col min="556" max="796" width="9.42578125" style="132"/>
    <col min="797" max="797" width="32.85546875" style="132" customWidth="1"/>
    <col min="798" max="809" width="16.7109375" style="132" customWidth="1"/>
    <col min="810" max="810" width="48.5703125" style="132" customWidth="1"/>
    <col min="811" max="811" width="6.140625" style="132" customWidth="1"/>
    <col min="812" max="1052" width="9.42578125" style="132"/>
    <col min="1053" max="1053" width="32.85546875" style="132" customWidth="1"/>
    <col min="1054" max="1065" width="16.7109375" style="132" customWidth="1"/>
    <col min="1066" max="1066" width="48.5703125" style="132" customWidth="1"/>
    <col min="1067" max="1067" width="6.140625" style="132" customWidth="1"/>
    <col min="1068" max="1308" width="9.42578125" style="132"/>
    <col min="1309" max="1309" width="32.85546875" style="132" customWidth="1"/>
    <col min="1310" max="1321" width="16.7109375" style="132" customWidth="1"/>
    <col min="1322" max="1322" width="48.5703125" style="132" customWidth="1"/>
    <col min="1323" max="1323" width="6.140625" style="132" customWidth="1"/>
    <col min="1324" max="1564" width="9.42578125" style="132"/>
    <col min="1565" max="1565" width="32.85546875" style="132" customWidth="1"/>
    <col min="1566" max="1577" width="16.7109375" style="132" customWidth="1"/>
    <col min="1578" max="1578" width="48.5703125" style="132" customWidth="1"/>
    <col min="1579" max="1579" width="6.140625" style="132" customWidth="1"/>
    <col min="1580" max="1820" width="9.42578125" style="132"/>
    <col min="1821" max="1821" width="32.85546875" style="132" customWidth="1"/>
    <col min="1822" max="1833" width="16.7109375" style="132" customWidth="1"/>
    <col min="1834" max="1834" width="48.5703125" style="132" customWidth="1"/>
    <col min="1835" max="1835" width="6.140625" style="132" customWidth="1"/>
    <col min="1836" max="2076" width="9.42578125" style="132"/>
    <col min="2077" max="2077" width="32.85546875" style="132" customWidth="1"/>
    <col min="2078" max="2089" width="16.7109375" style="132" customWidth="1"/>
    <col min="2090" max="2090" width="48.5703125" style="132" customWidth="1"/>
    <col min="2091" max="2091" width="6.140625" style="132" customWidth="1"/>
    <col min="2092" max="2332" width="9.42578125" style="132"/>
    <col min="2333" max="2333" width="32.85546875" style="132" customWidth="1"/>
    <col min="2334" max="2345" width="16.7109375" style="132" customWidth="1"/>
    <col min="2346" max="2346" width="48.5703125" style="132" customWidth="1"/>
    <col min="2347" max="2347" width="6.140625" style="132" customWidth="1"/>
    <col min="2348" max="2588" width="9.42578125" style="132"/>
    <col min="2589" max="2589" width="32.85546875" style="132" customWidth="1"/>
    <col min="2590" max="2601" width="16.7109375" style="132" customWidth="1"/>
    <col min="2602" max="2602" width="48.5703125" style="132" customWidth="1"/>
    <col min="2603" max="2603" width="6.140625" style="132" customWidth="1"/>
    <col min="2604" max="2844" width="9.42578125" style="132"/>
    <col min="2845" max="2845" width="32.85546875" style="132" customWidth="1"/>
    <col min="2846" max="2857" width="16.7109375" style="132" customWidth="1"/>
    <col min="2858" max="2858" width="48.5703125" style="132" customWidth="1"/>
    <col min="2859" max="2859" width="6.140625" style="132" customWidth="1"/>
    <col min="2860" max="3100" width="9.42578125" style="132"/>
    <col min="3101" max="3101" width="32.85546875" style="132" customWidth="1"/>
    <col min="3102" max="3113" width="16.7109375" style="132" customWidth="1"/>
    <col min="3114" max="3114" width="48.5703125" style="132" customWidth="1"/>
    <col min="3115" max="3115" width="6.140625" style="132" customWidth="1"/>
    <col min="3116" max="3356" width="9.42578125" style="132"/>
    <col min="3357" max="3357" width="32.85546875" style="132" customWidth="1"/>
    <col min="3358" max="3369" width="16.7109375" style="132" customWidth="1"/>
    <col min="3370" max="3370" width="48.5703125" style="132" customWidth="1"/>
    <col min="3371" max="3371" width="6.140625" style="132" customWidth="1"/>
    <col min="3372" max="3612" width="9.42578125" style="132"/>
    <col min="3613" max="3613" width="32.85546875" style="132" customWidth="1"/>
    <col min="3614" max="3625" width="16.7109375" style="132" customWidth="1"/>
    <col min="3626" max="3626" width="48.5703125" style="132" customWidth="1"/>
    <col min="3627" max="3627" width="6.140625" style="132" customWidth="1"/>
    <col min="3628" max="3868" width="9.42578125" style="132"/>
    <col min="3869" max="3869" width="32.85546875" style="132" customWidth="1"/>
    <col min="3870" max="3881" width="16.7109375" style="132" customWidth="1"/>
    <col min="3882" max="3882" width="48.5703125" style="132" customWidth="1"/>
    <col min="3883" max="3883" width="6.140625" style="132" customWidth="1"/>
    <col min="3884" max="4124" width="9.42578125" style="132"/>
    <col min="4125" max="4125" width="32.85546875" style="132" customWidth="1"/>
    <col min="4126" max="4137" width="16.7109375" style="132" customWidth="1"/>
    <col min="4138" max="4138" width="48.5703125" style="132" customWidth="1"/>
    <col min="4139" max="4139" width="6.140625" style="132" customWidth="1"/>
    <col min="4140" max="4380" width="9.42578125" style="132"/>
    <col min="4381" max="4381" width="32.85546875" style="132" customWidth="1"/>
    <col min="4382" max="4393" width="16.7109375" style="132" customWidth="1"/>
    <col min="4394" max="4394" width="48.5703125" style="132" customWidth="1"/>
    <col min="4395" max="4395" width="6.140625" style="132" customWidth="1"/>
    <col min="4396" max="4636" width="9.42578125" style="132"/>
    <col min="4637" max="4637" width="32.85546875" style="132" customWidth="1"/>
    <col min="4638" max="4649" width="16.7109375" style="132" customWidth="1"/>
    <col min="4650" max="4650" width="48.5703125" style="132" customWidth="1"/>
    <col min="4651" max="4651" width="6.140625" style="132" customWidth="1"/>
    <col min="4652" max="4892" width="9.42578125" style="132"/>
    <col min="4893" max="4893" width="32.85546875" style="132" customWidth="1"/>
    <col min="4894" max="4905" width="16.7109375" style="132" customWidth="1"/>
    <col min="4906" max="4906" width="48.5703125" style="132" customWidth="1"/>
    <col min="4907" max="4907" width="6.140625" style="132" customWidth="1"/>
    <col min="4908" max="5148" width="9.42578125" style="132"/>
    <col min="5149" max="5149" width="32.85546875" style="132" customWidth="1"/>
    <col min="5150" max="5161" width="16.7109375" style="132" customWidth="1"/>
    <col min="5162" max="5162" width="48.5703125" style="132" customWidth="1"/>
    <col min="5163" max="5163" width="6.140625" style="132" customWidth="1"/>
    <col min="5164" max="5404" width="9.42578125" style="132"/>
    <col min="5405" max="5405" width="32.85546875" style="132" customWidth="1"/>
    <col min="5406" max="5417" width="16.7109375" style="132" customWidth="1"/>
    <col min="5418" max="5418" width="48.5703125" style="132" customWidth="1"/>
    <col min="5419" max="5419" width="6.140625" style="132" customWidth="1"/>
    <col min="5420" max="5660" width="9.42578125" style="132"/>
    <col min="5661" max="5661" width="32.85546875" style="132" customWidth="1"/>
    <col min="5662" max="5673" width="16.7109375" style="132" customWidth="1"/>
    <col min="5674" max="5674" width="48.5703125" style="132" customWidth="1"/>
    <col min="5675" max="5675" width="6.140625" style="132" customWidth="1"/>
    <col min="5676" max="5916" width="9.42578125" style="132"/>
    <col min="5917" max="5917" width="32.85546875" style="132" customWidth="1"/>
    <col min="5918" max="5929" width="16.7109375" style="132" customWidth="1"/>
    <col min="5930" max="5930" width="48.5703125" style="132" customWidth="1"/>
    <col min="5931" max="5931" width="6.140625" style="132" customWidth="1"/>
    <col min="5932" max="6172" width="9.42578125" style="132"/>
    <col min="6173" max="6173" width="32.85546875" style="132" customWidth="1"/>
    <col min="6174" max="6185" width="16.7109375" style="132" customWidth="1"/>
    <col min="6186" max="6186" width="48.5703125" style="132" customWidth="1"/>
    <col min="6187" max="6187" width="6.140625" style="132" customWidth="1"/>
    <col min="6188" max="6428" width="9.42578125" style="132"/>
    <col min="6429" max="6429" width="32.85546875" style="132" customWidth="1"/>
    <col min="6430" max="6441" width="16.7109375" style="132" customWidth="1"/>
    <col min="6442" max="6442" width="48.5703125" style="132" customWidth="1"/>
    <col min="6443" max="6443" width="6.140625" style="132" customWidth="1"/>
    <col min="6444" max="6684" width="9.42578125" style="132"/>
    <col min="6685" max="6685" width="32.85546875" style="132" customWidth="1"/>
    <col min="6686" max="6697" width="16.7109375" style="132" customWidth="1"/>
    <col min="6698" max="6698" width="48.5703125" style="132" customWidth="1"/>
    <col min="6699" max="6699" width="6.140625" style="132" customWidth="1"/>
    <col min="6700" max="6940" width="9.42578125" style="132"/>
    <col min="6941" max="6941" width="32.85546875" style="132" customWidth="1"/>
    <col min="6942" max="6953" width="16.7109375" style="132" customWidth="1"/>
    <col min="6954" max="6954" width="48.5703125" style="132" customWidth="1"/>
    <col min="6955" max="6955" width="6.140625" style="132" customWidth="1"/>
    <col min="6956" max="7196" width="9.42578125" style="132"/>
    <col min="7197" max="7197" width="32.85546875" style="132" customWidth="1"/>
    <col min="7198" max="7209" width="16.7109375" style="132" customWidth="1"/>
    <col min="7210" max="7210" width="48.5703125" style="132" customWidth="1"/>
    <col min="7211" max="7211" width="6.140625" style="132" customWidth="1"/>
    <col min="7212" max="7452" width="9.42578125" style="132"/>
    <col min="7453" max="7453" width="32.85546875" style="132" customWidth="1"/>
    <col min="7454" max="7465" width="16.7109375" style="132" customWidth="1"/>
    <col min="7466" max="7466" width="48.5703125" style="132" customWidth="1"/>
    <col min="7467" max="7467" width="6.140625" style="132" customWidth="1"/>
    <col min="7468" max="7708" width="9.42578125" style="132"/>
    <col min="7709" max="7709" width="32.85546875" style="132" customWidth="1"/>
    <col min="7710" max="7721" width="16.7109375" style="132" customWidth="1"/>
    <col min="7722" max="7722" width="48.5703125" style="132" customWidth="1"/>
    <col min="7723" max="7723" width="6.140625" style="132" customWidth="1"/>
    <col min="7724" max="7964" width="9.42578125" style="132"/>
    <col min="7965" max="7965" width="32.85546875" style="132" customWidth="1"/>
    <col min="7966" max="7977" width="16.7109375" style="132" customWidth="1"/>
    <col min="7978" max="7978" width="48.5703125" style="132" customWidth="1"/>
    <col min="7979" max="7979" width="6.140625" style="132" customWidth="1"/>
    <col min="7980" max="8220" width="9.42578125" style="132"/>
    <col min="8221" max="8221" width="32.85546875" style="132" customWidth="1"/>
    <col min="8222" max="8233" width="16.7109375" style="132" customWidth="1"/>
    <col min="8234" max="8234" width="48.5703125" style="132" customWidth="1"/>
    <col min="8235" max="8235" width="6.140625" style="132" customWidth="1"/>
    <col min="8236" max="8476" width="9.42578125" style="132"/>
    <col min="8477" max="8477" width="32.85546875" style="132" customWidth="1"/>
    <col min="8478" max="8489" width="16.7109375" style="132" customWidth="1"/>
    <col min="8490" max="8490" width="48.5703125" style="132" customWidth="1"/>
    <col min="8491" max="8491" width="6.140625" style="132" customWidth="1"/>
    <col min="8492" max="8732" width="9.42578125" style="132"/>
    <col min="8733" max="8733" width="32.85546875" style="132" customWidth="1"/>
    <col min="8734" max="8745" width="16.7109375" style="132" customWidth="1"/>
    <col min="8746" max="8746" width="48.5703125" style="132" customWidth="1"/>
    <col min="8747" max="8747" width="6.140625" style="132" customWidth="1"/>
    <col min="8748" max="8988" width="9.42578125" style="132"/>
    <col min="8989" max="8989" width="32.85546875" style="132" customWidth="1"/>
    <col min="8990" max="9001" width="16.7109375" style="132" customWidth="1"/>
    <col min="9002" max="9002" width="48.5703125" style="132" customWidth="1"/>
    <col min="9003" max="9003" width="6.140625" style="132" customWidth="1"/>
    <col min="9004" max="9244" width="9.42578125" style="132"/>
    <col min="9245" max="9245" width="32.85546875" style="132" customWidth="1"/>
    <col min="9246" max="9257" width="16.7109375" style="132" customWidth="1"/>
    <col min="9258" max="9258" width="48.5703125" style="132" customWidth="1"/>
    <col min="9259" max="9259" width="6.140625" style="132" customWidth="1"/>
    <col min="9260" max="9500" width="9.42578125" style="132"/>
    <col min="9501" max="9501" width="32.85546875" style="132" customWidth="1"/>
    <col min="9502" max="9513" width="16.7109375" style="132" customWidth="1"/>
    <col min="9514" max="9514" width="48.5703125" style="132" customWidth="1"/>
    <col min="9515" max="9515" width="6.140625" style="132" customWidth="1"/>
    <col min="9516" max="9756" width="9.42578125" style="132"/>
    <col min="9757" max="9757" width="32.85546875" style="132" customWidth="1"/>
    <col min="9758" max="9769" width="16.7109375" style="132" customWidth="1"/>
    <col min="9770" max="9770" width="48.5703125" style="132" customWidth="1"/>
    <col min="9771" max="9771" width="6.140625" style="132" customWidth="1"/>
    <col min="9772" max="10012" width="9.42578125" style="132"/>
    <col min="10013" max="10013" width="32.85546875" style="132" customWidth="1"/>
    <col min="10014" max="10025" width="16.7109375" style="132" customWidth="1"/>
    <col min="10026" max="10026" width="48.5703125" style="132" customWidth="1"/>
    <col min="10027" max="10027" width="6.140625" style="132" customWidth="1"/>
    <col min="10028" max="10268" width="9.42578125" style="132"/>
    <col min="10269" max="10269" width="32.85546875" style="132" customWidth="1"/>
    <col min="10270" max="10281" width="16.7109375" style="132" customWidth="1"/>
    <col min="10282" max="10282" width="48.5703125" style="132" customWidth="1"/>
    <col min="10283" max="10283" width="6.140625" style="132" customWidth="1"/>
    <col min="10284" max="10524" width="9.42578125" style="132"/>
    <col min="10525" max="10525" width="32.85546875" style="132" customWidth="1"/>
    <col min="10526" max="10537" width="16.7109375" style="132" customWidth="1"/>
    <col min="10538" max="10538" width="48.5703125" style="132" customWidth="1"/>
    <col min="10539" max="10539" width="6.140625" style="132" customWidth="1"/>
    <col min="10540" max="10780" width="9.42578125" style="132"/>
    <col min="10781" max="10781" width="32.85546875" style="132" customWidth="1"/>
    <col min="10782" max="10793" width="16.7109375" style="132" customWidth="1"/>
    <col min="10794" max="10794" width="48.5703125" style="132" customWidth="1"/>
    <col min="10795" max="10795" width="6.140625" style="132" customWidth="1"/>
    <col min="10796" max="11036" width="9.42578125" style="132"/>
    <col min="11037" max="11037" width="32.85546875" style="132" customWidth="1"/>
    <col min="11038" max="11049" width="16.7109375" style="132" customWidth="1"/>
    <col min="11050" max="11050" width="48.5703125" style="132" customWidth="1"/>
    <col min="11051" max="11051" width="6.140625" style="132" customWidth="1"/>
    <col min="11052" max="11292" width="9.42578125" style="132"/>
    <col min="11293" max="11293" width="32.85546875" style="132" customWidth="1"/>
    <col min="11294" max="11305" width="16.7109375" style="132" customWidth="1"/>
    <col min="11306" max="11306" width="48.5703125" style="132" customWidth="1"/>
    <col min="11307" max="11307" width="6.140625" style="132" customWidth="1"/>
    <col min="11308" max="11548" width="9.42578125" style="132"/>
    <col min="11549" max="11549" width="32.85546875" style="132" customWidth="1"/>
    <col min="11550" max="11561" width="16.7109375" style="132" customWidth="1"/>
    <col min="11562" max="11562" width="48.5703125" style="132" customWidth="1"/>
    <col min="11563" max="11563" width="6.140625" style="132" customWidth="1"/>
    <col min="11564" max="11804" width="9.42578125" style="132"/>
    <col min="11805" max="11805" width="32.85546875" style="132" customWidth="1"/>
    <col min="11806" max="11817" width="16.7109375" style="132" customWidth="1"/>
    <col min="11818" max="11818" width="48.5703125" style="132" customWidth="1"/>
    <col min="11819" max="11819" width="6.140625" style="132" customWidth="1"/>
    <col min="11820" max="12060" width="9.42578125" style="132"/>
    <col min="12061" max="12061" width="32.85546875" style="132" customWidth="1"/>
    <col min="12062" max="12073" width="16.7109375" style="132" customWidth="1"/>
    <col min="12074" max="12074" width="48.5703125" style="132" customWidth="1"/>
    <col min="12075" max="12075" width="6.140625" style="132" customWidth="1"/>
    <col min="12076" max="12316" width="9.42578125" style="132"/>
    <col min="12317" max="12317" width="32.85546875" style="132" customWidth="1"/>
    <col min="12318" max="12329" width="16.7109375" style="132" customWidth="1"/>
    <col min="12330" max="12330" width="48.5703125" style="132" customWidth="1"/>
    <col min="12331" max="12331" width="6.140625" style="132" customWidth="1"/>
    <col min="12332" max="12572" width="9.42578125" style="132"/>
    <col min="12573" max="12573" width="32.85546875" style="132" customWidth="1"/>
    <col min="12574" max="12585" width="16.7109375" style="132" customWidth="1"/>
    <col min="12586" max="12586" width="48.5703125" style="132" customWidth="1"/>
    <col min="12587" max="12587" width="6.140625" style="132" customWidth="1"/>
    <col min="12588" max="12828" width="9.42578125" style="132"/>
    <col min="12829" max="12829" width="32.85546875" style="132" customWidth="1"/>
    <col min="12830" max="12841" width="16.7109375" style="132" customWidth="1"/>
    <col min="12842" max="12842" width="48.5703125" style="132" customWidth="1"/>
    <col min="12843" max="12843" width="6.140625" style="132" customWidth="1"/>
    <col min="12844" max="13084" width="9.42578125" style="132"/>
    <col min="13085" max="13085" width="32.85546875" style="132" customWidth="1"/>
    <col min="13086" max="13097" width="16.7109375" style="132" customWidth="1"/>
    <col min="13098" max="13098" width="48.5703125" style="132" customWidth="1"/>
    <col min="13099" max="13099" width="6.140625" style="132" customWidth="1"/>
    <col min="13100" max="13340" width="9.42578125" style="132"/>
    <col min="13341" max="13341" width="32.85546875" style="132" customWidth="1"/>
    <col min="13342" max="13353" width="16.7109375" style="132" customWidth="1"/>
    <col min="13354" max="13354" width="48.5703125" style="132" customWidth="1"/>
    <col min="13355" max="13355" width="6.140625" style="132" customWidth="1"/>
    <col min="13356" max="13596" width="9.42578125" style="132"/>
    <col min="13597" max="13597" width="32.85546875" style="132" customWidth="1"/>
    <col min="13598" max="13609" width="16.7109375" style="132" customWidth="1"/>
    <col min="13610" max="13610" width="48.5703125" style="132" customWidth="1"/>
    <col min="13611" max="13611" width="6.140625" style="132" customWidth="1"/>
    <col min="13612" max="13852" width="9.42578125" style="132"/>
    <col min="13853" max="13853" width="32.85546875" style="132" customWidth="1"/>
    <col min="13854" max="13865" width="16.7109375" style="132" customWidth="1"/>
    <col min="13866" max="13866" width="48.5703125" style="132" customWidth="1"/>
    <col min="13867" max="13867" width="6.140625" style="132" customWidth="1"/>
    <col min="13868" max="14108" width="9.42578125" style="132"/>
    <col min="14109" max="14109" width="32.85546875" style="132" customWidth="1"/>
    <col min="14110" max="14121" width="16.7109375" style="132" customWidth="1"/>
    <col min="14122" max="14122" width="48.5703125" style="132" customWidth="1"/>
    <col min="14123" max="14123" width="6.140625" style="132" customWidth="1"/>
    <col min="14124" max="14364" width="9.42578125" style="132"/>
    <col min="14365" max="14365" width="32.85546875" style="132" customWidth="1"/>
    <col min="14366" max="14377" width="16.7109375" style="132" customWidth="1"/>
    <col min="14378" max="14378" width="48.5703125" style="132" customWidth="1"/>
    <col min="14379" max="14379" width="6.140625" style="132" customWidth="1"/>
    <col min="14380" max="14620" width="9.42578125" style="132"/>
    <col min="14621" max="14621" width="32.85546875" style="132" customWidth="1"/>
    <col min="14622" max="14633" width="16.7109375" style="132" customWidth="1"/>
    <col min="14634" max="14634" width="48.5703125" style="132" customWidth="1"/>
    <col min="14635" max="14635" width="6.140625" style="132" customWidth="1"/>
    <col min="14636" max="14876" width="9.42578125" style="132"/>
    <col min="14877" max="14877" width="32.85546875" style="132" customWidth="1"/>
    <col min="14878" max="14889" width="16.7109375" style="132" customWidth="1"/>
    <col min="14890" max="14890" width="48.5703125" style="132" customWidth="1"/>
    <col min="14891" max="14891" width="6.140625" style="132" customWidth="1"/>
    <col min="14892" max="15132" width="9.42578125" style="132"/>
    <col min="15133" max="15133" width="32.85546875" style="132" customWidth="1"/>
    <col min="15134" max="15145" width="16.7109375" style="132" customWidth="1"/>
    <col min="15146" max="15146" width="48.5703125" style="132" customWidth="1"/>
    <col min="15147" max="15147" width="6.140625" style="132" customWidth="1"/>
    <col min="15148" max="15388" width="9.42578125" style="132"/>
    <col min="15389" max="15389" width="32.85546875" style="132" customWidth="1"/>
    <col min="15390" max="15401" width="16.7109375" style="132" customWidth="1"/>
    <col min="15402" max="15402" width="48.5703125" style="132" customWidth="1"/>
    <col min="15403" max="15403" width="6.140625" style="132" customWidth="1"/>
    <col min="15404" max="15644" width="9.42578125" style="132"/>
    <col min="15645" max="15645" width="32.85546875" style="132" customWidth="1"/>
    <col min="15646" max="15657" width="16.7109375" style="132" customWidth="1"/>
    <col min="15658" max="15658" width="48.5703125" style="132" customWidth="1"/>
    <col min="15659" max="15659" width="6.140625" style="132" customWidth="1"/>
    <col min="15660" max="15900" width="9.42578125" style="132"/>
    <col min="15901" max="15901" width="32.85546875" style="132" customWidth="1"/>
    <col min="15902" max="15913" width="16.7109375" style="132" customWidth="1"/>
    <col min="15914" max="15914" width="48.5703125" style="132" customWidth="1"/>
    <col min="15915" max="15915" width="6.140625" style="132" customWidth="1"/>
    <col min="15916" max="16156" width="9.42578125" style="132"/>
    <col min="16157" max="16157" width="32.85546875" style="132" customWidth="1"/>
    <col min="16158" max="16169" width="16.7109375" style="132" customWidth="1"/>
    <col min="16170" max="16170" width="48.5703125" style="132" customWidth="1"/>
    <col min="16171" max="16171" width="6.140625" style="132" customWidth="1"/>
    <col min="16172" max="16384" width="9.42578125" style="132"/>
  </cols>
  <sheetData>
    <row r="1" spans="1:42" x14ac:dyDescent="0.25">
      <c r="A1" s="306" t="s">
        <v>301</v>
      </c>
      <c r="B1" s="306"/>
      <c r="C1" s="306"/>
      <c r="D1" s="306"/>
      <c r="E1" s="306"/>
      <c r="F1" s="306"/>
      <c r="G1" s="306"/>
      <c r="H1" s="306"/>
      <c r="I1" s="306"/>
      <c r="J1" s="306"/>
      <c r="K1" s="306"/>
      <c r="L1" s="306"/>
      <c r="M1" s="306"/>
      <c r="N1" s="306"/>
      <c r="O1" s="306"/>
      <c r="P1" s="306"/>
      <c r="Q1" s="306"/>
      <c r="R1" s="306"/>
      <c r="S1" s="306"/>
      <c r="T1" s="306"/>
      <c r="U1" s="306"/>
      <c r="V1" s="306"/>
      <c r="W1" s="306"/>
      <c r="X1" s="306"/>
      <c r="Y1" s="306"/>
      <c r="Z1" s="306"/>
      <c r="AA1" s="306"/>
      <c r="AB1" s="306"/>
      <c r="AC1" s="306"/>
      <c r="AD1" s="306"/>
      <c r="AE1" s="306"/>
      <c r="AF1" s="306"/>
      <c r="AG1" s="306"/>
      <c r="AH1" s="306"/>
      <c r="AI1" s="306"/>
      <c r="AJ1" s="306"/>
      <c r="AK1" s="306"/>
      <c r="AL1" s="306"/>
      <c r="AM1" s="306"/>
      <c r="AN1" s="306"/>
      <c r="AO1" s="306"/>
      <c r="AP1" s="306"/>
    </row>
    <row r="2" spans="1:42" ht="16.5" x14ac:dyDescent="0.25">
      <c r="A2" s="307" t="s">
        <v>302</v>
      </c>
      <c r="B2" s="307"/>
      <c r="C2" s="307"/>
      <c r="D2" s="307"/>
      <c r="E2" s="307"/>
      <c r="F2" s="307"/>
      <c r="G2" s="307"/>
      <c r="H2" s="307"/>
      <c r="I2" s="307"/>
      <c r="J2" s="307"/>
      <c r="K2" s="307"/>
      <c r="L2" s="307"/>
      <c r="M2" s="307"/>
      <c r="N2" s="307"/>
      <c r="O2" s="307"/>
      <c r="P2" s="307"/>
      <c r="Q2" s="307"/>
      <c r="R2" s="307"/>
      <c r="S2" s="307"/>
      <c r="T2" s="307"/>
      <c r="U2" s="307"/>
      <c r="V2" s="307"/>
      <c r="W2" s="307"/>
      <c r="X2" s="307"/>
      <c r="Y2" s="307"/>
      <c r="Z2" s="307"/>
      <c r="AA2" s="307"/>
      <c r="AB2" s="307"/>
      <c r="AC2" s="307"/>
      <c r="AD2" s="307"/>
      <c r="AE2" s="307"/>
      <c r="AF2" s="307"/>
      <c r="AG2" s="307"/>
      <c r="AH2" s="307"/>
      <c r="AI2" s="307"/>
      <c r="AJ2" s="307"/>
      <c r="AK2" s="307"/>
      <c r="AL2" s="307"/>
      <c r="AM2" s="307"/>
      <c r="AN2" s="307"/>
      <c r="AO2" s="307"/>
      <c r="AP2" s="307"/>
    </row>
    <row r="3" spans="1:42" ht="16.5" x14ac:dyDescent="0.25">
      <c r="A3" s="242"/>
      <c r="B3" s="242"/>
      <c r="C3" s="242"/>
      <c r="D3" s="242"/>
      <c r="E3" s="242"/>
      <c r="F3" s="242"/>
      <c r="G3" s="242"/>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2"/>
      <c r="AG3" s="242"/>
      <c r="AH3" s="242"/>
      <c r="AI3" s="242"/>
      <c r="AJ3" s="242"/>
      <c r="AK3" s="242"/>
      <c r="AL3" s="242"/>
      <c r="AM3" s="242"/>
      <c r="AN3" s="242"/>
      <c r="AO3" s="242"/>
      <c r="AP3" s="242"/>
    </row>
    <row r="4" spans="1:42" x14ac:dyDescent="0.25">
      <c r="A4" s="1" t="s">
        <v>0</v>
      </c>
      <c r="B4" s="233" t="s">
        <v>58</v>
      </c>
      <c r="C4" s="234" t="s">
        <v>59</v>
      </c>
      <c r="D4" s="291" t="s">
        <v>1</v>
      </c>
      <c r="E4" s="288"/>
      <c r="F4" s="304" t="s">
        <v>2</v>
      </c>
      <c r="G4" s="305"/>
      <c r="H4" s="304" t="s">
        <v>2</v>
      </c>
      <c r="I4" s="305"/>
      <c r="J4" s="304" t="s">
        <v>2</v>
      </c>
      <c r="K4" s="305"/>
      <c r="L4" s="304" t="s">
        <v>2</v>
      </c>
      <c r="M4" s="305"/>
      <c r="N4" s="304" t="s">
        <v>2</v>
      </c>
      <c r="O4" s="305"/>
      <c r="P4" s="291" t="s">
        <v>2</v>
      </c>
      <c r="Q4" s="288"/>
      <c r="R4" s="291" t="s">
        <v>2</v>
      </c>
      <c r="S4" s="288"/>
      <c r="T4" s="291" t="s">
        <v>2</v>
      </c>
      <c r="U4" s="288"/>
      <c r="V4" s="291" t="s">
        <v>2</v>
      </c>
      <c r="W4" s="288"/>
      <c r="X4" s="291" t="s">
        <v>2</v>
      </c>
      <c r="Y4" s="288"/>
      <c r="Z4" s="304" t="s">
        <v>2</v>
      </c>
      <c r="AA4" s="305"/>
      <c r="AB4" s="269" t="s">
        <v>60</v>
      </c>
      <c r="AC4" s="270"/>
      <c r="AD4" s="269" t="s">
        <v>60</v>
      </c>
      <c r="AE4" s="270"/>
      <c r="AF4" s="269" t="s">
        <v>60</v>
      </c>
      <c r="AG4" s="270"/>
      <c r="AH4" s="269" t="s">
        <v>60</v>
      </c>
      <c r="AI4" s="270"/>
      <c r="AJ4" s="269" t="s">
        <v>60</v>
      </c>
      <c r="AK4" s="270"/>
      <c r="AL4" s="269" t="s">
        <v>60</v>
      </c>
      <c r="AM4" s="270"/>
      <c r="AN4" s="269" t="s">
        <v>60</v>
      </c>
      <c r="AO4" s="270"/>
      <c r="AP4" s="301" t="s">
        <v>3</v>
      </c>
    </row>
    <row r="5" spans="1:42" ht="25.5" x14ac:dyDescent="0.25">
      <c r="A5" s="1" t="s">
        <v>4</v>
      </c>
      <c r="B5" s="233" t="s">
        <v>303</v>
      </c>
      <c r="C5" s="234" t="s">
        <v>304</v>
      </c>
      <c r="D5" s="291" t="s">
        <v>5</v>
      </c>
      <c r="E5" s="288"/>
      <c r="F5" s="304" t="s">
        <v>6</v>
      </c>
      <c r="G5" s="305"/>
      <c r="H5" s="304" t="s">
        <v>7</v>
      </c>
      <c r="I5" s="305"/>
      <c r="J5" s="304" t="s">
        <v>8</v>
      </c>
      <c r="K5" s="305"/>
      <c r="L5" s="304" t="s">
        <v>9</v>
      </c>
      <c r="M5" s="305"/>
      <c r="N5" s="304" t="s">
        <v>10</v>
      </c>
      <c r="O5" s="305"/>
      <c r="P5" s="291" t="s">
        <v>11</v>
      </c>
      <c r="Q5" s="288"/>
      <c r="R5" s="291" t="s">
        <v>63</v>
      </c>
      <c r="S5" s="288"/>
      <c r="T5" s="291" t="s">
        <v>64</v>
      </c>
      <c r="U5" s="288"/>
      <c r="V5" s="291" t="s">
        <v>65</v>
      </c>
      <c r="W5" s="288"/>
      <c r="X5" s="291" t="s">
        <v>66</v>
      </c>
      <c r="Y5" s="288"/>
      <c r="Z5" s="304" t="s">
        <v>67</v>
      </c>
      <c r="AA5" s="305"/>
      <c r="AB5" s="269" t="s">
        <v>5</v>
      </c>
      <c r="AC5" s="270"/>
      <c r="AD5" s="269" t="s">
        <v>6</v>
      </c>
      <c r="AE5" s="270"/>
      <c r="AF5" s="269" t="s">
        <v>7</v>
      </c>
      <c r="AG5" s="270"/>
      <c r="AH5" s="269" t="s">
        <v>8</v>
      </c>
      <c r="AI5" s="270"/>
      <c r="AJ5" s="269" t="s">
        <v>9</v>
      </c>
      <c r="AK5" s="270"/>
      <c r="AL5" s="269" t="s">
        <v>10</v>
      </c>
      <c r="AM5" s="270"/>
      <c r="AN5" s="269" t="s">
        <v>11</v>
      </c>
      <c r="AO5" s="270"/>
      <c r="AP5" s="302"/>
    </row>
    <row r="6" spans="1:42" s="139" customFormat="1" ht="11.25" x14ac:dyDescent="0.25">
      <c r="A6" s="3"/>
      <c r="B6" s="53" t="s">
        <v>12</v>
      </c>
      <c r="C6" s="4" t="s">
        <v>12</v>
      </c>
      <c r="D6" s="4"/>
      <c r="E6" s="4" t="s">
        <v>12</v>
      </c>
      <c r="F6" s="243"/>
      <c r="G6" s="243" t="s">
        <v>12</v>
      </c>
      <c r="H6" s="243"/>
      <c r="I6" s="243" t="s">
        <v>12</v>
      </c>
      <c r="J6" s="243"/>
      <c r="K6" s="243" t="s">
        <v>12</v>
      </c>
      <c r="L6" s="243"/>
      <c r="M6" s="243" t="s">
        <v>12</v>
      </c>
      <c r="N6" s="243"/>
      <c r="O6" s="243" t="s">
        <v>12</v>
      </c>
      <c r="P6" s="4"/>
      <c r="Q6" s="4" t="s">
        <v>12</v>
      </c>
      <c r="R6" s="4"/>
      <c r="S6" s="4" t="s">
        <v>12</v>
      </c>
      <c r="T6" s="4"/>
      <c r="U6" s="4" t="s">
        <v>12</v>
      </c>
      <c r="V6" s="4"/>
      <c r="W6" s="4" t="s">
        <v>12</v>
      </c>
      <c r="X6" s="4"/>
      <c r="Y6" s="4" t="s">
        <v>12</v>
      </c>
      <c r="Z6" s="243"/>
      <c r="AA6" s="243" t="s">
        <v>12</v>
      </c>
      <c r="AB6" s="53"/>
      <c r="AC6" s="53" t="s">
        <v>12</v>
      </c>
      <c r="AD6" s="53"/>
      <c r="AE6" s="53" t="s">
        <v>12</v>
      </c>
      <c r="AF6" s="53"/>
      <c r="AG6" s="53" t="s">
        <v>12</v>
      </c>
      <c r="AH6" s="53"/>
      <c r="AI6" s="53" t="s">
        <v>12</v>
      </c>
      <c r="AJ6" s="53"/>
      <c r="AK6" s="53" t="s">
        <v>12</v>
      </c>
      <c r="AL6" s="53"/>
      <c r="AM6" s="53" t="s">
        <v>12</v>
      </c>
      <c r="AN6" s="53"/>
      <c r="AO6" s="53" t="s">
        <v>12</v>
      </c>
      <c r="AP6" s="302"/>
    </row>
    <row r="7" spans="1:42" ht="25.5" x14ac:dyDescent="0.25">
      <c r="A7" s="5" t="s">
        <v>13</v>
      </c>
      <c r="B7" s="156" t="s">
        <v>15</v>
      </c>
      <c r="C7" s="2" t="s">
        <v>14</v>
      </c>
      <c r="D7" s="2" t="s">
        <v>305</v>
      </c>
      <c r="E7" s="2" t="s">
        <v>14</v>
      </c>
      <c r="F7" s="244" t="s">
        <v>306</v>
      </c>
      <c r="G7" s="244" t="s">
        <v>14</v>
      </c>
      <c r="H7" s="244" t="s">
        <v>306</v>
      </c>
      <c r="I7" s="244" t="s">
        <v>14</v>
      </c>
      <c r="J7" s="244" t="s">
        <v>306</v>
      </c>
      <c r="K7" s="244" t="s">
        <v>14</v>
      </c>
      <c r="L7" s="244" t="s">
        <v>306</v>
      </c>
      <c r="M7" s="244" t="s">
        <v>14</v>
      </c>
      <c r="N7" s="244" t="s">
        <v>306</v>
      </c>
      <c r="O7" s="244" t="s">
        <v>14</v>
      </c>
      <c r="P7" s="244" t="s">
        <v>306</v>
      </c>
      <c r="Q7" s="244" t="s">
        <v>14</v>
      </c>
      <c r="R7" s="2" t="s">
        <v>305</v>
      </c>
      <c r="S7" s="2" t="s">
        <v>14</v>
      </c>
      <c r="T7" s="2" t="s">
        <v>305</v>
      </c>
      <c r="U7" s="2" t="s">
        <v>14</v>
      </c>
      <c r="V7" s="2" t="s">
        <v>305</v>
      </c>
      <c r="W7" s="2" t="s">
        <v>14</v>
      </c>
      <c r="X7" s="2" t="s">
        <v>305</v>
      </c>
      <c r="Y7" s="2" t="s">
        <v>14</v>
      </c>
      <c r="Z7" s="2" t="s">
        <v>305</v>
      </c>
      <c r="AA7" s="2" t="s">
        <v>14</v>
      </c>
      <c r="AB7" s="156" t="s">
        <v>307</v>
      </c>
      <c r="AC7" s="156" t="s">
        <v>15</v>
      </c>
      <c r="AD7" s="156" t="s">
        <v>307</v>
      </c>
      <c r="AE7" s="156" t="s">
        <v>15</v>
      </c>
      <c r="AF7" s="156" t="s">
        <v>307</v>
      </c>
      <c r="AG7" s="156" t="s">
        <v>15</v>
      </c>
      <c r="AH7" s="156" t="s">
        <v>307</v>
      </c>
      <c r="AI7" s="156" t="s">
        <v>15</v>
      </c>
      <c r="AJ7" s="156" t="s">
        <v>307</v>
      </c>
      <c r="AK7" s="156" t="s">
        <v>15</v>
      </c>
      <c r="AL7" s="156" t="s">
        <v>307</v>
      </c>
      <c r="AM7" s="156" t="s">
        <v>15</v>
      </c>
      <c r="AN7" s="156" t="s">
        <v>307</v>
      </c>
      <c r="AO7" s="156" t="s">
        <v>15</v>
      </c>
      <c r="AP7" s="303"/>
    </row>
    <row r="8" spans="1:42" s="87" customFormat="1" x14ac:dyDescent="0.25">
      <c r="A8" s="6">
        <v>1</v>
      </c>
      <c r="B8" s="157">
        <v>2</v>
      </c>
      <c r="C8" s="7">
        <v>3</v>
      </c>
      <c r="D8" s="7">
        <v>4</v>
      </c>
      <c r="E8" s="7">
        <v>5</v>
      </c>
      <c r="F8" s="245">
        <v>6</v>
      </c>
      <c r="G8" s="245">
        <v>7</v>
      </c>
      <c r="H8" s="245">
        <v>8</v>
      </c>
      <c r="I8" s="245">
        <v>9</v>
      </c>
      <c r="J8" s="245">
        <v>10</v>
      </c>
      <c r="K8" s="245">
        <v>11</v>
      </c>
      <c r="L8" s="245">
        <v>12</v>
      </c>
      <c r="M8" s="245">
        <v>13</v>
      </c>
      <c r="N8" s="245">
        <v>14</v>
      </c>
      <c r="O8" s="245">
        <v>15</v>
      </c>
      <c r="P8" s="7">
        <v>16</v>
      </c>
      <c r="Q8" s="7">
        <v>17</v>
      </c>
      <c r="R8" s="7">
        <v>18</v>
      </c>
      <c r="S8" s="7">
        <v>19</v>
      </c>
      <c r="T8" s="7">
        <v>20</v>
      </c>
      <c r="U8" s="7">
        <v>21</v>
      </c>
      <c r="V8" s="7">
        <v>22</v>
      </c>
      <c r="W8" s="7">
        <v>23</v>
      </c>
      <c r="X8" s="7">
        <v>24</v>
      </c>
      <c r="Y8" s="7">
        <v>25</v>
      </c>
      <c r="Z8" s="245">
        <v>26</v>
      </c>
      <c r="AA8" s="245">
        <v>27</v>
      </c>
      <c r="AB8" s="157">
        <v>28</v>
      </c>
      <c r="AC8" s="157">
        <v>29</v>
      </c>
      <c r="AD8" s="157">
        <v>30</v>
      </c>
      <c r="AE8" s="157">
        <v>31</v>
      </c>
      <c r="AF8" s="157">
        <v>32</v>
      </c>
      <c r="AG8" s="157">
        <v>33</v>
      </c>
      <c r="AH8" s="157">
        <v>34</v>
      </c>
      <c r="AI8" s="157">
        <v>35</v>
      </c>
      <c r="AJ8" s="157">
        <v>36</v>
      </c>
      <c r="AK8" s="157">
        <v>37</v>
      </c>
      <c r="AL8" s="157">
        <v>38</v>
      </c>
      <c r="AM8" s="157">
        <v>39</v>
      </c>
      <c r="AN8" s="157">
        <v>40</v>
      </c>
      <c r="AO8" s="157">
        <v>41</v>
      </c>
      <c r="AP8" s="8">
        <v>42</v>
      </c>
    </row>
    <row r="9" spans="1:42" s="87" customFormat="1" ht="41.25" x14ac:dyDescent="0.25">
      <c r="A9" s="142" t="s">
        <v>308</v>
      </c>
      <c r="B9" s="246">
        <f>AC9+AE9+AG9+AI9+AK9+AM9+AO9</f>
        <v>2048060</v>
      </c>
      <c r="C9" s="9">
        <f>E9+G9+I9+K9+M9+O9+Q9+S9+U9+W9+Y9+AA9</f>
        <v>1903095.0800000003</v>
      </c>
      <c r="D9" s="247">
        <f>669+299+105+43+4+1</f>
        <v>1121</v>
      </c>
      <c r="E9" s="9">
        <f>89922.71+69439.5+12756.3+9901.25+369.53+257</f>
        <v>182646.29</v>
      </c>
      <c r="F9" s="248">
        <f>274+264+125+46+2+1</f>
        <v>712</v>
      </c>
      <c r="G9" s="249">
        <f>67699.06+62731.3+14021.96+9894.49+221.95+257</f>
        <v>154825.76</v>
      </c>
      <c r="H9" s="248">
        <f>636+292+149+52+7+2</f>
        <v>1138</v>
      </c>
      <c r="I9" s="249">
        <f>95471.59+71069.75+17197.32+12329.76+575.19+514</f>
        <v>197157.61000000002</v>
      </c>
      <c r="J9" s="248">
        <f>624+287+163+58+7+2</f>
        <v>1141</v>
      </c>
      <c r="K9" s="249">
        <f>86265.19+64423.54+21955.26+13556.75+651.47+514</f>
        <v>187366.21000000002</v>
      </c>
      <c r="L9" s="248">
        <f>611+283+176+72+7+2</f>
        <v>1151</v>
      </c>
      <c r="M9" s="249">
        <f>87115.53+66250.98+25872.43+16371.54+1151.08+514</f>
        <v>197275.56</v>
      </c>
      <c r="N9" s="248">
        <f>597+286+173+78+7+2</f>
        <v>1143</v>
      </c>
      <c r="O9" s="249">
        <f>84183.8+64898.61+29476+18662.94+520.13+514</f>
        <v>198255.48</v>
      </c>
      <c r="P9" s="247">
        <f>561+277+164+83+7+2</f>
        <v>1094</v>
      </c>
      <c r="Q9" s="9">
        <f>71798.56+64464.45+20610.87+20316.57+711.85+514</f>
        <v>178416.30000000002</v>
      </c>
      <c r="R9" s="247">
        <f>532+275+163+104+7+2</f>
        <v>1083</v>
      </c>
      <c r="S9" s="9">
        <f>33132.97+63143.77+9118.73+24586.13+509.24+514</f>
        <v>131004.84</v>
      </c>
      <c r="T9" s="247">
        <f>363+268+108+119+9+2</f>
        <v>869</v>
      </c>
      <c r="U9" s="9">
        <f>26364.84+61236.05+5097.08+27677.78+992.32+514</f>
        <v>121882.07</v>
      </c>
      <c r="V9" s="247">
        <f>566+214+25+2</f>
        <v>807</v>
      </c>
      <c r="W9" s="9">
        <f>37021.23+51279.76+4034.03+1568.7</f>
        <v>93903.72</v>
      </c>
      <c r="X9" s="247">
        <f>571+211+57+7+3</f>
        <v>849</v>
      </c>
      <c r="Y9" s="9">
        <f>65284.29+50019.94+1782.44+1474.95+346.38</f>
        <v>118908.00000000001</v>
      </c>
      <c r="Z9" s="248">
        <f>564+207+77+10+3+1</f>
        <v>862</v>
      </c>
      <c r="AA9" s="249">
        <f>80243.28+48199.24+9902.79+2531.45+550.78+25.7</f>
        <v>141453.24000000002</v>
      </c>
      <c r="AB9" s="250">
        <v>915</v>
      </c>
      <c r="AC9" s="246">
        <f>ROUNDUP((804*257*0.5)+(111*257)+94646.02+2526.41,0)</f>
        <v>229014</v>
      </c>
      <c r="AD9" s="250">
        <f>AB9+190</f>
        <v>1105</v>
      </c>
      <c r="AE9" s="246">
        <f>(804*257*0.5)+((111+190)*257)</f>
        <v>180671</v>
      </c>
      <c r="AF9" s="250">
        <f>AD9+190</f>
        <v>1295</v>
      </c>
      <c r="AG9" s="246">
        <f>(804*257*0.5)+((111+190+190)*257)</f>
        <v>229501</v>
      </c>
      <c r="AH9" s="250">
        <f>AF9+191</f>
        <v>1486</v>
      </c>
      <c r="AI9" s="246">
        <f>(804*257*0.5)+((111+190+190+191)*257)</f>
        <v>278588</v>
      </c>
      <c r="AJ9" s="250">
        <f>AH9+191</f>
        <v>1677</v>
      </c>
      <c r="AK9" s="246">
        <f>(804*257*0.5)+((111+190+190+191+191)*257)</f>
        <v>327675</v>
      </c>
      <c r="AL9" s="250">
        <f>AJ9+191</f>
        <v>1868</v>
      </c>
      <c r="AM9" s="246">
        <f>(804*257*0.5)+((111+190+190+191+191+191)*257)</f>
        <v>376762</v>
      </c>
      <c r="AN9" s="250">
        <f>AL9+191</f>
        <v>2059</v>
      </c>
      <c r="AO9" s="246">
        <f>(804*257*0.5)+((111+190+190+191+191+191+191)*257)</f>
        <v>425849</v>
      </c>
      <c r="AP9" s="298" t="s">
        <v>309</v>
      </c>
    </row>
    <row r="10" spans="1:42" s="87" customFormat="1" ht="28.5" x14ac:dyDescent="0.25">
      <c r="A10" s="142" t="s">
        <v>310</v>
      </c>
      <c r="B10" s="246">
        <f t="shared" ref="B10:B12" si="0">AC10+AE10+AG10+AI10+AK10+AM10+AO10</f>
        <v>58914</v>
      </c>
      <c r="C10" s="9">
        <f t="shared" ref="C10:C12" si="1">E10+G10+I10+K10+M10+O10+Q10+S10+U10+W10+Y10+AA10</f>
        <v>5560.8899999999994</v>
      </c>
      <c r="D10" s="247">
        <f>22</f>
        <v>22</v>
      </c>
      <c r="E10" s="9">
        <f>648.88</f>
        <v>648.88</v>
      </c>
      <c r="F10" s="248">
        <f>22</f>
        <v>22</v>
      </c>
      <c r="G10" s="249">
        <f>349.62</f>
        <v>349.62</v>
      </c>
      <c r="H10" s="248">
        <f>28</f>
        <v>28</v>
      </c>
      <c r="I10" s="249">
        <f>399.99</f>
        <v>399.99</v>
      </c>
      <c r="J10" s="248">
        <f>21</f>
        <v>21</v>
      </c>
      <c r="K10" s="249">
        <f>550</f>
        <v>550</v>
      </c>
      <c r="L10" s="248">
        <f>25</f>
        <v>25</v>
      </c>
      <c r="M10" s="249">
        <f>680</f>
        <v>680</v>
      </c>
      <c r="N10" s="248">
        <f>15</f>
        <v>15</v>
      </c>
      <c r="O10" s="249">
        <f>400</f>
        <v>400</v>
      </c>
      <c r="P10" s="247">
        <v>14</v>
      </c>
      <c r="Q10" s="9">
        <v>200</v>
      </c>
      <c r="R10" s="247">
        <v>18</v>
      </c>
      <c r="S10" s="9">
        <v>500</v>
      </c>
      <c r="T10" s="247">
        <v>16</v>
      </c>
      <c r="U10" s="9">
        <v>450</v>
      </c>
      <c r="V10" s="247">
        <f>28+17</f>
        <v>45</v>
      </c>
      <c r="W10" s="9">
        <f>500+50</f>
        <v>550</v>
      </c>
      <c r="X10" s="247">
        <f>2+28</f>
        <v>30</v>
      </c>
      <c r="Y10" s="9">
        <f>246.15+150</f>
        <v>396.15</v>
      </c>
      <c r="Z10" s="248">
        <v>19</v>
      </c>
      <c r="AA10" s="249">
        <v>436.25</v>
      </c>
      <c r="AB10" s="250">
        <v>24</v>
      </c>
      <c r="AC10" s="246">
        <f>ROUNDUP((AB10*50)+513.75,0)</f>
        <v>1714</v>
      </c>
      <c r="AD10" s="250">
        <v>190</v>
      </c>
      <c r="AE10" s="246">
        <f>AD10*50</f>
        <v>9500</v>
      </c>
      <c r="AF10" s="250">
        <v>190</v>
      </c>
      <c r="AG10" s="246">
        <f>AF10*50</f>
        <v>9500</v>
      </c>
      <c r="AH10" s="250">
        <v>191</v>
      </c>
      <c r="AI10" s="246">
        <f>AH10*50</f>
        <v>9550</v>
      </c>
      <c r="AJ10" s="250">
        <v>191</v>
      </c>
      <c r="AK10" s="246">
        <f>AJ10*50</f>
        <v>9550</v>
      </c>
      <c r="AL10" s="250">
        <v>191</v>
      </c>
      <c r="AM10" s="246">
        <f>AL10*50</f>
        <v>9550</v>
      </c>
      <c r="AN10" s="250">
        <v>191</v>
      </c>
      <c r="AO10" s="246">
        <f>AN10*50</f>
        <v>9550</v>
      </c>
      <c r="AP10" s="299"/>
    </row>
    <row r="11" spans="1:42" s="87" customFormat="1" ht="66.75" x14ac:dyDescent="0.25">
      <c r="A11" s="142" t="s">
        <v>311</v>
      </c>
      <c r="B11" s="246">
        <f t="shared" si="0"/>
        <v>1164</v>
      </c>
      <c r="C11" s="9">
        <f t="shared" si="1"/>
        <v>0</v>
      </c>
      <c r="D11" s="247"/>
      <c r="E11" s="9"/>
      <c r="F11" s="248"/>
      <c r="G11" s="249"/>
      <c r="H11" s="248"/>
      <c r="I11" s="249"/>
      <c r="J11" s="248"/>
      <c r="K11" s="249"/>
      <c r="L11" s="248"/>
      <c r="M11" s="249"/>
      <c r="N11" s="248"/>
      <c r="O11" s="249"/>
      <c r="P11" s="247"/>
      <c r="Q11" s="9"/>
      <c r="R11" s="247"/>
      <c r="S11" s="9"/>
      <c r="T11" s="247"/>
      <c r="U11" s="9"/>
      <c r="V11" s="247"/>
      <c r="W11" s="9"/>
      <c r="X11" s="247"/>
      <c r="Y11" s="9"/>
      <c r="Z11" s="248"/>
      <c r="AA11" s="249"/>
      <c r="AB11" s="250">
        <v>0</v>
      </c>
      <c r="AC11" s="246">
        <f>(82+15)*AB11</f>
        <v>0</v>
      </c>
      <c r="AD11" s="250">
        <v>2</v>
      </c>
      <c r="AE11" s="246">
        <f>(82+15)*AD11</f>
        <v>194</v>
      </c>
      <c r="AF11" s="250">
        <v>2</v>
      </c>
      <c r="AG11" s="246">
        <f>(82+15)*AF11</f>
        <v>194</v>
      </c>
      <c r="AH11" s="250">
        <v>2</v>
      </c>
      <c r="AI11" s="246">
        <f>(82+15)*AH11</f>
        <v>194</v>
      </c>
      <c r="AJ11" s="250">
        <v>2</v>
      </c>
      <c r="AK11" s="246">
        <f>(82+15)*AJ11</f>
        <v>194</v>
      </c>
      <c r="AL11" s="250">
        <v>2</v>
      </c>
      <c r="AM11" s="246">
        <f>(82+15)*AL11</f>
        <v>194</v>
      </c>
      <c r="AN11" s="250">
        <v>2</v>
      </c>
      <c r="AO11" s="246">
        <f>(82+15)*AN11</f>
        <v>194</v>
      </c>
      <c r="AP11" s="299"/>
    </row>
    <row r="12" spans="1:42" s="87" customFormat="1" ht="54" x14ac:dyDescent="0.25">
      <c r="A12" s="142" t="s">
        <v>312</v>
      </c>
      <c r="B12" s="246">
        <f t="shared" si="0"/>
        <v>56432</v>
      </c>
      <c r="C12" s="9">
        <f t="shared" si="1"/>
        <v>9135.1</v>
      </c>
      <c r="D12" s="247">
        <v>27</v>
      </c>
      <c r="E12" s="9">
        <f>973.39</f>
        <v>973.39</v>
      </c>
      <c r="F12" s="248">
        <v>28</v>
      </c>
      <c r="G12" s="249">
        <f>1192.69</f>
        <v>1192.69</v>
      </c>
      <c r="H12" s="248">
        <f>28</f>
        <v>28</v>
      </c>
      <c r="I12" s="249">
        <f>1465.64</f>
        <v>1465.64</v>
      </c>
      <c r="J12" s="248">
        <f>34</f>
        <v>34</v>
      </c>
      <c r="K12" s="249">
        <f>1378.25</f>
        <v>1378.25</v>
      </c>
      <c r="L12" s="248">
        <f>27+7</f>
        <v>34</v>
      </c>
      <c r="M12" s="249">
        <f>1484.72+363.59</f>
        <v>1848.31</v>
      </c>
      <c r="N12" s="248">
        <f>33</f>
        <v>33</v>
      </c>
      <c r="O12" s="249">
        <f>1769.05</f>
        <v>1769.05</v>
      </c>
      <c r="P12" s="247">
        <v>1</v>
      </c>
      <c r="Q12" s="9">
        <v>46.35</v>
      </c>
      <c r="R12" s="247"/>
      <c r="S12" s="9"/>
      <c r="T12" s="247"/>
      <c r="U12" s="9"/>
      <c r="V12" s="247">
        <v>3</v>
      </c>
      <c r="W12" s="9">
        <v>32.53</v>
      </c>
      <c r="X12" s="247">
        <v>8</v>
      </c>
      <c r="Y12" s="9">
        <v>153.99</v>
      </c>
      <c r="Z12" s="248">
        <v>12</v>
      </c>
      <c r="AA12" s="249">
        <v>274.89999999999998</v>
      </c>
      <c r="AB12" s="250">
        <v>19</v>
      </c>
      <c r="AC12" s="246">
        <f>ROUNDUP((64.89*AB12)+364.73,0)</f>
        <v>1598</v>
      </c>
      <c r="AD12" s="250">
        <f>AB12+50</f>
        <v>69</v>
      </c>
      <c r="AE12" s="246">
        <f>ROUNDUP(64.89*AD12,0)</f>
        <v>4478</v>
      </c>
      <c r="AF12" s="250">
        <f>AD12+50</f>
        <v>119</v>
      </c>
      <c r="AG12" s="246">
        <f>ROUNDUP(64.89*AF12,0)</f>
        <v>7722</v>
      </c>
      <c r="AH12" s="250">
        <f>AF12+50</f>
        <v>169</v>
      </c>
      <c r="AI12" s="246">
        <f>ROUNDUP(64.89*AH12,0)</f>
        <v>10967</v>
      </c>
      <c r="AJ12" s="250">
        <f>AH12+50</f>
        <v>219</v>
      </c>
      <c r="AK12" s="246">
        <f>ROUNDUP(64.89*AJ12,0)</f>
        <v>14211</v>
      </c>
      <c r="AL12" s="250">
        <f>AJ12+50</f>
        <v>269</v>
      </c>
      <c r="AM12" s="246">
        <f>ROUNDUP(64.89*AL12,0)</f>
        <v>17456</v>
      </c>
      <c r="AN12" s="250">
        <v>0</v>
      </c>
      <c r="AO12" s="246">
        <f>ROUNDUP(64.89*AN12,0)</f>
        <v>0</v>
      </c>
      <c r="AP12" s="300"/>
    </row>
    <row r="13" spans="1:42" s="87" customFormat="1" x14ac:dyDescent="0.25">
      <c r="A13" s="10" t="s">
        <v>16</v>
      </c>
      <c r="B13" s="251">
        <f>SUM(B9:B12)</f>
        <v>2164570</v>
      </c>
      <c r="C13" s="11">
        <f>SUM(C9:C12)</f>
        <v>1917791.0700000003</v>
      </c>
      <c r="D13" s="252" t="s">
        <v>17</v>
      </c>
      <c r="E13" s="11">
        <f t="shared" ref="E13" si="2">SUM(E9:E12)</f>
        <v>184268.56000000003</v>
      </c>
      <c r="F13" s="253" t="s">
        <v>17</v>
      </c>
      <c r="G13" s="254">
        <f>SUM(G9:G12)</f>
        <v>156368.07</v>
      </c>
      <c r="H13" s="253" t="s">
        <v>17</v>
      </c>
      <c r="I13" s="254">
        <f>SUM(I9:I12)</f>
        <v>199023.24000000002</v>
      </c>
      <c r="J13" s="253" t="s">
        <v>17</v>
      </c>
      <c r="K13" s="254">
        <f>SUM(K9:K12)</f>
        <v>189294.46000000002</v>
      </c>
      <c r="L13" s="253" t="s">
        <v>17</v>
      </c>
      <c r="M13" s="254">
        <f>SUM(M9:M12)</f>
        <v>199803.87</v>
      </c>
      <c r="N13" s="253" t="s">
        <v>17</v>
      </c>
      <c r="O13" s="254">
        <f>SUM(O9:O12)</f>
        <v>200424.53</v>
      </c>
      <c r="P13" s="252" t="s">
        <v>17</v>
      </c>
      <c r="Q13" s="11">
        <f>SUM(Q9:Q12)</f>
        <v>178662.65000000002</v>
      </c>
      <c r="R13" s="252" t="s">
        <v>17</v>
      </c>
      <c r="S13" s="11">
        <f>SUM(S9:S12)</f>
        <v>131504.84</v>
      </c>
      <c r="T13" s="252" t="s">
        <v>17</v>
      </c>
      <c r="U13" s="11">
        <f>SUM(U9:U12)</f>
        <v>122332.07</v>
      </c>
      <c r="V13" s="252" t="s">
        <v>17</v>
      </c>
      <c r="W13" s="11">
        <f>SUM(W9:W12)</f>
        <v>94486.25</v>
      </c>
      <c r="X13" s="252" t="s">
        <v>17</v>
      </c>
      <c r="Y13" s="11">
        <f>SUM(Y9:Y12)</f>
        <v>119458.14000000001</v>
      </c>
      <c r="Z13" s="253" t="s">
        <v>17</v>
      </c>
      <c r="AA13" s="254">
        <f>SUM(AA9:AA12)</f>
        <v>142164.39000000001</v>
      </c>
      <c r="AB13" s="255" t="s">
        <v>17</v>
      </c>
      <c r="AC13" s="251">
        <f>SUM(AC9:AC12)</f>
        <v>232326</v>
      </c>
      <c r="AD13" s="255" t="s">
        <v>17</v>
      </c>
      <c r="AE13" s="251">
        <f t="shared" ref="AE13:AM13" si="3">SUM(AE9:AE12)</f>
        <v>194843</v>
      </c>
      <c r="AF13" s="255" t="s">
        <v>17</v>
      </c>
      <c r="AG13" s="251">
        <f t="shared" si="3"/>
        <v>246917</v>
      </c>
      <c r="AH13" s="255" t="s">
        <v>17</v>
      </c>
      <c r="AI13" s="251">
        <f t="shared" si="3"/>
        <v>299299</v>
      </c>
      <c r="AJ13" s="255" t="s">
        <v>17</v>
      </c>
      <c r="AK13" s="251">
        <f t="shared" si="3"/>
        <v>351630</v>
      </c>
      <c r="AL13" s="255" t="s">
        <v>17</v>
      </c>
      <c r="AM13" s="251">
        <f t="shared" si="3"/>
        <v>403962</v>
      </c>
      <c r="AN13" s="255" t="s">
        <v>17</v>
      </c>
      <c r="AO13" s="251">
        <f>SUM(AO9:AO12)</f>
        <v>435593</v>
      </c>
      <c r="AP13" s="256"/>
    </row>
    <row r="15" spans="1:42" x14ac:dyDescent="0.25">
      <c r="B15" s="257"/>
      <c r="C15" s="257"/>
      <c r="D15" s="257"/>
      <c r="E15" s="257"/>
      <c r="Q15" s="257"/>
    </row>
    <row r="16" spans="1:42" ht="15.75" x14ac:dyDescent="0.25">
      <c r="B16" s="257"/>
      <c r="C16" s="257"/>
      <c r="D16" s="257"/>
      <c r="E16" s="257"/>
      <c r="F16" s="258"/>
      <c r="H16" s="258"/>
      <c r="J16" s="258"/>
      <c r="L16" s="258"/>
      <c r="N16" s="258"/>
      <c r="P16" s="258"/>
      <c r="R16" s="258"/>
      <c r="T16" s="258"/>
      <c r="V16" s="258"/>
      <c r="X16" s="258"/>
      <c r="Z16" s="258"/>
      <c r="AN16" s="258"/>
      <c r="AP16" s="259"/>
    </row>
    <row r="17" spans="6:40" x14ac:dyDescent="0.25">
      <c r="F17" s="258"/>
      <c r="H17" s="258"/>
      <c r="J17" s="258"/>
      <c r="L17" s="258"/>
      <c r="N17" s="258"/>
      <c r="P17" s="258"/>
      <c r="R17" s="258"/>
      <c r="T17" s="258"/>
      <c r="V17" s="258"/>
      <c r="X17" s="258"/>
      <c r="Z17" s="258"/>
      <c r="AN17" s="258"/>
    </row>
    <row r="18" spans="6:40" x14ac:dyDescent="0.25">
      <c r="F18" s="258"/>
      <c r="H18" s="258"/>
      <c r="J18" s="258"/>
      <c r="L18" s="258"/>
      <c r="N18" s="258"/>
      <c r="P18" s="258"/>
      <c r="R18" s="258"/>
      <c r="T18" s="258"/>
      <c r="V18" s="258"/>
      <c r="X18" s="258"/>
      <c r="Z18" s="258"/>
      <c r="AD18" s="258"/>
      <c r="AN18" s="258"/>
    </row>
    <row r="19" spans="6:40" x14ac:dyDescent="0.25">
      <c r="F19" s="258"/>
      <c r="H19" s="258"/>
      <c r="J19" s="258"/>
      <c r="L19" s="258"/>
      <c r="N19" s="258"/>
      <c r="P19" s="258"/>
      <c r="R19" s="258"/>
      <c r="T19" s="258"/>
      <c r="V19" s="258"/>
      <c r="X19" s="258"/>
      <c r="Z19" s="258"/>
      <c r="AN19" s="258"/>
    </row>
    <row r="20" spans="6:40" x14ac:dyDescent="0.25">
      <c r="F20" s="258"/>
      <c r="H20" s="258"/>
      <c r="J20" s="258"/>
      <c r="L20" s="258"/>
      <c r="N20" s="258"/>
      <c r="P20" s="258"/>
      <c r="R20" s="258"/>
      <c r="T20" s="258"/>
      <c r="V20" s="258"/>
      <c r="X20" s="258"/>
      <c r="Z20" s="258"/>
      <c r="AN20" s="258"/>
    </row>
  </sheetData>
  <mergeCells count="42">
    <mergeCell ref="A1:AP1"/>
    <mergeCell ref="A2:AP2"/>
    <mergeCell ref="D4:E4"/>
    <mergeCell ref="F4:G4"/>
    <mergeCell ref="H4:I4"/>
    <mergeCell ref="J4:K4"/>
    <mergeCell ref="L4:M4"/>
    <mergeCell ref="N4:O4"/>
    <mergeCell ref="P4:Q4"/>
    <mergeCell ref="R4:S4"/>
    <mergeCell ref="T4:U4"/>
    <mergeCell ref="V4:W4"/>
    <mergeCell ref="X4:Y4"/>
    <mergeCell ref="Z4:AA4"/>
    <mergeCell ref="AB4:AC4"/>
    <mergeCell ref="AF4:AG4"/>
    <mergeCell ref="D5:E5"/>
    <mergeCell ref="F5:G5"/>
    <mergeCell ref="H5:I5"/>
    <mergeCell ref="J5:K5"/>
    <mergeCell ref="L5:M5"/>
    <mergeCell ref="N5:O5"/>
    <mergeCell ref="P5:Q5"/>
    <mergeCell ref="R5:S5"/>
    <mergeCell ref="T5:U5"/>
    <mergeCell ref="V5:W5"/>
    <mergeCell ref="X5:Y5"/>
    <mergeCell ref="AP9:AP12"/>
    <mergeCell ref="AB5:AC5"/>
    <mergeCell ref="AD5:AE5"/>
    <mergeCell ref="AF5:AG5"/>
    <mergeCell ref="AH5:AI5"/>
    <mergeCell ref="AJ5:AK5"/>
    <mergeCell ref="AL5:AM5"/>
    <mergeCell ref="AP4:AP7"/>
    <mergeCell ref="AN5:AO5"/>
    <mergeCell ref="AD4:AE4"/>
    <mergeCell ref="AH4:AI4"/>
    <mergeCell ref="AJ4:AK4"/>
    <mergeCell ref="AL4:AM4"/>
    <mergeCell ref="AN4:AO4"/>
    <mergeCell ref="Z5:AA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795B80-0B12-4CD2-8A48-41916FF5B9B7}">
  <dimension ref="A1:BA32"/>
  <sheetViews>
    <sheetView workbookViewId="0">
      <selection activeCell="B25" sqref="B25"/>
    </sheetView>
  </sheetViews>
  <sheetFormatPr defaultColWidth="9.42578125" defaultRowHeight="15" x14ac:dyDescent="0.25"/>
  <cols>
    <col min="1" max="1" width="30.7109375" style="12" customWidth="1"/>
    <col min="2" max="2" width="28" style="124" customWidth="1"/>
    <col min="3" max="4" width="17" style="124" customWidth="1"/>
    <col min="5" max="28" width="15.140625" style="124" hidden="1" customWidth="1"/>
    <col min="29" max="31" width="15.140625" style="124" customWidth="1"/>
    <col min="32" max="42" width="15.140625" style="13" customWidth="1"/>
    <col min="43" max="43" width="53.140625" style="151" customWidth="1"/>
    <col min="44" max="44" width="45.7109375" style="132" customWidth="1"/>
    <col min="45" max="290" width="9.42578125" style="132"/>
    <col min="291" max="291" width="21.7109375" style="132" customWidth="1"/>
    <col min="292" max="292" width="10.28515625" style="132" customWidth="1"/>
    <col min="293" max="293" width="14.140625" style="132" customWidth="1"/>
    <col min="294" max="294" width="10.28515625" style="132" customWidth="1"/>
    <col min="295" max="295" width="14.140625" style="132" customWidth="1"/>
    <col min="296" max="296" width="10.28515625" style="132" customWidth="1"/>
    <col min="297" max="298" width="14.140625" style="132" customWidth="1"/>
    <col min="299" max="299" width="46.28515625" style="132" customWidth="1"/>
    <col min="300" max="300" width="45.7109375" style="132" customWidth="1"/>
    <col min="301" max="546" width="9.42578125" style="132"/>
    <col min="547" max="547" width="21.7109375" style="132" customWidth="1"/>
    <col min="548" max="548" width="10.28515625" style="132" customWidth="1"/>
    <col min="549" max="549" width="14.140625" style="132" customWidth="1"/>
    <col min="550" max="550" width="10.28515625" style="132" customWidth="1"/>
    <col min="551" max="551" width="14.140625" style="132" customWidth="1"/>
    <col min="552" max="552" width="10.28515625" style="132" customWidth="1"/>
    <col min="553" max="554" width="14.140625" style="132" customWidth="1"/>
    <col min="555" max="555" width="46.28515625" style="132" customWidth="1"/>
    <col min="556" max="556" width="45.7109375" style="132" customWidth="1"/>
    <col min="557" max="802" width="9.42578125" style="132"/>
    <col min="803" max="803" width="21.7109375" style="132" customWidth="1"/>
    <col min="804" max="804" width="10.28515625" style="132" customWidth="1"/>
    <col min="805" max="805" width="14.140625" style="132" customWidth="1"/>
    <col min="806" max="806" width="10.28515625" style="132" customWidth="1"/>
    <col min="807" max="807" width="14.140625" style="132" customWidth="1"/>
    <col min="808" max="808" width="10.28515625" style="132" customWidth="1"/>
    <col min="809" max="810" width="14.140625" style="132" customWidth="1"/>
    <col min="811" max="811" width="46.28515625" style="132" customWidth="1"/>
    <col min="812" max="812" width="45.7109375" style="132" customWidth="1"/>
    <col min="813" max="1058" width="9.42578125" style="132"/>
    <col min="1059" max="1059" width="21.7109375" style="132" customWidth="1"/>
    <col min="1060" max="1060" width="10.28515625" style="132" customWidth="1"/>
    <col min="1061" max="1061" width="14.140625" style="132" customWidth="1"/>
    <col min="1062" max="1062" width="10.28515625" style="132" customWidth="1"/>
    <col min="1063" max="1063" width="14.140625" style="132" customWidth="1"/>
    <col min="1064" max="1064" width="10.28515625" style="132" customWidth="1"/>
    <col min="1065" max="1066" width="14.140625" style="132" customWidth="1"/>
    <col min="1067" max="1067" width="46.28515625" style="132" customWidth="1"/>
    <col min="1068" max="1068" width="45.7109375" style="132" customWidth="1"/>
    <col min="1069" max="1314" width="9.42578125" style="132"/>
    <col min="1315" max="1315" width="21.7109375" style="132" customWidth="1"/>
    <col min="1316" max="1316" width="10.28515625" style="132" customWidth="1"/>
    <col min="1317" max="1317" width="14.140625" style="132" customWidth="1"/>
    <col min="1318" max="1318" width="10.28515625" style="132" customWidth="1"/>
    <col min="1319" max="1319" width="14.140625" style="132" customWidth="1"/>
    <col min="1320" max="1320" width="10.28515625" style="132" customWidth="1"/>
    <col min="1321" max="1322" width="14.140625" style="132" customWidth="1"/>
    <col min="1323" max="1323" width="46.28515625" style="132" customWidth="1"/>
    <col min="1324" max="1324" width="45.7109375" style="132" customWidth="1"/>
    <col min="1325" max="1570" width="9.42578125" style="132"/>
    <col min="1571" max="1571" width="21.7109375" style="132" customWidth="1"/>
    <col min="1572" max="1572" width="10.28515625" style="132" customWidth="1"/>
    <col min="1573" max="1573" width="14.140625" style="132" customWidth="1"/>
    <col min="1574" max="1574" width="10.28515625" style="132" customWidth="1"/>
    <col min="1575" max="1575" width="14.140625" style="132" customWidth="1"/>
    <col min="1576" max="1576" width="10.28515625" style="132" customWidth="1"/>
    <col min="1577" max="1578" width="14.140625" style="132" customWidth="1"/>
    <col min="1579" max="1579" width="46.28515625" style="132" customWidth="1"/>
    <col min="1580" max="1580" width="45.7109375" style="132" customWidth="1"/>
    <col min="1581" max="1826" width="9.42578125" style="132"/>
    <col min="1827" max="1827" width="21.7109375" style="132" customWidth="1"/>
    <col min="1828" max="1828" width="10.28515625" style="132" customWidth="1"/>
    <col min="1829" max="1829" width="14.140625" style="132" customWidth="1"/>
    <col min="1830" max="1830" width="10.28515625" style="132" customWidth="1"/>
    <col min="1831" max="1831" width="14.140625" style="132" customWidth="1"/>
    <col min="1832" max="1832" width="10.28515625" style="132" customWidth="1"/>
    <col min="1833" max="1834" width="14.140625" style="132" customWidth="1"/>
    <col min="1835" max="1835" width="46.28515625" style="132" customWidth="1"/>
    <col min="1836" max="1836" width="45.7109375" style="132" customWidth="1"/>
    <col min="1837" max="2082" width="9.42578125" style="132"/>
    <col min="2083" max="2083" width="21.7109375" style="132" customWidth="1"/>
    <col min="2084" max="2084" width="10.28515625" style="132" customWidth="1"/>
    <col min="2085" max="2085" width="14.140625" style="132" customWidth="1"/>
    <col min="2086" max="2086" width="10.28515625" style="132" customWidth="1"/>
    <col min="2087" max="2087" width="14.140625" style="132" customWidth="1"/>
    <col min="2088" max="2088" width="10.28515625" style="132" customWidth="1"/>
    <col min="2089" max="2090" width="14.140625" style="132" customWidth="1"/>
    <col min="2091" max="2091" width="46.28515625" style="132" customWidth="1"/>
    <col min="2092" max="2092" width="45.7109375" style="132" customWidth="1"/>
    <col min="2093" max="2338" width="9.42578125" style="132"/>
    <col min="2339" max="2339" width="21.7109375" style="132" customWidth="1"/>
    <col min="2340" max="2340" width="10.28515625" style="132" customWidth="1"/>
    <col min="2341" max="2341" width="14.140625" style="132" customWidth="1"/>
    <col min="2342" max="2342" width="10.28515625" style="132" customWidth="1"/>
    <col min="2343" max="2343" width="14.140625" style="132" customWidth="1"/>
    <col min="2344" max="2344" width="10.28515625" style="132" customWidth="1"/>
    <col min="2345" max="2346" width="14.140625" style="132" customWidth="1"/>
    <col min="2347" max="2347" width="46.28515625" style="132" customWidth="1"/>
    <col min="2348" max="2348" width="45.7109375" style="132" customWidth="1"/>
    <col min="2349" max="2594" width="9.42578125" style="132"/>
    <col min="2595" max="2595" width="21.7109375" style="132" customWidth="1"/>
    <col min="2596" max="2596" width="10.28515625" style="132" customWidth="1"/>
    <col min="2597" max="2597" width="14.140625" style="132" customWidth="1"/>
    <col min="2598" max="2598" width="10.28515625" style="132" customWidth="1"/>
    <col min="2599" max="2599" width="14.140625" style="132" customWidth="1"/>
    <col min="2600" max="2600" width="10.28515625" style="132" customWidth="1"/>
    <col min="2601" max="2602" width="14.140625" style="132" customWidth="1"/>
    <col min="2603" max="2603" width="46.28515625" style="132" customWidth="1"/>
    <col min="2604" max="2604" width="45.7109375" style="132" customWidth="1"/>
    <col min="2605" max="2850" width="9.42578125" style="132"/>
    <col min="2851" max="2851" width="21.7109375" style="132" customWidth="1"/>
    <col min="2852" max="2852" width="10.28515625" style="132" customWidth="1"/>
    <col min="2853" max="2853" width="14.140625" style="132" customWidth="1"/>
    <col min="2854" max="2854" width="10.28515625" style="132" customWidth="1"/>
    <col min="2855" max="2855" width="14.140625" style="132" customWidth="1"/>
    <col min="2856" max="2856" width="10.28515625" style="132" customWidth="1"/>
    <col min="2857" max="2858" width="14.140625" style="132" customWidth="1"/>
    <col min="2859" max="2859" width="46.28515625" style="132" customWidth="1"/>
    <col min="2860" max="2860" width="45.7109375" style="132" customWidth="1"/>
    <col min="2861" max="3106" width="9.42578125" style="132"/>
    <col min="3107" max="3107" width="21.7109375" style="132" customWidth="1"/>
    <col min="3108" max="3108" width="10.28515625" style="132" customWidth="1"/>
    <col min="3109" max="3109" width="14.140625" style="132" customWidth="1"/>
    <col min="3110" max="3110" width="10.28515625" style="132" customWidth="1"/>
    <col min="3111" max="3111" width="14.140625" style="132" customWidth="1"/>
    <col min="3112" max="3112" width="10.28515625" style="132" customWidth="1"/>
    <col min="3113" max="3114" width="14.140625" style="132" customWidth="1"/>
    <col min="3115" max="3115" width="46.28515625" style="132" customWidth="1"/>
    <col min="3116" max="3116" width="45.7109375" style="132" customWidth="1"/>
    <col min="3117" max="3362" width="9.42578125" style="132"/>
    <col min="3363" max="3363" width="21.7109375" style="132" customWidth="1"/>
    <col min="3364" max="3364" width="10.28515625" style="132" customWidth="1"/>
    <col min="3365" max="3365" width="14.140625" style="132" customWidth="1"/>
    <col min="3366" max="3366" width="10.28515625" style="132" customWidth="1"/>
    <col min="3367" max="3367" width="14.140625" style="132" customWidth="1"/>
    <col min="3368" max="3368" width="10.28515625" style="132" customWidth="1"/>
    <col min="3369" max="3370" width="14.140625" style="132" customWidth="1"/>
    <col min="3371" max="3371" width="46.28515625" style="132" customWidth="1"/>
    <col min="3372" max="3372" width="45.7109375" style="132" customWidth="1"/>
    <col min="3373" max="3618" width="9.42578125" style="132"/>
    <col min="3619" max="3619" width="21.7109375" style="132" customWidth="1"/>
    <col min="3620" max="3620" width="10.28515625" style="132" customWidth="1"/>
    <col min="3621" max="3621" width="14.140625" style="132" customWidth="1"/>
    <col min="3622" max="3622" width="10.28515625" style="132" customWidth="1"/>
    <col min="3623" max="3623" width="14.140625" style="132" customWidth="1"/>
    <col min="3624" max="3624" width="10.28515625" style="132" customWidth="1"/>
    <col min="3625" max="3626" width="14.140625" style="132" customWidth="1"/>
    <col min="3627" max="3627" width="46.28515625" style="132" customWidth="1"/>
    <col min="3628" max="3628" width="45.7109375" style="132" customWidth="1"/>
    <col min="3629" max="3874" width="9.42578125" style="132"/>
    <col min="3875" max="3875" width="21.7109375" style="132" customWidth="1"/>
    <col min="3876" max="3876" width="10.28515625" style="132" customWidth="1"/>
    <col min="3877" max="3877" width="14.140625" style="132" customWidth="1"/>
    <col min="3878" max="3878" width="10.28515625" style="132" customWidth="1"/>
    <col min="3879" max="3879" width="14.140625" style="132" customWidth="1"/>
    <col min="3880" max="3880" width="10.28515625" style="132" customWidth="1"/>
    <col min="3881" max="3882" width="14.140625" style="132" customWidth="1"/>
    <col min="3883" max="3883" width="46.28515625" style="132" customWidth="1"/>
    <col min="3884" max="3884" width="45.7109375" style="132" customWidth="1"/>
    <col min="3885" max="4130" width="9.42578125" style="132"/>
    <col min="4131" max="4131" width="21.7109375" style="132" customWidth="1"/>
    <col min="4132" max="4132" width="10.28515625" style="132" customWidth="1"/>
    <col min="4133" max="4133" width="14.140625" style="132" customWidth="1"/>
    <col min="4134" max="4134" width="10.28515625" style="132" customWidth="1"/>
    <col min="4135" max="4135" width="14.140625" style="132" customWidth="1"/>
    <col min="4136" max="4136" width="10.28515625" style="132" customWidth="1"/>
    <col min="4137" max="4138" width="14.140625" style="132" customWidth="1"/>
    <col min="4139" max="4139" width="46.28515625" style="132" customWidth="1"/>
    <col min="4140" max="4140" width="45.7109375" style="132" customWidth="1"/>
    <col min="4141" max="4386" width="9.42578125" style="132"/>
    <col min="4387" max="4387" width="21.7109375" style="132" customWidth="1"/>
    <col min="4388" max="4388" width="10.28515625" style="132" customWidth="1"/>
    <col min="4389" max="4389" width="14.140625" style="132" customWidth="1"/>
    <col min="4390" max="4390" width="10.28515625" style="132" customWidth="1"/>
    <col min="4391" max="4391" width="14.140625" style="132" customWidth="1"/>
    <col min="4392" max="4392" width="10.28515625" style="132" customWidth="1"/>
    <col min="4393" max="4394" width="14.140625" style="132" customWidth="1"/>
    <col min="4395" max="4395" width="46.28515625" style="132" customWidth="1"/>
    <col min="4396" max="4396" width="45.7109375" style="132" customWidth="1"/>
    <col min="4397" max="4642" width="9.42578125" style="132"/>
    <col min="4643" max="4643" width="21.7109375" style="132" customWidth="1"/>
    <col min="4644" max="4644" width="10.28515625" style="132" customWidth="1"/>
    <col min="4645" max="4645" width="14.140625" style="132" customWidth="1"/>
    <col min="4646" max="4646" width="10.28515625" style="132" customWidth="1"/>
    <col min="4647" max="4647" width="14.140625" style="132" customWidth="1"/>
    <col min="4648" max="4648" width="10.28515625" style="132" customWidth="1"/>
    <col min="4649" max="4650" width="14.140625" style="132" customWidth="1"/>
    <col min="4651" max="4651" width="46.28515625" style="132" customWidth="1"/>
    <col min="4652" max="4652" width="45.7109375" style="132" customWidth="1"/>
    <col min="4653" max="4898" width="9.42578125" style="132"/>
    <col min="4899" max="4899" width="21.7109375" style="132" customWidth="1"/>
    <col min="4900" max="4900" width="10.28515625" style="132" customWidth="1"/>
    <col min="4901" max="4901" width="14.140625" style="132" customWidth="1"/>
    <col min="4902" max="4902" width="10.28515625" style="132" customWidth="1"/>
    <col min="4903" max="4903" width="14.140625" style="132" customWidth="1"/>
    <col min="4904" max="4904" width="10.28515625" style="132" customWidth="1"/>
    <col min="4905" max="4906" width="14.140625" style="132" customWidth="1"/>
    <col min="4907" max="4907" width="46.28515625" style="132" customWidth="1"/>
    <col min="4908" max="4908" width="45.7109375" style="132" customWidth="1"/>
    <col min="4909" max="5154" width="9.42578125" style="132"/>
    <col min="5155" max="5155" width="21.7109375" style="132" customWidth="1"/>
    <col min="5156" max="5156" width="10.28515625" style="132" customWidth="1"/>
    <col min="5157" max="5157" width="14.140625" style="132" customWidth="1"/>
    <col min="5158" max="5158" width="10.28515625" style="132" customWidth="1"/>
    <col min="5159" max="5159" width="14.140625" style="132" customWidth="1"/>
    <col min="5160" max="5160" width="10.28515625" style="132" customWidth="1"/>
    <col min="5161" max="5162" width="14.140625" style="132" customWidth="1"/>
    <col min="5163" max="5163" width="46.28515625" style="132" customWidth="1"/>
    <col min="5164" max="5164" width="45.7109375" style="132" customWidth="1"/>
    <col min="5165" max="5410" width="9.42578125" style="132"/>
    <col min="5411" max="5411" width="21.7109375" style="132" customWidth="1"/>
    <col min="5412" max="5412" width="10.28515625" style="132" customWidth="1"/>
    <col min="5413" max="5413" width="14.140625" style="132" customWidth="1"/>
    <col min="5414" max="5414" width="10.28515625" style="132" customWidth="1"/>
    <col min="5415" max="5415" width="14.140625" style="132" customWidth="1"/>
    <col min="5416" max="5416" width="10.28515625" style="132" customWidth="1"/>
    <col min="5417" max="5418" width="14.140625" style="132" customWidth="1"/>
    <col min="5419" max="5419" width="46.28515625" style="132" customWidth="1"/>
    <col min="5420" max="5420" width="45.7109375" style="132" customWidth="1"/>
    <col min="5421" max="5666" width="9.42578125" style="132"/>
    <col min="5667" max="5667" width="21.7109375" style="132" customWidth="1"/>
    <col min="5668" max="5668" width="10.28515625" style="132" customWidth="1"/>
    <col min="5669" max="5669" width="14.140625" style="132" customWidth="1"/>
    <col min="5670" max="5670" width="10.28515625" style="132" customWidth="1"/>
    <col min="5671" max="5671" width="14.140625" style="132" customWidth="1"/>
    <col min="5672" max="5672" width="10.28515625" style="132" customWidth="1"/>
    <col min="5673" max="5674" width="14.140625" style="132" customWidth="1"/>
    <col min="5675" max="5675" width="46.28515625" style="132" customWidth="1"/>
    <col min="5676" max="5676" width="45.7109375" style="132" customWidth="1"/>
    <col min="5677" max="5922" width="9.42578125" style="132"/>
    <col min="5923" max="5923" width="21.7109375" style="132" customWidth="1"/>
    <col min="5924" max="5924" width="10.28515625" style="132" customWidth="1"/>
    <col min="5925" max="5925" width="14.140625" style="132" customWidth="1"/>
    <col min="5926" max="5926" width="10.28515625" style="132" customWidth="1"/>
    <col min="5927" max="5927" width="14.140625" style="132" customWidth="1"/>
    <col min="5928" max="5928" width="10.28515625" style="132" customWidth="1"/>
    <col min="5929" max="5930" width="14.140625" style="132" customWidth="1"/>
    <col min="5931" max="5931" width="46.28515625" style="132" customWidth="1"/>
    <col min="5932" max="5932" width="45.7109375" style="132" customWidth="1"/>
    <col min="5933" max="6178" width="9.42578125" style="132"/>
    <col min="6179" max="6179" width="21.7109375" style="132" customWidth="1"/>
    <col min="6180" max="6180" width="10.28515625" style="132" customWidth="1"/>
    <col min="6181" max="6181" width="14.140625" style="132" customWidth="1"/>
    <col min="6182" max="6182" width="10.28515625" style="132" customWidth="1"/>
    <col min="6183" max="6183" width="14.140625" style="132" customWidth="1"/>
    <col min="6184" max="6184" width="10.28515625" style="132" customWidth="1"/>
    <col min="6185" max="6186" width="14.140625" style="132" customWidth="1"/>
    <col min="6187" max="6187" width="46.28515625" style="132" customWidth="1"/>
    <col min="6188" max="6188" width="45.7109375" style="132" customWidth="1"/>
    <col min="6189" max="6434" width="9.42578125" style="132"/>
    <col min="6435" max="6435" width="21.7109375" style="132" customWidth="1"/>
    <col min="6436" max="6436" width="10.28515625" style="132" customWidth="1"/>
    <col min="6437" max="6437" width="14.140625" style="132" customWidth="1"/>
    <col min="6438" max="6438" width="10.28515625" style="132" customWidth="1"/>
    <col min="6439" max="6439" width="14.140625" style="132" customWidth="1"/>
    <col min="6440" max="6440" width="10.28515625" style="132" customWidth="1"/>
    <col min="6441" max="6442" width="14.140625" style="132" customWidth="1"/>
    <col min="6443" max="6443" width="46.28515625" style="132" customWidth="1"/>
    <col min="6444" max="6444" width="45.7109375" style="132" customWidth="1"/>
    <col min="6445" max="6690" width="9.42578125" style="132"/>
    <col min="6691" max="6691" width="21.7109375" style="132" customWidth="1"/>
    <col min="6692" max="6692" width="10.28515625" style="132" customWidth="1"/>
    <col min="6693" max="6693" width="14.140625" style="132" customWidth="1"/>
    <col min="6694" max="6694" width="10.28515625" style="132" customWidth="1"/>
    <col min="6695" max="6695" width="14.140625" style="132" customWidth="1"/>
    <col min="6696" max="6696" width="10.28515625" style="132" customWidth="1"/>
    <col min="6697" max="6698" width="14.140625" style="132" customWidth="1"/>
    <col min="6699" max="6699" width="46.28515625" style="132" customWidth="1"/>
    <col min="6700" max="6700" width="45.7109375" style="132" customWidth="1"/>
    <col min="6701" max="6946" width="9.42578125" style="132"/>
    <col min="6947" max="6947" width="21.7109375" style="132" customWidth="1"/>
    <col min="6948" max="6948" width="10.28515625" style="132" customWidth="1"/>
    <col min="6949" max="6949" width="14.140625" style="132" customWidth="1"/>
    <col min="6950" max="6950" width="10.28515625" style="132" customWidth="1"/>
    <col min="6951" max="6951" width="14.140625" style="132" customWidth="1"/>
    <col min="6952" max="6952" width="10.28515625" style="132" customWidth="1"/>
    <col min="6953" max="6954" width="14.140625" style="132" customWidth="1"/>
    <col min="6955" max="6955" width="46.28515625" style="132" customWidth="1"/>
    <col min="6956" max="6956" width="45.7109375" style="132" customWidth="1"/>
    <col min="6957" max="7202" width="9.42578125" style="132"/>
    <col min="7203" max="7203" width="21.7109375" style="132" customWidth="1"/>
    <col min="7204" max="7204" width="10.28515625" style="132" customWidth="1"/>
    <col min="7205" max="7205" width="14.140625" style="132" customWidth="1"/>
    <col min="7206" max="7206" width="10.28515625" style="132" customWidth="1"/>
    <col min="7207" max="7207" width="14.140625" style="132" customWidth="1"/>
    <col min="7208" max="7208" width="10.28515625" style="132" customWidth="1"/>
    <col min="7209" max="7210" width="14.140625" style="132" customWidth="1"/>
    <col min="7211" max="7211" width="46.28515625" style="132" customWidth="1"/>
    <col min="7212" max="7212" width="45.7109375" style="132" customWidth="1"/>
    <col min="7213" max="7458" width="9.42578125" style="132"/>
    <col min="7459" max="7459" width="21.7109375" style="132" customWidth="1"/>
    <col min="7460" max="7460" width="10.28515625" style="132" customWidth="1"/>
    <col min="7461" max="7461" width="14.140625" style="132" customWidth="1"/>
    <col min="7462" max="7462" width="10.28515625" style="132" customWidth="1"/>
    <col min="7463" max="7463" width="14.140625" style="132" customWidth="1"/>
    <col min="7464" max="7464" width="10.28515625" style="132" customWidth="1"/>
    <col min="7465" max="7466" width="14.140625" style="132" customWidth="1"/>
    <col min="7467" max="7467" width="46.28515625" style="132" customWidth="1"/>
    <col min="7468" max="7468" width="45.7109375" style="132" customWidth="1"/>
    <col min="7469" max="7714" width="9.42578125" style="132"/>
    <col min="7715" max="7715" width="21.7109375" style="132" customWidth="1"/>
    <col min="7716" max="7716" width="10.28515625" style="132" customWidth="1"/>
    <col min="7717" max="7717" width="14.140625" style="132" customWidth="1"/>
    <col min="7718" max="7718" width="10.28515625" style="132" customWidth="1"/>
    <col min="7719" max="7719" width="14.140625" style="132" customWidth="1"/>
    <col min="7720" max="7720" width="10.28515625" style="132" customWidth="1"/>
    <col min="7721" max="7722" width="14.140625" style="132" customWidth="1"/>
    <col min="7723" max="7723" width="46.28515625" style="132" customWidth="1"/>
    <col min="7724" max="7724" width="45.7109375" style="132" customWidth="1"/>
    <col min="7725" max="7970" width="9.42578125" style="132"/>
    <col min="7971" max="7971" width="21.7109375" style="132" customWidth="1"/>
    <col min="7972" max="7972" width="10.28515625" style="132" customWidth="1"/>
    <col min="7973" max="7973" width="14.140625" style="132" customWidth="1"/>
    <col min="7974" max="7974" width="10.28515625" style="132" customWidth="1"/>
    <col min="7975" max="7975" width="14.140625" style="132" customWidth="1"/>
    <col min="7976" max="7976" width="10.28515625" style="132" customWidth="1"/>
    <col min="7977" max="7978" width="14.140625" style="132" customWidth="1"/>
    <col min="7979" max="7979" width="46.28515625" style="132" customWidth="1"/>
    <col min="7980" max="7980" width="45.7109375" style="132" customWidth="1"/>
    <col min="7981" max="8226" width="9.42578125" style="132"/>
    <col min="8227" max="8227" width="21.7109375" style="132" customWidth="1"/>
    <col min="8228" max="8228" width="10.28515625" style="132" customWidth="1"/>
    <col min="8229" max="8229" width="14.140625" style="132" customWidth="1"/>
    <col min="8230" max="8230" width="10.28515625" style="132" customWidth="1"/>
    <col min="8231" max="8231" width="14.140625" style="132" customWidth="1"/>
    <col min="8232" max="8232" width="10.28515625" style="132" customWidth="1"/>
    <col min="8233" max="8234" width="14.140625" style="132" customWidth="1"/>
    <col min="8235" max="8235" width="46.28515625" style="132" customWidth="1"/>
    <col min="8236" max="8236" width="45.7109375" style="132" customWidth="1"/>
    <col min="8237" max="8482" width="9.42578125" style="132"/>
    <col min="8483" max="8483" width="21.7109375" style="132" customWidth="1"/>
    <col min="8484" max="8484" width="10.28515625" style="132" customWidth="1"/>
    <col min="8485" max="8485" width="14.140625" style="132" customWidth="1"/>
    <col min="8486" max="8486" width="10.28515625" style="132" customWidth="1"/>
    <col min="8487" max="8487" width="14.140625" style="132" customWidth="1"/>
    <col min="8488" max="8488" width="10.28515625" style="132" customWidth="1"/>
    <col min="8489" max="8490" width="14.140625" style="132" customWidth="1"/>
    <col min="8491" max="8491" width="46.28515625" style="132" customWidth="1"/>
    <col min="8492" max="8492" width="45.7109375" style="132" customWidth="1"/>
    <col min="8493" max="8738" width="9.42578125" style="132"/>
    <col min="8739" max="8739" width="21.7109375" style="132" customWidth="1"/>
    <col min="8740" max="8740" width="10.28515625" style="132" customWidth="1"/>
    <col min="8741" max="8741" width="14.140625" style="132" customWidth="1"/>
    <col min="8742" max="8742" width="10.28515625" style="132" customWidth="1"/>
    <col min="8743" max="8743" width="14.140625" style="132" customWidth="1"/>
    <col min="8744" max="8744" width="10.28515625" style="132" customWidth="1"/>
    <col min="8745" max="8746" width="14.140625" style="132" customWidth="1"/>
    <col min="8747" max="8747" width="46.28515625" style="132" customWidth="1"/>
    <col min="8748" max="8748" width="45.7109375" style="132" customWidth="1"/>
    <col min="8749" max="8994" width="9.42578125" style="132"/>
    <col min="8995" max="8995" width="21.7109375" style="132" customWidth="1"/>
    <col min="8996" max="8996" width="10.28515625" style="132" customWidth="1"/>
    <col min="8997" max="8997" width="14.140625" style="132" customWidth="1"/>
    <col min="8998" max="8998" width="10.28515625" style="132" customWidth="1"/>
    <col min="8999" max="8999" width="14.140625" style="132" customWidth="1"/>
    <col min="9000" max="9000" width="10.28515625" style="132" customWidth="1"/>
    <col min="9001" max="9002" width="14.140625" style="132" customWidth="1"/>
    <col min="9003" max="9003" width="46.28515625" style="132" customWidth="1"/>
    <col min="9004" max="9004" width="45.7109375" style="132" customWidth="1"/>
    <col min="9005" max="9250" width="9.42578125" style="132"/>
    <col min="9251" max="9251" width="21.7109375" style="132" customWidth="1"/>
    <col min="9252" max="9252" width="10.28515625" style="132" customWidth="1"/>
    <col min="9253" max="9253" width="14.140625" style="132" customWidth="1"/>
    <col min="9254" max="9254" width="10.28515625" style="132" customWidth="1"/>
    <col min="9255" max="9255" width="14.140625" style="132" customWidth="1"/>
    <col min="9256" max="9256" width="10.28515625" style="132" customWidth="1"/>
    <col min="9257" max="9258" width="14.140625" style="132" customWidth="1"/>
    <col min="9259" max="9259" width="46.28515625" style="132" customWidth="1"/>
    <col min="9260" max="9260" width="45.7109375" style="132" customWidth="1"/>
    <col min="9261" max="9506" width="9.42578125" style="132"/>
    <col min="9507" max="9507" width="21.7109375" style="132" customWidth="1"/>
    <col min="9508" max="9508" width="10.28515625" style="132" customWidth="1"/>
    <col min="9509" max="9509" width="14.140625" style="132" customWidth="1"/>
    <col min="9510" max="9510" width="10.28515625" style="132" customWidth="1"/>
    <col min="9511" max="9511" width="14.140625" style="132" customWidth="1"/>
    <col min="9512" max="9512" width="10.28515625" style="132" customWidth="1"/>
    <col min="9513" max="9514" width="14.140625" style="132" customWidth="1"/>
    <col min="9515" max="9515" width="46.28515625" style="132" customWidth="1"/>
    <col min="9516" max="9516" width="45.7109375" style="132" customWidth="1"/>
    <col min="9517" max="9762" width="9.42578125" style="132"/>
    <col min="9763" max="9763" width="21.7109375" style="132" customWidth="1"/>
    <col min="9764" max="9764" width="10.28515625" style="132" customWidth="1"/>
    <col min="9765" max="9765" width="14.140625" style="132" customWidth="1"/>
    <col min="9766" max="9766" width="10.28515625" style="132" customWidth="1"/>
    <col min="9767" max="9767" width="14.140625" style="132" customWidth="1"/>
    <col min="9768" max="9768" width="10.28515625" style="132" customWidth="1"/>
    <col min="9769" max="9770" width="14.140625" style="132" customWidth="1"/>
    <col min="9771" max="9771" width="46.28515625" style="132" customWidth="1"/>
    <col min="9772" max="9772" width="45.7109375" style="132" customWidth="1"/>
    <col min="9773" max="10018" width="9.42578125" style="132"/>
    <col min="10019" max="10019" width="21.7109375" style="132" customWidth="1"/>
    <col min="10020" max="10020" width="10.28515625" style="132" customWidth="1"/>
    <col min="10021" max="10021" width="14.140625" style="132" customWidth="1"/>
    <col min="10022" max="10022" width="10.28515625" style="132" customWidth="1"/>
    <col min="10023" max="10023" width="14.140625" style="132" customWidth="1"/>
    <col min="10024" max="10024" width="10.28515625" style="132" customWidth="1"/>
    <col min="10025" max="10026" width="14.140625" style="132" customWidth="1"/>
    <col min="10027" max="10027" width="46.28515625" style="132" customWidth="1"/>
    <col min="10028" max="10028" width="45.7109375" style="132" customWidth="1"/>
    <col min="10029" max="10274" width="9.42578125" style="132"/>
    <col min="10275" max="10275" width="21.7109375" style="132" customWidth="1"/>
    <col min="10276" max="10276" width="10.28515625" style="132" customWidth="1"/>
    <col min="10277" max="10277" width="14.140625" style="132" customWidth="1"/>
    <col min="10278" max="10278" width="10.28515625" style="132" customWidth="1"/>
    <col min="10279" max="10279" width="14.140625" style="132" customWidth="1"/>
    <col min="10280" max="10280" width="10.28515625" style="132" customWidth="1"/>
    <col min="10281" max="10282" width="14.140625" style="132" customWidth="1"/>
    <col min="10283" max="10283" width="46.28515625" style="132" customWidth="1"/>
    <col min="10284" max="10284" width="45.7109375" style="132" customWidth="1"/>
    <col min="10285" max="10530" width="9.42578125" style="132"/>
    <col min="10531" max="10531" width="21.7109375" style="132" customWidth="1"/>
    <col min="10532" max="10532" width="10.28515625" style="132" customWidth="1"/>
    <col min="10533" max="10533" width="14.140625" style="132" customWidth="1"/>
    <col min="10534" max="10534" width="10.28515625" style="132" customWidth="1"/>
    <col min="10535" max="10535" width="14.140625" style="132" customWidth="1"/>
    <col min="10536" max="10536" width="10.28515625" style="132" customWidth="1"/>
    <col min="10537" max="10538" width="14.140625" style="132" customWidth="1"/>
    <col min="10539" max="10539" width="46.28515625" style="132" customWidth="1"/>
    <col min="10540" max="10540" width="45.7109375" style="132" customWidth="1"/>
    <col min="10541" max="10786" width="9.42578125" style="132"/>
    <col min="10787" max="10787" width="21.7109375" style="132" customWidth="1"/>
    <col min="10788" max="10788" width="10.28515625" style="132" customWidth="1"/>
    <col min="10789" max="10789" width="14.140625" style="132" customWidth="1"/>
    <col min="10790" max="10790" width="10.28515625" style="132" customWidth="1"/>
    <col min="10791" max="10791" width="14.140625" style="132" customWidth="1"/>
    <col min="10792" max="10792" width="10.28515625" style="132" customWidth="1"/>
    <col min="10793" max="10794" width="14.140625" style="132" customWidth="1"/>
    <col min="10795" max="10795" width="46.28515625" style="132" customWidth="1"/>
    <col min="10796" max="10796" width="45.7109375" style="132" customWidth="1"/>
    <col min="10797" max="11042" width="9.42578125" style="132"/>
    <col min="11043" max="11043" width="21.7109375" style="132" customWidth="1"/>
    <col min="11044" max="11044" width="10.28515625" style="132" customWidth="1"/>
    <col min="11045" max="11045" width="14.140625" style="132" customWidth="1"/>
    <col min="11046" max="11046" width="10.28515625" style="132" customWidth="1"/>
    <col min="11047" max="11047" width="14.140625" style="132" customWidth="1"/>
    <col min="11048" max="11048" width="10.28515625" style="132" customWidth="1"/>
    <col min="11049" max="11050" width="14.140625" style="132" customWidth="1"/>
    <col min="11051" max="11051" width="46.28515625" style="132" customWidth="1"/>
    <col min="11052" max="11052" width="45.7109375" style="132" customWidth="1"/>
    <col min="11053" max="11298" width="9.42578125" style="132"/>
    <col min="11299" max="11299" width="21.7109375" style="132" customWidth="1"/>
    <col min="11300" max="11300" width="10.28515625" style="132" customWidth="1"/>
    <col min="11301" max="11301" width="14.140625" style="132" customWidth="1"/>
    <col min="11302" max="11302" width="10.28515625" style="132" customWidth="1"/>
    <col min="11303" max="11303" width="14.140625" style="132" customWidth="1"/>
    <col min="11304" max="11304" width="10.28515625" style="132" customWidth="1"/>
    <col min="11305" max="11306" width="14.140625" style="132" customWidth="1"/>
    <col min="11307" max="11307" width="46.28515625" style="132" customWidth="1"/>
    <col min="11308" max="11308" width="45.7109375" style="132" customWidth="1"/>
    <col min="11309" max="11554" width="9.42578125" style="132"/>
    <col min="11555" max="11555" width="21.7109375" style="132" customWidth="1"/>
    <col min="11556" max="11556" width="10.28515625" style="132" customWidth="1"/>
    <col min="11557" max="11557" width="14.140625" style="132" customWidth="1"/>
    <col min="11558" max="11558" width="10.28515625" style="132" customWidth="1"/>
    <col min="11559" max="11559" width="14.140625" style="132" customWidth="1"/>
    <col min="11560" max="11560" width="10.28515625" style="132" customWidth="1"/>
    <col min="11561" max="11562" width="14.140625" style="132" customWidth="1"/>
    <col min="11563" max="11563" width="46.28515625" style="132" customWidth="1"/>
    <col min="11564" max="11564" width="45.7109375" style="132" customWidth="1"/>
    <col min="11565" max="11810" width="9.42578125" style="132"/>
    <col min="11811" max="11811" width="21.7109375" style="132" customWidth="1"/>
    <col min="11812" max="11812" width="10.28515625" style="132" customWidth="1"/>
    <col min="11813" max="11813" width="14.140625" style="132" customWidth="1"/>
    <col min="11814" max="11814" width="10.28515625" style="132" customWidth="1"/>
    <col min="11815" max="11815" width="14.140625" style="132" customWidth="1"/>
    <col min="11816" max="11816" width="10.28515625" style="132" customWidth="1"/>
    <col min="11817" max="11818" width="14.140625" style="132" customWidth="1"/>
    <col min="11819" max="11819" width="46.28515625" style="132" customWidth="1"/>
    <col min="11820" max="11820" width="45.7109375" style="132" customWidth="1"/>
    <col min="11821" max="12066" width="9.42578125" style="132"/>
    <col min="12067" max="12067" width="21.7109375" style="132" customWidth="1"/>
    <col min="12068" max="12068" width="10.28515625" style="132" customWidth="1"/>
    <col min="12069" max="12069" width="14.140625" style="132" customWidth="1"/>
    <col min="12070" max="12070" width="10.28515625" style="132" customWidth="1"/>
    <col min="12071" max="12071" width="14.140625" style="132" customWidth="1"/>
    <col min="12072" max="12072" width="10.28515625" style="132" customWidth="1"/>
    <col min="12073" max="12074" width="14.140625" style="132" customWidth="1"/>
    <col min="12075" max="12075" width="46.28515625" style="132" customWidth="1"/>
    <col min="12076" max="12076" width="45.7109375" style="132" customWidth="1"/>
    <col min="12077" max="12322" width="9.42578125" style="132"/>
    <col min="12323" max="12323" width="21.7109375" style="132" customWidth="1"/>
    <col min="12324" max="12324" width="10.28515625" style="132" customWidth="1"/>
    <col min="12325" max="12325" width="14.140625" style="132" customWidth="1"/>
    <col min="12326" max="12326" width="10.28515625" style="132" customWidth="1"/>
    <col min="12327" max="12327" width="14.140625" style="132" customWidth="1"/>
    <col min="12328" max="12328" width="10.28515625" style="132" customWidth="1"/>
    <col min="12329" max="12330" width="14.140625" style="132" customWidth="1"/>
    <col min="12331" max="12331" width="46.28515625" style="132" customWidth="1"/>
    <col min="12332" max="12332" width="45.7109375" style="132" customWidth="1"/>
    <col min="12333" max="12578" width="9.42578125" style="132"/>
    <col min="12579" max="12579" width="21.7109375" style="132" customWidth="1"/>
    <col min="12580" max="12580" width="10.28515625" style="132" customWidth="1"/>
    <col min="12581" max="12581" width="14.140625" style="132" customWidth="1"/>
    <col min="12582" max="12582" width="10.28515625" style="132" customWidth="1"/>
    <col min="12583" max="12583" width="14.140625" style="132" customWidth="1"/>
    <col min="12584" max="12584" width="10.28515625" style="132" customWidth="1"/>
    <col min="12585" max="12586" width="14.140625" style="132" customWidth="1"/>
    <col min="12587" max="12587" width="46.28515625" style="132" customWidth="1"/>
    <col min="12588" max="12588" width="45.7109375" style="132" customWidth="1"/>
    <col min="12589" max="12834" width="9.42578125" style="132"/>
    <col min="12835" max="12835" width="21.7109375" style="132" customWidth="1"/>
    <col min="12836" max="12836" width="10.28515625" style="132" customWidth="1"/>
    <col min="12837" max="12837" width="14.140625" style="132" customWidth="1"/>
    <col min="12838" max="12838" width="10.28515625" style="132" customWidth="1"/>
    <col min="12839" max="12839" width="14.140625" style="132" customWidth="1"/>
    <col min="12840" max="12840" width="10.28515625" style="132" customWidth="1"/>
    <col min="12841" max="12842" width="14.140625" style="132" customWidth="1"/>
    <col min="12843" max="12843" width="46.28515625" style="132" customWidth="1"/>
    <col min="12844" max="12844" width="45.7109375" style="132" customWidth="1"/>
    <col min="12845" max="13090" width="9.42578125" style="132"/>
    <col min="13091" max="13091" width="21.7109375" style="132" customWidth="1"/>
    <col min="13092" max="13092" width="10.28515625" style="132" customWidth="1"/>
    <col min="13093" max="13093" width="14.140625" style="132" customWidth="1"/>
    <col min="13094" max="13094" width="10.28515625" style="132" customWidth="1"/>
    <col min="13095" max="13095" width="14.140625" style="132" customWidth="1"/>
    <col min="13096" max="13096" width="10.28515625" style="132" customWidth="1"/>
    <col min="13097" max="13098" width="14.140625" style="132" customWidth="1"/>
    <col min="13099" max="13099" width="46.28515625" style="132" customWidth="1"/>
    <col min="13100" max="13100" width="45.7109375" style="132" customWidth="1"/>
    <col min="13101" max="13346" width="9.42578125" style="132"/>
    <col min="13347" max="13347" width="21.7109375" style="132" customWidth="1"/>
    <col min="13348" max="13348" width="10.28515625" style="132" customWidth="1"/>
    <col min="13349" max="13349" width="14.140625" style="132" customWidth="1"/>
    <col min="13350" max="13350" width="10.28515625" style="132" customWidth="1"/>
    <col min="13351" max="13351" width="14.140625" style="132" customWidth="1"/>
    <col min="13352" max="13352" width="10.28515625" style="132" customWidth="1"/>
    <col min="13353" max="13354" width="14.140625" style="132" customWidth="1"/>
    <col min="13355" max="13355" width="46.28515625" style="132" customWidth="1"/>
    <col min="13356" max="13356" width="45.7109375" style="132" customWidth="1"/>
    <col min="13357" max="13602" width="9.42578125" style="132"/>
    <col min="13603" max="13603" width="21.7109375" style="132" customWidth="1"/>
    <col min="13604" max="13604" width="10.28515625" style="132" customWidth="1"/>
    <col min="13605" max="13605" width="14.140625" style="132" customWidth="1"/>
    <col min="13606" max="13606" width="10.28515625" style="132" customWidth="1"/>
    <col min="13607" max="13607" width="14.140625" style="132" customWidth="1"/>
    <col min="13608" max="13608" width="10.28515625" style="132" customWidth="1"/>
    <col min="13609" max="13610" width="14.140625" style="132" customWidth="1"/>
    <col min="13611" max="13611" width="46.28515625" style="132" customWidth="1"/>
    <col min="13612" max="13612" width="45.7109375" style="132" customWidth="1"/>
    <col min="13613" max="13858" width="9.42578125" style="132"/>
    <col min="13859" max="13859" width="21.7109375" style="132" customWidth="1"/>
    <col min="13860" max="13860" width="10.28515625" style="132" customWidth="1"/>
    <col min="13861" max="13861" width="14.140625" style="132" customWidth="1"/>
    <col min="13862" max="13862" width="10.28515625" style="132" customWidth="1"/>
    <col min="13863" max="13863" width="14.140625" style="132" customWidth="1"/>
    <col min="13864" max="13864" width="10.28515625" style="132" customWidth="1"/>
    <col min="13865" max="13866" width="14.140625" style="132" customWidth="1"/>
    <col min="13867" max="13867" width="46.28515625" style="132" customWidth="1"/>
    <col min="13868" max="13868" width="45.7109375" style="132" customWidth="1"/>
    <col min="13869" max="14114" width="9.42578125" style="132"/>
    <col min="14115" max="14115" width="21.7109375" style="132" customWidth="1"/>
    <col min="14116" max="14116" width="10.28515625" style="132" customWidth="1"/>
    <col min="14117" max="14117" width="14.140625" style="132" customWidth="1"/>
    <col min="14118" max="14118" width="10.28515625" style="132" customWidth="1"/>
    <col min="14119" max="14119" width="14.140625" style="132" customWidth="1"/>
    <col min="14120" max="14120" width="10.28515625" style="132" customWidth="1"/>
    <col min="14121" max="14122" width="14.140625" style="132" customWidth="1"/>
    <col min="14123" max="14123" width="46.28515625" style="132" customWidth="1"/>
    <col min="14124" max="14124" width="45.7109375" style="132" customWidth="1"/>
    <col min="14125" max="14370" width="9.42578125" style="132"/>
    <col min="14371" max="14371" width="21.7109375" style="132" customWidth="1"/>
    <col min="14372" max="14372" width="10.28515625" style="132" customWidth="1"/>
    <col min="14373" max="14373" width="14.140625" style="132" customWidth="1"/>
    <col min="14374" max="14374" width="10.28515625" style="132" customWidth="1"/>
    <col min="14375" max="14375" width="14.140625" style="132" customWidth="1"/>
    <col min="14376" max="14376" width="10.28515625" style="132" customWidth="1"/>
    <col min="14377" max="14378" width="14.140625" style="132" customWidth="1"/>
    <col min="14379" max="14379" width="46.28515625" style="132" customWidth="1"/>
    <col min="14380" max="14380" width="45.7109375" style="132" customWidth="1"/>
    <col min="14381" max="14626" width="9.42578125" style="132"/>
    <col min="14627" max="14627" width="21.7109375" style="132" customWidth="1"/>
    <col min="14628" max="14628" width="10.28515625" style="132" customWidth="1"/>
    <col min="14629" max="14629" width="14.140625" style="132" customWidth="1"/>
    <col min="14630" max="14630" width="10.28515625" style="132" customWidth="1"/>
    <col min="14631" max="14631" width="14.140625" style="132" customWidth="1"/>
    <col min="14632" max="14632" width="10.28515625" style="132" customWidth="1"/>
    <col min="14633" max="14634" width="14.140625" style="132" customWidth="1"/>
    <col min="14635" max="14635" width="46.28515625" style="132" customWidth="1"/>
    <col min="14636" max="14636" width="45.7109375" style="132" customWidth="1"/>
    <col min="14637" max="14882" width="9.42578125" style="132"/>
    <col min="14883" max="14883" width="21.7109375" style="132" customWidth="1"/>
    <col min="14884" max="14884" width="10.28515625" style="132" customWidth="1"/>
    <col min="14885" max="14885" width="14.140625" style="132" customWidth="1"/>
    <col min="14886" max="14886" width="10.28515625" style="132" customWidth="1"/>
    <col min="14887" max="14887" width="14.140625" style="132" customWidth="1"/>
    <col min="14888" max="14888" width="10.28515625" style="132" customWidth="1"/>
    <col min="14889" max="14890" width="14.140625" style="132" customWidth="1"/>
    <col min="14891" max="14891" width="46.28515625" style="132" customWidth="1"/>
    <col min="14892" max="14892" width="45.7109375" style="132" customWidth="1"/>
    <col min="14893" max="15138" width="9.42578125" style="132"/>
    <col min="15139" max="15139" width="21.7109375" style="132" customWidth="1"/>
    <col min="15140" max="15140" width="10.28515625" style="132" customWidth="1"/>
    <col min="15141" max="15141" width="14.140625" style="132" customWidth="1"/>
    <col min="15142" max="15142" width="10.28515625" style="132" customWidth="1"/>
    <col min="15143" max="15143" width="14.140625" style="132" customWidth="1"/>
    <col min="15144" max="15144" width="10.28515625" style="132" customWidth="1"/>
    <col min="15145" max="15146" width="14.140625" style="132" customWidth="1"/>
    <col min="15147" max="15147" width="46.28515625" style="132" customWidth="1"/>
    <col min="15148" max="15148" width="45.7109375" style="132" customWidth="1"/>
    <col min="15149" max="15394" width="9.42578125" style="132"/>
    <col min="15395" max="15395" width="21.7109375" style="132" customWidth="1"/>
    <col min="15396" max="15396" width="10.28515625" style="132" customWidth="1"/>
    <col min="15397" max="15397" width="14.140625" style="132" customWidth="1"/>
    <col min="15398" max="15398" width="10.28515625" style="132" customWidth="1"/>
    <col min="15399" max="15399" width="14.140625" style="132" customWidth="1"/>
    <col min="15400" max="15400" width="10.28515625" style="132" customWidth="1"/>
    <col min="15401" max="15402" width="14.140625" style="132" customWidth="1"/>
    <col min="15403" max="15403" width="46.28515625" style="132" customWidth="1"/>
    <col min="15404" max="15404" width="45.7109375" style="132" customWidth="1"/>
    <col min="15405" max="15650" width="9.42578125" style="132"/>
    <col min="15651" max="15651" width="21.7109375" style="132" customWidth="1"/>
    <col min="15652" max="15652" width="10.28515625" style="132" customWidth="1"/>
    <col min="15653" max="15653" width="14.140625" style="132" customWidth="1"/>
    <col min="15654" max="15654" width="10.28515625" style="132" customWidth="1"/>
    <col min="15655" max="15655" width="14.140625" style="132" customWidth="1"/>
    <col min="15656" max="15656" width="10.28515625" style="132" customWidth="1"/>
    <col min="15657" max="15658" width="14.140625" style="132" customWidth="1"/>
    <col min="15659" max="15659" width="46.28515625" style="132" customWidth="1"/>
    <col min="15660" max="15660" width="45.7109375" style="132" customWidth="1"/>
    <col min="15661" max="15906" width="9.42578125" style="132"/>
    <col min="15907" max="15907" width="21.7109375" style="132" customWidth="1"/>
    <col min="15908" max="15908" width="10.28515625" style="132" customWidth="1"/>
    <col min="15909" max="15909" width="14.140625" style="132" customWidth="1"/>
    <col min="15910" max="15910" width="10.28515625" style="132" customWidth="1"/>
    <col min="15911" max="15911" width="14.140625" style="132" customWidth="1"/>
    <col min="15912" max="15912" width="10.28515625" style="132" customWidth="1"/>
    <col min="15913" max="15914" width="14.140625" style="132" customWidth="1"/>
    <col min="15915" max="15915" width="46.28515625" style="132" customWidth="1"/>
    <col min="15916" max="15916" width="45.7109375" style="132" customWidth="1"/>
    <col min="15917" max="16162" width="9.42578125" style="132"/>
    <col min="16163" max="16163" width="21.7109375" style="132" customWidth="1"/>
    <col min="16164" max="16164" width="10.28515625" style="132" customWidth="1"/>
    <col min="16165" max="16165" width="14.140625" style="132" customWidth="1"/>
    <col min="16166" max="16166" width="10.28515625" style="132" customWidth="1"/>
    <col min="16167" max="16167" width="14.140625" style="132" customWidth="1"/>
    <col min="16168" max="16168" width="10.28515625" style="132" customWidth="1"/>
    <col min="16169" max="16170" width="14.140625" style="132" customWidth="1"/>
    <col min="16171" max="16171" width="46.28515625" style="132" customWidth="1"/>
    <col min="16172" max="16172" width="45.7109375" style="132" customWidth="1"/>
    <col min="16173" max="16384" width="9.42578125" style="132"/>
  </cols>
  <sheetData>
    <row r="1" spans="1:44" x14ac:dyDescent="0.25">
      <c r="A1" s="131" t="s">
        <v>41</v>
      </c>
      <c r="B1" s="131"/>
      <c r="C1" s="131"/>
      <c r="D1" s="131"/>
      <c r="E1" s="131"/>
      <c r="F1" s="131"/>
      <c r="G1" s="131"/>
      <c r="H1" s="131"/>
      <c r="I1" s="131"/>
      <c r="J1" s="131"/>
      <c r="K1" s="131"/>
      <c r="L1" s="131"/>
      <c r="M1" s="131"/>
      <c r="N1" s="131"/>
      <c r="O1" s="131"/>
      <c r="P1" s="131"/>
      <c r="Q1" s="131"/>
      <c r="R1" s="131"/>
      <c r="S1" s="131"/>
      <c r="T1" s="131"/>
      <c r="U1" s="131"/>
      <c r="V1" s="131"/>
      <c r="W1" s="131"/>
      <c r="X1" s="131"/>
      <c r="Y1" s="131"/>
      <c r="Z1" s="131"/>
      <c r="AA1" s="131"/>
      <c r="AB1" s="131"/>
      <c r="AC1" s="131"/>
      <c r="AD1" s="131"/>
      <c r="AE1" s="131"/>
      <c r="AF1" s="131"/>
      <c r="AG1" s="131"/>
      <c r="AH1" s="131"/>
      <c r="AI1" s="131"/>
      <c r="AJ1" s="131"/>
      <c r="AK1" s="131"/>
      <c r="AL1" s="131"/>
      <c r="AM1" s="131"/>
      <c r="AN1" s="131"/>
      <c r="AO1" s="131"/>
      <c r="AP1" s="131"/>
      <c r="AQ1" s="131"/>
    </row>
    <row r="2" spans="1:44" ht="16.5" x14ac:dyDescent="0.25">
      <c r="A2" s="317" t="s">
        <v>42</v>
      </c>
      <c r="B2" s="317"/>
      <c r="C2" s="317"/>
      <c r="D2" s="317"/>
      <c r="E2" s="317"/>
      <c r="F2" s="317"/>
      <c r="G2" s="317"/>
      <c r="H2" s="317"/>
      <c r="I2" s="317"/>
      <c r="J2" s="317"/>
      <c r="K2" s="317"/>
      <c r="L2" s="317"/>
      <c r="M2" s="317"/>
      <c r="N2" s="317"/>
      <c r="O2" s="317"/>
      <c r="P2" s="317"/>
      <c r="Q2" s="317"/>
      <c r="R2" s="317"/>
      <c r="S2" s="317"/>
      <c r="T2" s="317"/>
      <c r="U2" s="317"/>
      <c r="V2" s="317"/>
      <c r="W2" s="317"/>
      <c r="X2" s="317"/>
      <c r="Y2" s="317"/>
      <c r="Z2" s="317"/>
      <c r="AA2" s="317"/>
      <c r="AB2" s="317"/>
      <c r="AC2" s="317"/>
      <c r="AD2" s="317"/>
      <c r="AE2" s="317"/>
      <c r="AF2" s="317"/>
      <c r="AG2" s="317"/>
      <c r="AH2" s="317"/>
      <c r="AI2" s="317"/>
      <c r="AJ2" s="317"/>
      <c r="AK2" s="317"/>
      <c r="AL2" s="317"/>
      <c r="AM2" s="317"/>
      <c r="AN2" s="317"/>
      <c r="AO2" s="317"/>
      <c r="AP2" s="317"/>
      <c r="AQ2" s="317"/>
    </row>
    <row r="3" spans="1:44" x14ac:dyDescent="0.25">
      <c r="A3" s="1" t="s">
        <v>0</v>
      </c>
      <c r="B3" s="1" t="s">
        <v>0</v>
      </c>
      <c r="C3" s="133" t="s">
        <v>58</v>
      </c>
      <c r="D3" s="134" t="s">
        <v>59</v>
      </c>
      <c r="E3" s="313" t="s">
        <v>1</v>
      </c>
      <c r="F3" s="313"/>
      <c r="G3" s="313" t="s">
        <v>2</v>
      </c>
      <c r="H3" s="313"/>
      <c r="I3" s="313" t="s">
        <v>2</v>
      </c>
      <c r="J3" s="313"/>
      <c r="K3" s="313" t="s">
        <v>2</v>
      </c>
      <c r="L3" s="313"/>
      <c r="M3" s="313" t="s">
        <v>2</v>
      </c>
      <c r="N3" s="313"/>
      <c r="O3" s="313" t="s">
        <v>2</v>
      </c>
      <c r="P3" s="313"/>
      <c r="Q3" s="313" t="s">
        <v>2</v>
      </c>
      <c r="R3" s="313"/>
      <c r="S3" s="313" t="s">
        <v>2</v>
      </c>
      <c r="T3" s="313"/>
      <c r="U3" s="313" t="s">
        <v>2</v>
      </c>
      <c r="V3" s="313"/>
      <c r="W3" s="313" t="s">
        <v>2</v>
      </c>
      <c r="X3" s="313"/>
      <c r="Y3" s="313" t="s">
        <v>2</v>
      </c>
      <c r="Z3" s="313"/>
      <c r="AA3" s="313" t="s">
        <v>2</v>
      </c>
      <c r="AB3" s="313"/>
      <c r="AC3" s="308" t="s">
        <v>2</v>
      </c>
      <c r="AD3" s="308"/>
      <c r="AE3" s="308" t="s">
        <v>60</v>
      </c>
      <c r="AF3" s="308"/>
      <c r="AG3" s="308" t="s">
        <v>60</v>
      </c>
      <c r="AH3" s="308"/>
      <c r="AI3" s="308" t="s">
        <v>60</v>
      </c>
      <c r="AJ3" s="308"/>
      <c r="AK3" s="308" t="s">
        <v>60</v>
      </c>
      <c r="AL3" s="308"/>
      <c r="AM3" s="308" t="s">
        <v>60</v>
      </c>
      <c r="AN3" s="308"/>
      <c r="AO3" s="308" t="s">
        <v>60</v>
      </c>
      <c r="AP3" s="308"/>
      <c r="AQ3" s="312" t="s">
        <v>3</v>
      </c>
    </row>
    <row r="4" spans="1:44" ht="25.5" x14ac:dyDescent="0.25">
      <c r="A4" s="1" t="s">
        <v>4</v>
      </c>
      <c r="B4" s="1" t="s">
        <v>4</v>
      </c>
      <c r="C4" s="133" t="s">
        <v>61</v>
      </c>
      <c r="D4" s="134" t="s">
        <v>62</v>
      </c>
      <c r="E4" s="313" t="s">
        <v>5</v>
      </c>
      <c r="F4" s="313"/>
      <c r="G4" s="313" t="s">
        <v>6</v>
      </c>
      <c r="H4" s="313"/>
      <c r="I4" s="313" t="s">
        <v>7</v>
      </c>
      <c r="J4" s="313"/>
      <c r="K4" s="313" t="s">
        <v>8</v>
      </c>
      <c r="L4" s="313"/>
      <c r="M4" s="313" t="s">
        <v>9</v>
      </c>
      <c r="N4" s="313"/>
      <c r="O4" s="313" t="s">
        <v>10</v>
      </c>
      <c r="P4" s="313"/>
      <c r="Q4" s="313" t="s">
        <v>11</v>
      </c>
      <c r="R4" s="313"/>
      <c r="S4" s="313" t="s">
        <v>63</v>
      </c>
      <c r="T4" s="313"/>
      <c r="U4" s="313" t="s">
        <v>64</v>
      </c>
      <c r="V4" s="313"/>
      <c r="W4" s="313" t="s">
        <v>65</v>
      </c>
      <c r="X4" s="313"/>
      <c r="Y4" s="313" t="s">
        <v>66</v>
      </c>
      <c r="Z4" s="313"/>
      <c r="AA4" s="313" t="s">
        <v>67</v>
      </c>
      <c r="AB4" s="313"/>
      <c r="AC4" s="308" t="s">
        <v>5</v>
      </c>
      <c r="AD4" s="308"/>
      <c r="AE4" s="308" t="s">
        <v>6</v>
      </c>
      <c r="AF4" s="308"/>
      <c r="AG4" s="308" t="s">
        <v>7</v>
      </c>
      <c r="AH4" s="308"/>
      <c r="AI4" s="308" t="s">
        <v>8</v>
      </c>
      <c r="AJ4" s="308"/>
      <c r="AK4" s="308" t="s">
        <v>9</v>
      </c>
      <c r="AL4" s="308"/>
      <c r="AM4" s="308" t="s">
        <v>10</v>
      </c>
      <c r="AN4" s="308"/>
      <c r="AO4" s="308" t="s">
        <v>11</v>
      </c>
      <c r="AP4" s="308"/>
      <c r="AQ4" s="312"/>
    </row>
    <row r="5" spans="1:44" s="139" customFormat="1" ht="11.25" customHeight="1" x14ac:dyDescent="0.25">
      <c r="A5" s="3"/>
      <c r="B5" s="3"/>
      <c r="C5" s="135" t="s">
        <v>12</v>
      </c>
      <c r="D5" s="136" t="s">
        <v>12</v>
      </c>
      <c r="E5" s="137"/>
      <c r="F5" s="137" t="s">
        <v>12</v>
      </c>
      <c r="G5" s="137"/>
      <c r="H5" s="137" t="s">
        <v>12</v>
      </c>
      <c r="I5" s="137"/>
      <c r="J5" s="137" t="s">
        <v>12</v>
      </c>
      <c r="K5" s="137"/>
      <c r="L5" s="137" t="s">
        <v>12</v>
      </c>
      <c r="M5" s="137"/>
      <c r="N5" s="137" t="s">
        <v>12</v>
      </c>
      <c r="O5" s="137"/>
      <c r="P5" s="137" t="s">
        <v>12</v>
      </c>
      <c r="Q5" s="137"/>
      <c r="R5" s="137" t="s">
        <v>12</v>
      </c>
      <c r="S5" s="137"/>
      <c r="T5" s="137" t="s">
        <v>12</v>
      </c>
      <c r="U5" s="137"/>
      <c r="V5" s="137" t="s">
        <v>12</v>
      </c>
      <c r="W5" s="137"/>
      <c r="X5" s="137" t="s">
        <v>12</v>
      </c>
      <c r="Y5" s="137"/>
      <c r="Z5" s="137" t="s">
        <v>12</v>
      </c>
      <c r="AA5" s="137"/>
      <c r="AB5" s="137" t="s">
        <v>12</v>
      </c>
      <c r="AC5" s="138"/>
      <c r="AD5" s="138" t="s">
        <v>12</v>
      </c>
      <c r="AE5" s="138"/>
      <c r="AF5" s="138" t="s">
        <v>12</v>
      </c>
      <c r="AG5" s="138"/>
      <c r="AH5" s="138" t="s">
        <v>12</v>
      </c>
      <c r="AI5" s="138"/>
      <c r="AJ5" s="138" t="s">
        <v>12</v>
      </c>
      <c r="AK5" s="138"/>
      <c r="AL5" s="138" t="s">
        <v>12</v>
      </c>
      <c r="AM5" s="138"/>
      <c r="AN5" s="138" t="s">
        <v>12</v>
      </c>
      <c r="AO5" s="138"/>
      <c r="AP5" s="138" t="s">
        <v>12</v>
      </c>
      <c r="AQ5" s="312"/>
    </row>
    <row r="6" spans="1:44" ht="38.25" x14ac:dyDescent="0.25">
      <c r="A6" s="5" t="s">
        <v>13</v>
      </c>
      <c r="B6" s="5" t="s">
        <v>208</v>
      </c>
      <c r="C6" s="140" t="s">
        <v>209</v>
      </c>
      <c r="D6" s="134" t="s">
        <v>43</v>
      </c>
      <c r="E6" s="134" t="s">
        <v>210</v>
      </c>
      <c r="F6" s="134" t="s">
        <v>43</v>
      </c>
      <c r="G6" s="134" t="s">
        <v>210</v>
      </c>
      <c r="H6" s="134" t="s">
        <v>43</v>
      </c>
      <c r="I6" s="134" t="s">
        <v>210</v>
      </c>
      <c r="J6" s="134" t="s">
        <v>43</v>
      </c>
      <c r="K6" s="134" t="s">
        <v>210</v>
      </c>
      <c r="L6" s="134" t="s">
        <v>43</v>
      </c>
      <c r="M6" s="134" t="s">
        <v>210</v>
      </c>
      <c r="N6" s="134" t="s">
        <v>43</v>
      </c>
      <c r="O6" s="134" t="s">
        <v>210</v>
      </c>
      <c r="P6" s="134" t="s">
        <v>43</v>
      </c>
      <c r="Q6" s="134" t="s">
        <v>210</v>
      </c>
      <c r="R6" s="134" t="s">
        <v>43</v>
      </c>
      <c r="S6" s="134" t="s">
        <v>210</v>
      </c>
      <c r="T6" s="134" t="s">
        <v>43</v>
      </c>
      <c r="U6" s="134" t="s">
        <v>210</v>
      </c>
      <c r="V6" s="134" t="s">
        <v>43</v>
      </c>
      <c r="W6" s="134" t="s">
        <v>210</v>
      </c>
      <c r="X6" s="134" t="s">
        <v>43</v>
      </c>
      <c r="Y6" s="134" t="s">
        <v>210</v>
      </c>
      <c r="Z6" s="134" t="s">
        <v>43</v>
      </c>
      <c r="AA6" s="134" t="s">
        <v>210</v>
      </c>
      <c r="AB6" s="134" t="s">
        <v>43</v>
      </c>
      <c r="AC6" s="156" t="s">
        <v>25</v>
      </c>
      <c r="AD6" s="156" t="s">
        <v>15</v>
      </c>
      <c r="AE6" s="156" t="s">
        <v>25</v>
      </c>
      <c r="AF6" s="156" t="s">
        <v>15</v>
      </c>
      <c r="AG6" s="156" t="s">
        <v>25</v>
      </c>
      <c r="AH6" s="156" t="s">
        <v>15</v>
      </c>
      <c r="AI6" s="156" t="s">
        <v>25</v>
      </c>
      <c r="AJ6" s="156" t="s">
        <v>15</v>
      </c>
      <c r="AK6" s="156" t="s">
        <v>25</v>
      </c>
      <c r="AL6" s="156" t="s">
        <v>15</v>
      </c>
      <c r="AM6" s="156" t="s">
        <v>25</v>
      </c>
      <c r="AN6" s="156" t="s">
        <v>15</v>
      </c>
      <c r="AO6" s="156" t="s">
        <v>25</v>
      </c>
      <c r="AP6" s="156" t="s">
        <v>15</v>
      </c>
      <c r="AQ6" s="312"/>
    </row>
    <row r="7" spans="1:44" s="87" customFormat="1" x14ac:dyDescent="0.25">
      <c r="A7" s="6">
        <v>1</v>
      </c>
      <c r="B7" s="6">
        <v>1</v>
      </c>
      <c r="C7" s="141">
        <v>2</v>
      </c>
      <c r="D7" s="6">
        <v>3</v>
      </c>
      <c r="E7" s="8">
        <v>4</v>
      </c>
      <c r="F7" s="8">
        <v>5</v>
      </c>
      <c r="G7" s="8">
        <v>6</v>
      </c>
      <c r="H7" s="8">
        <v>7</v>
      </c>
      <c r="I7" s="8">
        <v>8</v>
      </c>
      <c r="J7" s="8">
        <v>9</v>
      </c>
      <c r="K7" s="8">
        <v>10</v>
      </c>
      <c r="L7" s="8">
        <v>11</v>
      </c>
      <c r="M7" s="8">
        <v>12</v>
      </c>
      <c r="N7" s="8">
        <v>13</v>
      </c>
      <c r="O7" s="8">
        <v>14</v>
      </c>
      <c r="P7" s="8">
        <v>15</v>
      </c>
      <c r="Q7" s="8">
        <v>16</v>
      </c>
      <c r="R7" s="8">
        <v>17</v>
      </c>
      <c r="S7" s="8">
        <v>18</v>
      </c>
      <c r="T7" s="8">
        <v>19</v>
      </c>
      <c r="U7" s="8">
        <v>20</v>
      </c>
      <c r="V7" s="8">
        <v>21</v>
      </c>
      <c r="W7" s="8">
        <v>22</v>
      </c>
      <c r="X7" s="8">
        <v>23</v>
      </c>
      <c r="Y7" s="8">
        <v>24</v>
      </c>
      <c r="Z7" s="8">
        <v>25</v>
      </c>
      <c r="AA7" s="8">
        <v>26</v>
      </c>
      <c r="AB7" s="8">
        <v>27</v>
      </c>
      <c r="AC7" s="157">
        <v>28</v>
      </c>
      <c r="AD7" s="157">
        <v>29</v>
      </c>
      <c r="AE7" s="157">
        <v>30</v>
      </c>
      <c r="AF7" s="157">
        <v>31</v>
      </c>
      <c r="AG7" s="157">
        <v>32</v>
      </c>
      <c r="AH7" s="157">
        <v>33</v>
      </c>
      <c r="AI7" s="157">
        <v>34</v>
      </c>
      <c r="AJ7" s="157">
        <v>35</v>
      </c>
      <c r="AK7" s="157">
        <v>36</v>
      </c>
      <c r="AL7" s="157">
        <v>37</v>
      </c>
      <c r="AM7" s="157">
        <v>38</v>
      </c>
      <c r="AN7" s="157">
        <v>39</v>
      </c>
      <c r="AO7" s="157">
        <v>40</v>
      </c>
      <c r="AP7" s="157">
        <v>41</v>
      </c>
      <c r="AQ7" s="6">
        <v>42</v>
      </c>
    </row>
    <row r="8" spans="1:44" s="87" customFormat="1" ht="25.5" x14ac:dyDescent="0.25">
      <c r="A8" s="142" t="s">
        <v>44</v>
      </c>
      <c r="B8" s="142" t="s">
        <v>44</v>
      </c>
      <c r="C8" s="143">
        <f>AD8+AF8+AH8+AJ8+AL8+AN8+AP8</f>
        <v>0</v>
      </c>
      <c r="D8" s="144">
        <f>F8+H8+J8+L8+N8+P8+R8+T8+V8+X8+Z8+AB8</f>
        <v>0</v>
      </c>
      <c r="E8" s="30"/>
      <c r="F8" s="9"/>
      <c r="G8" s="30"/>
      <c r="H8" s="9"/>
      <c r="I8" s="30"/>
      <c r="J8" s="9"/>
      <c r="K8" s="30"/>
      <c r="L8" s="9"/>
      <c r="M8" s="30"/>
      <c r="N8" s="9"/>
      <c r="O8" s="30"/>
      <c r="P8" s="9"/>
      <c r="Q8" s="30"/>
      <c r="R8" s="9"/>
      <c r="S8" s="30"/>
      <c r="T8" s="9"/>
      <c r="U8" s="30"/>
      <c r="V8" s="9"/>
      <c r="W8" s="30"/>
      <c r="X8" s="9"/>
      <c r="Y8" s="30"/>
      <c r="Z8" s="9"/>
      <c r="AA8" s="30"/>
      <c r="AB8" s="9"/>
      <c r="AC8" s="158"/>
      <c r="AD8" s="159"/>
      <c r="AE8" s="158">
        <v>0</v>
      </c>
      <c r="AF8" s="159">
        <v>0</v>
      </c>
      <c r="AG8" s="158">
        <v>0</v>
      </c>
      <c r="AH8" s="159">
        <v>0</v>
      </c>
      <c r="AI8" s="158">
        <v>0</v>
      </c>
      <c r="AJ8" s="159">
        <v>0</v>
      </c>
      <c r="AK8" s="158">
        <v>0</v>
      </c>
      <c r="AL8" s="159">
        <v>0</v>
      </c>
      <c r="AM8" s="158">
        <v>0</v>
      </c>
      <c r="AN8" s="159">
        <v>0</v>
      </c>
      <c r="AO8" s="158">
        <v>0</v>
      </c>
      <c r="AP8" s="159">
        <v>0</v>
      </c>
      <c r="AQ8" s="309" t="s">
        <v>211</v>
      </c>
      <c r="AR8" s="145"/>
    </row>
    <row r="9" spans="1:44" s="87" customFormat="1" ht="63.75" x14ac:dyDescent="0.25">
      <c r="A9" s="142" t="s">
        <v>45</v>
      </c>
      <c r="B9" s="142" t="s">
        <v>212</v>
      </c>
      <c r="C9" s="143">
        <f t="shared" ref="C9:C17" si="0">AD9+AF9+AH9+AJ9+AL9+AN9+AP9</f>
        <v>3158</v>
      </c>
      <c r="D9" s="144">
        <f t="shared" ref="D9:D17" si="1">F9+H9+J9+L9+N9+P9+R9+T9+V9+X9+Z9+AB9</f>
        <v>974</v>
      </c>
      <c r="E9" s="30">
        <v>36</v>
      </c>
      <c r="F9" s="9">
        <v>72</v>
      </c>
      <c r="G9" s="30">
        <v>35</v>
      </c>
      <c r="H9" s="9">
        <v>70</v>
      </c>
      <c r="I9" s="30">
        <v>40</v>
      </c>
      <c r="J9" s="9">
        <v>80</v>
      </c>
      <c r="K9" s="30">
        <v>21</v>
      </c>
      <c r="L9" s="9">
        <v>42</v>
      </c>
      <c r="M9" s="30">
        <v>22</v>
      </c>
      <c r="N9" s="9">
        <v>44</v>
      </c>
      <c r="O9" s="30">
        <v>71</v>
      </c>
      <c r="P9" s="9">
        <v>142</v>
      </c>
      <c r="Q9" s="30">
        <v>63</v>
      </c>
      <c r="R9" s="9">
        <v>126</v>
      </c>
      <c r="S9" s="30">
        <v>44</v>
      </c>
      <c r="T9" s="9">
        <v>88</v>
      </c>
      <c r="U9" s="30">
        <v>25</v>
      </c>
      <c r="V9" s="9">
        <v>50</v>
      </c>
      <c r="W9" s="30">
        <v>33</v>
      </c>
      <c r="X9" s="9">
        <v>66</v>
      </c>
      <c r="Y9" s="30">
        <v>56</v>
      </c>
      <c r="Z9" s="9">
        <v>112</v>
      </c>
      <c r="AA9" s="30">
        <v>41</v>
      </c>
      <c r="AB9" s="9">
        <v>82</v>
      </c>
      <c r="AC9" s="158">
        <v>79</v>
      </c>
      <c r="AD9" s="159">
        <v>158</v>
      </c>
      <c r="AE9" s="158">
        <v>250</v>
      </c>
      <c r="AF9" s="158">
        <f>AE9*2</f>
        <v>500</v>
      </c>
      <c r="AG9" s="158">
        <v>250</v>
      </c>
      <c r="AH9" s="158">
        <f>AG9*2</f>
        <v>500</v>
      </c>
      <c r="AI9" s="158">
        <v>250</v>
      </c>
      <c r="AJ9" s="158">
        <f>AI9*2</f>
        <v>500</v>
      </c>
      <c r="AK9" s="158">
        <v>250</v>
      </c>
      <c r="AL9" s="158">
        <f>AK9*2</f>
        <v>500</v>
      </c>
      <c r="AM9" s="158">
        <v>250</v>
      </c>
      <c r="AN9" s="158">
        <f>AM9*2</f>
        <v>500</v>
      </c>
      <c r="AO9" s="158">
        <v>250</v>
      </c>
      <c r="AP9" s="158">
        <f>AO9*2</f>
        <v>500</v>
      </c>
      <c r="AQ9" s="310"/>
    </row>
    <row r="10" spans="1:44" s="87" customFormat="1" ht="25.5" x14ac:dyDescent="0.25">
      <c r="A10" s="142" t="s">
        <v>46</v>
      </c>
      <c r="B10" s="142" t="s">
        <v>213</v>
      </c>
      <c r="C10" s="143">
        <f t="shared" si="0"/>
        <v>3048</v>
      </c>
      <c r="D10" s="144">
        <f t="shared" si="1"/>
        <v>676</v>
      </c>
      <c r="E10" s="30">
        <v>9</v>
      </c>
      <c r="F10" s="9">
        <v>18</v>
      </c>
      <c r="G10" s="30">
        <v>18</v>
      </c>
      <c r="H10" s="9">
        <v>36</v>
      </c>
      <c r="I10" s="30">
        <v>22</v>
      </c>
      <c r="J10" s="9">
        <v>44</v>
      </c>
      <c r="K10" s="30">
        <v>20</v>
      </c>
      <c r="L10" s="9">
        <v>40</v>
      </c>
      <c r="M10" s="30">
        <v>19</v>
      </c>
      <c r="N10" s="9">
        <v>38</v>
      </c>
      <c r="O10" s="30">
        <v>63</v>
      </c>
      <c r="P10" s="9">
        <v>126</v>
      </c>
      <c r="Q10" s="30">
        <v>48</v>
      </c>
      <c r="R10" s="9">
        <v>96</v>
      </c>
      <c r="S10" s="30">
        <v>35</v>
      </c>
      <c r="T10" s="9">
        <v>70</v>
      </c>
      <c r="U10" s="30">
        <v>22</v>
      </c>
      <c r="V10" s="9">
        <v>44</v>
      </c>
      <c r="W10" s="30">
        <v>34</v>
      </c>
      <c r="X10" s="9">
        <v>68</v>
      </c>
      <c r="Y10" s="30">
        <v>36</v>
      </c>
      <c r="Z10" s="9">
        <v>72</v>
      </c>
      <c r="AA10" s="30">
        <v>12</v>
      </c>
      <c r="AB10" s="9">
        <v>24</v>
      </c>
      <c r="AC10" s="158">
        <v>24</v>
      </c>
      <c r="AD10" s="159">
        <v>48</v>
      </c>
      <c r="AE10" s="158">
        <v>250</v>
      </c>
      <c r="AF10" s="158">
        <f t="shared" ref="AF10:AF16" si="2">AE10*2</f>
        <v>500</v>
      </c>
      <c r="AG10" s="158">
        <v>250</v>
      </c>
      <c r="AH10" s="158">
        <f t="shared" ref="AH10:AH16" si="3">AG10*2</f>
        <v>500</v>
      </c>
      <c r="AI10" s="158">
        <v>250</v>
      </c>
      <c r="AJ10" s="158">
        <f t="shared" ref="AJ10:AJ16" si="4">AI10*2</f>
        <v>500</v>
      </c>
      <c r="AK10" s="158">
        <v>250</v>
      </c>
      <c r="AL10" s="158">
        <f t="shared" ref="AL10:AL16" si="5">AK10*2</f>
        <v>500</v>
      </c>
      <c r="AM10" s="158">
        <v>250</v>
      </c>
      <c r="AN10" s="158">
        <f t="shared" ref="AN10:AN16" si="6">AM10*2</f>
        <v>500</v>
      </c>
      <c r="AO10" s="158">
        <v>250</v>
      </c>
      <c r="AP10" s="158">
        <f t="shared" ref="AP10:AP16" si="7">AO10*2</f>
        <v>500</v>
      </c>
      <c r="AQ10" s="310"/>
    </row>
    <row r="11" spans="1:44" s="87" customFormat="1" ht="51" x14ac:dyDescent="0.25">
      <c r="A11" s="142" t="s">
        <v>47</v>
      </c>
      <c r="B11" s="142" t="s">
        <v>214</v>
      </c>
      <c r="C11" s="143">
        <f t="shared" si="0"/>
        <v>3034</v>
      </c>
      <c r="D11" s="144">
        <f t="shared" si="1"/>
        <v>408</v>
      </c>
      <c r="E11" s="30">
        <v>4</v>
      </c>
      <c r="F11" s="9">
        <v>8</v>
      </c>
      <c r="G11" s="30">
        <v>17</v>
      </c>
      <c r="H11" s="9">
        <v>34</v>
      </c>
      <c r="I11" s="30">
        <v>5</v>
      </c>
      <c r="J11" s="9">
        <v>10</v>
      </c>
      <c r="K11" s="30">
        <v>15</v>
      </c>
      <c r="L11" s="9">
        <v>30</v>
      </c>
      <c r="M11" s="30">
        <v>24</v>
      </c>
      <c r="N11" s="9">
        <v>48</v>
      </c>
      <c r="O11" s="30">
        <v>20</v>
      </c>
      <c r="P11" s="9">
        <v>40</v>
      </c>
      <c r="Q11" s="30">
        <v>14</v>
      </c>
      <c r="R11" s="9">
        <v>28</v>
      </c>
      <c r="S11" s="30">
        <v>23</v>
      </c>
      <c r="T11" s="9">
        <v>46</v>
      </c>
      <c r="U11" s="30">
        <v>37</v>
      </c>
      <c r="V11" s="9">
        <v>74</v>
      </c>
      <c r="W11" s="30">
        <v>21</v>
      </c>
      <c r="X11" s="9">
        <v>42</v>
      </c>
      <c r="Y11" s="30">
        <v>17</v>
      </c>
      <c r="Z11" s="9">
        <v>34</v>
      </c>
      <c r="AA11" s="30">
        <v>7</v>
      </c>
      <c r="AB11" s="9">
        <v>14</v>
      </c>
      <c r="AC11" s="158">
        <v>17</v>
      </c>
      <c r="AD11" s="159">
        <v>34</v>
      </c>
      <c r="AE11" s="158">
        <v>250</v>
      </c>
      <c r="AF11" s="158">
        <f t="shared" si="2"/>
        <v>500</v>
      </c>
      <c r="AG11" s="158">
        <v>250</v>
      </c>
      <c r="AH11" s="158">
        <f t="shared" si="3"/>
        <v>500</v>
      </c>
      <c r="AI11" s="158">
        <v>250</v>
      </c>
      <c r="AJ11" s="158">
        <f t="shared" si="4"/>
        <v>500</v>
      </c>
      <c r="AK11" s="158">
        <v>250</v>
      </c>
      <c r="AL11" s="158">
        <f t="shared" si="5"/>
        <v>500</v>
      </c>
      <c r="AM11" s="158">
        <v>250</v>
      </c>
      <c r="AN11" s="158">
        <f t="shared" si="6"/>
        <v>500</v>
      </c>
      <c r="AO11" s="158">
        <v>250</v>
      </c>
      <c r="AP11" s="158">
        <f t="shared" si="7"/>
        <v>500</v>
      </c>
      <c r="AQ11" s="310"/>
    </row>
    <row r="12" spans="1:44" s="86" customFormat="1" x14ac:dyDescent="0.25">
      <c r="A12" s="142" t="s">
        <v>48</v>
      </c>
      <c r="B12" s="142" t="s">
        <v>215</v>
      </c>
      <c r="C12" s="143">
        <f t="shared" si="0"/>
        <v>300</v>
      </c>
      <c r="D12" s="144">
        <f t="shared" si="1"/>
        <v>26</v>
      </c>
      <c r="E12" s="30"/>
      <c r="F12" s="9"/>
      <c r="G12" s="30"/>
      <c r="H12" s="9"/>
      <c r="I12" s="30"/>
      <c r="J12" s="9"/>
      <c r="K12" s="30">
        <v>2</v>
      </c>
      <c r="L12" s="9">
        <v>4</v>
      </c>
      <c r="M12" s="30">
        <v>1</v>
      </c>
      <c r="N12" s="9">
        <v>2</v>
      </c>
      <c r="O12" s="30">
        <v>4</v>
      </c>
      <c r="P12" s="9">
        <v>8</v>
      </c>
      <c r="Q12" s="30">
        <v>3</v>
      </c>
      <c r="R12" s="9">
        <v>6</v>
      </c>
      <c r="S12" s="30">
        <v>1</v>
      </c>
      <c r="T12" s="9">
        <v>2</v>
      </c>
      <c r="U12" s="30"/>
      <c r="V12" s="9"/>
      <c r="W12" s="30"/>
      <c r="X12" s="9"/>
      <c r="Y12" s="30">
        <v>2</v>
      </c>
      <c r="Z12" s="9">
        <v>4</v>
      </c>
      <c r="AA12" s="30"/>
      <c r="AB12" s="9"/>
      <c r="AC12" s="158"/>
      <c r="AD12" s="159"/>
      <c r="AE12" s="158">
        <v>25</v>
      </c>
      <c r="AF12" s="158">
        <f t="shared" si="2"/>
        <v>50</v>
      </c>
      <c r="AG12" s="158">
        <v>25</v>
      </c>
      <c r="AH12" s="158">
        <f t="shared" si="3"/>
        <v>50</v>
      </c>
      <c r="AI12" s="158">
        <v>25</v>
      </c>
      <c r="AJ12" s="158">
        <f t="shared" si="4"/>
        <v>50</v>
      </c>
      <c r="AK12" s="158">
        <v>25</v>
      </c>
      <c r="AL12" s="158">
        <f t="shared" si="5"/>
        <v>50</v>
      </c>
      <c r="AM12" s="158">
        <v>25</v>
      </c>
      <c r="AN12" s="158">
        <f t="shared" si="6"/>
        <v>50</v>
      </c>
      <c r="AO12" s="158">
        <v>25</v>
      </c>
      <c r="AP12" s="158">
        <f t="shared" si="7"/>
        <v>50</v>
      </c>
      <c r="AQ12" s="310"/>
    </row>
    <row r="13" spans="1:44" s="87" customFormat="1" x14ac:dyDescent="0.25">
      <c r="A13" s="314" t="s">
        <v>49</v>
      </c>
      <c r="B13" s="142" t="s">
        <v>86</v>
      </c>
      <c r="C13" s="143">
        <f t="shared" si="0"/>
        <v>300</v>
      </c>
      <c r="D13" s="144">
        <f t="shared" si="1"/>
        <v>14</v>
      </c>
      <c r="E13" s="30"/>
      <c r="F13" s="9"/>
      <c r="G13" s="30">
        <v>2</v>
      </c>
      <c r="H13" s="9">
        <v>4</v>
      </c>
      <c r="I13" s="30"/>
      <c r="J13" s="9"/>
      <c r="K13" s="30">
        <v>1</v>
      </c>
      <c r="L13" s="9">
        <v>2</v>
      </c>
      <c r="M13" s="30">
        <v>1</v>
      </c>
      <c r="N13" s="9">
        <v>2</v>
      </c>
      <c r="O13" s="30"/>
      <c r="P13" s="9"/>
      <c r="Q13" s="30"/>
      <c r="R13" s="9"/>
      <c r="S13" s="30">
        <v>1</v>
      </c>
      <c r="T13" s="9">
        <v>2</v>
      </c>
      <c r="U13" s="30"/>
      <c r="V13" s="9"/>
      <c r="W13" s="30">
        <v>1</v>
      </c>
      <c r="X13" s="9">
        <v>2</v>
      </c>
      <c r="Y13" s="30">
        <v>1</v>
      </c>
      <c r="Z13" s="9">
        <v>2</v>
      </c>
      <c r="AA13" s="30"/>
      <c r="AB13" s="9"/>
      <c r="AC13" s="158"/>
      <c r="AD13" s="159"/>
      <c r="AE13" s="158">
        <v>25</v>
      </c>
      <c r="AF13" s="158">
        <f t="shared" si="2"/>
        <v>50</v>
      </c>
      <c r="AG13" s="158">
        <v>25</v>
      </c>
      <c r="AH13" s="158">
        <f t="shared" si="3"/>
        <v>50</v>
      </c>
      <c r="AI13" s="158">
        <v>25</v>
      </c>
      <c r="AJ13" s="158">
        <f t="shared" si="4"/>
        <v>50</v>
      </c>
      <c r="AK13" s="158">
        <v>25</v>
      </c>
      <c r="AL13" s="158">
        <f t="shared" si="5"/>
        <v>50</v>
      </c>
      <c r="AM13" s="158">
        <v>25</v>
      </c>
      <c r="AN13" s="158">
        <f t="shared" si="6"/>
        <v>50</v>
      </c>
      <c r="AO13" s="158">
        <v>25</v>
      </c>
      <c r="AP13" s="158">
        <f t="shared" si="7"/>
        <v>50</v>
      </c>
      <c r="AQ13" s="310"/>
    </row>
    <row r="14" spans="1:44" s="87" customFormat="1" x14ac:dyDescent="0.25">
      <c r="A14" s="315"/>
      <c r="B14" s="142" t="s">
        <v>216</v>
      </c>
      <c r="C14" s="143">
        <f t="shared" si="0"/>
        <v>300</v>
      </c>
      <c r="D14" s="144">
        <f t="shared" si="1"/>
        <v>8</v>
      </c>
      <c r="E14" s="30"/>
      <c r="F14" s="9"/>
      <c r="G14" s="30"/>
      <c r="H14" s="9"/>
      <c r="I14" s="30"/>
      <c r="J14" s="9"/>
      <c r="K14" s="30"/>
      <c r="L14" s="9"/>
      <c r="M14" s="30"/>
      <c r="N14" s="9"/>
      <c r="O14" s="30">
        <v>1</v>
      </c>
      <c r="P14" s="9">
        <v>2</v>
      </c>
      <c r="Q14" s="30"/>
      <c r="R14" s="9"/>
      <c r="S14" s="30">
        <v>1</v>
      </c>
      <c r="T14" s="9">
        <v>2</v>
      </c>
      <c r="U14" s="30">
        <v>1</v>
      </c>
      <c r="V14" s="9">
        <v>2</v>
      </c>
      <c r="W14" s="30"/>
      <c r="X14" s="9"/>
      <c r="Y14" s="30">
        <v>1</v>
      </c>
      <c r="Z14" s="9">
        <v>2</v>
      </c>
      <c r="AA14" s="30"/>
      <c r="AB14" s="9"/>
      <c r="AC14" s="158"/>
      <c r="AD14" s="159"/>
      <c r="AE14" s="158">
        <v>25</v>
      </c>
      <c r="AF14" s="158">
        <f t="shared" si="2"/>
        <v>50</v>
      </c>
      <c r="AG14" s="158">
        <v>25</v>
      </c>
      <c r="AH14" s="158">
        <f t="shared" si="3"/>
        <v>50</v>
      </c>
      <c r="AI14" s="158">
        <v>25</v>
      </c>
      <c r="AJ14" s="158">
        <f t="shared" si="4"/>
        <v>50</v>
      </c>
      <c r="AK14" s="158">
        <v>25</v>
      </c>
      <c r="AL14" s="158">
        <f t="shared" si="5"/>
        <v>50</v>
      </c>
      <c r="AM14" s="158">
        <v>25</v>
      </c>
      <c r="AN14" s="158">
        <f t="shared" si="6"/>
        <v>50</v>
      </c>
      <c r="AO14" s="158">
        <v>25</v>
      </c>
      <c r="AP14" s="158">
        <f t="shared" si="7"/>
        <v>50</v>
      </c>
      <c r="AQ14" s="310"/>
    </row>
    <row r="15" spans="1:44" s="87" customFormat="1" x14ac:dyDescent="0.25">
      <c r="A15" s="316"/>
      <c r="B15" s="142" t="s">
        <v>217</v>
      </c>
      <c r="C15" s="143">
        <f t="shared" si="0"/>
        <v>306</v>
      </c>
      <c r="D15" s="144">
        <f t="shared" si="1"/>
        <v>46</v>
      </c>
      <c r="E15" s="30">
        <v>1</v>
      </c>
      <c r="F15" s="9">
        <v>2</v>
      </c>
      <c r="G15" s="30">
        <v>1</v>
      </c>
      <c r="H15" s="9">
        <v>2</v>
      </c>
      <c r="I15" s="30"/>
      <c r="J15" s="9"/>
      <c r="K15" s="30">
        <v>3</v>
      </c>
      <c r="L15" s="9">
        <v>6</v>
      </c>
      <c r="M15" s="30">
        <v>2</v>
      </c>
      <c r="N15" s="9">
        <v>4</v>
      </c>
      <c r="O15" s="30">
        <v>2</v>
      </c>
      <c r="P15" s="9">
        <v>4</v>
      </c>
      <c r="Q15" s="30">
        <v>1</v>
      </c>
      <c r="R15" s="9">
        <v>2</v>
      </c>
      <c r="S15" s="30">
        <v>1</v>
      </c>
      <c r="T15" s="9">
        <v>2</v>
      </c>
      <c r="U15" s="30">
        <v>5</v>
      </c>
      <c r="V15" s="9">
        <v>10</v>
      </c>
      <c r="W15" s="30"/>
      <c r="X15" s="9"/>
      <c r="Y15" s="30">
        <v>3</v>
      </c>
      <c r="Z15" s="9">
        <v>6</v>
      </c>
      <c r="AA15" s="30">
        <v>4</v>
      </c>
      <c r="AB15" s="9">
        <v>8</v>
      </c>
      <c r="AC15" s="158">
        <v>3</v>
      </c>
      <c r="AD15" s="159">
        <v>6</v>
      </c>
      <c r="AE15" s="158">
        <v>25</v>
      </c>
      <c r="AF15" s="158">
        <f t="shared" si="2"/>
        <v>50</v>
      </c>
      <c r="AG15" s="158">
        <v>25</v>
      </c>
      <c r="AH15" s="158">
        <f t="shared" si="3"/>
        <v>50</v>
      </c>
      <c r="AI15" s="158">
        <v>25</v>
      </c>
      <c r="AJ15" s="158">
        <f t="shared" si="4"/>
        <v>50</v>
      </c>
      <c r="AK15" s="158">
        <v>25</v>
      </c>
      <c r="AL15" s="158">
        <f t="shared" si="5"/>
        <v>50</v>
      </c>
      <c r="AM15" s="158">
        <v>25</v>
      </c>
      <c r="AN15" s="158">
        <f t="shared" si="6"/>
        <v>50</v>
      </c>
      <c r="AO15" s="158">
        <v>25</v>
      </c>
      <c r="AP15" s="158">
        <f t="shared" si="7"/>
        <v>50</v>
      </c>
      <c r="AQ15" s="310"/>
    </row>
    <row r="16" spans="1:44" s="86" customFormat="1" ht="25.5" x14ac:dyDescent="0.25">
      <c r="A16" s="142" t="s">
        <v>50</v>
      </c>
      <c r="B16" s="142" t="s">
        <v>218</v>
      </c>
      <c r="C16" s="143">
        <f t="shared" si="0"/>
        <v>300</v>
      </c>
      <c r="D16" s="144">
        <f t="shared" si="1"/>
        <v>64</v>
      </c>
      <c r="E16" s="30">
        <v>4</v>
      </c>
      <c r="F16" s="9">
        <v>8</v>
      </c>
      <c r="G16" s="30">
        <v>5</v>
      </c>
      <c r="H16" s="9">
        <v>10</v>
      </c>
      <c r="I16" s="30">
        <v>2</v>
      </c>
      <c r="J16" s="9">
        <v>4</v>
      </c>
      <c r="K16" s="30">
        <v>4</v>
      </c>
      <c r="L16" s="9">
        <v>8</v>
      </c>
      <c r="M16" s="30">
        <v>7</v>
      </c>
      <c r="N16" s="9">
        <v>14</v>
      </c>
      <c r="O16" s="30">
        <v>4</v>
      </c>
      <c r="P16" s="9">
        <v>8</v>
      </c>
      <c r="Q16" s="30"/>
      <c r="R16" s="9"/>
      <c r="S16" s="30"/>
      <c r="T16" s="9"/>
      <c r="U16" s="30"/>
      <c r="V16" s="9"/>
      <c r="W16" s="30"/>
      <c r="X16" s="9"/>
      <c r="Y16" s="30">
        <v>1</v>
      </c>
      <c r="Z16" s="9">
        <v>2</v>
      </c>
      <c r="AA16" s="30">
        <v>5</v>
      </c>
      <c r="AB16" s="9">
        <v>10</v>
      </c>
      <c r="AC16" s="158"/>
      <c r="AD16" s="159"/>
      <c r="AE16" s="158">
        <v>25</v>
      </c>
      <c r="AF16" s="158">
        <f t="shared" si="2"/>
        <v>50</v>
      </c>
      <c r="AG16" s="158">
        <v>25</v>
      </c>
      <c r="AH16" s="158">
        <f t="shared" si="3"/>
        <v>50</v>
      </c>
      <c r="AI16" s="158">
        <v>25</v>
      </c>
      <c r="AJ16" s="158">
        <f t="shared" si="4"/>
        <v>50</v>
      </c>
      <c r="AK16" s="158">
        <v>25</v>
      </c>
      <c r="AL16" s="158">
        <f t="shared" si="5"/>
        <v>50</v>
      </c>
      <c r="AM16" s="158">
        <v>25</v>
      </c>
      <c r="AN16" s="158">
        <f t="shared" si="6"/>
        <v>50</v>
      </c>
      <c r="AO16" s="158">
        <v>25</v>
      </c>
      <c r="AP16" s="158">
        <f t="shared" si="7"/>
        <v>50</v>
      </c>
      <c r="AQ16" s="311"/>
    </row>
    <row r="17" spans="1:53" s="87" customFormat="1" ht="25.5" x14ac:dyDescent="0.25">
      <c r="A17" s="142"/>
      <c r="B17" s="142" t="s">
        <v>219</v>
      </c>
      <c r="C17" s="143">
        <f t="shared" si="0"/>
        <v>0</v>
      </c>
      <c r="D17" s="144">
        <f t="shared" si="1"/>
        <v>2</v>
      </c>
      <c r="E17" s="30"/>
      <c r="F17" s="9"/>
      <c r="G17" s="30"/>
      <c r="H17" s="9"/>
      <c r="I17" s="30"/>
      <c r="J17" s="9"/>
      <c r="K17" s="30"/>
      <c r="L17" s="9"/>
      <c r="M17" s="30"/>
      <c r="N17" s="9"/>
      <c r="O17" s="30"/>
      <c r="P17" s="9"/>
      <c r="Q17" s="30"/>
      <c r="R17" s="9"/>
      <c r="S17" s="30"/>
      <c r="T17" s="9"/>
      <c r="U17" s="30"/>
      <c r="V17" s="9"/>
      <c r="W17" s="30"/>
      <c r="X17" s="9"/>
      <c r="Y17" s="30">
        <v>1</v>
      </c>
      <c r="Z17" s="9">
        <v>2</v>
      </c>
      <c r="AA17" s="30"/>
      <c r="AB17" s="9"/>
      <c r="AC17" s="158"/>
      <c r="AD17" s="159"/>
      <c r="AE17" s="158">
        <v>0</v>
      </c>
      <c r="AF17" s="158">
        <v>0</v>
      </c>
      <c r="AG17" s="158">
        <v>0</v>
      </c>
      <c r="AH17" s="158">
        <v>0</v>
      </c>
      <c r="AI17" s="158">
        <v>0</v>
      </c>
      <c r="AJ17" s="158">
        <v>0</v>
      </c>
      <c r="AK17" s="158">
        <v>0</v>
      </c>
      <c r="AL17" s="158">
        <v>0</v>
      </c>
      <c r="AM17" s="158">
        <v>0</v>
      </c>
      <c r="AN17" s="158">
        <v>0</v>
      </c>
      <c r="AO17" s="158">
        <v>0</v>
      </c>
      <c r="AP17" s="158">
        <v>0</v>
      </c>
      <c r="AQ17" s="146"/>
    </row>
    <row r="18" spans="1:53" s="87" customFormat="1" x14ac:dyDescent="0.25">
      <c r="A18" s="10" t="s">
        <v>16</v>
      </c>
      <c r="B18" s="10"/>
      <c r="C18" s="143">
        <f t="shared" ref="C18:AP18" si="8">SUM(C8:C17)</f>
        <v>10746</v>
      </c>
      <c r="D18" s="147">
        <f t="shared" si="8"/>
        <v>2218</v>
      </c>
      <c r="E18" s="148">
        <f t="shared" si="8"/>
        <v>54</v>
      </c>
      <c r="F18" s="11">
        <f t="shared" si="8"/>
        <v>108</v>
      </c>
      <c r="G18" s="148">
        <f t="shared" si="8"/>
        <v>78</v>
      </c>
      <c r="H18" s="11">
        <f t="shared" si="8"/>
        <v>156</v>
      </c>
      <c r="I18" s="149">
        <f t="shared" si="8"/>
        <v>69</v>
      </c>
      <c r="J18" s="11">
        <f t="shared" si="8"/>
        <v>138</v>
      </c>
      <c r="K18" s="149">
        <f t="shared" si="8"/>
        <v>66</v>
      </c>
      <c r="L18" s="11">
        <f t="shared" si="8"/>
        <v>132</v>
      </c>
      <c r="M18" s="149">
        <f t="shared" si="8"/>
        <v>76</v>
      </c>
      <c r="N18" s="11">
        <f t="shared" si="8"/>
        <v>152</v>
      </c>
      <c r="O18" s="149">
        <f t="shared" si="8"/>
        <v>165</v>
      </c>
      <c r="P18" s="11">
        <f t="shared" si="8"/>
        <v>330</v>
      </c>
      <c r="Q18" s="149">
        <f t="shared" si="8"/>
        <v>129</v>
      </c>
      <c r="R18" s="11">
        <f t="shared" si="8"/>
        <v>258</v>
      </c>
      <c r="S18" s="149">
        <f t="shared" si="8"/>
        <v>106</v>
      </c>
      <c r="T18" s="11">
        <f t="shared" si="8"/>
        <v>212</v>
      </c>
      <c r="U18" s="149">
        <f t="shared" si="8"/>
        <v>90</v>
      </c>
      <c r="V18" s="11">
        <f t="shared" si="8"/>
        <v>180</v>
      </c>
      <c r="W18" s="149">
        <f t="shared" si="8"/>
        <v>89</v>
      </c>
      <c r="X18" s="11">
        <f t="shared" si="8"/>
        <v>178</v>
      </c>
      <c r="Y18" s="149">
        <f t="shared" si="8"/>
        <v>118</v>
      </c>
      <c r="Z18" s="11">
        <f t="shared" si="8"/>
        <v>236</v>
      </c>
      <c r="AA18" s="149">
        <f t="shared" si="8"/>
        <v>69</v>
      </c>
      <c r="AB18" s="11">
        <f t="shared" si="8"/>
        <v>138</v>
      </c>
      <c r="AC18" s="160">
        <f t="shared" si="8"/>
        <v>123</v>
      </c>
      <c r="AD18" s="161">
        <f t="shared" si="8"/>
        <v>246</v>
      </c>
      <c r="AE18" s="160">
        <f t="shared" si="8"/>
        <v>875</v>
      </c>
      <c r="AF18" s="161">
        <f t="shared" si="8"/>
        <v>1750</v>
      </c>
      <c r="AG18" s="160">
        <f t="shared" si="8"/>
        <v>875</v>
      </c>
      <c r="AH18" s="161">
        <f t="shared" si="8"/>
        <v>1750</v>
      </c>
      <c r="AI18" s="160">
        <f t="shared" si="8"/>
        <v>875</v>
      </c>
      <c r="AJ18" s="161">
        <f t="shared" si="8"/>
        <v>1750</v>
      </c>
      <c r="AK18" s="160">
        <f t="shared" si="8"/>
        <v>875</v>
      </c>
      <c r="AL18" s="161">
        <f t="shared" si="8"/>
        <v>1750</v>
      </c>
      <c r="AM18" s="160">
        <f t="shared" si="8"/>
        <v>875</v>
      </c>
      <c r="AN18" s="161">
        <f t="shared" si="8"/>
        <v>1750</v>
      </c>
      <c r="AO18" s="160">
        <f t="shared" si="8"/>
        <v>875</v>
      </c>
      <c r="AP18" s="161">
        <f t="shared" si="8"/>
        <v>1750</v>
      </c>
      <c r="AQ18" s="150"/>
    </row>
    <row r="20" spans="1:53" x14ac:dyDescent="0.25">
      <c r="A20" s="31"/>
      <c r="B20" s="152"/>
      <c r="C20" s="152"/>
      <c r="D20" s="152"/>
      <c r="E20" s="153"/>
      <c r="F20" s="153"/>
      <c r="G20" s="153"/>
      <c r="H20" s="153"/>
      <c r="I20" s="153"/>
      <c r="J20" s="153"/>
      <c r="K20" s="153"/>
      <c r="L20" s="153"/>
      <c r="M20" s="153"/>
      <c r="N20" s="153"/>
      <c r="O20" s="153"/>
      <c r="P20" s="153"/>
      <c r="Q20" s="153"/>
      <c r="R20" s="154"/>
      <c r="S20" s="154"/>
      <c r="T20" s="153"/>
      <c r="U20" s="153"/>
      <c r="V20" s="153"/>
      <c r="W20" s="153"/>
      <c r="X20" s="153"/>
      <c r="Y20" s="153"/>
      <c r="Z20" s="153"/>
      <c r="AA20" s="153"/>
      <c r="AB20" s="153"/>
      <c r="AC20" s="153"/>
      <c r="AD20" s="153"/>
      <c r="AE20" s="153"/>
      <c r="AF20" s="32"/>
      <c r="AG20" s="32"/>
      <c r="AH20" s="32"/>
      <c r="AI20" s="32"/>
      <c r="AJ20" s="32"/>
      <c r="AK20" s="32"/>
      <c r="AL20" s="32"/>
      <c r="AM20" s="32"/>
      <c r="AN20" s="32"/>
      <c r="AO20" s="32"/>
      <c r="AP20" s="32"/>
      <c r="AQ20" s="32"/>
    </row>
    <row r="21" spans="1:53" x14ac:dyDescent="0.25">
      <c r="A21" s="32"/>
      <c r="B21" s="153"/>
      <c r="C21" s="153"/>
      <c r="D21" s="153"/>
      <c r="E21" s="153"/>
      <c r="F21" s="153"/>
      <c r="G21" s="153"/>
      <c r="H21" s="153"/>
      <c r="I21" s="153"/>
      <c r="J21" s="154"/>
      <c r="K21" s="154"/>
      <c r="L21" s="153"/>
      <c r="M21" s="153"/>
      <c r="N21" s="153"/>
      <c r="O21" s="153"/>
      <c r="P21" s="153"/>
      <c r="Q21" s="153"/>
      <c r="R21" s="153"/>
      <c r="S21" s="153"/>
      <c r="T21" s="153"/>
      <c r="U21" s="154"/>
      <c r="V21" s="153"/>
      <c r="W21" s="153"/>
      <c r="X21" s="153"/>
      <c r="Y21" s="153"/>
      <c r="Z21" s="153"/>
      <c r="AA21" s="153"/>
      <c r="AB21" s="153"/>
      <c r="AC21" s="153"/>
      <c r="AD21" s="153"/>
      <c r="AF21" s="155"/>
      <c r="AG21" s="32"/>
      <c r="AH21" s="32"/>
      <c r="AI21" s="32"/>
      <c r="AJ21" s="32"/>
      <c r="AK21" s="32"/>
      <c r="AL21" s="32"/>
      <c r="AM21" s="32"/>
      <c r="AN21" s="32"/>
      <c r="AO21" s="32"/>
      <c r="AP21" s="32"/>
      <c r="AQ21" s="32"/>
    </row>
    <row r="22" spans="1:53" s="151" customFormat="1" x14ac:dyDescent="0.25">
      <c r="A22" s="32"/>
      <c r="B22" s="153"/>
      <c r="C22" s="153"/>
      <c r="D22" s="153"/>
      <c r="E22" s="153"/>
      <c r="F22" s="153"/>
      <c r="G22" s="153"/>
      <c r="H22" s="153"/>
      <c r="I22" s="153"/>
      <c r="J22" s="153"/>
      <c r="K22" s="153"/>
      <c r="L22" s="153"/>
      <c r="M22" s="153"/>
      <c r="N22" s="153"/>
      <c r="O22" s="153"/>
      <c r="P22" s="153"/>
      <c r="Q22" s="153"/>
      <c r="R22" s="153"/>
      <c r="S22" s="153"/>
      <c r="T22" s="153"/>
      <c r="U22" s="153"/>
      <c r="V22" s="153"/>
      <c r="W22" s="153"/>
      <c r="X22" s="153"/>
      <c r="Y22" s="153"/>
      <c r="Z22" s="153"/>
      <c r="AA22" s="153"/>
      <c r="AB22" s="153"/>
      <c r="AC22" s="153"/>
      <c r="AD22" s="153"/>
      <c r="AE22" s="153"/>
      <c r="AF22" s="32"/>
      <c r="AG22" s="32"/>
      <c r="AH22" s="32"/>
      <c r="AI22" s="32"/>
      <c r="AJ22" s="32"/>
      <c r="AK22" s="32"/>
      <c r="AL22" s="32"/>
      <c r="AM22" s="32"/>
      <c r="AN22" s="32"/>
      <c r="AO22" s="32"/>
      <c r="AP22" s="32"/>
      <c r="AQ22" s="32"/>
      <c r="AR22" s="132"/>
      <c r="AS22" s="132"/>
      <c r="AT22" s="132"/>
      <c r="AU22" s="132"/>
      <c r="AV22" s="132"/>
      <c r="AW22" s="132"/>
      <c r="AX22" s="132"/>
      <c r="AY22" s="132"/>
      <c r="AZ22" s="132"/>
      <c r="BA22" s="132"/>
    </row>
    <row r="23" spans="1:53" ht="15.95" customHeight="1" x14ac:dyDescent="0.25">
      <c r="A23" s="32"/>
      <c r="B23" s="153"/>
      <c r="C23" s="153"/>
      <c r="D23" s="153"/>
      <c r="E23" s="153"/>
      <c r="F23" s="153"/>
      <c r="G23" s="153"/>
      <c r="H23" s="153"/>
      <c r="I23" s="153"/>
      <c r="J23" s="153"/>
      <c r="K23" s="153"/>
      <c r="L23" s="153"/>
      <c r="M23" s="153"/>
      <c r="N23" s="153"/>
      <c r="O23" s="153"/>
      <c r="P23" s="153"/>
      <c r="Q23" s="153"/>
      <c r="R23" s="153"/>
      <c r="S23" s="153"/>
      <c r="T23" s="153"/>
      <c r="U23" s="153"/>
      <c r="V23" s="153"/>
      <c r="W23" s="153"/>
      <c r="X23" s="153"/>
      <c r="Y23" s="153"/>
      <c r="Z23" s="153"/>
      <c r="AA23" s="153"/>
      <c r="AB23" s="153"/>
      <c r="AC23" s="153"/>
      <c r="AD23" s="153"/>
      <c r="AE23" s="153"/>
      <c r="AF23" s="32"/>
      <c r="AG23" s="32"/>
      <c r="AH23" s="32"/>
      <c r="AI23" s="32"/>
      <c r="AJ23" s="32"/>
      <c r="AK23" s="32"/>
      <c r="AL23" s="32"/>
      <c r="AM23" s="32"/>
      <c r="AN23" s="32"/>
      <c r="AO23" s="32"/>
      <c r="AP23" s="32"/>
      <c r="AQ23" s="32"/>
    </row>
    <row r="24" spans="1:53" x14ac:dyDescent="0.25">
      <c r="A24" s="32"/>
      <c r="B24" s="153"/>
      <c r="C24" s="153"/>
      <c r="D24" s="153"/>
      <c r="E24" s="153"/>
      <c r="F24" s="153"/>
      <c r="G24" s="153"/>
      <c r="H24" s="153"/>
      <c r="I24" s="153"/>
      <c r="J24" s="153"/>
      <c r="K24" s="153"/>
      <c r="L24" s="153"/>
      <c r="M24" s="153"/>
      <c r="N24" s="153"/>
      <c r="O24" s="153"/>
      <c r="P24" s="153"/>
      <c r="Q24" s="153"/>
      <c r="R24" s="153"/>
      <c r="S24" s="153"/>
      <c r="T24" s="153"/>
      <c r="U24" s="153"/>
      <c r="V24" s="153"/>
      <c r="W24" s="153"/>
      <c r="X24" s="153"/>
      <c r="Y24" s="153"/>
      <c r="Z24" s="153"/>
      <c r="AA24" s="153"/>
      <c r="AB24" s="153"/>
      <c r="AC24" s="153"/>
      <c r="AD24" s="153"/>
      <c r="AE24" s="153"/>
      <c r="AF24" s="32"/>
      <c r="AG24" s="32"/>
      <c r="AH24" s="32"/>
      <c r="AI24" s="32"/>
      <c r="AJ24" s="32"/>
      <c r="AK24" s="32"/>
      <c r="AL24" s="32"/>
      <c r="AM24" s="32"/>
      <c r="AN24" s="32"/>
      <c r="AO24" s="32"/>
      <c r="AP24" s="32"/>
      <c r="AQ24" s="32"/>
    </row>
    <row r="25" spans="1:53" x14ac:dyDescent="0.25">
      <c r="A25" s="32"/>
      <c r="B25" s="153"/>
      <c r="C25" s="153"/>
      <c r="D25" s="153"/>
      <c r="E25" s="153"/>
      <c r="F25" s="153"/>
      <c r="G25" s="153"/>
      <c r="H25" s="153"/>
      <c r="I25" s="153"/>
      <c r="J25" s="153"/>
      <c r="K25" s="153"/>
      <c r="L25" s="153"/>
      <c r="M25" s="153"/>
      <c r="N25" s="153"/>
      <c r="O25" s="153"/>
      <c r="P25" s="153"/>
      <c r="Q25" s="153"/>
      <c r="R25" s="153"/>
      <c r="S25" s="153"/>
      <c r="T25" s="153"/>
      <c r="U25" s="153"/>
      <c r="V25" s="153"/>
      <c r="W25" s="153"/>
      <c r="X25" s="153"/>
      <c r="Y25" s="153"/>
      <c r="Z25" s="153"/>
      <c r="AA25" s="153"/>
      <c r="AB25" s="153"/>
      <c r="AC25" s="153"/>
      <c r="AD25" s="153"/>
      <c r="AE25" s="153"/>
      <c r="AF25" s="32"/>
      <c r="AG25" s="32"/>
      <c r="AH25" s="32"/>
      <c r="AI25" s="32"/>
      <c r="AJ25" s="32"/>
      <c r="AK25" s="32"/>
      <c r="AL25" s="32"/>
      <c r="AM25" s="32"/>
      <c r="AN25" s="32"/>
      <c r="AO25" s="32"/>
      <c r="AP25" s="32"/>
      <c r="AQ25" s="32"/>
    </row>
    <row r="26" spans="1:53" x14ac:dyDescent="0.25">
      <c r="A26" s="32"/>
      <c r="B26" s="153"/>
      <c r="C26" s="153"/>
      <c r="D26" s="153"/>
      <c r="E26" s="153"/>
      <c r="F26" s="153"/>
      <c r="G26" s="153"/>
      <c r="H26" s="153"/>
      <c r="I26" s="153"/>
      <c r="J26" s="153"/>
      <c r="K26" s="153"/>
      <c r="L26" s="153"/>
      <c r="M26" s="153"/>
      <c r="N26" s="153"/>
      <c r="O26" s="153"/>
      <c r="P26" s="153"/>
      <c r="Q26" s="153"/>
      <c r="R26" s="153"/>
      <c r="S26" s="153"/>
      <c r="T26" s="153"/>
      <c r="U26" s="153"/>
      <c r="V26" s="153"/>
      <c r="W26" s="153"/>
      <c r="X26" s="153"/>
      <c r="Y26" s="153"/>
      <c r="Z26" s="153"/>
      <c r="AA26" s="153"/>
      <c r="AB26" s="153"/>
      <c r="AC26" s="153"/>
      <c r="AD26" s="153"/>
      <c r="AE26" s="153"/>
      <c r="AF26" s="32"/>
      <c r="AG26" s="32"/>
      <c r="AH26" s="32"/>
      <c r="AI26" s="32"/>
      <c r="AJ26" s="32"/>
      <c r="AK26" s="32"/>
      <c r="AL26" s="32"/>
      <c r="AM26" s="32"/>
      <c r="AN26" s="32"/>
      <c r="AO26" s="32"/>
      <c r="AP26" s="32"/>
      <c r="AQ26" s="32"/>
    </row>
    <row r="27" spans="1:53" x14ac:dyDescent="0.25">
      <c r="A27" s="32"/>
      <c r="B27" s="153"/>
      <c r="C27" s="153"/>
      <c r="D27" s="153"/>
      <c r="E27" s="153"/>
      <c r="F27" s="153"/>
      <c r="G27" s="153"/>
      <c r="H27" s="153"/>
      <c r="I27" s="153"/>
      <c r="J27" s="153"/>
      <c r="K27" s="153"/>
      <c r="L27" s="153"/>
      <c r="M27" s="153"/>
      <c r="N27" s="153"/>
      <c r="O27" s="153"/>
      <c r="P27" s="153"/>
      <c r="Q27" s="153"/>
      <c r="R27" s="153"/>
      <c r="S27" s="153"/>
      <c r="T27" s="153"/>
      <c r="U27" s="153"/>
      <c r="V27" s="153"/>
      <c r="W27" s="153"/>
      <c r="X27" s="153"/>
      <c r="Y27" s="153"/>
      <c r="Z27" s="153"/>
      <c r="AA27" s="153"/>
      <c r="AB27" s="153"/>
      <c r="AC27" s="153"/>
      <c r="AD27" s="153"/>
      <c r="AE27" s="153"/>
      <c r="AF27" s="32"/>
      <c r="AG27" s="32"/>
      <c r="AH27" s="32"/>
      <c r="AI27" s="32"/>
      <c r="AJ27" s="32"/>
      <c r="AK27" s="32"/>
      <c r="AL27" s="32"/>
      <c r="AM27" s="32"/>
      <c r="AN27" s="32"/>
      <c r="AO27" s="32"/>
      <c r="AP27" s="32"/>
      <c r="AQ27" s="32"/>
    </row>
    <row r="28" spans="1:53" x14ac:dyDescent="0.25">
      <c r="A28" s="32"/>
      <c r="B28" s="153"/>
      <c r="C28" s="153"/>
      <c r="D28" s="153"/>
      <c r="E28" s="153"/>
      <c r="F28" s="153"/>
      <c r="G28" s="153"/>
      <c r="H28" s="153"/>
      <c r="I28" s="153"/>
      <c r="J28" s="153"/>
      <c r="K28" s="153"/>
      <c r="L28" s="153"/>
      <c r="M28" s="153"/>
      <c r="N28" s="153"/>
      <c r="O28" s="153"/>
      <c r="P28" s="153"/>
      <c r="Q28" s="153"/>
      <c r="R28" s="153"/>
      <c r="S28" s="153"/>
      <c r="T28" s="153"/>
      <c r="U28" s="153"/>
      <c r="V28" s="153"/>
      <c r="W28" s="153"/>
      <c r="X28" s="153"/>
      <c r="Y28" s="153"/>
      <c r="Z28" s="153"/>
      <c r="AA28" s="153"/>
      <c r="AB28" s="153"/>
      <c r="AC28" s="153"/>
      <c r="AD28" s="153"/>
      <c r="AE28" s="153"/>
      <c r="AF28" s="32"/>
      <c r="AG28" s="32"/>
      <c r="AH28" s="32"/>
      <c r="AI28" s="32"/>
      <c r="AJ28" s="32"/>
      <c r="AK28" s="32"/>
      <c r="AL28" s="32"/>
      <c r="AM28" s="32"/>
      <c r="AN28" s="32"/>
      <c r="AO28" s="32"/>
      <c r="AP28" s="32"/>
      <c r="AQ28" s="32"/>
    </row>
    <row r="29" spans="1:53" x14ac:dyDescent="0.25">
      <c r="A29" s="32"/>
      <c r="B29" s="153"/>
      <c r="C29" s="153"/>
      <c r="D29" s="153"/>
      <c r="E29" s="153"/>
      <c r="F29" s="153"/>
      <c r="G29" s="153"/>
      <c r="H29" s="153"/>
      <c r="I29" s="153"/>
      <c r="J29" s="153"/>
      <c r="K29" s="153"/>
      <c r="L29" s="153"/>
      <c r="M29" s="153"/>
      <c r="N29" s="153"/>
      <c r="O29" s="153"/>
      <c r="P29" s="153"/>
      <c r="Q29" s="153"/>
      <c r="R29" s="153"/>
      <c r="S29" s="153"/>
      <c r="T29" s="153"/>
      <c r="U29" s="153"/>
      <c r="V29" s="153"/>
      <c r="W29" s="153"/>
      <c r="X29" s="153"/>
      <c r="Y29" s="153"/>
      <c r="Z29" s="153"/>
      <c r="AA29" s="153"/>
      <c r="AB29" s="153"/>
      <c r="AC29" s="153"/>
      <c r="AD29" s="153"/>
      <c r="AE29" s="153"/>
      <c r="AF29" s="32"/>
      <c r="AG29" s="32"/>
      <c r="AH29" s="32"/>
      <c r="AI29" s="32"/>
      <c r="AJ29" s="32"/>
      <c r="AK29" s="32"/>
      <c r="AL29" s="32"/>
      <c r="AM29" s="32"/>
      <c r="AN29" s="32"/>
      <c r="AO29" s="32"/>
      <c r="AP29" s="32"/>
      <c r="AQ29" s="32"/>
    </row>
    <row r="30" spans="1:53" x14ac:dyDescent="0.25">
      <c r="A30" s="32"/>
      <c r="B30" s="153"/>
      <c r="C30" s="153"/>
      <c r="D30" s="153"/>
      <c r="E30" s="153"/>
      <c r="F30" s="153"/>
      <c r="G30" s="153"/>
      <c r="H30" s="153"/>
      <c r="I30" s="153"/>
      <c r="J30" s="153"/>
      <c r="K30" s="153"/>
      <c r="L30" s="153"/>
      <c r="M30" s="153"/>
      <c r="N30" s="153"/>
      <c r="O30" s="153"/>
      <c r="P30" s="153"/>
      <c r="Q30" s="153"/>
      <c r="R30" s="153"/>
      <c r="S30" s="153"/>
      <c r="T30" s="153"/>
      <c r="U30" s="153"/>
      <c r="V30" s="153"/>
      <c r="W30" s="153"/>
      <c r="X30" s="153"/>
      <c r="Y30" s="153"/>
      <c r="Z30" s="153"/>
      <c r="AA30" s="153"/>
      <c r="AB30" s="153"/>
      <c r="AC30" s="153"/>
      <c r="AD30" s="153"/>
      <c r="AE30" s="153"/>
      <c r="AF30" s="32"/>
      <c r="AG30" s="32"/>
      <c r="AH30" s="32"/>
      <c r="AI30" s="32"/>
      <c r="AJ30" s="32"/>
      <c r="AK30" s="32"/>
      <c r="AL30" s="32"/>
      <c r="AM30" s="32"/>
      <c r="AN30" s="32"/>
      <c r="AO30" s="32"/>
      <c r="AP30" s="32"/>
      <c r="AQ30" s="32"/>
    </row>
    <row r="31" spans="1:53" x14ac:dyDescent="0.25">
      <c r="A31" s="32"/>
      <c r="B31" s="153"/>
      <c r="C31" s="153"/>
      <c r="D31" s="153"/>
      <c r="E31" s="153"/>
      <c r="F31" s="153"/>
      <c r="G31" s="153"/>
      <c r="H31" s="153"/>
      <c r="I31" s="153"/>
      <c r="J31" s="153"/>
      <c r="K31" s="153"/>
      <c r="L31" s="153"/>
      <c r="M31" s="153"/>
      <c r="N31" s="153"/>
      <c r="O31" s="153"/>
      <c r="P31" s="153"/>
      <c r="Q31" s="153"/>
      <c r="R31" s="153"/>
      <c r="S31" s="153"/>
      <c r="T31" s="153"/>
      <c r="U31" s="153"/>
      <c r="V31" s="153"/>
      <c r="W31" s="153"/>
      <c r="X31" s="153"/>
      <c r="Y31" s="153"/>
      <c r="Z31" s="153"/>
      <c r="AA31" s="153"/>
      <c r="AB31" s="153"/>
      <c r="AC31" s="153"/>
      <c r="AD31" s="153"/>
      <c r="AE31" s="153"/>
      <c r="AF31" s="32"/>
      <c r="AG31" s="32"/>
      <c r="AH31" s="32"/>
      <c r="AI31" s="32"/>
      <c r="AJ31" s="32"/>
      <c r="AK31" s="32"/>
      <c r="AL31" s="32"/>
      <c r="AM31" s="32"/>
      <c r="AN31" s="32"/>
      <c r="AO31" s="32"/>
      <c r="AP31" s="32"/>
      <c r="AQ31" s="32"/>
    </row>
    <row r="32" spans="1:53" x14ac:dyDescent="0.25">
      <c r="A32" s="32"/>
      <c r="B32" s="153"/>
      <c r="C32" s="153"/>
      <c r="D32" s="153"/>
      <c r="E32" s="153"/>
      <c r="F32" s="153"/>
      <c r="G32" s="153"/>
      <c r="H32" s="153"/>
      <c r="I32" s="153"/>
      <c r="J32" s="153"/>
      <c r="K32" s="153"/>
      <c r="L32" s="153"/>
      <c r="M32" s="153"/>
      <c r="N32" s="153"/>
      <c r="O32" s="153"/>
      <c r="P32" s="153"/>
      <c r="Q32" s="153"/>
      <c r="R32" s="153"/>
      <c r="S32" s="153"/>
      <c r="T32" s="153"/>
      <c r="U32" s="153"/>
      <c r="V32" s="153"/>
      <c r="W32" s="153"/>
      <c r="X32" s="153"/>
      <c r="Y32" s="153"/>
      <c r="Z32" s="153"/>
      <c r="AA32" s="153"/>
      <c r="AB32" s="153"/>
      <c r="AC32" s="153"/>
      <c r="AD32" s="153"/>
      <c r="AE32" s="153"/>
      <c r="AF32" s="32"/>
      <c r="AG32" s="32"/>
      <c r="AH32" s="32"/>
      <c r="AI32" s="32"/>
      <c r="AJ32" s="32"/>
      <c r="AK32" s="32"/>
      <c r="AL32" s="32"/>
      <c r="AM32" s="32"/>
      <c r="AN32" s="32"/>
      <c r="AO32" s="32"/>
      <c r="AP32" s="32"/>
      <c r="AQ32" s="32"/>
    </row>
  </sheetData>
  <mergeCells count="42">
    <mergeCell ref="A13:A15"/>
    <mergeCell ref="A2:AQ2"/>
    <mergeCell ref="E3:F3"/>
    <mergeCell ref="G3:H3"/>
    <mergeCell ref="I3:J3"/>
    <mergeCell ref="K3:L3"/>
    <mergeCell ref="M3:N3"/>
    <mergeCell ref="O3:P3"/>
    <mergeCell ref="Q3:R3"/>
    <mergeCell ref="S3:T3"/>
    <mergeCell ref="U3:V3"/>
    <mergeCell ref="W3:X3"/>
    <mergeCell ref="Y3:Z3"/>
    <mergeCell ref="AA3:AB3"/>
    <mergeCell ref="AC3:AD3"/>
    <mergeCell ref="AE3:AF3"/>
    <mergeCell ref="AG3:AH3"/>
    <mergeCell ref="AI3:AJ3"/>
    <mergeCell ref="AK3:AL3"/>
    <mergeCell ref="AM3:AN3"/>
    <mergeCell ref="AO3:AP3"/>
    <mergeCell ref="Y4:Z4"/>
    <mergeCell ref="AA4:AB4"/>
    <mergeCell ref="AC4:AD4"/>
    <mergeCell ref="AE4:AF4"/>
    <mergeCell ref="AG4:AH4"/>
    <mergeCell ref="O4:P4"/>
    <mergeCell ref="Q4:R4"/>
    <mergeCell ref="S4:T4"/>
    <mergeCell ref="U4:V4"/>
    <mergeCell ref="W4:X4"/>
    <mergeCell ref="E4:F4"/>
    <mergeCell ref="G4:H4"/>
    <mergeCell ref="I4:J4"/>
    <mergeCell ref="K4:L4"/>
    <mergeCell ref="M4:N4"/>
    <mergeCell ref="AI4:AJ4"/>
    <mergeCell ref="AK4:AL4"/>
    <mergeCell ref="AM4:AN4"/>
    <mergeCell ref="AO4:AP4"/>
    <mergeCell ref="AQ8:AQ16"/>
    <mergeCell ref="AQ3:AQ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058E6-77CE-47DF-A0A2-08CED0491BF0}">
  <dimension ref="A1:P38"/>
  <sheetViews>
    <sheetView workbookViewId="0">
      <selection activeCell="L20" sqref="L20"/>
    </sheetView>
  </sheetViews>
  <sheetFormatPr defaultColWidth="8.7109375" defaultRowHeight="15" x14ac:dyDescent="0.25"/>
  <cols>
    <col min="1" max="1" width="12.42578125" style="163" customWidth="1"/>
    <col min="2" max="2" width="9.5703125" style="163" customWidth="1"/>
    <col min="3" max="7" width="8.7109375" style="163"/>
    <col min="8" max="8" width="9.42578125" style="163" customWidth="1"/>
    <col min="9" max="16" width="8.7109375" style="163"/>
    <col min="17" max="17" width="14" style="163" customWidth="1"/>
    <col min="18" max="16384" width="8.7109375" style="163"/>
  </cols>
  <sheetData>
    <row r="1" spans="1:16" s="162" customFormat="1" ht="14.25" x14ac:dyDescent="0.25">
      <c r="A1" s="162" t="s">
        <v>220</v>
      </c>
    </row>
    <row r="2" spans="1:16" ht="15" customHeight="1" x14ac:dyDescent="0.25"/>
    <row r="3" spans="1:16" ht="78.95" customHeight="1" x14ac:dyDescent="0.25">
      <c r="A3" s="320" t="s">
        <v>221</v>
      </c>
      <c r="B3" s="320"/>
      <c r="C3" s="320"/>
      <c r="D3" s="320"/>
      <c r="E3" s="320"/>
      <c r="F3" s="320"/>
      <c r="G3" s="320"/>
      <c r="H3" s="320"/>
      <c r="I3" s="320"/>
      <c r="J3" s="320"/>
      <c r="K3" s="320"/>
      <c r="L3" s="320"/>
      <c r="M3" s="320"/>
      <c r="N3" s="320"/>
      <c r="O3" s="320"/>
      <c r="P3" s="320"/>
    </row>
    <row r="4" spans="1:16" ht="15" customHeight="1" x14ac:dyDescent="0.25">
      <c r="A4" s="165" t="s">
        <v>222</v>
      </c>
      <c r="B4" s="165"/>
      <c r="C4" s="165"/>
      <c r="D4" s="165"/>
      <c r="E4" s="165"/>
      <c r="F4" s="165"/>
      <c r="G4" s="165"/>
      <c r="H4" s="165"/>
    </row>
    <row r="5" spans="1:16" ht="15" customHeight="1" x14ac:dyDescent="0.25">
      <c r="A5" s="321" t="s">
        <v>223</v>
      </c>
      <c r="B5" s="321"/>
      <c r="C5" s="321"/>
      <c r="D5" s="321"/>
      <c r="E5" s="321"/>
      <c r="F5" s="321"/>
      <c r="G5" s="321"/>
      <c r="H5" s="321"/>
    </row>
    <row r="6" spans="1:16" ht="15" customHeight="1" x14ac:dyDescent="0.25"/>
    <row r="7" spans="1:16" ht="38.1" customHeight="1" x14ac:dyDescent="0.25">
      <c r="A7" s="320" t="s">
        <v>224</v>
      </c>
      <c r="B7" s="320"/>
      <c r="C7" s="320"/>
      <c r="D7" s="320"/>
      <c r="E7" s="320"/>
      <c r="F7" s="320"/>
      <c r="G7" s="320"/>
      <c r="H7" s="320"/>
      <c r="I7" s="320"/>
      <c r="J7" s="320"/>
      <c r="K7" s="320"/>
      <c r="L7" s="320"/>
      <c r="M7" s="320"/>
      <c r="N7" s="320"/>
      <c r="O7" s="320"/>
      <c r="P7" s="320"/>
    </row>
    <row r="8" spans="1:16" ht="15.95" customHeight="1" x14ac:dyDescent="0.25">
      <c r="A8" s="164"/>
      <c r="B8" s="164"/>
      <c r="C8" s="164"/>
      <c r="D8" s="164"/>
      <c r="E8" s="164"/>
      <c r="F8" s="164"/>
      <c r="G8" s="164"/>
      <c r="H8" s="164"/>
      <c r="I8" s="164"/>
      <c r="J8" s="164"/>
      <c r="K8" s="164"/>
      <c r="L8" s="164"/>
      <c r="M8" s="164"/>
      <c r="N8" s="164"/>
      <c r="O8" s="164"/>
      <c r="P8" s="164"/>
    </row>
    <row r="9" spans="1:16" s="162" customFormat="1" ht="14.25" x14ac:dyDescent="0.25">
      <c r="A9" s="162" t="s">
        <v>225</v>
      </c>
    </row>
    <row r="10" spans="1:16" ht="48.6" customHeight="1" x14ac:dyDescent="0.25">
      <c r="A10" s="320" t="s">
        <v>226</v>
      </c>
      <c r="B10" s="322"/>
      <c r="C10" s="322"/>
      <c r="D10" s="322"/>
      <c r="E10" s="322"/>
      <c r="F10" s="322"/>
      <c r="G10" s="322"/>
      <c r="H10" s="322"/>
      <c r="I10" s="322"/>
      <c r="J10" s="322"/>
      <c r="K10" s="322"/>
      <c r="L10" s="322"/>
      <c r="M10" s="322"/>
      <c r="N10" s="322"/>
      <c r="O10" s="322"/>
      <c r="P10" s="322"/>
    </row>
    <row r="11" spans="1:16" ht="15" customHeight="1" x14ac:dyDescent="0.25">
      <c r="B11" s="166" t="s">
        <v>227</v>
      </c>
      <c r="C11" s="167" t="s">
        <v>228</v>
      </c>
      <c r="D11" s="168" t="s">
        <v>229</v>
      </c>
    </row>
    <row r="12" spans="1:16" ht="15" customHeight="1" x14ac:dyDescent="0.25">
      <c r="A12" s="169" t="s">
        <v>230</v>
      </c>
      <c r="B12" s="168">
        <v>6000</v>
      </c>
      <c r="C12" s="170">
        <v>1500</v>
      </c>
      <c r="D12" s="168">
        <f>C12/6</f>
        <v>250</v>
      </c>
    </row>
    <row r="13" spans="1:16" ht="15" customHeight="1" x14ac:dyDescent="0.25">
      <c r="A13" s="171" t="s">
        <v>231</v>
      </c>
      <c r="B13" s="168">
        <f>2*B12</f>
        <v>12000</v>
      </c>
      <c r="C13" s="170">
        <f>C12*2</f>
        <v>3000</v>
      </c>
      <c r="D13" s="168">
        <f>D12*2</f>
        <v>500</v>
      </c>
    </row>
    <row r="14" spans="1:16" ht="15" customHeight="1" x14ac:dyDescent="0.25">
      <c r="A14" s="164"/>
    </row>
    <row r="15" spans="1:16" s="162" customFormat="1" ht="14.25" x14ac:dyDescent="0.25">
      <c r="A15" s="162" t="s">
        <v>232</v>
      </c>
    </row>
    <row r="16" spans="1:16" ht="123" customHeight="1" x14ac:dyDescent="0.25">
      <c r="A16" s="320" t="s">
        <v>233</v>
      </c>
      <c r="B16" s="322"/>
      <c r="C16" s="322"/>
      <c r="D16" s="322"/>
      <c r="E16" s="322"/>
      <c r="F16" s="322"/>
      <c r="G16" s="322"/>
      <c r="H16" s="322"/>
      <c r="I16" s="322"/>
      <c r="J16" s="322"/>
      <c r="K16" s="322"/>
      <c r="L16" s="322"/>
      <c r="M16" s="322"/>
      <c r="N16" s="322"/>
      <c r="O16" s="322"/>
      <c r="P16" s="322"/>
    </row>
    <row r="17" spans="1:16" ht="15.75" thickBot="1" x14ac:dyDescent="0.3">
      <c r="A17" s="172" t="s">
        <v>234</v>
      </c>
      <c r="B17" s="173" t="s">
        <v>230</v>
      </c>
      <c r="C17" s="174">
        <v>1500</v>
      </c>
      <c r="D17" s="175"/>
      <c r="E17" s="168" t="s">
        <v>229</v>
      </c>
      <c r="F17" s="168" t="s">
        <v>230</v>
      </c>
      <c r="G17" s="168" t="s">
        <v>231</v>
      </c>
      <c r="H17" s="163" t="s">
        <v>235</v>
      </c>
    </row>
    <row r="18" spans="1:16" ht="15" customHeight="1" thickTop="1" x14ac:dyDescent="0.25">
      <c r="A18" s="176" t="s">
        <v>236</v>
      </c>
      <c r="B18" s="177" t="s">
        <v>231</v>
      </c>
      <c r="C18" s="178">
        <f t="shared" ref="C18" si="0">2*C17</f>
        <v>3000</v>
      </c>
      <c r="D18" s="175"/>
      <c r="E18" s="168" t="s">
        <v>236</v>
      </c>
      <c r="F18" s="168">
        <f>C17/6</f>
        <v>250</v>
      </c>
      <c r="G18" s="168">
        <f>F18*2</f>
        <v>500</v>
      </c>
      <c r="H18" s="179">
        <v>1</v>
      </c>
    </row>
    <row r="19" spans="1:16" ht="15" customHeight="1" x14ac:dyDescent="0.25">
      <c r="A19" s="168" t="s">
        <v>237</v>
      </c>
      <c r="B19" s="180" t="s">
        <v>231</v>
      </c>
      <c r="C19" s="170">
        <f>2*C17</f>
        <v>3000</v>
      </c>
      <c r="D19" s="175"/>
      <c r="E19" s="168" t="s">
        <v>237</v>
      </c>
      <c r="F19" s="168">
        <f>C17/6</f>
        <v>250</v>
      </c>
      <c r="G19" s="168">
        <f t="shared" ref="G19:G20" si="1">F19*2</f>
        <v>500</v>
      </c>
      <c r="H19" s="181">
        <v>1</v>
      </c>
    </row>
    <row r="20" spans="1:16" ht="15" customHeight="1" x14ac:dyDescent="0.25">
      <c r="A20" s="168" t="s">
        <v>238</v>
      </c>
      <c r="B20" s="180" t="s">
        <v>231</v>
      </c>
      <c r="C20" s="170">
        <f>2*150</f>
        <v>300</v>
      </c>
      <c r="D20" s="175"/>
      <c r="E20" s="168" t="s">
        <v>238</v>
      </c>
      <c r="F20" s="168">
        <f>(C17*10%)/6</f>
        <v>25</v>
      </c>
      <c r="G20" s="168">
        <f t="shared" si="1"/>
        <v>50</v>
      </c>
      <c r="H20" s="179">
        <v>0.1</v>
      </c>
    </row>
    <row r="21" spans="1:16" ht="15" customHeight="1" x14ac:dyDescent="0.25">
      <c r="A21" s="168" t="s">
        <v>239</v>
      </c>
      <c r="B21" s="180" t="s">
        <v>231</v>
      </c>
      <c r="C21" s="170">
        <f>2*150</f>
        <v>300</v>
      </c>
      <c r="D21" s="175"/>
      <c r="E21" s="182" t="s">
        <v>240</v>
      </c>
      <c r="F21" s="168">
        <f>(C17*10%)/6</f>
        <v>25</v>
      </c>
      <c r="G21" s="182">
        <f>F21*2</f>
        <v>50</v>
      </c>
      <c r="H21" s="179">
        <v>0.1</v>
      </c>
    </row>
    <row r="22" spans="1:16" ht="15" customHeight="1" x14ac:dyDescent="0.25">
      <c r="A22" s="183" t="s">
        <v>54</v>
      </c>
      <c r="B22" s="184" t="s">
        <v>231</v>
      </c>
      <c r="C22" s="185">
        <f>C18+C19+C20+C21</f>
        <v>6600</v>
      </c>
      <c r="D22" s="186"/>
      <c r="E22" s="183" t="s">
        <v>54</v>
      </c>
      <c r="F22" s="168">
        <f>SUM(F18:F21)</f>
        <v>550</v>
      </c>
      <c r="G22" s="168">
        <f>SUM(G18:G21)</f>
        <v>1100</v>
      </c>
    </row>
    <row r="23" spans="1:16" ht="15" customHeight="1" x14ac:dyDescent="0.25">
      <c r="A23" s="187"/>
      <c r="B23" s="175"/>
      <c r="C23" s="175"/>
      <c r="D23" s="175"/>
    </row>
    <row r="24" spans="1:16" s="162" customFormat="1" ht="14.25" x14ac:dyDescent="0.25">
      <c r="A24" s="162" t="s">
        <v>241</v>
      </c>
    </row>
    <row r="25" spans="1:16" ht="96.95" customHeight="1" x14ac:dyDescent="0.25">
      <c r="A25" s="320" t="s">
        <v>242</v>
      </c>
      <c r="B25" s="320"/>
      <c r="C25" s="320"/>
      <c r="D25" s="320"/>
      <c r="E25" s="320"/>
      <c r="F25" s="320"/>
      <c r="G25" s="320"/>
      <c r="H25" s="320"/>
      <c r="I25" s="320"/>
      <c r="J25" s="320"/>
      <c r="K25" s="320"/>
      <c r="L25" s="320"/>
      <c r="M25" s="320"/>
      <c r="N25" s="320"/>
      <c r="O25" s="320"/>
      <c r="P25" s="320"/>
    </row>
    <row r="26" spans="1:16" ht="30" x14ac:dyDescent="0.25">
      <c r="A26" s="188" t="s">
        <v>234</v>
      </c>
      <c r="B26" s="189" t="s">
        <v>230</v>
      </c>
      <c r="C26" s="168">
        <v>1500</v>
      </c>
      <c r="D26" s="163" t="s">
        <v>235</v>
      </c>
      <c r="E26" s="175"/>
      <c r="I26" s="190" t="s">
        <v>229</v>
      </c>
      <c r="J26" s="190" t="s">
        <v>230</v>
      </c>
      <c r="K26" s="190" t="s">
        <v>231</v>
      </c>
      <c r="L26" s="164"/>
      <c r="M26" s="164"/>
      <c r="N26" s="164"/>
      <c r="O26" s="164"/>
      <c r="P26" s="164"/>
    </row>
    <row r="27" spans="1:16" ht="15" customHeight="1" x14ac:dyDescent="0.25">
      <c r="A27" s="168" t="s">
        <v>236</v>
      </c>
      <c r="B27" s="180" t="s">
        <v>231</v>
      </c>
      <c r="C27" s="170">
        <f>2*150</f>
        <v>300</v>
      </c>
      <c r="D27" s="179">
        <v>0.1</v>
      </c>
      <c r="E27" s="175"/>
      <c r="G27" s="164"/>
      <c r="H27" s="164"/>
      <c r="I27" s="190" t="s">
        <v>236</v>
      </c>
      <c r="J27" s="190">
        <f>(1500*10%)/6</f>
        <v>25</v>
      </c>
      <c r="K27" s="190">
        <f>J27*2</f>
        <v>50</v>
      </c>
      <c r="L27" s="164"/>
      <c r="M27" s="164"/>
      <c r="N27" s="164"/>
      <c r="O27" s="164"/>
      <c r="P27" s="164"/>
    </row>
    <row r="28" spans="1:16" ht="15" customHeight="1" x14ac:dyDescent="0.25">
      <c r="A28" s="168" t="s">
        <v>237</v>
      </c>
      <c r="B28" s="180" t="s">
        <v>231</v>
      </c>
      <c r="C28" s="170">
        <f>2*150</f>
        <v>300</v>
      </c>
      <c r="D28" s="179">
        <v>0.1</v>
      </c>
      <c r="E28" s="175"/>
      <c r="G28" s="164"/>
      <c r="H28" s="164"/>
      <c r="I28" s="191" t="s">
        <v>237</v>
      </c>
      <c r="J28" s="190">
        <f t="shared" ref="J28:J29" si="2">(1500*10%)/6</f>
        <v>25</v>
      </c>
      <c r="K28" s="190">
        <f t="shared" ref="K28:K29" si="3">J28*2</f>
        <v>50</v>
      </c>
      <c r="L28" s="164"/>
      <c r="M28" s="164"/>
      <c r="N28" s="164"/>
      <c r="O28" s="164"/>
      <c r="P28" s="164"/>
    </row>
    <row r="29" spans="1:16" ht="15" customHeight="1" x14ac:dyDescent="0.25">
      <c r="A29" s="168" t="s">
        <v>238</v>
      </c>
      <c r="B29" s="180" t="s">
        <v>231</v>
      </c>
      <c r="C29" s="170">
        <f>2*150</f>
        <v>300</v>
      </c>
      <c r="D29" s="179">
        <v>0.1</v>
      </c>
      <c r="E29" s="175"/>
      <c r="G29" s="164"/>
      <c r="H29" s="164"/>
      <c r="I29" s="191" t="s">
        <v>243</v>
      </c>
      <c r="J29" s="190">
        <f t="shared" si="2"/>
        <v>25</v>
      </c>
      <c r="K29" s="190">
        <f t="shared" si="3"/>
        <v>50</v>
      </c>
      <c r="L29" s="164"/>
      <c r="M29" s="164"/>
      <c r="N29" s="164"/>
      <c r="O29" s="164"/>
      <c r="P29" s="164"/>
    </row>
    <row r="30" spans="1:16" ht="15" customHeight="1" x14ac:dyDescent="0.25">
      <c r="A30" s="183" t="s">
        <v>54</v>
      </c>
      <c r="B30" s="184" t="s">
        <v>231</v>
      </c>
      <c r="C30" s="185">
        <f>C27+C28+C29</f>
        <v>900</v>
      </c>
      <c r="D30" s="186"/>
      <c r="E30" s="186"/>
      <c r="F30" s="192"/>
      <c r="G30" s="164"/>
      <c r="H30" s="164"/>
      <c r="I30" s="193" t="s">
        <v>54</v>
      </c>
      <c r="J30" s="193">
        <f>SUM(J27:J29)</f>
        <v>75</v>
      </c>
      <c r="K30" s="193">
        <f>SUM(K27:K29)</f>
        <v>150</v>
      </c>
      <c r="L30" s="164"/>
      <c r="M30" s="164"/>
      <c r="N30" s="164"/>
      <c r="O30" s="164"/>
      <c r="P30" s="164"/>
    </row>
    <row r="31" spans="1:16" ht="15" customHeight="1" x14ac:dyDescent="0.25">
      <c r="A31" s="175"/>
      <c r="B31" s="187"/>
      <c r="C31" s="194"/>
      <c r="D31" s="194"/>
      <c r="F31" s="164"/>
      <c r="G31" s="164"/>
      <c r="H31" s="164"/>
      <c r="I31" s="164"/>
      <c r="J31" s="164"/>
      <c r="K31" s="164"/>
      <c r="L31" s="164"/>
      <c r="M31" s="164"/>
      <c r="N31" s="164"/>
      <c r="O31" s="164"/>
      <c r="P31" s="164"/>
    </row>
    <row r="32" spans="1:16" ht="15" customHeight="1" x14ac:dyDescent="0.25">
      <c r="A32" s="195" t="s">
        <v>244</v>
      </c>
      <c r="B32" s="196"/>
      <c r="C32" s="197"/>
      <c r="D32" s="194"/>
      <c r="F32" s="164"/>
      <c r="G32" s="164"/>
      <c r="H32" s="164"/>
      <c r="I32" s="164"/>
      <c r="J32" s="164"/>
      <c r="K32" s="164"/>
      <c r="L32" s="164"/>
      <c r="M32" s="164"/>
      <c r="N32" s="164"/>
      <c r="O32" s="164"/>
      <c r="P32" s="164"/>
    </row>
    <row r="33" spans="1:16" x14ac:dyDescent="0.25">
      <c r="A33" s="198" t="s">
        <v>245</v>
      </c>
      <c r="B33" s="199" t="s">
        <v>246</v>
      </c>
      <c r="C33" s="200"/>
      <c r="D33" s="318"/>
      <c r="E33" s="318"/>
      <c r="F33" s="318"/>
      <c r="G33" s="318"/>
    </row>
    <row r="34" spans="1:16" ht="15" customHeight="1" x14ac:dyDescent="0.25">
      <c r="A34" s="198"/>
      <c r="B34" s="201" t="s">
        <v>247</v>
      </c>
      <c r="C34" s="201"/>
      <c r="D34" s="318"/>
      <c r="E34" s="318"/>
      <c r="F34" s="318"/>
      <c r="G34" s="318"/>
      <c r="J34" s="202"/>
      <c r="K34" s="202"/>
      <c r="L34" s="202"/>
      <c r="M34" s="202"/>
      <c r="N34" s="202"/>
      <c r="O34" s="202"/>
      <c r="P34" s="202"/>
    </row>
    <row r="35" spans="1:16" ht="15" customHeight="1" x14ac:dyDescent="0.25">
      <c r="A35" s="203" t="s">
        <v>248</v>
      </c>
      <c r="B35" s="203">
        <f>C13</f>
        <v>3000</v>
      </c>
      <c r="C35" s="203"/>
      <c r="D35" s="318"/>
      <c r="E35" s="318"/>
      <c r="F35" s="318"/>
      <c r="G35" s="318"/>
    </row>
    <row r="36" spans="1:16" ht="15" customHeight="1" x14ac:dyDescent="0.25">
      <c r="A36" s="203" t="s">
        <v>249</v>
      </c>
      <c r="B36" s="203">
        <f>C22</f>
        <v>6600</v>
      </c>
      <c r="C36" s="203"/>
      <c r="D36" s="318"/>
      <c r="E36" s="318"/>
      <c r="F36" s="318"/>
      <c r="G36" s="318"/>
    </row>
    <row r="37" spans="1:16" ht="15" customHeight="1" x14ac:dyDescent="0.25">
      <c r="A37" s="200" t="s">
        <v>250</v>
      </c>
      <c r="B37" s="200">
        <f>C27+C28+C29</f>
        <v>900</v>
      </c>
      <c r="C37" s="200"/>
      <c r="D37" s="318"/>
      <c r="E37" s="318"/>
      <c r="F37" s="318"/>
      <c r="G37" s="318"/>
    </row>
    <row r="38" spans="1:16" ht="15" customHeight="1" x14ac:dyDescent="0.25">
      <c r="A38" s="204" t="s">
        <v>251</v>
      </c>
      <c r="B38" s="204">
        <f>B35+B36+B37</f>
        <v>10500</v>
      </c>
      <c r="C38" s="204"/>
      <c r="D38" s="319"/>
      <c r="E38" s="319"/>
      <c r="F38" s="319"/>
      <c r="G38" s="319"/>
    </row>
  </sheetData>
  <mergeCells count="18">
    <mergeCell ref="A25:P25"/>
    <mergeCell ref="A3:P3"/>
    <mergeCell ref="A5:H5"/>
    <mergeCell ref="A7:P7"/>
    <mergeCell ref="A10:P10"/>
    <mergeCell ref="A16:P16"/>
    <mergeCell ref="D33:E33"/>
    <mergeCell ref="F33:G33"/>
    <mergeCell ref="D34:E34"/>
    <mergeCell ref="F34:G34"/>
    <mergeCell ref="D35:E35"/>
    <mergeCell ref="F35:G35"/>
    <mergeCell ref="D36:E36"/>
    <mergeCell ref="F36:G36"/>
    <mergeCell ref="D37:E37"/>
    <mergeCell ref="F37:G37"/>
    <mergeCell ref="D38:E38"/>
    <mergeCell ref="F38:G3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721DD-1482-4A3F-BCFC-167E92CE2C18}">
  <dimension ref="A1:K29"/>
  <sheetViews>
    <sheetView topLeftCell="A4" workbookViewId="0">
      <selection activeCell="C26" sqref="C26:F26"/>
    </sheetView>
  </sheetViews>
  <sheetFormatPr defaultRowHeight="15" x14ac:dyDescent="0.25"/>
  <cols>
    <col min="1" max="1" width="33.140625" customWidth="1"/>
    <col min="2" max="4" width="22.28515625" customWidth="1"/>
    <col min="5" max="5" width="19.28515625" customWidth="1"/>
  </cols>
  <sheetData>
    <row r="1" spans="1:11" s="212" customFormat="1" x14ac:dyDescent="0.25">
      <c r="E1" s="33" t="s">
        <v>51</v>
      </c>
      <c r="F1" s="33"/>
      <c r="G1" s="33"/>
      <c r="H1" s="33"/>
    </row>
    <row r="2" spans="1:11" s="212" customFormat="1" ht="45" customHeight="1" x14ac:dyDescent="0.25">
      <c r="A2" s="323" t="s">
        <v>292</v>
      </c>
      <c r="B2" s="324"/>
      <c r="C2" s="324"/>
      <c r="D2" s="324"/>
      <c r="E2" s="324"/>
      <c r="F2" s="232"/>
      <c r="G2" s="232"/>
      <c r="H2" s="232"/>
      <c r="I2" s="232"/>
      <c r="J2" s="232"/>
      <c r="K2" s="232"/>
    </row>
    <row r="4" spans="1:11" s="216" customFormat="1" ht="103.5" customHeight="1" x14ac:dyDescent="0.25">
      <c r="A4" s="213" t="s">
        <v>268</v>
      </c>
      <c r="B4" s="213" t="s">
        <v>269</v>
      </c>
      <c r="C4" s="215" t="s">
        <v>271</v>
      </c>
      <c r="D4" s="214" t="s">
        <v>270</v>
      </c>
      <c r="E4" s="214" t="s">
        <v>291</v>
      </c>
    </row>
    <row r="5" spans="1:11" s="216" customFormat="1" ht="54.75" customHeight="1" x14ac:dyDescent="0.25">
      <c r="A5" s="217" t="s">
        <v>272</v>
      </c>
      <c r="B5" s="218">
        <v>60363.85</v>
      </c>
      <c r="C5" s="218">
        <v>22876.32</v>
      </c>
      <c r="D5" s="219" t="s">
        <v>17</v>
      </c>
      <c r="E5" s="219" t="s">
        <v>17</v>
      </c>
      <c r="F5" s="235"/>
    </row>
    <row r="6" spans="1:11" s="216" customFormat="1" x14ac:dyDescent="0.25">
      <c r="A6" s="188" t="s">
        <v>273</v>
      </c>
      <c r="B6" s="218">
        <f>[1]Izdevumi!C9</f>
        <v>31954.260000000002</v>
      </c>
      <c r="C6" s="220">
        <v>17262.404580921408</v>
      </c>
      <c r="D6" s="219" t="s">
        <v>17</v>
      </c>
      <c r="E6" s="219" t="s">
        <v>17</v>
      </c>
      <c r="F6" s="235"/>
    </row>
    <row r="7" spans="1:11" s="216" customFormat="1" x14ac:dyDescent="0.25">
      <c r="A7" s="188" t="s">
        <v>274</v>
      </c>
      <c r="B7" s="218">
        <f>[1]Izdevumi!C19</f>
        <v>24450.63</v>
      </c>
      <c r="C7" s="220">
        <v>13078.282482055867</v>
      </c>
      <c r="D7" s="219" t="s">
        <v>17</v>
      </c>
      <c r="E7" s="219" t="s">
        <v>17</v>
      </c>
      <c r="F7" s="235"/>
    </row>
    <row r="8" spans="1:11" s="216" customFormat="1" x14ac:dyDescent="0.25">
      <c r="A8" s="188" t="s">
        <v>275</v>
      </c>
      <c r="B8" s="218">
        <f>[1]Izdevumi!C29</f>
        <v>21875.040000000001</v>
      </c>
      <c r="C8" s="220">
        <v>11635.348456145359</v>
      </c>
      <c r="D8" s="219" t="s">
        <v>17</v>
      </c>
      <c r="E8" s="219" t="s">
        <v>17</v>
      </c>
      <c r="F8" s="235"/>
    </row>
    <row r="9" spans="1:11" s="216" customFormat="1" x14ac:dyDescent="0.25">
      <c r="A9" s="188" t="s">
        <v>276</v>
      </c>
      <c r="B9" s="218">
        <f>[1]Izdevumi!C40</f>
        <v>17481.59</v>
      </c>
      <c r="C9" s="220">
        <v>9278.5651077088478</v>
      </c>
      <c r="D9" s="219" t="s">
        <v>17</v>
      </c>
      <c r="E9" s="219" t="s">
        <v>17</v>
      </c>
      <c r="F9" s="235"/>
    </row>
    <row r="10" spans="1:11" s="216" customFormat="1" x14ac:dyDescent="0.25">
      <c r="A10" s="188" t="s">
        <v>277</v>
      </c>
      <c r="B10" s="218">
        <f>[1]Izdevumi!C50</f>
        <v>12991.009999999998</v>
      </c>
      <c r="C10" s="220">
        <v>6867.0724134834063</v>
      </c>
      <c r="D10" s="219" t="s">
        <v>17</v>
      </c>
      <c r="E10" s="219" t="s">
        <v>17</v>
      </c>
      <c r="F10" s="235"/>
    </row>
    <row r="11" spans="1:11" s="216" customFormat="1" x14ac:dyDescent="0.25">
      <c r="A11" s="188" t="s">
        <v>278</v>
      </c>
      <c r="B11" s="218">
        <f>[1]Izdevumi!C60</f>
        <v>12490.18</v>
      </c>
      <c r="C11" s="220">
        <v>6626.4280381474009</v>
      </c>
      <c r="D11" s="219" t="s">
        <v>17</v>
      </c>
      <c r="E11" s="219" t="s">
        <v>17</v>
      </c>
      <c r="F11" s="235"/>
    </row>
    <row r="12" spans="1:11" s="216" customFormat="1" x14ac:dyDescent="0.25">
      <c r="A12" s="221" t="s">
        <v>279</v>
      </c>
      <c r="B12" s="222">
        <f>[1]Izdevumi!C70</f>
        <v>12606.259999999998</v>
      </c>
      <c r="C12" s="223">
        <v>6659.0280003154739</v>
      </c>
      <c r="D12" s="219" t="s">
        <v>17</v>
      </c>
      <c r="E12" s="219" t="s">
        <v>17</v>
      </c>
      <c r="F12" s="235"/>
    </row>
    <row r="13" spans="1:11" s="216" customFormat="1" x14ac:dyDescent="0.25">
      <c r="A13" s="221" t="s">
        <v>280</v>
      </c>
      <c r="B13" s="222">
        <f>[1]Izdevumi!C80</f>
        <v>11506.55</v>
      </c>
      <c r="C13" s="223">
        <v>6090.5242475608256</v>
      </c>
      <c r="D13" s="219" t="s">
        <v>17</v>
      </c>
      <c r="E13" s="219" t="s">
        <v>17</v>
      </c>
      <c r="F13" s="235"/>
    </row>
    <row r="14" spans="1:11" s="216" customFormat="1" x14ac:dyDescent="0.25">
      <c r="A14" s="221" t="s">
        <v>281</v>
      </c>
      <c r="B14" s="222">
        <f>[1]Izdevumi!C90</f>
        <v>11306.300000000001</v>
      </c>
      <c r="C14" s="223">
        <v>5991.820257651505</v>
      </c>
      <c r="D14" s="219" t="s">
        <v>17</v>
      </c>
      <c r="E14" s="219" t="s">
        <v>17</v>
      </c>
      <c r="F14" s="235"/>
    </row>
    <row r="15" spans="1:11" s="216" customFormat="1" x14ac:dyDescent="0.25">
      <c r="A15" s="188" t="s">
        <v>282</v>
      </c>
      <c r="B15" s="218">
        <f>[1]Izdevumi!C100</f>
        <v>16011.660000000002</v>
      </c>
      <c r="C15" s="220">
        <v>8561.5014169074984</v>
      </c>
      <c r="D15" s="219" t="s">
        <v>17</v>
      </c>
      <c r="E15" s="219" t="s">
        <v>17</v>
      </c>
      <c r="F15" s="235"/>
    </row>
    <row r="16" spans="1:11" s="216" customFormat="1" x14ac:dyDescent="0.25">
      <c r="A16" s="188" t="s">
        <v>283</v>
      </c>
      <c r="B16" s="218">
        <f>[1]Izdevumi!C110</f>
        <v>18774.749999999996</v>
      </c>
      <c r="C16" s="220">
        <v>10010.549027935042</v>
      </c>
      <c r="D16" s="219" t="s">
        <v>17</v>
      </c>
      <c r="E16" s="219" t="s">
        <v>17</v>
      </c>
      <c r="F16" s="235"/>
    </row>
    <row r="17" spans="1:7" s="216" customFormat="1" x14ac:dyDescent="0.25">
      <c r="A17" s="224" t="s">
        <v>284</v>
      </c>
      <c r="B17" s="225" t="s">
        <v>17</v>
      </c>
      <c r="C17" s="226" t="s">
        <v>17</v>
      </c>
      <c r="D17" s="238">
        <v>25300</v>
      </c>
      <c r="E17" s="238">
        <f>D17*55%</f>
        <v>13915.000000000002</v>
      </c>
      <c r="F17" s="235"/>
      <c r="G17" s="235"/>
    </row>
    <row r="18" spans="1:7" s="216" customFormat="1" x14ac:dyDescent="0.25">
      <c r="A18" s="224" t="s">
        <v>285</v>
      </c>
      <c r="B18" s="225" t="s">
        <v>17</v>
      </c>
      <c r="C18" s="226" t="s">
        <v>17</v>
      </c>
      <c r="D18" s="238">
        <v>28460</v>
      </c>
      <c r="E18" s="238">
        <f t="shared" ref="E18:E23" si="0">D18*55%</f>
        <v>15653.000000000002</v>
      </c>
    </row>
    <row r="19" spans="1:7" s="216" customFormat="1" x14ac:dyDescent="0.25">
      <c r="A19" s="224" t="s">
        <v>286</v>
      </c>
      <c r="B19" s="225" t="s">
        <v>17</v>
      </c>
      <c r="C19" s="226" t="s">
        <v>17</v>
      </c>
      <c r="D19" s="238">
        <v>23120</v>
      </c>
      <c r="E19" s="238">
        <f t="shared" si="0"/>
        <v>12716.000000000002</v>
      </c>
    </row>
    <row r="20" spans="1:7" s="216" customFormat="1" x14ac:dyDescent="0.25">
      <c r="A20" s="224" t="s">
        <v>287</v>
      </c>
      <c r="B20" s="225" t="s">
        <v>17</v>
      </c>
      <c r="C20" s="226" t="s">
        <v>17</v>
      </c>
      <c r="D20" s="238">
        <v>19800</v>
      </c>
      <c r="E20" s="238">
        <f t="shared" si="0"/>
        <v>10890</v>
      </c>
    </row>
    <row r="21" spans="1:7" s="216" customFormat="1" x14ac:dyDescent="0.25">
      <c r="A21" s="224" t="s">
        <v>288</v>
      </c>
      <c r="B21" s="225" t="s">
        <v>17</v>
      </c>
      <c r="C21" s="226" t="s">
        <v>17</v>
      </c>
      <c r="D21" s="238">
        <v>16300</v>
      </c>
      <c r="E21" s="238">
        <f t="shared" si="0"/>
        <v>8965</v>
      </c>
    </row>
    <row r="22" spans="1:7" s="216" customFormat="1" x14ac:dyDescent="0.25">
      <c r="A22" s="224" t="s">
        <v>289</v>
      </c>
      <c r="B22" s="225" t="s">
        <v>17</v>
      </c>
      <c r="C22" s="226" t="s">
        <v>17</v>
      </c>
      <c r="D22" s="238">
        <v>12600</v>
      </c>
      <c r="E22" s="238">
        <f t="shared" si="0"/>
        <v>6930.0000000000009</v>
      </c>
    </row>
    <row r="23" spans="1:7" s="216" customFormat="1" x14ac:dyDescent="0.25">
      <c r="A23" s="224" t="s">
        <v>290</v>
      </c>
      <c r="B23" s="225" t="s">
        <v>17</v>
      </c>
      <c r="C23" s="226" t="s">
        <v>17</v>
      </c>
      <c r="D23" s="238">
        <v>12600</v>
      </c>
      <c r="E23" s="238">
        <f t="shared" si="0"/>
        <v>6930.0000000000009</v>
      </c>
    </row>
    <row r="24" spans="1:7" s="216" customFormat="1" x14ac:dyDescent="0.25">
      <c r="A24" s="227" t="s">
        <v>16</v>
      </c>
      <c r="B24" s="228">
        <f>SUM(B5:B16)</f>
        <v>251812.08</v>
      </c>
      <c r="C24" s="229">
        <f>SUM(C5:C16)</f>
        <v>124937.84402883262</v>
      </c>
      <c r="D24" s="236">
        <f>SUM(D17:D23)</f>
        <v>138180</v>
      </c>
      <c r="E24" s="236">
        <f>SUM(E17:E23)</f>
        <v>75999.000000000015</v>
      </c>
    </row>
    <row r="25" spans="1:7" x14ac:dyDescent="0.25">
      <c r="E25" s="230"/>
    </row>
    <row r="26" spans="1:7" x14ac:dyDescent="0.25">
      <c r="C26" s="237"/>
    </row>
    <row r="29" spans="1:7" x14ac:dyDescent="0.25">
      <c r="B29" s="231"/>
      <c r="C29" s="231"/>
      <c r="D29" s="231"/>
    </row>
  </sheetData>
  <mergeCells count="1">
    <mergeCell ref="A2:E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Kopsavilkums_2024.gadam</vt:lpstr>
      <vt:lpstr>EM_1.pielikums</vt:lpstr>
      <vt:lpstr>LM_2.pielikums</vt:lpstr>
      <vt:lpstr>IzM_3.pielikums</vt:lpstr>
      <vt:lpstr>VARAM_4.pielikums VPKAC KAC</vt:lpstr>
      <vt:lpstr>apreķins 4.pielikumam</vt:lpstr>
      <vt:lpstr>Koordināc. punkta izd_5.piel.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Vaivode</dc:creator>
  <cp:lastModifiedBy>Solvita Vaivode</cp:lastModifiedBy>
  <cp:lastPrinted>2025-01-21T07:00:42Z</cp:lastPrinted>
  <dcterms:created xsi:type="dcterms:W3CDTF">2023-12-13T14:38:54Z</dcterms:created>
  <dcterms:modified xsi:type="dcterms:W3CDTF">2025-01-21T07:14:08Z</dcterms:modified>
</cp:coreProperties>
</file>