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TESTESANA_VALSTS_SEKRETAREI\021221\"/>
    </mc:Choice>
  </mc:AlternateContent>
  <xr:revisionPtr revIDLastSave="0" documentId="8_{9747D05C-AB6B-4CA1-9069-17A62C685B92}" xr6:coauthVersionLast="46" xr6:coauthVersionMax="46" xr10:uidLastSave="{00000000-0000-0000-0000-000000000000}"/>
  <bookViews>
    <workbookView xWindow="-120" yWindow="-120" windowWidth="29040" windowHeight="15840" xr2:uid="{4495EFB5-4899-4E84-8992-06FE27443688}"/>
  </bookViews>
  <sheets>
    <sheet name="test_sept_dec" sheetId="12" r:id="rId1"/>
    <sheet name="antigēni_ārstniec_iestades_pilo" sheetId="13" r:id="rId2"/>
    <sheet name="sekvencesana_" sheetId="1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_2_d_NMP_lim">#REF!</definedName>
    <definedName name="_xlnm._FilterDatabase" localSheetId="1" hidden="1">antigēni_ārstniec_iestades_pilo!$A$4:$J$26</definedName>
    <definedName name="_xlnm._FilterDatabase" localSheetId="0" hidden="1">test_sept_dec!$A$5:$BD$45</definedName>
    <definedName name="aa" localSheetId="2">#REF!</definedName>
    <definedName name="aa">#REF!</definedName>
    <definedName name="_xlnm.Auto_Open" localSheetId="2">#REF!</definedName>
    <definedName name="_xlnm.Auto_Open">#REF!</definedName>
    <definedName name="b" localSheetId="2">#REF!</definedName>
    <definedName name="b">#REF!</definedName>
    <definedName name="BEx3ATHHUCGCIRND8KLAREDV3L40" localSheetId="2" hidden="1">[1]HEADER!#REF!</definedName>
    <definedName name="BEx3ATHHUCGCIRND8KLAREDV3L40" hidden="1">[1]HEADER!#REF!</definedName>
    <definedName name="BEx3QB2RILYEXIROLAFCWQMOJXMN" localSheetId="2" hidden="1">[1]HEADER!#REF!</definedName>
    <definedName name="BEx3QB2RILYEXIROLAFCWQMOJXMN" hidden="1">[1]HEADER!#REF!</definedName>
    <definedName name="BEx3RIJ9LXPXWNF4BFBFA4ILG6AY" localSheetId="2" hidden="1">[1]HEADER!#REF!</definedName>
    <definedName name="BEx3RIJ9LXPXWNF4BFBFA4ILG6AY" hidden="1">[1]HEADER!#REF!</definedName>
    <definedName name="BEx3T3XEKJ0I8634YNR6MPN3OBQL" localSheetId="2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 localSheetId="2">#REF!</definedName>
    <definedName name="bt">#REF!</definedName>
    <definedName name="BX" localSheetId="2">#REF!</definedName>
    <definedName name="BX">#REF!</definedName>
    <definedName name="CalendarYear" localSheetId="2">#REF!</definedName>
    <definedName name="CalendarYear">#REF!</definedName>
    <definedName name="ccc">#REF!</definedName>
    <definedName name="d">#REF!</definedName>
    <definedName name="D_Evija3">#REF!</definedName>
    <definedName name="DaysAndWeeks" localSheetId="2">{0,1,2,3,4,5,6} + {0;1;2;3;4;5}*7</definedName>
    <definedName name="DaysAndWeeks">{0,1,2,3,4,5,6} + {0;1;2;3;4;5}*7</definedName>
    <definedName name="de">#REF!</definedName>
    <definedName name="dff">#NAME?</definedName>
    <definedName name="DRGNAMES">#REF!</definedName>
    <definedName name="e">#REF!</definedName>
    <definedName name="ee">#REF!</definedName>
    <definedName name="Excel_BuiltIn__FilterDatabase_2">#REF!</definedName>
    <definedName name="Excel_BuiltIn__FilterDatabase_3">#REF!</definedName>
    <definedName name="Excel_BuiltIn_Print_Titles_2">#REF!</definedName>
    <definedName name="Excel_BuiltIn_Print_Titles_3">#REF!</definedName>
    <definedName name="gad_skaits">#REF!</definedName>
    <definedName name="gad_skaits_1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i">#REF!</definedName>
    <definedName name="izm.kods">#REF!</definedName>
    <definedName name="izm.kods_1">[2]izm.posteni!$A$2:$A$216</definedName>
    <definedName name="izm.nos" localSheetId="2">#REF!</definedName>
    <definedName name="izm.nos">#REF!</definedName>
    <definedName name="izm.nos_1">[2]izm.posteni!$B$2:$B$216</definedName>
    <definedName name="jhg" localSheetId="2">#REF!</definedName>
    <definedName name="jhg">#REF!</definedName>
    <definedName name="kk" localSheetId="2">#REF!</definedName>
    <definedName name="kk">#REF!</definedName>
    <definedName name="l" localSheetId="2">#REF!</definedName>
    <definedName name="l">#REF!</definedName>
    <definedName name="Limeni_7_9group">#REF!</definedName>
    <definedName name="mmm" hidden="1">[1]ZQZBC_PLN__04_03_10!#REF!</definedName>
    <definedName name="n" localSheetId="2">#REF!</definedName>
    <definedName name="n">#REF!</definedName>
    <definedName name="P_Dati_rikojums" localSheetId="2">#REF!</definedName>
    <definedName name="P_Dati_rikojums">#REF!</definedName>
    <definedName name="pp" localSheetId="2">#REF!</definedName>
    <definedName name="pp">#REF!</definedName>
    <definedName name="Recover">[3]Macro1!$A$80</definedName>
    <definedName name="Rikojums2222">[4]Macro1!$A$106</definedName>
    <definedName name="rr" localSheetId="2">#REF!</definedName>
    <definedName name="rr">#REF!</definedName>
    <definedName name="rt" localSheetId="2">#REF!</definedName>
    <definedName name="rt">#REF!</definedName>
    <definedName name="rty" localSheetId="2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[2]strukturkodi!$B$2:$B$232</definedName>
    <definedName name="Struktūrvien.kods" localSheetId="2">#REF!</definedName>
    <definedName name="Struktūrvien.kods">#REF!</definedName>
    <definedName name="Struktūrvien.kods_1">[2]strukturkodi!$A$2:$A$232</definedName>
    <definedName name="T13l6">[5]ATSKAITE_2v!#REF!</definedName>
    <definedName name="TableName">"Dummy"</definedName>
    <definedName name="TWO_LINKS">'[6]8.1.'!$C$5</definedName>
    <definedName name="ty" localSheetId="2">#REF!</definedName>
    <definedName name="ty">#REF!</definedName>
    <definedName name="tyuj" localSheetId="2">#REF!</definedName>
    <definedName name="tyuj">#REF!</definedName>
    <definedName name="u" localSheetId="2">#REF!</definedName>
    <definedName name="u">#REF!</definedName>
    <definedName name="U_N_A">#REF!</definedName>
    <definedName name="wedr">#REF!</definedName>
    <definedName name="WeekStart">#REF!</definedName>
    <definedName name="x">#REF!</definedName>
    <definedName name="XBD">[7]Dati!$B$6</definedName>
    <definedName name="XDD">[7]Dati!$B$4</definedName>
    <definedName name="XDS">[7]Dati!$B$5</definedName>
    <definedName name="XSVD">[7]Dati!$B$7</definedName>
    <definedName name="xxxx" localSheetId="2">#REF!</definedName>
    <definedName name="xxxx">#REF!</definedName>
    <definedName name="yuh" localSheetId="2">#REF!</definedName>
    <definedName name="yuh">#REF!</definedName>
    <definedName name="yyyy" localSheetId="2">#REF!</definedName>
    <definedName name="y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V53" i="12" l="1"/>
  <c r="G76" i="12"/>
  <c r="F73" i="12"/>
  <c r="AY36" i="12"/>
  <c r="BB36" i="12"/>
  <c r="BC53" i="12"/>
  <c r="F71" i="12"/>
  <c r="F76" i="12" s="1"/>
  <c r="F70" i="12"/>
  <c r="J26" i="13"/>
  <c r="J27" i="13"/>
  <c r="D6" i="14" l="1"/>
  <c r="F6" i="14"/>
  <c r="I6" i="14"/>
  <c r="J6" i="14"/>
  <c r="J16" i="14" s="1"/>
  <c r="K6" i="14"/>
  <c r="L6" i="14"/>
  <c r="M6" i="14"/>
  <c r="N6" i="14"/>
  <c r="N16" i="14" s="1"/>
  <c r="N18" i="14" s="1"/>
  <c r="O6" i="14"/>
  <c r="P6" i="14"/>
  <c r="R6" i="14"/>
  <c r="T6" i="14" s="1"/>
  <c r="S6" i="14"/>
  <c r="Q7" i="14"/>
  <c r="U7" i="14" s="1"/>
  <c r="T7" i="14"/>
  <c r="J9" i="14"/>
  <c r="Q9" i="14" s="1"/>
  <c r="U9" i="14" s="1"/>
  <c r="K9" i="14"/>
  <c r="K16" i="14" s="1"/>
  <c r="K18" i="14" s="1"/>
  <c r="L9" i="14"/>
  <c r="M9" i="14"/>
  <c r="N9" i="14"/>
  <c r="O9" i="14"/>
  <c r="O16" i="14" s="1"/>
  <c r="O18" i="14" s="1"/>
  <c r="P9" i="14"/>
  <c r="T9" i="14"/>
  <c r="Q10" i="14"/>
  <c r="T10" i="14"/>
  <c r="U10" i="14"/>
  <c r="D11" i="14"/>
  <c r="F11" i="14" s="1"/>
  <c r="K11" i="14"/>
  <c r="L11" i="14"/>
  <c r="M11" i="14"/>
  <c r="M16" i="14" s="1"/>
  <c r="M18" i="14" s="1"/>
  <c r="N11" i="14"/>
  <c r="O11" i="14"/>
  <c r="P11" i="14"/>
  <c r="Q12" i="14"/>
  <c r="R12" i="14"/>
  <c r="R11" i="14" s="1"/>
  <c r="S12" i="14"/>
  <c r="S11" i="14" s="1"/>
  <c r="S16" i="14" s="1"/>
  <c r="S18" i="14" s="1"/>
  <c r="S26" i="14" s="1"/>
  <c r="T12" i="14"/>
  <c r="U12" i="14" s="1"/>
  <c r="D13" i="14"/>
  <c r="F13" i="14"/>
  <c r="K13" i="14"/>
  <c r="Q13" i="14" s="1"/>
  <c r="U13" i="14" s="1"/>
  <c r="L13" i="14"/>
  <c r="M13" i="14"/>
  <c r="N13" i="14"/>
  <c r="O13" i="14"/>
  <c r="P13" i="14"/>
  <c r="R13" i="14"/>
  <c r="T13" i="14" s="1"/>
  <c r="S13" i="14"/>
  <c r="Q14" i="14"/>
  <c r="U14" i="14" s="1"/>
  <c r="T14" i="14"/>
  <c r="Q15" i="14"/>
  <c r="T15" i="14"/>
  <c r="U15" i="14"/>
  <c r="I16" i="14"/>
  <c r="L16" i="14"/>
  <c r="P16" i="14"/>
  <c r="Q17" i="14"/>
  <c r="T17" i="14"/>
  <c r="U17" i="14"/>
  <c r="I18" i="14"/>
  <c r="L18" i="14"/>
  <c r="P18" i="14"/>
  <c r="Q20" i="14"/>
  <c r="T20" i="14"/>
  <c r="U20" i="14"/>
  <c r="Q21" i="14"/>
  <c r="U21" i="14" s="1"/>
  <c r="T21" i="14"/>
  <c r="Q22" i="14"/>
  <c r="U22" i="14" s="1"/>
  <c r="T22" i="14"/>
  <c r="I23" i="14"/>
  <c r="J23" i="14"/>
  <c r="Q23" i="14" s="1"/>
  <c r="K23" i="14"/>
  <c r="L23" i="14"/>
  <c r="M23" i="14"/>
  <c r="N23" i="14"/>
  <c r="O23" i="14"/>
  <c r="P23" i="14"/>
  <c r="R23" i="14"/>
  <c r="T23" i="14" s="1"/>
  <c r="S23" i="14"/>
  <c r="Q16" i="14" l="1"/>
  <c r="J18" i="14"/>
  <c r="Q18" i="14" s="1"/>
  <c r="R16" i="14"/>
  <c r="R18" i="14" s="1"/>
  <c r="T18" i="14" s="1"/>
  <c r="T26" i="14" s="1"/>
  <c r="T11" i="14"/>
  <c r="T16" i="14" s="1"/>
  <c r="Q26" i="14"/>
  <c r="U23" i="14"/>
  <c r="Q6" i="14"/>
  <c r="U6" i="14" s="1"/>
  <c r="Q11" i="14"/>
  <c r="U11" i="14" s="1"/>
  <c r="U16" i="14" s="1"/>
  <c r="U18" i="14" l="1"/>
  <c r="U26" i="14"/>
  <c r="B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J6" i="13"/>
  <c r="J5" i="13"/>
  <c r="G74" i="12" l="1"/>
  <c r="H66" i="12"/>
  <c r="H67" i="12"/>
  <c r="AV36" i="12"/>
  <c r="AU53" i="12"/>
  <c r="AU36" i="12"/>
  <c r="H65" i="12"/>
  <c r="H64" i="12"/>
  <c r="H63" i="12"/>
  <c r="H62" i="12"/>
  <c r="H61" i="12"/>
  <c r="H60" i="12"/>
  <c r="H59" i="12"/>
  <c r="H58" i="12"/>
  <c r="H57" i="12"/>
  <c r="G67" i="12"/>
  <c r="F67" i="12"/>
  <c r="AY35" i="12"/>
  <c r="AY34" i="12"/>
  <c r="AQ53" i="12"/>
  <c r="AK53" i="12"/>
  <c r="AG53" i="12"/>
  <c r="AC53" i="12"/>
  <c r="Y53" i="12"/>
  <c r="T53" i="12"/>
  <c r="Q53" i="12"/>
  <c r="L53" i="12"/>
  <c r="G53" i="12"/>
  <c r="AQ52" i="12"/>
  <c r="AZ34" i="12" l="1"/>
  <c r="AZ16" i="12" l="1"/>
  <c r="AZ18" i="12"/>
  <c r="AX16" i="12"/>
  <c r="AX14" i="12" s="1"/>
  <c r="AX18" i="12"/>
  <c r="AV7" i="12"/>
  <c r="AV8" i="12"/>
  <c r="AV9" i="12"/>
  <c r="AV34" i="12"/>
  <c r="BA34" i="12"/>
  <c r="BA35" i="12"/>
  <c r="BB35" i="12" s="1"/>
  <c r="AZ14" i="12" l="1"/>
  <c r="BA14" i="12" s="1"/>
  <c r="BB34" i="12"/>
  <c r="BC34" i="12" s="1"/>
  <c r="AY30" i="12"/>
  <c r="AY27" i="12"/>
  <c r="AS36" i="12" l="1"/>
  <c r="AB27" i="12"/>
  <c r="AC27" i="12" s="1"/>
  <c r="AB28" i="12"/>
  <c r="Y27" i="12"/>
  <c r="X25" i="12"/>
  <c r="S25" i="12"/>
  <c r="S24" i="12"/>
  <c r="S22" i="12"/>
  <c r="S27" i="12"/>
  <c r="S26" i="12"/>
  <c r="S23" i="12"/>
  <c r="S28" i="12"/>
  <c r="AB14" i="12"/>
  <c r="AB33" i="12"/>
  <c r="AB20" i="12"/>
  <c r="AC17" i="12"/>
  <c r="AB16" i="12"/>
  <c r="AB30" i="12"/>
  <c r="AB13" i="12"/>
  <c r="AB12" i="12"/>
  <c r="AB11" i="12"/>
  <c r="AB10" i="12"/>
  <c r="AB6" i="12"/>
  <c r="AB32" i="12"/>
  <c r="X18" i="12"/>
  <c r="X14" i="12"/>
  <c r="X13" i="12"/>
  <c r="X12" i="12"/>
  <c r="X11" i="12"/>
  <c r="X10" i="12"/>
  <c r="X6" i="12"/>
  <c r="Y16" i="12"/>
  <c r="X30" i="12"/>
  <c r="X21" i="12"/>
  <c r="X32" i="12"/>
  <c r="S32" i="12"/>
  <c r="S12" i="12"/>
  <c r="F30" i="12"/>
  <c r="AG28" i="12" l="1"/>
  <c r="AG23" i="12"/>
  <c r="AG24" i="12"/>
  <c r="AG25" i="12"/>
  <c r="AG26" i="12"/>
  <c r="AG27" i="12"/>
  <c r="AG22" i="12"/>
  <c r="AF33" i="12"/>
  <c r="AG33" i="12" s="1"/>
  <c r="AG15" i="12"/>
  <c r="AF14" i="12"/>
  <c r="AF11" i="12"/>
  <c r="AF21" i="12"/>
  <c r="AG21" i="12" s="1"/>
  <c r="AF20" i="12"/>
  <c r="AG20" i="12" s="1"/>
  <c r="AF18" i="12"/>
  <c r="AG18" i="12" s="1"/>
  <c r="AG17" i="12"/>
  <c r="AF19" i="12"/>
  <c r="AG19" i="12" s="1"/>
  <c r="AG16" i="12"/>
  <c r="AF30" i="12"/>
  <c r="AG13" i="12"/>
  <c r="AF12" i="12"/>
  <c r="AG10" i="12"/>
  <c r="AG6" i="12"/>
  <c r="AG11" i="12" l="1"/>
  <c r="AG38" i="12" s="1"/>
  <c r="AF39" i="12"/>
  <c r="AF38" i="12"/>
  <c r="AF43" i="12" s="1"/>
  <c r="AF42" i="12"/>
  <c r="AG14" i="12"/>
  <c r="AG42" i="12" s="1"/>
  <c r="AG29" i="12"/>
  <c r="AG31" i="12"/>
  <c r="AG32" i="12"/>
  <c r="AG30" i="12"/>
  <c r="AG12" i="12"/>
  <c r="AG43" i="12" l="1"/>
  <c r="AG39" i="12"/>
  <c r="AG44" i="12"/>
  <c r="AF44" i="12"/>
  <c r="AG36" i="12"/>
  <c r="AU27" i="12" l="1"/>
  <c r="AU28" i="12"/>
  <c r="AU23" i="12"/>
  <c r="AU24" i="12"/>
  <c r="AU25" i="12"/>
  <c r="AU26" i="12"/>
  <c r="AU22" i="12"/>
  <c r="AU33" i="12"/>
  <c r="AU15" i="12"/>
  <c r="AU14" i="12"/>
  <c r="AT11" i="12"/>
  <c r="AT29" i="12"/>
  <c r="AU35" i="12"/>
  <c r="AT20" i="12"/>
  <c r="AU20" i="12" s="1"/>
  <c r="AU18" i="12"/>
  <c r="AU19" i="12"/>
  <c r="AU16" i="12"/>
  <c r="AT30" i="12"/>
  <c r="AU30" i="12" s="1"/>
  <c r="AU13" i="12"/>
  <c r="AT12" i="12"/>
  <c r="AU12" i="12" s="1"/>
  <c r="AU10" i="12"/>
  <c r="AU6" i="12"/>
  <c r="AU29" i="12"/>
  <c r="AT31" i="12"/>
  <c r="AU31" i="12" s="1"/>
  <c r="AU32" i="12"/>
  <c r="AU11" i="12" l="1"/>
  <c r="AT36" i="12"/>
  <c r="AB29" i="12"/>
  <c r="AB31" i="12"/>
  <c r="AP29" i="12"/>
  <c r="AQ29" i="12" s="1"/>
  <c r="AP31" i="12"/>
  <c r="AP30" i="12"/>
  <c r="AQ32" i="12"/>
  <c r="AP12" i="12"/>
  <c r="AJ32" i="12" l="1"/>
  <c r="AQ25" i="12" l="1"/>
  <c r="AQ24" i="12"/>
  <c r="AQ22" i="12"/>
  <c r="AQ27" i="12"/>
  <c r="AQ26" i="12"/>
  <c r="AQ23" i="12"/>
  <c r="AQ28" i="12"/>
  <c r="AQ33" i="12"/>
  <c r="AQ15" i="12"/>
  <c r="AQ14" i="12"/>
  <c r="AP11" i="12"/>
  <c r="AQ11" i="12" s="1"/>
  <c r="AQ35" i="12"/>
  <c r="AV35" i="12" s="1"/>
  <c r="BC35" i="12" s="1"/>
  <c r="AZ33" i="12"/>
  <c r="AK33" i="12"/>
  <c r="AC33" i="12"/>
  <c r="X33" i="12"/>
  <c r="Y33" i="12" s="1"/>
  <c r="T33" i="12"/>
  <c r="Q33" i="12"/>
  <c r="J33" i="12"/>
  <c r="I33" i="12"/>
  <c r="G33" i="12"/>
  <c r="AQ20" i="12"/>
  <c r="AQ18" i="12"/>
  <c r="AQ17" i="12"/>
  <c r="AQ19" i="12"/>
  <c r="AQ16" i="12"/>
  <c r="AQ30" i="12"/>
  <c r="AQ13" i="12"/>
  <c r="AQ12" i="12"/>
  <c r="AQ10" i="12"/>
  <c r="AQ6" i="12"/>
  <c r="AQ31" i="12"/>
  <c r="AN36" i="12"/>
  <c r="AO36" i="12"/>
  <c r="L33" i="12" l="1"/>
  <c r="AV33" i="12" s="1"/>
  <c r="AY33" i="12"/>
  <c r="BA33" i="12" l="1"/>
  <c r="BB33" i="12"/>
  <c r="BC33" i="12" s="1"/>
  <c r="S15" i="12"/>
  <c r="S14" i="12"/>
  <c r="S18" i="12"/>
  <c r="S17" i="12"/>
  <c r="S19" i="12"/>
  <c r="S13" i="12"/>
  <c r="S11" i="12"/>
  <c r="S10" i="12"/>
  <c r="S6" i="12"/>
  <c r="X29" i="12" l="1"/>
  <c r="X31" i="12"/>
  <c r="Y30" i="12"/>
  <c r="S29" i="12"/>
  <c r="S31" i="12"/>
  <c r="S30" i="12"/>
  <c r="P29" i="12"/>
  <c r="P30" i="12"/>
  <c r="K29" i="12"/>
  <c r="K30" i="12"/>
  <c r="F29" i="12"/>
  <c r="AK25" i="12"/>
  <c r="AK24" i="12"/>
  <c r="AK22" i="12"/>
  <c r="AK27" i="12" l="1"/>
  <c r="AK26" i="12" l="1"/>
  <c r="AK23" i="12"/>
  <c r="AK28" i="12"/>
  <c r="AK15" i="12"/>
  <c r="AK14" i="12"/>
  <c r="AJ11" i="12"/>
  <c r="AJ29" i="12" l="1"/>
  <c r="AK29" i="12" s="1"/>
  <c r="AK20" i="12"/>
  <c r="AK18" i="12"/>
  <c r="AK17" i="12"/>
  <c r="AK19" i="12"/>
  <c r="AK16" i="12"/>
  <c r="AJ30" i="12"/>
  <c r="AK30" i="12" s="1"/>
  <c r="AK13" i="12"/>
  <c r="AJ12" i="12"/>
  <c r="AK12" i="12" s="1"/>
  <c r="AK11" i="12"/>
  <c r="AK10" i="12"/>
  <c r="AK6" i="12"/>
  <c r="AK31" i="12"/>
  <c r="AK32" i="12"/>
  <c r="AJ42" i="12"/>
  <c r="AJ36" i="12" l="1"/>
  <c r="AJ38" i="12"/>
  <c r="AJ43" i="12" s="1"/>
  <c r="AJ44" i="12" s="1"/>
  <c r="AJ39" i="12"/>
  <c r="AP45" i="12" l="1"/>
  <c r="AR45" i="12"/>
  <c r="P14" i="12" l="1"/>
  <c r="AL44" i="12" l="1"/>
  <c r="AQ45" i="12" l="1"/>
  <c r="AX45" i="12" l="1"/>
  <c r="AY45" i="12" l="1"/>
  <c r="AZ45" i="12" l="1"/>
  <c r="BA45" i="12"/>
  <c r="D36" i="12" l="1"/>
  <c r="M36" i="12"/>
  <c r="N36" i="12"/>
  <c r="O36" i="12"/>
  <c r="E36" i="12"/>
  <c r="U36" i="12"/>
  <c r="AL36" i="12"/>
  <c r="V36" i="12"/>
  <c r="N4" i="12"/>
  <c r="M4" i="12" s="1"/>
  <c r="AY22" i="12" l="1"/>
  <c r="AZ22" i="12"/>
  <c r="AY7" i="12"/>
  <c r="AZ7" i="12"/>
  <c r="AY25" i="12"/>
  <c r="AZ25" i="12"/>
  <c r="AY21" i="12"/>
  <c r="AZ21" i="12"/>
  <c r="AY28" i="12"/>
  <c r="AZ28" i="12"/>
  <c r="AY24" i="12"/>
  <c r="AZ24" i="12"/>
  <c r="AY20" i="12"/>
  <c r="AZ20" i="12"/>
  <c r="AY9" i="12"/>
  <c r="AZ9" i="12"/>
  <c r="AZ30" i="12"/>
  <c r="BA30" i="12" s="1"/>
  <c r="BB30" i="12" s="1"/>
  <c r="AY26" i="12"/>
  <c r="AZ26" i="12"/>
  <c r="AY29" i="12"/>
  <c r="AZ29" i="12"/>
  <c r="AY31" i="12"/>
  <c r="AZ31" i="12"/>
  <c r="BA27" i="12"/>
  <c r="BB27" i="12" s="1"/>
  <c r="AZ27" i="12"/>
  <c r="AY23" i="12"/>
  <c r="AZ23" i="12"/>
  <c r="AY8" i="12"/>
  <c r="AZ8" i="12"/>
  <c r="L22" i="12"/>
  <c r="K15" i="12"/>
  <c r="K16" i="12"/>
  <c r="K17" i="12"/>
  <c r="K18" i="12"/>
  <c r="BA20" i="12" l="1"/>
  <c r="BB20" i="12" s="1"/>
  <c r="BA25" i="12"/>
  <c r="BB25" i="12"/>
  <c r="BA9" i="12"/>
  <c r="BB9" i="12"/>
  <c r="BC9" i="12" s="1"/>
  <c r="BA31" i="12"/>
  <c r="BB31" i="12"/>
  <c r="BA8" i="12"/>
  <c r="BB8" i="12" s="1"/>
  <c r="BC8" i="12" s="1"/>
  <c r="BA29" i="12"/>
  <c r="BB29" i="12"/>
  <c r="BA21" i="12"/>
  <c r="BB21" i="12"/>
  <c r="BA24" i="12"/>
  <c r="BB24" i="12"/>
  <c r="BA23" i="12"/>
  <c r="BB23" i="12" s="1"/>
  <c r="BA26" i="12"/>
  <c r="BB26" i="12" s="1"/>
  <c r="BA28" i="12"/>
  <c r="BB28" i="12"/>
  <c r="BA22" i="12"/>
  <c r="BB22" i="12"/>
  <c r="BA7" i="12"/>
  <c r="BB7" i="12" s="1"/>
  <c r="BC7" i="12" s="1"/>
  <c r="AC29" i="12"/>
  <c r="J12" i="12" l="1"/>
  <c r="I12" i="12"/>
  <c r="W36" i="12"/>
  <c r="Z36" i="12"/>
  <c r="AA36" i="12"/>
  <c r="K12" i="12" l="1"/>
  <c r="AY15" i="12"/>
  <c r="AY17" i="12"/>
  <c r="BA17" i="12" l="1"/>
  <c r="BB17" i="12" s="1"/>
  <c r="BA15" i="12"/>
  <c r="BB15" i="12"/>
  <c r="AH42" i="12"/>
  <c r="AH38" i="12"/>
  <c r="AH43" i="12" s="1"/>
  <c r="AH39" i="12"/>
  <c r="AY16" i="12"/>
  <c r="AK21" i="12"/>
  <c r="AH36" i="12"/>
  <c r="BA16" i="12" l="1"/>
  <c r="BB16" i="12"/>
  <c r="AQ42" i="12"/>
  <c r="AP42" i="12"/>
  <c r="AQ38" i="12"/>
  <c r="AP38" i="12"/>
  <c r="AP43" i="12" s="1"/>
  <c r="AK39" i="12"/>
  <c r="AK36" i="12"/>
  <c r="AH44" i="12"/>
  <c r="AK42" i="12"/>
  <c r="AK38" i="12"/>
  <c r="AP39" i="12"/>
  <c r="AP36" i="12"/>
  <c r="AC31" i="12"/>
  <c r="AC32" i="12"/>
  <c r="AC30" i="12"/>
  <c r="AC12" i="12"/>
  <c r="AC25" i="12"/>
  <c r="AC24" i="12"/>
  <c r="AC23" i="12"/>
  <c r="AC22" i="12"/>
  <c r="AC26" i="12"/>
  <c r="AC28" i="12"/>
  <c r="AC15" i="12"/>
  <c r="AB18" i="12"/>
  <c r="AC18" i="12" s="1"/>
  <c r="AC19" i="12"/>
  <c r="AC16" i="12"/>
  <c r="AB21" i="12"/>
  <c r="AC21" i="12" s="1"/>
  <c r="AC20" i="12"/>
  <c r="AC13" i="12"/>
  <c r="AC11" i="12"/>
  <c r="Y29" i="12"/>
  <c r="Y31" i="12"/>
  <c r="Y32" i="12"/>
  <c r="Y25" i="12"/>
  <c r="Y24" i="12"/>
  <c r="Y22" i="12"/>
  <c r="Y26" i="12"/>
  <c r="Y23" i="12"/>
  <c r="Y28" i="12"/>
  <c r="Y15" i="12"/>
  <c r="Y17" i="12"/>
  <c r="Y19" i="12"/>
  <c r="X20" i="12"/>
  <c r="AQ43" i="12" l="1"/>
  <c r="AK43" i="12"/>
  <c r="AK44" i="12" s="1"/>
  <c r="X42" i="12"/>
  <c r="X39" i="12"/>
  <c r="X38" i="12"/>
  <c r="X43" i="12" s="1"/>
  <c r="AY19" i="12"/>
  <c r="AQ39" i="12"/>
  <c r="AQ36" i="12"/>
  <c r="AQ48" i="12" s="1"/>
  <c r="AC14" i="12"/>
  <c r="AC42" i="12" s="1"/>
  <c r="AB42" i="12"/>
  <c r="AC10" i="12"/>
  <c r="AC39" i="12" s="1"/>
  <c r="AB39" i="12"/>
  <c r="AB38" i="12"/>
  <c r="AB43" i="12" s="1"/>
  <c r="AP44" i="12"/>
  <c r="AQ44" i="12"/>
  <c r="Y12" i="12"/>
  <c r="Y10" i="12"/>
  <c r="Y6" i="12"/>
  <c r="Y20" i="12"/>
  <c r="Y14" i="12"/>
  <c r="Y13" i="12"/>
  <c r="Y11" i="12"/>
  <c r="Y21" i="12"/>
  <c r="Y18" i="12"/>
  <c r="AB36" i="12"/>
  <c r="X36" i="12"/>
  <c r="AC6" i="12"/>
  <c r="BA19" i="12" l="1"/>
  <c r="BB19" i="12" s="1"/>
  <c r="Y39" i="12"/>
  <c r="AR38" i="12"/>
  <c r="AR43" i="12" s="1"/>
  <c r="X44" i="12"/>
  <c r="Y38" i="12"/>
  <c r="Y42" i="12"/>
  <c r="AB44" i="12"/>
  <c r="AU42" i="12"/>
  <c r="AR42" i="12"/>
  <c r="AR39" i="12"/>
  <c r="AC36" i="12"/>
  <c r="AC38" i="12"/>
  <c r="Y36" i="12"/>
  <c r="AR36" i="12"/>
  <c r="Y43" i="12" l="1"/>
  <c r="AC43" i="12"/>
  <c r="Y44" i="12"/>
  <c r="AU39" i="12"/>
  <c r="AC44" i="12"/>
  <c r="AR44" i="12"/>
  <c r="AU38" i="12"/>
  <c r="J14" i="12"/>
  <c r="I14" i="12"/>
  <c r="J13" i="12"/>
  <c r="I13" i="12"/>
  <c r="J11" i="12"/>
  <c r="I11" i="12"/>
  <c r="J10" i="12"/>
  <c r="I10" i="12"/>
  <c r="AU43" i="12" l="1"/>
  <c r="AU44" i="12" s="1"/>
  <c r="K14" i="12"/>
  <c r="K42" i="12" s="1"/>
  <c r="K13" i="12"/>
  <c r="L11" i="12"/>
  <c r="K11" i="12"/>
  <c r="L10" i="12"/>
  <c r="K10" i="12"/>
  <c r="J6" i="12"/>
  <c r="I6" i="12"/>
  <c r="F14" i="12"/>
  <c r="F42" i="12" s="1"/>
  <c r="K39" i="12" l="1"/>
  <c r="L6" i="12"/>
  <c r="K6" i="12"/>
  <c r="K36" i="12" s="1"/>
  <c r="F13" i="12"/>
  <c r="F12" i="12"/>
  <c r="F11" i="12"/>
  <c r="F10" i="12"/>
  <c r="F6" i="12"/>
  <c r="P18" i="12"/>
  <c r="P42" i="12" s="1"/>
  <c r="P13" i="12"/>
  <c r="P12" i="12"/>
  <c r="P11" i="12"/>
  <c r="P10" i="12"/>
  <c r="P6" i="12"/>
  <c r="AX38" i="12" l="1"/>
  <c r="AX43" i="12" s="1"/>
  <c r="F38" i="12"/>
  <c r="F43" i="12" s="1"/>
  <c r="F44" i="12" s="1"/>
  <c r="K38" i="12"/>
  <c r="K43" i="12" s="1"/>
  <c r="K44" i="12" s="1"/>
  <c r="AY10" i="12"/>
  <c r="P39" i="12"/>
  <c r="F39" i="12"/>
  <c r="P38" i="12"/>
  <c r="P43" i="12" s="1"/>
  <c r="AX42" i="12"/>
  <c r="AY11" i="12"/>
  <c r="AZ11" i="12"/>
  <c r="AY18" i="12"/>
  <c r="AY12" i="12"/>
  <c r="AZ12" i="12"/>
  <c r="AY13" i="12"/>
  <c r="AZ13" i="12"/>
  <c r="AZ10" i="12"/>
  <c r="AX39" i="12"/>
  <c r="AY14" i="12"/>
  <c r="F36" i="12"/>
  <c r="BA11" i="12" l="1"/>
  <c r="BB11" i="12" s="1"/>
  <c r="BA13" i="12"/>
  <c r="BB13" i="12"/>
  <c r="BA12" i="12"/>
  <c r="BB12" i="12" s="1"/>
  <c r="BA10" i="12"/>
  <c r="BA39" i="12" s="1"/>
  <c r="BB10" i="12"/>
  <c r="BA18" i="12"/>
  <c r="BB18" i="12" s="1"/>
  <c r="AY42" i="12"/>
  <c r="P44" i="12"/>
  <c r="AZ39" i="12"/>
  <c r="AZ6" i="12"/>
  <c r="AZ38" i="12" s="1"/>
  <c r="AZ43" i="12" s="1"/>
  <c r="AY6" i="12"/>
  <c r="AZ42" i="12"/>
  <c r="BB14" i="12"/>
  <c r="AX44" i="12"/>
  <c r="AY39" i="12"/>
  <c r="T31" i="12"/>
  <c r="AV31" i="12" s="1"/>
  <c r="BC31" i="12" s="1"/>
  <c r="T12" i="12"/>
  <c r="T32" i="12"/>
  <c r="T30" i="12"/>
  <c r="T29" i="12"/>
  <c r="T28" i="12"/>
  <c r="T23" i="12"/>
  <c r="T26" i="12"/>
  <c r="T27" i="12"/>
  <c r="T22" i="12"/>
  <c r="T24" i="12"/>
  <c r="T25" i="12"/>
  <c r="T13" i="12"/>
  <c r="T21" i="12"/>
  <c r="AV21" i="12" s="1"/>
  <c r="BC21" i="12" s="1"/>
  <c r="S20" i="12"/>
  <c r="T20" i="12" s="1"/>
  <c r="AV20" i="12" s="1"/>
  <c r="BC20" i="12" s="1"/>
  <c r="T15" i="12"/>
  <c r="T18" i="12"/>
  <c r="T17" i="12"/>
  <c r="T19" i="12"/>
  <c r="T11" i="12"/>
  <c r="BA6" i="12" l="1"/>
  <c r="BA38" i="12" s="1"/>
  <c r="BA43" i="12" s="1"/>
  <c r="BA42" i="12"/>
  <c r="S38" i="12"/>
  <c r="S43" i="12" s="1"/>
  <c r="AY38" i="12"/>
  <c r="AY43" i="12" s="1"/>
  <c r="AY44" i="12" s="1"/>
  <c r="T14" i="12"/>
  <c r="T42" i="12" s="1"/>
  <c r="S42" i="12"/>
  <c r="T10" i="12"/>
  <c r="T39" i="12" s="1"/>
  <c r="S39" i="12"/>
  <c r="AZ44" i="12"/>
  <c r="T6" i="12"/>
  <c r="S36" i="12"/>
  <c r="BA44" i="12" l="1"/>
  <c r="BB6" i="12"/>
  <c r="S44" i="12"/>
  <c r="T36" i="12"/>
  <c r="T38" i="12"/>
  <c r="Q12" i="12"/>
  <c r="J36" i="12"/>
  <c r="P32" i="12"/>
  <c r="P36" i="12" s="1"/>
  <c r="Q29" i="12"/>
  <c r="Q22" i="12"/>
  <c r="Q23" i="12"/>
  <c r="Q24" i="12"/>
  <c r="Q25" i="12"/>
  <c r="Q26" i="12"/>
  <c r="Q27" i="12"/>
  <c r="Q28" i="12"/>
  <c r="Q30" i="12"/>
  <c r="Q19" i="12"/>
  <c r="AV19" i="12" s="1"/>
  <c r="BC19" i="12" s="1"/>
  <c r="Q16" i="12"/>
  <c r="Q17" i="12"/>
  <c r="Q18" i="12"/>
  <c r="Q14" i="12"/>
  <c r="Q15" i="12"/>
  <c r="Q13" i="12"/>
  <c r="Q11" i="12"/>
  <c r="Q10" i="12"/>
  <c r="Q6" i="12"/>
  <c r="T43" i="12" l="1"/>
  <c r="T44" i="12" s="1"/>
  <c r="Q38" i="12"/>
  <c r="Q39" i="12"/>
  <c r="Q42" i="12"/>
  <c r="AZ32" i="12"/>
  <c r="AZ36" i="12" s="1"/>
  <c r="Q32" i="12"/>
  <c r="Q36" i="12" s="1"/>
  <c r="Q43" i="12" l="1"/>
  <c r="Q44" i="12"/>
  <c r="AY32" i="12"/>
  <c r="AX36" i="12"/>
  <c r="L32" i="12"/>
  <c r="AV32" i="12" s="1"/>
  <c r="L29" i="12"/>
  <c r="L30" i="12"/>
  <c r="L23" i="12"/>
  <c r="L24" i="12"/>
  <c r="L25" i="12"/>
  <c r="L26" i="12"/>
  <c r="L27" i="12"/>
  <c r="L28" i="12"/>
  <c r="L17" i="12"/>
  <c r="AV17" i="12" s="1"/>
  <c r="BC17" i="12" s="1"/>
  <c r="L16" i="12"/>
  <c r="L18" i="12"/>
  <c r="L14" i="12"/>
  <c r="L15" i="12"/>
  <c r="I36" i="12"/>
  <c r="L42" i="12" l="1"/>
  <c r="BA32" i="12"/>
  <c r="BA36" i="12" s="1"/>
  <c r="BA48" i="12" s="1"/>
  <c r="BI43" i="12" s="1"/>
  <c r="L12" i="12"/>
  <c r="L39" i="12" s="1"/>
  <c r="L13" i="12"/>
  <c r="AY48" i="12" l="1"/>
  <c r="BB32" i="12"/>
  <c r="L38" i="12"/>
  <c r="L36" i="12"/>
  <c r="G30" i="12"/>
  <c r="AV30" i="12" s="1"/>
  <c r="BC30" i="12" s="1"/>
  <c r="G29" i="12"/>
  <c r="AV29" i="12" s="1"/>
  <c r="BC29" i="12" s="1"/>
  <c r="G23" i="12"/>
  <c r="AV23" i="12" s="1"/>
  <c r="BC23" i="12" s="1"/>
  <c r="G24" i="12"/>
  <c r="AV24" i="12" s="1"/>
  <c r="BC24" i="12" s="1"/>
  <c r="G25" i="12"/>
  <c r="AV25" i="12" s="1"/>
  <c r="BC25" i="12" s="1"/>
  <c r="G26" i="12"/>
  <c r="AV26" i="12" s="1"/>
  <c r="BC26" i="12" s="1"/>
  <c r="G27" i="12"/>
  <c r="AV27" i="12" s="1"/>
  <c r="BC27" i="12" s="1"/>
  <c r="G28" i="12"/>
  <c r="AV28" i="12" s="1"/>
  <c r="BC28" i="12" s="1"/>
  <c r="G22" i="12"/>
  <c r="AV22" i="12" s="1"/>
  <c r="BC22" i="12" s="1"/>
  <c r="G14" i="12"/>
  <c r="AV14" i="12" s="1"/>
  <c r="BC14" i="12" s="1"/>
  <c r="G18" i="12"/>
  <c r="AV18" i="12" s="1"/>
  <c r="BC18" i="12" s="1"/>
  <c r="G16" i="12"/>
  <c r="AV16" i="12" s="1"/>
  <c r="BC16" i="12" s="1"/>
  <c r="G15" i="12"/>
  <c r="AV15" i="12" s="1"/>
  <c r="BC15" i="12" s="1"/>
  <c r="G13" i="12"/>
  <c r="AV13" i="12" s="1"/>
  <c r="BC13" i="12" s="1"/>
  <c r="G12" i="12"/>
  <c r="AV12" i="12" s="1"/>
  <c r="BC12" i="12" s="1"/>
  <c r="G11" i="12"/>
  <c r="AV11" i="12" s="1"/>
  <c r="BC11" i="12" s="1"/>
  <c r="G10" i="12"/>
  <c r="AV10" i="12" s="1"/>
  <c r="BC10" i="12" s="1"/>
  <c r="G6" i="12"/>
  <c r="AV6" i="12" s="1"/>
  <c r="BC6" i="12" l="1"/>
  <c r="L43" i="12"/>
  <c r="L44" i="12" s="1"/>
  <c r="BC32" i="12"/>
  <c r="G42" i="12"/>
  <c r="G38" i="12"/>
  <c r="G36" i="12"/>
  <c r="G39" i="12"/>
  <c r="G43" i="12" l="1"/>
  <c r="BC36" i="12"/>
  <c r="BC37" i="12" s="1"/>
  <c r="G44" i="12"/>
  <c r="AU45" i="12" l="1"/>
  <c r="AU48" i="12" s="1"/>
  <c r="BI38" i="12" l="1"/>
  <c r="BJ38" i="12" s="1"/>
  <c r="BA50" i="12" l="1"/>
  <c r="BC50" i="12" s="1"/>
  <c r="BC48" i="12"/>
</calcChain>
</file>

<file path=xl/sharedStrings.xml><?xml version="1.0" encoding="utf-8"?>
<sst xmlns="http://schemas.openxmlformats.org/spreadsheetml/2006/main" count="290" uniqueCount="222">
  <si>
    <t>SARS-CoV-2 RNS (COVID-19) parauga paņemšana mājās</t>
  </si>
  <si>
    <t>SARS-CoV-2 (COVID-19) transporta barotne ar diviem lokaniem tamponiem</t>
  </si>
  <si>
    <t>47077R</t>
  </si>
  <si>
    <t>47064R</t>
  </si>
  <si>
    <t>47051R</t>
  </si>
  <si>
    <t xml:space="preserve">manipulācija 47259 aizvietota  ar 60162 </t>
  </si>
  <si>
    <t>SARS-CoV-2 RNS (COVID-19) noteikšana ar "pooling" metodi (10 paraugi) (bez parauga paņemšanas)</t>
  </si>
  <si>
    <t>SARS-CoV-2 RNS (COVID-19) noteikšana ar "pooling" metodi (5 paraugi) (bez parauga paņemšanas)</t>
  </si>
  <si>
    <t>47076R</t>
  </si>
  <si>
    <t>SARS-CoV-2 RNS (COVID-19) noteikšana ar reālā laika PĶR (bez parauga paņemšanas) ātrai diagnostikai un diferenciāldiagnostikai (bez reaģenta vērtības)</t>
  </si>
  <si>
    <t>Manipulāciju skaits 2020.gada decembrī dienā</t>
  </si>
  <si>
    <t>Manipulāciju skaits 2020.gada martā dienā (proporcija 67/33%)</t>
  </si>
  <si>
    <t>Manipulāciju skaits 2020.gada martā dienā (proporcija 54/46%)</t>
  </si>
  <si>
    <t>Nepieciešamais finansējums testu skaitam 2021.gada janvāris un februāris pie 9036 analīzēm vidēji dienā (59 dienas) euro</t>
  </si>
  <si>
    <t>SARS-CoV-2 (COVID-19) antigēna noteikšana (Ag eksprestests) (bez reaģenta komplekta vērtības)</t>
  </si>
  <si>
    <t>Veikto manipulāciju skaits janvārī (fakts)</t>
  </si>
  <si>
    <t>SARS-CoV-2 RNS (COVID-19) noteikšana ar "pooling" metodi (3 paraugi) (bez parauga paņemšanas)</t>
  </si>
  <si>
    <t>Veikto manipulāciju skaits februārī (fakts)</t>
  </si>
  <si>
    <t>SARS-CoV-2 RNS (COVID-19) noteikšana ar "pooling" metodi (4 paraugi) (bez parauga paņemšanas)</t>
  </si>
  <si>
    <t>Ceļa izdevumi par 10 minūtēm SARS-CoV-2 (COVID-19) parauga paņemšanai pacienta dzīvesvietā</t>
  </si>
  <si>
    <t>SARS-CoV-2 RNS (COVID-19) noteikšana ar "pooling" metodi (2 paraugi) (bez parauga paņemšanas)</t>
  </si>
  <si>
    <t>SARS-CoV-2 vīrusa variantu skrīninga PĶR tests</t>
  </si>
  <si>
    <t>Tarifs</t>
  </si>
  <si>
    <t>SKRĪNINGS kopā</t>
  </si>
  <si>
    <t>Esošais SKRĪNINGS (siekalu testi) kopā</t>
  </si>
  <si>
    <t>Esošais SKRĪNINGS (nazofaringālais testi) kopā</t>
  </si>
  <si>
    <t>BEZ SAMAZINÄJUMA: Covid-19 izmeklējumu izmaksas, izņemot skrīningu</t>
  </si>
  <si>
    <t>B scenārijs: Covid-19 izmeklējumu izmaksas, izņemot skrīningu</t>
  </si>
  <si>
    <t>(Esošais SKRĪNINGS (nazofaringālais testi) kopā)</t>
  </si>
  <si>
    <t>Augusts</t>
  </si>
  <si>
    <t>Oktobris</t>
  </si>
  <si>
    <t>Septembris</t>
  </si>
  <si>
    <t>SARS-CoV-2 (COVID-19) ambulatora parauga(nazofaringāla uztriepe) paņemšana laboratorijā</t>
  </si>
  <si>
    <t>SARS-CoV-2 RNS (COVID-19) noteikšana ar reālā laika PĶR (bez parauga paņemšanas)</t>
  </si>
  <si>
    <t>SARS-CoV-2 RNS (COVID-19) apstiprināšana ar reālā laika PĶR (bez parauga paņemšanas)</t>
  </si>
  <si>
    <t>SARS-CoV-2 RNS (COVID-19) noteikšana ar reālā laika PĶR (bez parauga paņemšanas) ātrai diagnostikai un diferenciāldiagnostikai (ar reaģenta vērtību)</t>
  </si>
  <si>
    <t>SARS-CoV-2 (COVID-19) antigēna noteikšana (Ag eksprestests)</t>
  </si>
  <si>
    <t>Manipulācijas kods</t>
  </si>
  <si>
    <t>Manipulācijas nosaukums</t>
  </si>
  <si>
    <t>47405</t>
  </si>
  <si>
    <t>Siekalu parauga paņemšanas komplekts SARS-CoV-2 (COVID-19) izmeklējumam</t>
  </si>
  <si>
    <t>47407</t>
  </si>
  <si>
    <t>47047R</t>
  </si>
  <si>
    <t>47049R</t>
  </si>
  <si>
    <t>47046R</t>
  </si>
  <si>
    <t>Kopējo antivielu pret SARS-CoV-2 (COVID-19) noteikšana ar imūnfermentatīvo metodi (ELISA, CMIA, ECLIA, CLIA)</t>
  </si>
  <si>
    <t>IgM klases antivielu pret SARS-CoV-2 (COVID-19) noteikšana ar imūnfermentatīvo metodi (ELISA, CMIA, ECLIA, CLIA)</t>
  </si>
  <si>
    <t>Asins ņemšana ar slēgtu sistēmu vienā stobriņā antivielu pret SARS-CoV-2 (COVID-19) noteikšanai</t>
  </si>
  <si>
    <t>SARS-CoV-2 RNS (COVID-19) noteikšana ar reālā laika PĶR (bez parauga paņemšanas) ātrai diagnostikai un diferenciāldiagnostikai - izmeklējums ar  Multiplex reaģentiem</t>
  </si>
  <si>
    <t>IgG klases antivielu pret SARS-CoV-2 (COVID-19) noteikšana ar imūnfermentatīvo metodi (ELISA, CMIA, ECLIA, CLIA)</t>
  </si>
  <si>
    <t>IgG klases antivielu pret SARS-CoV-2 (COVID-19) kvantitatīva noteikšana ar imūnfermentatīvo metodi (ELISA, CMIA, ECLIA, CLIA)</t>
  </si>
  <si>
    <t>IgA klases antivielu pret SARS-CoV-2 (COVID-19) noteikšana ar imūnfermentatīvo metodi (ELISA, CMIA, ECLIA, CLIA)</t>
  </si>
  <si>
    <t>COVID-19 transporta barotne ar diviem lokaniem tamponiem ātrajam molekulārajam testam</t>
  </si>
  <si>
    <t>JANVĀRIS</t>
  </si>
  <si>
    <t>Faktiskās izmaksas par februārī veiktajām manipulācijām,euro</t>
  </si>
  <si>
    <t>Veikto manipulāciju skaits februārī (fakts) līdz 21.02.2021</t>
  </si>
  <si>
    <t>Veikto manipulāciju skaits februārī (fakts) no 22.02.2021</t>
  </si>
  <si>
    <t>FEBRUĀRIS</t>
  </si>
  <si>
    <t>Veikto manipulāciju skaits martā (fakts)</t>
  </si>
  <si>
    <t>MARTS</t>
  </si>
  <si>
    <t>Faktiskās izmaksas par aprīlī veiktajām manipulācijām,euro</t>
  </si>
  <si>
    <t>APRĪLIS</t>
  </si>
  <si>
    <t>Tarifs no 22.02.2021</t>
  </si>
  <si>
    <t>Tarifs no 01.04.2021</t>
  </si>
  <si>
    <t>Veikto manipulāciju skaits maijā (fakts)</t>
  </si>
  <si>
    <t>Faktiskās izmaksas par maijā veiktajām manipulācijām,euro</t>
  </si>
  <si>
    <t>Veikto manipulāciju skaits aprīlī (fakts)</t>
  </si>
  <si>
    <t>MAIJS</t>
  </si>
  <si>
    <t>Stacionārā veikto manipulāciju skaits līdz 1.aprīlim (fakts)</t>
  </si>
  <si>
    <t>JŪNIJS</t>
  </si>
  <si>
    <t>Stacionārā veikto manipulāciju skaits līdz 1.aprīlim (fakts), izrakstīšanas datums maijs</t>
  </si>
  <si>
    <t>Stacionārā veikto manipulāciju skaits no 1 aprīļa (fakts), izrakstīšanas datums maijs</t>
  </si>
  <si>
    <t>Veikto manipulāciju skaits jūnijā (fakts)</t>
  </si>
  <si>
    <t>Stacionārā veikto manipulāciju skaits no 1 aprīļa (fakts), izrakstīšanas datums jūnijs</t>
  </si>
  <si>
    <t>Veikto manipulāciju skaits jūlijā (fakts)</t>
  </si>
  <si>
    <t>JŪLIJS</t>
  </si>
  <si>
    <t>Faktiskās izmaksas par martā veiktajām manipulācijām, euro</t>
  </si>
  <si>
    <t>Faktiskās izmaksas par janvārī veiktajām manipulācijām, euro</t>
  </si>
  <si>
    <t>manipulācija 47259 aizvietota ar 6014 - ceļš par 10.min uz pacienta dzīvesvietu.</t>
  </si>
  <si>
    <t>Nepieciešamais finansējums testu skaitam no 2021.gada  septembra līdz decembrim (122 dienas) euro (testēšanas apjoms dienā sastāda 3 935)</t>
  </si>
  <si>
    <t xml:space="preserve">Nepieciešamais finansējums testu skaitam no 2021.gada maijs līdz augustam (123 dienas) euro (testēšanas apjoms dienā sastāda 5 903) </t>
  </si>
  <si>
    <t>Nepieciešamais finansējums testu skaitam no 2021.gada marts, aprīlis (61 dienas) euro (testēšanas apjoms dienā sastāda 11 806)</t>
  </si>
  <si>
    <t>Faktiskās izmaksas par jūnijā veiktajām manipulācijām, euro</t>
  </si>
  <si>
    <t>Veikto manipulāciju skaits oktobrī (indikatīvi)</t>
  </si>
  <si>
    <t>Veikto manipulāciju skaits novembrī (indikatīvi)</t>
  </si>
  <si>
    <t>Veikto manipulāciju skaits decembrī (indikatīvi)</t>
  </si>
  <si>
    <t>Izmaksas par veiktajām manipulācijām augustā, euro</t>
  </si>
  <si>
    <t>Izmaksas par veiktajām manipulācijām septembrī, euro</t>
  </si>
  <si>
    <t>Izmaksas par veiktajām manipulācijām oktobrī, euro</t>
  </si>
  <si>
    <t>Izmaksas par veiktajām manipulācijām novembrī, euro</t>
  </si>
  <si>
    <t>Izmaksas par veiktajām manipulācijām decembrī, euro</t>
  </si>
  <si>
    <t>Pieejamais finansējums līdz gada beigām</t>
  </si>
  <si>
    <t>Resoru prognoze par nepieciešamo skrīningu (prioritates)</t>
  </si>
  <si>
    <t>Avanss prioritārajām grupām ar poolo pa 10 (septembris, oktobris, novembris)</t>
  </si>
  <si>
    <t>A VARIANTS</t>
  </si>
  <si>
    <t>Noņemam nost rezervēto atlikumu, sanāk, ka papildus vajag klāt 2021. gadam</t>
  </si>
  <si>
    <t>Pavisam kopā 2021. gada testēšanai nepieciešami</t>
  </si>
  <si>
    <t>Pavisam kopā 2021. gada testēšanai nepieciešami A variantam</t>
  </si>
  <si>
    <t>2022.gadam papildus nepieciešams par decembri A variants</t>
  </si>
  <si>
    <t>Tarifs no 01.09.2021</t>
  </si>
  <si>
    <t>Stacionārā veikto manipulāciju skaits no 1 aprīļa (fakts)</t>
  </si>
  <si>
    <t>Veikto manipulāciju skaits augustā (fakts)</t>
  </si>
  <si>
    <t>Veikto manipulāciju skaits septembrī (fakts)</t>
  </si>
  <si>
    <t>Siekalu parauga paņemšana un testēšana ar uztriepes kociņu vai "Lollipop" metodi</t>
  </si>
  <si>
    <t>Tarifs no 22.11.2021</t>
  </si>
  <si>
    <t>Izmaksas janvāris - oktobris, EUR</t>
  </si>
  <si>
    <t>Jauna man</t>
  </si>
  <si>
    <t>SARS-CoV-2 (COVID-19) antigēna noteikšana (eksprestests)  skolu skrīningam (līdz 23.12.2021.)</t>
  </si>
  <si>
    <t>Izmaksas gadā (prognoze), EUR</t>
  </si>
  <si>
    <t>Novembris (prognoze)</t>
  </si>
  <si>
    <t>Decembris (prognoze)</t>
  </si>
  <si>
    <t>Izmaksas novembris - decembris (prognoze), EUR</t>
  </si>
  <si>
    <t>Reaģentu komplektu iegādes izdevumi SIA RAKUS  (saskaņā ar NVD/RAKUS LĪGUMA Nr. A3-2020/500 par medicīnas iekārtu iegādes izdevumu segšanu 2.3. punktu un MK 2020.gada 20.maija rīkojumu Nr.271 "Par finanšu līdzekļu piešķiršanu no valsts budžeta programmas "Līdzekļi neparedzētiem gadījumiem")</t>
  </si>
  <si>
    <t>APMAKSĀTS KOPĀ (bez reaģentu iegādes)</t>
  </si>
  <si>
    <t>Mēnesis</t>
  </si>
  <si>
    <t>FM rīkojums</t>
  </si>
  <si>
    <t>Janvāris</t>
  </si>
  <si>
    <t>Februāris</t>
  </si>
  <si>
    <t>Marts</t>
  </si>
  <si>
    <t>Aprīlis</t>
  </si>
  <si>
    <t>Maijs</t>
  </si>
  <si>
    <t>Jūnijs</t>
  </si>
  <si>
    <t>Jūlijs</t>
  </si>
  <si>
    <t>datums</t>
  </si>
  <si>
    <t>summa testēšana</t>
  </si>
  <si>
    <t>summa sekvenc</t>
  </si>
  <si>
    <t>starpība, kas iztrūkst oktobra mēnesī</t>
  </si>
  <si>
    <t>Faktiski izlietots pa mēnešiem (ar korekcijām)</t>
  </si>
  <si>
    <t>starpība, kas iztrūkst decembra mēnesī (norēķini 2022. gada janvārī)</t>
  </si>
  <si>
    <t>Iezīmēts ar MK rīkojumu Nr.100 (testēšana)</t>
  </si>
  <si>
    <t>Iezīmēts ar MK rīkojumu Nr.100 (sekvencēšana)</t>
  </si>
  <si>
    <t xml:space="preserve"> decembra mēnesī (norēķini 2022. gada janvārī)</t>
  </si>
  <si>
    <t>Iezīmēts protokollēmumā informatīvajam ziņojumam  "Priekšlikumi Covid-19 testēšanas politikas izmaiņām" novembra mēnesim</t>
  </si>
  <si>
    <t>Iezīmēts protokollēmumā informatīvajam ziņojumam  "Priekšlikumi Covid-19 testēšanas politikas izmaiņām" decembra mēnesim</t>
  </si>
  <si>
    <t>Iestāžu saraksts, kas pieteikušās SARS-CoV-2 vīrusa antigēna noteikšanas testu veikšanai ārstniecības iestāžu apmeklētājiem pirms ambulatoro pakalpojumu saņemšanas</t>
  </si>
  <si>
    <t>Ārstniecības iestāde</t>
  </si>
  <si>
    <t>Datums, kad saņemts pieteikums</t>
  </si>
  <si>
    <t xml:space="preserve">Datums no nodrošina antigēna testu </t>
  </si>
  <si>
    <t>Apmeklējumu skaits (1.XI - 15.XI)</t>
  </si>
  <si>
    <r>
      <t xml:space="preserve">viena antigēna testa vidējā izmaksa, </t>
    </r>
    <r>
      <rPr>
        <b/>
        <i/>
        <sz val="12"/>
        <color theme="1"/>
        <rFont val="Times New Roman"/>
        <family val="1"/>
        <charset val="186"/>
      </rPr>
      <t>euro</t>
    </r>
  </si>
  <si>
    <r>
      <t xml:space="preserve">Aprēķinātā  summa izmaksai, </t>
    </r>
    <r>
      <rPr>
        <b/>
        <i/>
        <sz val="12"/>
        <color theme="1"/>
        <rFont val="Times New Roman"/>
        <family val="1"/>
        <charset val="186"/>
      </rPr>
      <t xml:space="preserve"> euro</t>
    </r>
  </si>
  <si>
    <t>Teritoriālā nodaļa</t>
  </si>
  <si>
    <t xml:space="preserve"> Ārstniecības iestādes kods</t>
  </si>
  <si>
    <t xml:space="preserve"> Ārstniecības iestādes nosaukums</t>
  </si>
  <si>
    <t>Zobārstniecība</t>
  </si>
  <si>
    <t>pieaugušie</t>
  </si>
  <si>
    <t>bērni</t>
  </si>
  <si>
    <t>Kurzemes nodaļa</t>
  </si>
  <si>
    <t>Krūzmane Anda - ārsta prakse zobārstniecībā</t>
  </si>
  <si>
    <t>01.11.2021.</t>
  </si>
  <si>
    <t>ALGORITMS L, SIA</t>
  </si>
  <si>
    <t>HILTESTS, SIA</t>
  </si>
  <si>
    <t>"Talsu veselības centrs", SIA</t>
  </si>
  <si>
    <t>Kalvenes feldšeru vecmāšu punkts</t>
  </si>
  <si>
    <t>Klēvere Vija - ārsta prakse zobārstniecībā</t>
  </si>
  <si>
    <t>Rīgas nodaļa</t>
  </si>
  <si>
    <t>Čukurs Āris - ģimenes ārsta prakse</t>
  </si>
  <si>
    <t>29.10.2021</t>
  </si>
  <si>
    <t>Ārstniecības rehabilitācijas centrs Valeo""</t>
  </si>
  <si>
    <t>MCRA, Sabiedrība ar ierobežotu atbildību</t>
  </si>
  <si>
    <t xml:space="preserve"> "Medicīnas sabiedrība Gaiļezers",SIA</t>
  </si>
  <si>
    <t>MELLER, SIA</t>
  </si>
  <si>
    <t>28.10.2021</t>
  </si>
  <si>
    <t>01.11.2021</t>
  </si>
  <si>
    <t>LĀCES INESES ĀPZ SIA</t>
  </si>
  <si>
    <t>SIA”BF-ESSE”</t>
  </si>
  <si>
    <t>ComfortDent, SIA</t>
  </si>
  <si>
    <t>Vidzemes nodaļa</t>
  </si>
  <si>
    <t>CĒSU KLĪNIKA, Sabiedrība ar ierobežotu atbildību</t>
  </si>
  <si>
    <t>29.10.2021.</t>
  </si>
  <si>
    <t>SIA "Gremošanas slimību centrs "Gastro""</t>
  </si>
  <si>
    <t>SIA "Sanare - KRC Jaunķemeri"</t>
  </si>
  <si>
    <t>02.11.2021.</t>
  </si>
  <si>
    <t>Zemgales ndaļa</t>
  </si>
  <si>
    <t>Dialīzes centrs, SIA</t>
  </si>
  <si>
    <t>Asklepius - ārsta prakse, IK</t>
  </si>
  <si>
    <t>Stramkale Anita - ģimenes ārsta prakse</t>
  </si>
  <si>
    <t>Valsts sabiedrība ar ierobežotu atbildību "Piejūras slimnīca"</t>
  </si>
  <si>
    <t>AS "Veselības centru apvienība" poliklīnika Pļavnieki</t>
  </si>
  <si>
    <t>KOPĀ</t>
  </si>
  <si>
    <t>* Provizoriskās izmaksas, var būt precizējamās tikai pēc procesa uzsākšanas</t>
  </si>
  <si>
    <t>kopā</t>
  </si>
  <si>
    <t>Biomedicīnas laborants</t>
  </si>
  <si>
    <t>Molekulārais biologs, ieskaitot paraugu atlases speciālists</t>
  </si>
  <si>
    <t>Bioinformātikas speciālists (pilnā slodzē)</t>
  </si>
  <si>
    <t>Sekvencēšanas procesam nepieciešamais personāls</t>
  </si>
  <si>
    <t>KOPĀ - SEKVENCĒŠANA (Ar PVN)</t>
  </si>
  <si>
    <t>Korekcija - PVN 21% par ārpakalpojumu</t>
  </si>
  <si>
    <t>KOPĀ - SEKVENCĒŠANA (bez PVN)</t>
  </si>
  <si>
    <t>paraugu skaits</t>
  </si>
  <si>
    <t xml:space="preserve">Otrais etaps - SEKVENCĒŠANA*
ECDC sekvencēšanas nodrošināšanas ietvaros,
</t>
  </si>
  <si>
    <t>izmaksas</t>
  </si>
  <si>
    <t>Otrais etaps (sekvencēšana)*</t>
  </si>
  <si>
    <t>Pirmais etaps (RNS izdalīšana no primārā parauga)</t>
  </si>
  <si>
    <t>Ārpakalpojums (LBMC) -  RNS izdalīšana + sekvencēšana</t>
  </si>
  <si>
    <t>Vīrusu celmu sekvencēšana (NRL nodrošina sekvencēšanas pirmo etapu un slēdz līgumus, piemērām ar BMC otrajam etapam)</t>
  </si>
  <si>
    <t>Primārā parauga uzglabāšana (kriostobriņi paraugu uzglabāšanai)*</t>
  </si>
  <si>
    <t>iesniegts uz VM līdzekļu pieprasījumam no LNG</t>
  </si>
  <si>
    <t>FM 29.11.2021.
rīk.nr.765</t>
  </si>
  <si>
    <t>FM 26.10.2021.
rīk.nr.645</t>
  </si>
  <si>
    <t>FM 18.10.2021.rīk.nr.615 un FM 26.10.2021.rīk.nr.645</t>
  </si>
  <si>
    <t>Decembris</t>
  </si>
  <si>
    <t>Novembris</t>
  </si>
  <si>
    <t>Vienas vienības cena ar PVN</t>
  </si>
  <si>
    <t>Izmaksas kopā</t>
  </si>
  <si>
    <t>Vienību skaits
kopā</t>
  </si>
  <si>
    <t>Finansējuma pozīcija</t>
  </si>
  <si>
    <t>Izpilde -  kopā</t>
  </si>
  <si>
    <t xml:space="preserve">Izpildes prognoze </t>
  </si>
  <si>
    <t>Izpilde</t>
  </si>
  <si>
    <r>
      <t xml:space="preserve">Plāns - </t>
    </r>
    <r>
      <rPr>
        <sz val="14"/>
        <color theme="1"/>
        <rFont val="Times New Roman"/>
        <family val="1"/>
        <charset val="186"/>
      </rPr>
      <t>MK rīkojuma Nr.100 pielikums</t>
    </r>
  </si>
  <si>
    <t>Sekvencēšanas pakalpojumu izpilde 2021.gada 10 mēnešos un izpildes prognoze gadam</t>
  </si>
  <si>
    <t>Papildus nepieciešams 2022. gadā (norēķini par 2021. gada decembri)</t>
  </si>
  <si>
    <t>Papildus nepieciešams 2021. gadā</t>
  </si>
  <si>
    <t xml:space="preserve">5 264 338 </t>
  </si>
  <si>
    <t>"Informatīvais ziņojums “Par drošu veselības aprūpes pakalpojumu nodrošināšanu”" novembrim iezīmēts finansējums</t>
  </si>
  <si>
    <t>no 1.-15.11 veiktajiem antigēna testiem ambulatorās ārstniecības iestādēs</t>
  </si>
  <si>
    <t xml:space="preserve"> iezīmētais finansējums un starpība, kas iztrūkst novembra mēnesī (avanss)</t>
  </si>
  <si>
    <r>
      <rPr>
        <b/>
        <sz val="11"/>
        <rFont val="Times New Roman"/>
        <family val="1"/>
      </rPr>
      <t>B scenārijs:</t>
    </r>
    <r>
      <rPr>
        <sz val="11"/>
        <rFont val="Times New Roman"/>
        <family val="1"/>
      </rPr>
      <t xml:space="preserve">  Covid-19 saslimušie (% pret AUGUSTU)</t>
    </r>
  </si>
  <si>
    <t>pielikums Nr.1.1</t>
  </si>
  <si>
    <t>pielikums Nr.1.2</t>
  </si>
  <si>
    <t>pielikums Nr.1.3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</si>
</sst>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* #,##0.00_);_(* \(#,##0.00\);_(* &quot;-&quot;??_);_(@_)"/>
    <numFmt numFmtId="166" formatCode="_-* #,##0.00\ _€_-;\-* #,##0.00\ _€_-;_-* &quot;-&quot;??\ _€_-;_-@_-"/>
    <numFmt numFmtId="167" formatCode="[$-409]General"/>
    <numFmt numFmtId="168" formatCode="[$-426]General"/>
    <numFmt numFmtId="169" formatCode="#,##0.00000000000"/>
    <numFmt numFmtId="170" formatCode="#,##0.0"/>
    <numFmt numFmtId="171" formatCode="_-&quot;€&quot;* #,##0_-;\-&quot;€&quot;* #,##0_-;_-&quot;€&quot;* &quot;-&quot;??_-;_-@_-"/>
  </numFmts>
  <fonts count="5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Calibri"/>
      <family val="2"/>
      <charset val="186"/>
    </font>
    <font>
      <b/>
      <sz val="14"/>
      <color theme="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1"/>
      <color rgb="FFFF000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rgb="FF9C6500"/>
      <name val="Calibri"/>
      <family val="2"/>
      <charset val="186"/>
    </font>
    <font>
      <sz val="10"/>
      <color rgb="FF00000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theme="1"/>
      <name val="Arial"/>
      <family val="2"/>
      <charset val="186"/>
    </font>
    <font>
      <sz val="11"/>
      <color indexed="8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0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9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sz val="12"/>
      <color theme="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14"/>
      <color rgb="FFFF0000"/>
      <name val="Times New Roman"/>
      <family val="1"/>
    </font>
    <font>
      <b/>
      <sz val="14"/>
      <name val="Times New Roman"/>
      <family val="1"/>
    </font>
    <font>
      <sz val="11"/>
      <color theme="1"/>
      <name val="Times New Roman"/>
      <family val="1"/>
      <charset val="186"/>
    </font>
    <font>
      <sz val="9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"/>
      <charset val="186"/>
    </font>
    <font>
      <b/>
      <sz val="20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b/>
      <sz val="14"/>
      <color theme="1"/>
      <name val="TIMES"/>
      <charset val="186"/>
    </font>
    <font>
      <sz val="14"/>
      <color theme="1"/>
      <name val="Times New Roman"/>
      <family val="1"/>
      <charset val="186"/>
    </font>
    <font>
      <b/>
      <sz val="12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rgb="FFFFCC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19" fillId="18" borderId="0" applyBorder="0" applyProtection="0"/>
    <xf numFmtId="0" fontId="3" fillId="0" borderId="0"/>
    <xf numFmtId="0" fontId="20" fillId="0" borderId="0" applyNumberFormat="0" applyBorder="0" applyProtection="0"/>
    <xf numFmtId="0" fontId="20" fillId="0" borderId="0" applyNumberFormat="0" applyBorder="0" applyProtection="0"/>
    <xf numFmtId="0" fontId="3" fillId="0" borderId="0"/>
    <xf numFmtId="0" fontId="3" fillId="0" borderId="0"/>
    <xf numFmtId="0" fontId="21" fillId="0" borderId="0"/>
    <xf numFmtId="166" fontId="1" fillId="0" borderId="0" applyFont="0" applyFill="0" applyBorder="0" applyAlignment="0" applyProtection="0"/>
    <xf numFmtId="0" fontId="3" fillId="0" borderId="0"/>
    <xf numFmtId="0" fontId="3" fillId="0" borderId="0"/>
    <xf numFmtId="166" fontId="1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0" fontId="22" fillId="0" borderId="0"/>
    <xf numFmtId="0" fontId="1" fillId="0" borderId="0"/>
    <xf numFmtId="0" fontId="3" fillId="0" borderId="0"/>
    <xf numFmtId="0" fontId="1" fillId="0" borderId="0"/>
    <xf numFmtId="0" fontId="23" fillId="0" borderId="0"/>
    <xf numFmtId="0" fontId="12" fillId="0" borderId="0"/>
    <xf numFmtId="0" fontId="1" fillId="0" borderId="0"/>
    <xf numFmtId="167" fontId="24" fillId="0" borderId="0" applyFont="0" applyBorder="0" applyProtection="0"/>
    <xf numFmtId="167" fontId="24" fillId="0" borderId="0"/>
    <xf numFmtId="168" fontId="25" fillId="0" borderId="0"/>
    <xf numFmtId="43" fontId="6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0" fontId="27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27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9">
    <xf numFmtId="0" fontId="0" fillId="0" borderId="0" xfId="0"/>
    <xf numFmtId="0" fontId="29" fillId="0" borderId="0" xfId="0" applyFont="1"/>
    <xf numFmtId="0" fontId="31" fillId="0" borderId="0" xfId="0" applyFont="1"/>
    <xf numFmtId="4" fontId="0" fillId="0" borderId="0" xfId="0" applyNumberFormat="1"/>
    <xf numFmtId="169" fontId="0" fillId="0" borderId="0" xfId="0" applyNumberFormat="1"/>
    <xf numFmtId="0" fontId="29" fillId="2" borderId="7" xfId="0" applyFont="1" applyFill="1" applyBorder="1" applyAlignment="1"/>
    <xf numFmtId="0" fontId="29" fillId="2" borderId="6" xfId="0" applyFont="1" applyFill="1" applyBorder="1" applyAlignment="1"/>
    <xf numFmtId="0" fontId="28" fillId="20" borderId="20" xfId="0" applyFont="1" applyFill="1" applyBorder="1" applyAlignment="1">
      <alignment horizontal="center"/>
    </xf>
    <xf numFmtId="0" fontId="26" fillId="20" borderId="38" xfId="2" applyFont="1" applyFill="1" applyBorder="1" applyAlignment="1">
      <alignment horizontal="center" vertical="center" wrapText="1"/>
    </xf>
    <xf numFmtId="0" fontId="26" fillId="20" borderId="29" xfId="2" applyFont="1" applyFill="1" applyBorder="1" applyAlignment="1">
      <alignment horizontal="center" vertical="center" wrapText="1"/>
    </xf>
    <xf numFmtId="0" fontId="26" fillId="20" borderId="29" xfId="2" applyFont="1" applyFill="1" applyBorder="1" applyAlignment="1">
      <alignment horizontal="center" vertical="center"/>
    </xf>
    <xf numFmtId="0" fontId="26" fillId="19" borderId="30" xfId="2" applyFont="1" applyFill="1" applyBorder="1" applyAlignment="1">
      <alignment horizontal="center" vertical="center" wrapText="1"/>
    </xf>
    <xf numFmtId="0" fontId="33" fillId="19" borderId="31" xfId="0" applyFont="1" applyFill="1" applyBorder="1" applyAlignment="1">
      <alignment horizontal="center" vertical="center" wrapText="1"/>
    </xf>
    <xf numFmtId="0" fontId="26" fillId="19" borderId="29" xfId="2" applyFont="1" applyFill="1" applyBorder="1" applyAlignment="1">
      <alignment horizontal="center" vertical="center" wrapText="1"/>
    </xf>
    <xf numFmtId="0" fontId="33" fillId="19" borderId="32" xfId="0" applyFont="1" applyFill="1" applyBorder="1" applyAlignment="1">
      <alignment horizontal="center" vertical="center" wrapText="1"/>
    </xf>
    <xf numFmtId="0" fontId="30" fillId="19" borderId="29" xfId="0" applyFont="1" applyFill="1" applyBorder="1" applyAlignment="1">
      <alignment horizontal="center" vertical="center" wrapText="1"/>
    </xf>
    <xf numFmtId="0" fontId="30" fillId="19" borderId="32" xfId="0" applyFont="1" applyFill="1" applyBorder="1" applyAlignment="1">
      <alignment horizontal="center" vertical="center" wrapText="1"/>
    </xf>
    <xf numFmtId="0" fontId="29" fillId="0" borderId="0" xfId="0" applyFont="1" applyBorder="1"/>
    <xf numFmtId="0" fontId="28" fillId="0" borderId="0" xfId="0" applyFont="1"/>
    <xf numFmtId="0" fontId="28" fillId="5" borderId="17" xfId="2" applyFont="1" applyFill="1" applyBorder="1" applyAlignment="1">
      <alignment horizontal="left" vertical="center" wrapText="1"/>
    </xf>
    <xf numFmtId="0" fontId="9" fillId="17" borderId="0" xfId="0" applyFont="1" applyFill="1" applyAlignment="1">
      <alignment horizontal="center" vertical="center"/>
    </xf>
    <xf numFmtId="4" fontId="18" fillId="20" borderId="35" xfId="2" applyNumberFormat="1" applyFont="1" applyFill="1" applyBorder="1" applyAlignment="1">
      <alignment horizontal="right"/>
    </xf>
    <xf numFmtId="4" fontId="18" fillId="20" borderId="9" xfId="2" applyNumberFormat="1" applyFont="1" applyFill="1" applyBorder="1" applyAlignment="1">
      <alignment horizontal="right"/>
    </xf>
    <xf numFmtId="4" fontId="18" fillId="20" borderId="22" xfId="2" applyNumberFormat="1" applyFont="1" applyFill="1" applyBorder="1" applyAlignment="1">
      <alignment horizontal="right"/>
    </xf>
    <xf numFmtId="4" fontId="18" fillId="20" borderId="3" xfId="2" applyNumberFormat="1" applyFont="1" applyFill="1" applyBorder="1" applyAlignment="1">
      <alignment horizontal="right"/>
    </xf>
    <xf numFmtId="4" fontId="18" fillId="20" borderId="22" xfId="0" applyNumberFormat="1" applyFont="1" applyFill="1" applyBorder="1" applyAlignment="1">
      <alignment horizontal="right"/>
    </xf>
    <xf numFmtId="4" fontId="18" fillId="19" borderId="1" xfId="0" applyNumberFormat="1" applyFont="1" applyFill="1" applyBorder="1" applyAlignment="1">
      <alignment horizontal="right"/>
    </xf>
    <xf numFmtId="4" fontId="18" fillId="19" borderId="23" xfId="0" applyNumberFormat="1" applyFont="1" applyFill="1" applyBorder="1" applyAlignment="1">
      <alignment horizontal="right"/>
    </xf>
    <xf numFmtId="4" fontId="18" fillId="20" borderId="3" xfId="0" applyNumberFormat="1" applyFont="1" applyFill="1" applyBorder="1" applyAlignment="1">
      <alignment horizontal="right"/>
    </xf>
    <xf numFmtId="4" fontId="18" fillId="20" borderId="26" xfId="0" applyNumberFormat="1" applyFont="1" applyFill="1" applyBorder="1" applyAlignment="1">
      <alignment horizontal="right"/>
    </xf>
    <xf numFmtId="4" fontId="18" fillId="20" borderId="24" xfId="0" applyNumberFormat="1" applyFont="1" applyFill="1" applyBorder="1" applyAlignment="1">
      <alignment horizontal="right"/>
    </xf>
    <xf numFmtId="4" fontId="18" fillId="19" borderId="1" xfId="2" applyNumberFormat="1" applyFont="1" applyFill="1" applyBorder="1" applyAlignment="1">
      <alignment horizontal="right"/>
    </xf>
    <xf numFmtId="4" fontId="18" fillId="19" borderId="22" xfId="2" applyNumberFormat="1" applyFont="1" applyFill="1" applyBorder="1" applyAlignment="1">
      <alignment horizontal="right"/>
    </xf>
    <xf numFmtId="4" fontId="18" fillId="19" borderId="22" xfId="0" applyNumberFormat="1" applyFont="1" applyFill="1" applyBorder="1" applyAlignment="1">
      <alignment horizontal="right"/>
    </xf>
    <xf numFmtId="0" fontId="26" fillId="19" borderId="22" xfId="2" applyFont="1" applyFill="1" applyBorder="1" applyAlignment="1">
      <alignment horizontal="center" vertical="center" wrapText="1"/>
    </xf>
    <xf numFmtId="0" fontId="26" fillId="19" borderId="23" xfId="2" applyFont="1" applyFill="1" applyBorder="1" applyAlignment="1">
      <alignment horizontal="center" vertical="center" wrapText="1"/>
    </xf>
    <xf numFmtId="3" fontId="29" fillId="0" borderId="0" xfId="0" applyNumberFormat="1" applyFont="1"/>
    <xf numFmtId="4" fontId="18" fillId="8" borderId="9" xfId="2" applyNumberFormat="1" applyFont="1" applyFill="1" applyBorder="1" applyAlignment="1">
      <alignment horizontal="right"/>
    </xf>
    <xf numFmtId="4" fontId="18" fillId="8" borderId="3" xfId="2" applyNumberFormat="1" applyFont="1" applyFill="1" applyBorder="1" applyAlignment="1">
      <alignment horizontal="right"/>
    </xf>
    <xf numFmtId="4" fontId="18" fillId="8" borderId="3" xfId="0" applyNumberFormat="1" applyFont="1" applyFill="1" applyBorder="1" applyAlignment="1">
      <alignment horizontal="right"/>
    </xf>
    <xf numFmtId="4" fontId="18" fillId="8" borderId="16" xfId="0" applyNumberFormat="1" applyFont="1" applyFill="1" applyBorder="1" applyAlignment="1">
      <alignment horizontal="right"/>
    </xf>
    <xf numFmtId="0" fontId="2" fillId="8" borderId="1" xfId="0" applyFont="1" applyFill="1" applyBorder="1" applyAlignment="1">
      <alignment horizontal="center" vertical="center" wrapText="1"/>
    </xf>
    <xf numFmtId="0" fontId="35" fillId="20" borderId="19" xfId="0" applyFont="1" applyFill="1" applyBorder="1" applyAlignment="1">
      <alignment horizontal="center"/>
    </xf>
    <xf numFmtId="0" fontId="29" fillId="2" borderId="0" xfId="0" applyFont="1" applyFill="1" applyBorder="1" applyAlignment="1"/>
    <xf numFmtId="0" fontId="34" fillId="20" borderId="0" xfId="0" applyFont="1" applyFill="1" applyBorder="1" applyAlignment="1">
      <alignment horizontal="center"/>
    </xf>
    <xf numFmtId="0" fontId="35" fillId="20" borderId="27" xfId="0" applyFont="1" applyFill="1" applyBorder="1" applyAlignment="1">
      <alignment horizontal="center"/>
    </xf>
    <xf numFmtId="0" fontId="34" fillId="20" borderId="11" xfId="0" applyFont="1" applyFill="1" applyBorder="1" applyAlignment="1">
      <alignment horizontal="center"/>
    </xf>
    <xf numFmtId="0" fontId="35" fillId="20" borderId="12" xfId="0" applyFont="1" applyFill="1" applyBorder="1" applyAlignment="1">
      <alignment horizontal="center"/>
    </xf>
    <xf numFmtId="0" fontId="35" fillId="20" borderId="11" xfId="0" applyFont="1" applyFill="1" applyBorder="1" applyAlignment="1">
      <alignment horizontal="center"/>
    </xf>
    <xf numFmtId="0" fontId="35" fillId="20" borderId="20" xfId="0" applyFont="1" applyFill="1" applyBorder="1" applyAlignment="1">
      <alignment horizontal="center" vertical="center"/>
    </xf>
    <xf numFmtId="0" fontId="35" fillId="20" borderId="19" xfId="0" applyFont="1" applyFill="1" applyBorder="1" applyAlignment="1">
      <alignment horizontal="center" vertical="center"/>
    </xf>
    <xf numFmtId="0" fontId="35" fillId="20" borderId="27" xfId="0" applyFont="1" applyFill="1" applyBorder="1" applyAlignment="1">
      <alignment horizontal="center" vertical="center"/>
    </xf>
    <xf numFmtId="0" fontId="34" fillId="14" borderId="21" xfId="0" applyFont="1" applyFill="1" applyBorder="1" applyAlignment="1">
      <alignment horizontal="center"/>
    </xf>
    <xf numFmtId="0" fontId="34" fillId="14" borderId="5" xfId="0" applyFont="1" applyFill="1" applyBorder="1" applyAlignment="1">
      <alignment horizontal="center"/>
    </xf>
    <xf numFmtId="0" fontId="34" fillId="11" borderId="13" xfId="0" applyFont="1" applyFill="1" applyBorder="1" applyAlignment="1">
      <alignment horizontal="center"/>
    </xf>
    <xf numFmtId="0" fontId="34" fillId="11" borderId="37" xfId="0" applyFont="1" applyFill="1" applyBorder="1" applyAlignment="1">
      <alignment horizontal="center"/>
    </xf>
    <xf numFmtId="0" fontId="34" fillId="11" borderId="39" xfId="0" applyFont="1" applyFill="1" applyBorder="1" applyAlignment="1">
      <alignment horizontal="center"/>
    </xf>
    <xf numFmtId="0" fontId="34" fillId="11" borderId="21" xfId="0" applyFont="1" applyFill="1" applyBorder="1" applyAlignment="1">
      <alignment horizontal="center"/>
    </xf>
    <xf numFmtId="0" fontId="34" fillId="11" borderId="5" xfId="0" applyFont="1" applyFill="1" applyBorder="1" applyAlignment="1">
      <alignment horizontal="center"/>
    </xf>
    <xf numFmtId="4" fontId="18" fillId="8" borderId="18" xfId="0" applyNumberFormat="1" applyFont="1" applyFill="1" applyBorder="1" applyAlignment="1">
      <alignment horizontal="right"/>
    </xf>
    <xf numFmtId="0" fontId="34" fillId="20" borderId="21" xfId="0" applyFont="1" applyFill="1" applyBorder="1" applyAlignment="1">
      <alignment horizontal="center"/>
    </xf>
    <xf numFmtId="0" fontId="34" fillId="20" borderId="5" xfId="0" applyFont="1" applyFill="1" applyBorder="1" applyAlignment="1">
      <alignment horizontal="center"/>
    </xf>
    <xf numFmtId="4" fontId="33" fillId="0" borderId="1" xfId="0" applyNumberFormat="1" applyFont="1" applyBorder="1"/>
    <xf numFmtId="0" fontId="29" fillId="0" borderId="0" xfId="0" applyFont="1" applyFill="1" applyBorder="1"/>
    <xf numFmtId="4" fontId="5" fillId="0" borderId="0" xfId="0" applyNumberFormat="1" applyFont="1" applyFill="1" applyBorder="1"/>
    <xf numFmtId="0" fontId="29" fillId="0" borderId="0" xfId="0" applyFont="1" applyFill="1"/>
    <xf numFmtId="0" fontId="29" fillId="0" borderId="1" xfId="0" applyFont="1" applyFill="1" applyBorder="1"/>
    <xf numFmtId="0" fontId="13" fillId="0" borderId="1" xfId="0" applyFont="1" applyBorder="1"/>
    <xf numFmtId="4" fontId="13" fillId="0" borderId="1" xfId="0" applyNumberFormat="1" applyFont="1" applyBorder="1"/>
    <xf numFmtId="4" fontId="8" fillId="15" borderId="0" xfId="0" applyNumberFormat="1" applyFont="1" applyFill="1"/>
    <xf numFmtId="0" fontId="8" fillId="15" borderId="0" xfId="0" applyFont="1" applyFill="1"/>
    <xf numFmtId="0" fontId="16" fillId="0" borderId="0" xfId="0" applyFont="1" applyAlignment="1">
      <alignment wrapText="1"/>
    </xf>
    <xf numFmtId="4" fontId="15" fillId="13" borderId="1" xfId="0" applyNumberFormat="1" applyFont="1" applyFill="1" applyBorder="1"/>
    <xf numFmtId="0" fontId="8" fillId="7" borderId="0" xfId="0" applyFont="1" applyFill="1"/>
    <xf numFmtId="4" fontId="8" fillId="7" borderId="0" xfId="0" applyNumberFormat="1" applyFont="1" applyFill="1"/>
    <xf numFmtId="0" fontId="13" fillId="0" borderId="0" xfId="0" applyFont="1" applyFill="1" applyBorder="1"/>
    <xf numFmtId="0" fontId="8" fillId="0" borderId="0" xfId="0" applyFont="1" applyFill="1" applyBorder="1"/>
    <xf numFmtId="0" fontId="29" fillId="0" borderId="0" xfId="0" applyFont="1" applyBorder="1" applyAlignment="1">
      <alignment horizontal="center" vertical="center" wrapText="1"/>
    </xf>
    <xf numFmtId="4" fontId="29" fillId="0" borderId="0" xfId="0" applyNumberFormat="1" applyFont="1" applyFill="1" applyBorder="1"/>
    <xf numFmtId="0" fontId="29" fillId="0" borderId="0" xfId="0" applyFont="1" applyFill="1" applyBorder="1" applyAlignment="1">
      <alignment horizontal="center" vertical="center" wrapText="1"/>
    </xf>
    <xf numFmtId="4" fontId="34" fillId="0" borderId="0" xfId="0" applyNumberFormat="1" applyFont="1" applyFill="1" applyBorder="1"/>
    <xf numFmtId="4" fontId="31" fillId="0" borderId="0" xfId="0" applyNumberFormat="1" applyFont="1" applyFill="1" applyBorder="1"/>
    <xf numFmtId="4" fontId="10" fillId="0" borderId="0" xfId="0" applyNumberFormat="1" applyFont="1" applyFill="1" applyBorder="1"/>
    <xf numFmtId="4" fontId="30" fillId="0" borderId="0" xfId="0" applyNumberFormat="1" applyFont="1" applyFill="1" applyBorder="1"/>
    <xf numFmtId="4" fontId="14" fillId="0" borderId="0" xfId="0" applyNumberFormat="1" applyFont="1" applyFill="1" applyBorder="1"/>
    <xf numFmtId="4" fontId="18" fillId="9" borderId="22" xfId="0" applyNumberFormat="1" applyFont="1" applyFill="1" applyBorder="1" applyAlignment="1">
      <alignment horizontal="right"/>
    </xf>
    <xf numFmtId="4" fontId="18" fillId="9" borderId="36" xfId="0" applyNumberFormat="1" applyFont="1" applyFill="1" applyBorder="1" applyAlignment="1">
      <alignment horizontal="right"/>
    </xf>
    <xf numFmtId="4" fontId="18" fillId="8" borderId="37" xfId="0" applyNumberFormat="1" applyFont="1" applyFill="1" applyBorder="1" applyAlignment="1">
      <alignment horizontal="right"/>
    </xf>
    <xf numFmtId="4" fontId="18" fillId="3" borderId="1" xfId="0" applyNumberFormat="1" applyFont="1" applyFill="1" applyBorder="1" applyAlignment="1">
      <alignment horizontal="right"/>
    </xf>
    <xf numFmtId="4" fontId="18" fillId="3" borderId="23" xfId="0" applyNumberFormat="1" applyFont="1" applyFill="1" applyBorder="1" applyAlignment="1">
      <alignment horizontal="right"/>
    </xf>
    <xf numFmtId="4" fontId="18" fillId="3" borderId="22" xfId="0" applyNumberFormat="1" applyFont="1" applyFill="1" applyBorder="1" applyAlignment="1">
      <alignment horizontal="right"/>
    </xf>
    <xf numFmtId="4" fontId="18" fillId="3" borderId="36" xfId="0" applyNumberFormat="1" applyFont="1" applyFill="1" applyBorder="1" applyAlignment="1">
      <alignment horizontal="right"/>
    </xf>
    <xf numFmtId="4" fontId="18" fillId="0" borderId="40" xfId="0" applyNumberFormat="1" applyFont="1" applyBorder="1"/>
    <xf numFmtId="0" fontId="26" fillId="3" borderId="1" xfId="2" applyFont="1" applyFill="1" applyBorder="1" applyAlignment="1">
      <alignment horizontal="center" vertical="center" wrapText="1"/>
    </xf>
    <xf numFmtId="0" fontId="26" fillId="3" borderId="23" xfId="2" applyFont="1" applyFill="1" applyBorder="1" applyAlignment="1">
      <alignment horizontal="center" vertical="center" wrapText="1"/>
    </xf>
    <xf numFmtId="0" fontId="26" fillId="3" borderId="22" xfId="2" applyFont="1" applyFill="1" applyBorder="1" applyAlignment="1">
      <alignment horizontal="center" vertical="center" wrapText="1"/>
    </xf>
    <xf numFmtId="0" fontId="26" fillId="3" borderId="18" xfId="2" applyFont="1" applyFill="1" applyBorder="1" applyAlignment="1">
      <alignment horizontal="center" vertical="center" wrapText="1"/>
    </xf>
    <xf numFmtId="4" fontId="18" fillId="3" borderId="17" xfId="0" applyNumberFormat="1" applyFont="1" applyFill="1" applyBorder="1" applyAlignment="1">
      <alignment horizontal="right"/>
    </xf>
    <xf numFmtId="4" fontId="18" fillId="3" borderId="18" xfId="0" applyNumberFormat="1" applyFont="1" applyFill="1" applyBorder="1" applyAlignment="1">
      <alignment horizontal="right"/>
    </xf>
    <xf numFmtId="4" fontId="37" fillId="12" borderId="34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wrapText="1"/>
    </xf>
    <xf numFmtId="4" fontId="8" fillId="0" borderId="0" xfId="0" applyNumberFormat="1" applyFont="1" applyFill="1" applyBorder="1"/>
    <xf numFmtId="0" fontId="13" fillId="0" borderId="0" xfId="0" applyFont="1" applyBorder="1" applyAlignment="1">
      <alignment wrapText="1"/>
    </xf>
    <xf numFmtId="4" fontId="13" fillId="0" borderId="0" xfId="0" applyNumberFormat="1" applyFont="1" applyBorder="1"/>
    <xf numFmtId="4" fontId="8" fillId="0" borderId="0" xfId="0" applyNumberFormat="1" applyFont="1" applyFill="1"/>
    <xf numFmtId="0" fontId="35" fillId="20" borderId="19" xfId="0" applyFont="1" applyFill="1" applyBorder="1" applyAlignment="1">
      <alignment horizontal="center" vertical="center"/>
    </xf>
    <xf numFmtId="0" fontId="34" fillId="14" borderId="0" xfId="0" applyFont="1" applyFill="1" applyBorder="1" applyAlignment="1">
      <alignment horizontal="center"/>
    </xf>
    <xf numFmtId="4" fontId="18" fillId="9" borderId="13" xfId="0" applyNumberFormat="1" applyFont="1" applyFill="1" applyBorder="1" applyAlignment="1">
      <alignment horizontal="right"/>
    </xf>
    <xf numFmtId="0" fontId="26" fillId="20" borderId="12" xfId="2" applyFont="1" applyFill="1" applyBorder="1" applyAlignment="1">
      <alignment horizontal="center" vertical="center" wrapText="1"/>
    </xf>
    <xf numFmtId="0" fontId="26" fillId="3" borderId="3" xfId="2" applyFont="1" applyFill="1" applyBorder="1" applyAlignment="1">
      <alignment horizontal="center" vertical="center" wrapText="1"/>
    </xf>
    <xf numFmtId="4" fontId="18" fillId="3" borderId="3" xfId="0" applyNumberFormat="1" applyFont="1" applyFill="1" applyBorder="1" applyAlignment="1">
      <alignment horizontal="right"/>
    </xf>
    <xf numFmtId="4" fontId="18" fillId="12" borderId="41" xfId="0" applyNumberFormat="1" applyFont="1" applyFill="1" applyBorder="1" applyAlignment="1">
      <alignment horizontal="right" wrapText="1"/>
    </xf>
    <xf numFmtId="0" fontId="34" fillId="11" borderId="0" xfId="0" applyFont="1" applyFill="1" applyBorder="1" applyAlignment="1">
      <alignment horizontal="center"/>
    </xf>
    <xf numFmtId="0" fontId="17" fillId="5" borderId="2" xfId="2" applyFont="1" applyFill="1" applyBorder="1" applyAlignment="1">
      <alignment horizontal="center"/>
    </xf>
    <xf numFmtId="0" fontId="17" fillId="5" borderId="1" xfId="2" applyFont="1" applyFill="1" applyBorder="1" applyAlignment="1">
      <alignment horizontal="center"/>
    </xf>
    <xf numFmtId="4" fontId="18" fillId="19" borderId="18" xfId="0" applyNumberFormat="1" applyFont="1" applyFill="1" applyBorder="1" applyAlignment="1">
      <alignment horizontal="right"/>
    </xf>
    <xf numFmtId="0" fontId="33" fillId="19" borderId="19" xfId="0" applyFont="1" applyFill="1" applyBorder="1" applyAlignment="1">
      <alignment horizontal="center" vertical="center" wrapText="1"/>
    </xf>
    <xf numFmtId="0" fontId="26" fillId="19" borderId="33" xfId="2" applyFont="1" applyFill="1" applyBorder="1" applyAlignment="1">
      <alignment horizontal="center" vertical="center" wrapText="1"/>
    </xf>
    <xf numFmtId="0" fontId="38" fillId="19" borderId="34" xfId="0" applyFont="1" applyFill="1" applyBorder="1" applyAlignment="1">
      <alignment horizontal="center" vertical="center" wrapText="1"/>
    </xf>
    <xf numFmtId="0" fontId="39" fillId="20" borderId="19" xfId="0" applyFont="1" applyFill="1" applyBorder="1" applyAlignment="1">
      <alignment horizontal="center" vertical="center"/>
    </xf>
    <xf numFmtId="4" fontId="18" fillId="19" borderId="17" xfId="0" applyNumberFormat="1" applyFont="1" applyFill="1" applyBorder="1" applyAlignment="1">
      <alignment horizontal="right"/>
    </xf>
    <xf numFmtId="4" fontId="18" fillId="19" borderId="3" xfId="0" applyNumberFormat="1" applyFont="1" applyFill="1" applyBorder="1" applyAlignment="1">
      <alignment horizontal="right"/>
    </xf>
    <xf numFmtId="4" fontId="18" fillId="19" borderId="3" xfId="2" applyNumberFormat="1" applyFont="1" applyFill="1" applyBorder="1" applyAlignment="1">
      <alignment horizontal="right"/>
    </xf>
    <xf numFmtId="4" fontId="18" fillId="19" borderId="7" xfId="0" applyNumberFormat="1" applyFont="1" applyFill="1" applyBorder="1" applyAlignment="1">
      <alignment horizontal="right"/>
    </xf>
    <xf numFmtId="4" fontId="18" fillId="19" borderId="16" xfId="0" applyNumberFormat="1" applyFont="1" applyFill="1" applyBorder="1" applyAlignment="1">
      <alignment horizontal="right"/>
    </xf>
    <xf numFmtId="4" fontId="18" fillId="19" borderId="25" xfId="0" applyNumberFormat="1" applyFont="1" applyFill="1" applyBorder="1" applyAlignment="1">
      <alignment horizontal="right"/>
    </xf>
    <xf numFmtId="4" fontId="37" fillId="12" borderId="1" xfId="0" applyNumberFormat="1" applyFont="1" applyFill="1" applyBorder="1" applyAlignment="1">
      <alignment horizontal="right"/>
    </xf>
    <xf numFmtId="4" fontId="37" fillId="12" borderId="43" xfId="0" applyNumberFormat="1" applyFont="1" applyFill="1" applyBorder="1" applyAlignment="1">
      <alignment horizontal="right"/>
    </xf>
    <xf numFmtId="4" fontId="37" fillId="16" borderId="0" xfId="0" applyNumberFormat="1" applyFont="1" applyFill="1" applyBorder="1" applyAlignment="1">
      <alignment horizontal="right"/>
    </xf>
    <xf numFmtId="4" fontId="38" fillId="0" borderId="1" xfId="0" applyNumberFormat="1" applyFont="1" applyBorder="1"/>
    <xf numFmtId="0" fontId="38" fillId="0" borderId="1" xfId="0" applyFont="1" applyBorder="1"/>
    <xf numFmtId="0" fontId="28" fillId="0" borderId="0" xfId="0" applyFont="1" applyFill="1" applyBorder="1"/>
    <xf numFmtId="0" fontId="28" fillId="0" borderId="0" xfId="0" applyFont="1" applyBorder="1"/>
    <xf numFmtId="4" fontId="28" fillId="0" borderId="0" xfId="0" applyNumberFormat="1" applyFont="1" applyFill="1" applyBorder="1"/>
    <xf numFmtId="4" fontId="39" fillId="0" borderId="0" xfId="0" applyNumberFormat="1" applyFont="1" applyFill="1" applyBorder="1"/>
    <xf numFmtId="4" fontId="18" fillId="12" borderId="48" xfId="0" applyNumberFormat="1" applyFont="1" applyFill="1" applyBorder="1" applyAlignment="1">
      <alignment horizontal="right" wrapText="1"/>
    </xf>
    <xf numFmtId="4" fontId="37" fillId="12" borderId="49" xfId="0" applyNumberFormat="1" applyFont="1" applyFill="1" applyBorder="1" applyAlignment="1">
      <alignment horizontal="right"/>
    </xf>
    <xf numFmtId="0" fontId="34" fillId="11" borderId="11" xfId="0" applyFont="1" applyFill="1" applyBorder="1" applyAlignment="1">
      <alignment horizontal="center"/>
    </xf>
    <xf numFmtId="4" fontId="29" fillId="0" borderId="0" xfId="0" applyNumberFormat="1" applyFont="1"/>
    <xf numFmtId="4" fontId="31" fillId="0" borderId="0" xfId="0" applyNumberFormat="1" applyFont="1"/>
    <xf numFmtId="4" fontId="18" fillId="10" borderId="3" xfId="2" applyNumberFormat="1" applyFont="1" applyFill="1" applyBorder="1" applyAlignment="1">
      <alignment horizontal="right"/>
    </xf>
    <xf numFmtId="4" fontId="18" fillId="10" borderId="18" xfId="0" applyNumberFormat="1" applyFont="1" applyFill="1" applyBorder="1" applyAlignment="1">
      <alignment horizontal="right"/>
    </xf>
    <xf numFmtId="4" fontId="18" fillId="10" borderId="37" xfId="0" applyNumberFormat="1" applyFont="1" applyFill="1" applyBorder="1" applyAlignment="1">
      <alignment horizontal="right"/>
    </xf>
    <xf numFmtId="4" fontId="28" fillId="0" borderId="0" xfId="0" applyNumberFormat="1" applyFont="1"/>
    <xf numFmtId="0" fontId="28" fillId="2" borderId="0" xfId="0" applyFont="1" applyFill="1" applyBorder="1"/>
    <xf numFmtId="0" fontId="28" fillId="10" borderId="0" xfId="0" applyFont="1" applyFill="1"/>
    <xf numFmtId="0" fontId="40" fillId="0" borderId="0" xfId="0" applyFont="1" applyBorder="1" applyAlignment="1">
      <alignment wrapText="1"/>
    </xf>
    <xf numFmtId="0" fontId="40" fillId="0" borderId="0" xfId="0" applyFont="1" applyBorder="1"/>
    <xf numFmtId="0" fontId="34" fillId="0" borderId="0" xfId="0" applyFont="1" applyFill="1" applyBorder="1"/>
    <xf numFmtId="0" fontId="34" fillId="0" borderId="0" xfId="0" applyFont="1"/>
    <xf numFmtId="0" fontId="34" fillId="0" borderId="0" xfId="0" applyFont="1" applyBorder="1"/>
    <xf numFmtId="4" fontId="18" fillId="19" borderId="2" xfId="0" applyNumberFormat="1" applyFont="1" applyFill="1" applyBorder="1" applyAlignment="1">
      <alignment horizontal="right"/>
    </xf>
    <xf numFmtId="4" fontId="18" fillId="19" borderId="36" xfId="0" applyNumberFormat="1" applyFont="1" applyFill="1" applyBorder="1" applyAlignment="1">
      <alignment horizontal="right"/>
    </xf>
    <xf numFmtId="4" fontId="18" fillId="8" borderId="17" xfId="0" applyNumberFormat="1" applyFont="1" applyFill="1" applyBorder="1" applyAlignment="1">
      <alignment horizontal="right"/>
    </xf>
    <xf numFmtId="4" fontId="18" fillId="20" borderId="37" xfId="0" applyNumberFormat="1" applyFont="1" applyFill="1" applyBorder="1" applyAlignment="1">
      <alignment horizontal="right"/>
    </xf>
    <xf numFmtId="4" fontId="18" fillId="19" borderId="35" xfId="0" applyNumberFormat="1" applyFont="1" applyFill="1" applyBorder="1" applyAlignment="1">
      <alignment horizontal="right"/>
    </xf>
    <xf numFmtId="4" fontId="37" fillId="20" borderId="37" xfId="0" applyNumberFormat="1" applyFont="1" applyFill="1" applyBorder="1" applyAlignment="1">
      <alignment horizontal="right"/>
    </xf>
    <xf numFmtId="4" fontId="18" fillId="19" borderId="4" xfId="0" applyNumberFormat="1" applyFont="1" applyFill="1" applyBorder="1" applyAlignment="1">
      <alignment horizontal="right"/>
    </xf>
    <xf numFmtId="4" fontId="18" fillId="8" borderId="7" xfId="0" applyNumberFormat="1" applyFont="1" applyFill="1" applyBorder="1" applyAlignment="1">
      <alignment horizontal="right"/>
    </xf>
    <xf numFmtId="4" fontId="18" fillId="19" borderId="24" xfId="0" applyNumberFormat="1" applyFont="1" applyFill="1" applyBorder="1" applyAlignment="1">
      <alignment horizontal="right"/>
    </xf>
    <xf numFmtId="4" fontId="18" fillId="20" borderId="16" xfId="0" applyNumberFormat="1" applyFont="1" applyFill="1" applyBorder="1" applyAlignment="1">
      <alignment horizontal="right"/>
    </xf>
    <xf numFmtId="4" fontId="18" fillId="20" borderId="28" xfId="0" applyNumberFormat="1" applyFont="1" applyFill="1" applyBorder="1" applyAlignment="1">
      <alignment horizontal="right"/>
    </xf>
    <xf numFmtId="0" fontId="41" fillId="0" borderId="0" xfId="0" applyFont="1" applyBorder="1" applyAlignment="1">
      <alignment wrapText="1"/>
    </xf>
    <xf numFmtId="0" fontId="41" fillId="0" borderId="0" xfId="0" applyFont="1" applyBorder="1"/>
    <xf numFmtId="0" fontId="18" fillId="0" borderId="0" xfId="0" applyFont="1" applyAlignment="1">
      <alignment wrapText="1"/>
    </xf>
    <xf numFmtId="4" fontId="37" fillId="4" borderId="37" xfId="0" applyNumberFormat="1" applyFont="1" applyFill="1" applyBorder="1" applyAlignment="1">
      <alignment horizontal="right"/>
    </xf>
    <xf numFmtId="4" fontId="37" fillId="4" borderId="34" xfId="0" applyNumberFormat="1" applyFont="1" applyFill="1" applyBorder="1" applyAlignment="1">
      <alignment horizontal="right"/>
    </xf>
    <xf numFmtId="170" fontId="34" fillId="11" borderId="37" xfId="0" applyNumberFormat="1" applyFont="1" applyFill="1" applyBorder="1" applyAlignment="1">
      <alignment horizontal="center"/>
    </xf>
    <xf numFmtId="170" fontId="26" fillId="3" borderId="22" xfId="2" applyNumberFormat="1" applyFont="1" applyFill="1" applyBorder="1" applyAlignment="1">
      <alignment horizontal="center" vertical="center" wrapText="1"/>
    </xf>
    <xf numFmtId="170" fontId="18" fillId="3" borderId="22" xfId="0" applyNumberFormat="1" applyFont="1" applyFill="1" applyBorder="1" applyAlignment="1">
      <alignment horizontal="right"/>
    </xf>
    <xf numFmtId="170" fontId="18" fillId="3" borderId="1" xfId="0" applyNumberFormat="1" applyFont="1" applyFill="1" applyBorder="1" applyAlignment="1">
      <alignment horizontal="right"/>
    </xf>
    <xf numFmtId="170" fontId="18" fillId="4" borderId="33" xfId="0" applyNumberFormat="1" applyFont="1" applyFill="1" applyBorder="1" applyAlignment="1">
      <alignment horizontal="right" wrapText="1"/>
    </xf>
    <xf numFmtId="170" fontId="29" fillId="0" borderId="0" xfId="0" applyNumberFormat="1" applyFont="1" applyFill="1" applyBorder="1"/>
    <xf numFmtId="170" fontId="29" fillId="0" borderId="0" xfId="0" applyNumberFormat="1" applyFont="1" applyBorder="1"/>
    <xf numFmtId="170" fontId="29" fillId="0" borderId="0" xfId="0" applyNumberFormat="1" applyFont="1"/>
    <xf numFmtId="4" fontId="4" fillId="0" borderId="0" xfId="0" applyNumberFormat="1" applyFont="1"/>
    <xf numFmtId="0" fontId="34" fillId="0" borderId="1" xfId="0" applyFont="1" applyBorder="1"/>
    <xf numFmtId="4" fontId="11" fillId="0" borderId="1" xfId="0" applyNumberFormat="1" applyFont="1" applyBorder="1"/>
    <xf numFmtId="0" fontId="11" fillId="0" borderId="1" xfId="0" applyFont="1" applyBorder="1"/>
    <xf numFmtId="4" fontId="11" fillId="0" borderId="0" xfId="0" applyNumberFormat="1" applyFont="1"/>
    <xf numFmtId="0" fontId="11" fillId="0" borderId="0" xfId="0" applyFont="1"/>
    <xf numFmtId="14" fontId="29" fillId="0" borderId="0" xfId="0" applyNumberFormat="1" applyFont="1" applyBorder="1"/>
    <xf numFmtId="14" fontId="29" fillId="0" borderId="0" xfId="0" applyNumberFormat="1" applyFont="1" applyFill="1" applyBorder="1"/>
    <xf numFmtId="14" fontId="43" fillId="0" borderId="0" xfId="0" applyNumberFormat="1" applyFont="1" applyFill="1" applyBorder="1"/>
    <xf numFmtId="0" fontId="43" fillId="0" borderId="0" xfId="0" applyFont="1" applyFill="1" applyBorder="1"/>
    <xf numFmtId="4" fontId="43" fillId="0" borderId="0" xfId="0" applyNumberFormat="1" applyFont="1" applyFill="1" applyBorder="1"/>
    <xf numFmtId="4" fontId="2" fillId="0" borderId="0" xfId="0" applyNumberFormat="1" applyFont="1" applyFill="1" applyBorder="1"/>
    <xf numFmtId="0" fontId="29" fillId="0" borderId="0" xfId="0" applyFont="1" applyFill="1" applyBorder="1" applyAlignment="1">
      <alignment horizontal="center" vertical="center"/>
    </xf>
    <xf numFmtId="4" fontId="29" fillId="0" borderId="0" xfId="0" applyNumberFormat="1" applyFont="1" applyBorder="1"/>
    <xf numFmtId="0" fontId="29" fillId="0" borderId="0" xfId="0" applyFont="1" applyBorder="1" applyAlignment="1">
      <alignment horizontal="center" wrapText="1"/>
    </xf>
    <xf numFmtId="0" fontId="36" fillId="0" borderId="0" xfId="0" applyFont="1" applyFill="1" applyBorder="1"/>
    <xf numFmtId="3" fontId="29" fillId="0" borderId="0" xfId="0" applyNumberFormat="1" applyFont="1" applyFill="1" applyBorder="1"/>
    <xf numFmtId="0" fontId="0" fillId="0" borderId="0" xfId="0" applyFill="1" applyBorder="1"/>
    <xf numFmtId="3" fontId="0" fillId="0" borderId="0" xfId="0" applyNumberFormat="1" applyFill="1" applyBorder="1"/>
    <xf numFmtId="4" fontId="0" fillId="0" borderId="0" xfId="0" applyNumberFormat="1" applyFill="1" applyBorder="1"/>
    <xf numFmtId="0" fontId="31" fillId="0" borderId="0" xfId="0" applyFont="1" applyFill="1" applyBorder="1"/>
    <xf numFmtId="0" fontId="14" fillId="0" borderId="0" xfId="0" applyFont="1" applyFill="1" applyBorder="1"/>
    <xf numFmtId="3" fontId="14" fillId="0" borderId="0" xfId="0" applyNumberFormat="1" applyFont="1" applyFill="1" applyBorder="1"/>
    <xf numFmtId="3" fontId="32" fillId="0" borderId="0" xfId="0" applyNumberFormat="1" applyFont="1" applyFill="1" applyBorder="1"/>
    <xf numFmtId="9" fontId="0" fillId="0" borderId="0" xfId="63" applyFont="1" applyFill="1" applyBorder="1"/>
    <xf numFmtId="4" fontId="32" fillId="0" borderId="0" xfId="0" applyNumberFormat="1" applyFont="1" applyFill="1" applyBorder="1"/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vertical="center" wrapText="1"/>
    </xf>
    <xf numFmtId="49" fontId="9" fillId="0" borderId="1" xfId="0" applyNumberFormat="1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8" fillId="8" borderId="0" xfId="0" applyFont="1" applyFill="1" applyAlignment="1">
      <alignment vertical="center"/>
    </xf>
    <xf numFmtId="4" fontId="8" fillId="8" borderId="6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6" fillId="0" borderId="0" xfId="0" applyFont="1" applyAlignment="1">
      <alignment horizontal="center" vertical="center"/>
    </xf>
    <xf numFmtId="0" fontId="42" fillId="2" borderId="0" xfId="0" applyFont="1" applyFill="1"/>
    <xf numFmtId="0" fontId="4" fillId="2" borderId="0" xfId="0" applyFont="1" applyFill="1"/>
    <xf numFmtId="1" fontId="42" fillId="2" borderId="0" xfId="0" applyNumberFormat="1" applyFont="1" applyFill="1"/>
    <xf numFmtId="4" fontId="42" fillId="2" borderId="0" xfId="0" applyNumberFormat="1" applyFont="1" applyFill="1"/>
    <xf numFmtId="4" fontId="47" fillId="0" borderId="0" xfId="0" applyNumberFormat="1" applyFont="1"/>
    <xf numFmtId="171" fontId="42" fillId="2" borderId="0" xfId="0" applyNumberFormat="1" applyFont="1" applyFill="1"/>
    <xf numFmtId="3" fontId="42" fillId="2" borderId="0" xfId="0" applyNumberFormat="1" applyFont="1" applyFill="1" applyAlignment="1">
      <alignment horizontal="center"/>
    </xf>
    <xf numFmtId="4" fontId="4" fillId="2" borderId="0" xfId="0" applyNumberFormat="1" applyFont="1" applyFill="1"/>
    <xf numFmtId="3" fontId="42" fillId="2" borderId="0" xfId="0" applyNumberFormat="1" applyFont="1" applyFill="1"/>
    <xf numFmtId="4" fontId="4" fillId="14" borderId="1" xfId="0" applyNumberFormat="1" applyFont="1" applyFill="1" applyBorder="1"/>
    <xf numFmtId="3" fontId="42" fillId="14" borderId="1" xfId="0" applyNumberFormat="1" applyFont="1" applyFill="1" applyBorder="1"/>
    <xf numFmtId="0" fontId="42" fillId="14" borderId="1" xfId="0" applyFont="1" applyFill="1" applyBorder="1"/>
    <xf numFmtId="3" fontId="4" fillId="22" borderId="1" xfId="0" applyNumberFormat="1" applyFont="1" applyFill="1" applyBorder="1"/>
    <xf numFmtId="3" fontId="4" fillId="22" borderId="1" xfId="0" applyNumberFormat="1" applyFont="1" applyFill="1" applyBorder="1" applyAlignment="1">
      <alignment horizontal="center"/>
    </xf>
    <xf numFmtId="3" fontId="4" fillId="2" borderId="1" xfId="0" applyNumberFormat="1" applyFont="1" applyFill="1" applyBorder="1" applyAlignment="1">
      <alignment horizontal="center"/>
    </xf>
    <xf numFmtId="4" fontId="42" fillId="2" borderId="1" xfId="0" applyNumberFormat="1" applyFont="1" applyFill="1" applyBorder="1" applyAlignment="1">
      <alignment horizontal="center" vertical="center"/>
    </xf>
    <xf numFmtId="3" fontId="42" fillId="23" borderId="1" xfId="0" applyNumberFormat="1" applyFont="1" applyFill="1" applyBorder="1" applyAlignment="1">
      <alignment horizontal="center" vertical="center"/>
    </xf>
    <xf numFmtId="3" fontId="42" fillId="23" borderId="1" xfId="3" applyNumberFormat="1" applyFont="1" applyFill="1" applyBorder="1" applyAlignment="1">
      <alignment horizontal="center"/>
    </xf>
    <xf numFmtId="4" fontId="42" fillId="23" borderId="1" xfId="3" applyNumberFormat="1" applyFont="1" applyFill="1" applyBorder="1"/>
    <xf numFmtId="4" fontId="4" fillId="2" borderId="1" xfId="0" applyNumberFormat="1" applyFont="1" applyFill="1" applyBorder="1" applyAlignment="1">
      <alignment wrapText="1"/>
    </xf>
    <xf numFmtId="1" fontId="4" fillId="2" borderId="1" xfId="0" applyNumberFormat="1" applyFont="1" applyFill="1" applyBorder="1" applyAlignment="1">
      <alignment horizontal="center" vertical="center"/>
    </xf>
    <xf numFmtId="0" fontId="48" fillId="2" borderId="0" xfId="0" applyFont="1" applyFill="1" applyAlignment="1">
      <alignment horizontal="center" vertical="top"/>
    </xf>
    <xf numFmtId="3" fontId="42" fillId="22" borderId="1" xfId="0" applyNumberFormat="1" applyFont="1" applyFill="1" applyBorder="1" applyAlignment="1">
      <alignment horizontal="center"/>
    </xf>
    <xf numFmtId="3" fontId="42" fillId="2" borderId="1" xfId="0" applyNumberFormat="1" applyFont="1" applyFill="1" applyBorder="1" applyAlignment="1">
      <alignment horizontal="center"/>
    </xf>
    <xf numFmtId="4" fontId="42" fillId="2" borderId="1" xfId="0" applyNumberFormat="1" applyFont="1" applyFill="1" applyBorder="1" applyAlignment="1">
      <alignment wrapText="1"/>
    </xf>
    <xf numFmtId="3" fontId="47" fillId="0" borderId="0" xfId="0" applyNumberFormat="1" applyFont="1"/>
    <xf numFmtId="4" fontId="49" fillId="2" borderId="1" xfId="0" applyNumberFormat="1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center" vertical="center"/>
    </xf>
    <xf numFmtId="4" fontId="42" fillId="3" borderId="1" xfId="3" applyNumberFormat="1" applyFont="1" applyFill="1" applyBorder="1" applyAlignment="1">
      <alignment horizontal="center" vertical="center"/>
    </xf>
    <xf numFmtId="164" fontId="42" fillId="3" borderId="1" xfId="3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top" wrapText="1"/>
    </xf>
    <xf numFmtId="1" fontId="42" fillId="2" borderId="1" xfId="0" applyNumberFormat="1" applyFont="1" applyFill="1" applyBorder="1" applyAlignment="1">
      <alignment horizontal="center" vertical="center"/>
    </xf>
    <xf numFmtId="0" fontId="48" fillId="2" borderId="8" xfId="0" applyFont="1" applyFill="1" applyBorder="1" applyAlignment="1">
      <alignment horizontal="center" vertical="top"/>
    </xf>
    <xf numFmtId="3" fontId="4" fillId="2" borderId="1" xfId="0" applyNumberFormat="1" applyFont="1" applyFill="1" applyBorder="1" applyAlignment="1">
      <alignment horizontal="center" vertical="center"/>
    </xf>
    <xf numFmtId="3" fontId="4" fillId="22" borderId="1" xfId="0" applyNumberFormat="1" applyFont="1" applyFill="1" applyBorder="1" applyAlignment="1">
      <alignment horizontal="center" vertical="center"/>
    </xf>
    <xf numFmtId="4" fontId="42" fillId="2" borderId="1" xfId="3" applyNumberFormat="1" applyFont="1" applyFill="1" applyBorder="1" applyAlignment="1">
      <alignment horizontal="center" vertical="center"/>
    </xf>
    <xf numFmtId="164" fontId="42" fillId="2" borderId="1" xfId="3" applyFont="1" applyFill="1" applyBorder="1" applyAlignment="1">
      <alignment horizontal="center" vertical="center" wrapText="1"/>
    </xf>
    <xf numFmtId="4" fontId="42" fillId="23" borderId="1" xfId="3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top" wrapText="1"/>
    </xf>
    <xf numFmtId="3" fontId="42" fillId="2" borderId="1" xfId="0" applyNumberFormat="1" applyFont="1" applyFill="1" applyBorder="1" applyAlignment="1">
      <alignment horizontal="center" vertical="center"/>
    </xf>
    <xf numFmtId="3" fontId="42" fillId="3" borderId="1" xfId="0" applyNumberFormat="1" applyFont="1" applyFill="1" applyBorder="1" applyAlignment="1">
      <alignment horizontal="center" vertical="center"/>
    </xf>
    <xf numFmtId="4" fontId="42" fillId="2" borderId="1" xfId="0" applyNumberFormat="1" applyFont="1" applyFill="1" applyBorder="1" applyAlignment="1">
      <alignment horizontal="center" vertical="top" wrapText="1"/>
    </xf>
    <xf numFmtId="4" fontId="42" fillId="3" borderId="1" xfId="0" applyNumberFormat="1" applyFont="1" applyFill="1" applyBorder="1" applyAlignment="1">
      <alignment horizontal="center"/>
    </xf>
    <xf numFmtId="4" fontId="42" fillId="23" borderId="1" xfId="0" applyNumberFormat="1" applyFont="1" applyFill="1" applyBorder="1" applyAlignment="1">
      <alignment horizontal="center" vertical="center"/>
    </xf>
    <xf numFmtId="3" fontId="4" fillId="22" borderId="1" xfId="0" applyNumberFormat="1" applyFont="1" applyFill="1" applyBorder="1" applyAlignment="1">
      <alignment horizontal="right"/>
    </xf>
    <xf numFmtId="3" fontId="42" fillId="2" borderId="1" xfId="0" applyNumberFormat="1" applyFont="1" applyFill="1" applyBorder="1" applyAlignment="1">
      <alignment horizontal="right" vertical="center"/>
    </xf>
    <xf numFmtId="3" fontId="4" fillId="22" borderId="1" xfId="0" applyNumberFormat="1" applyFont="1" applyFill="1" applyBorder="1" applyAlignment="1">
      <alignment horizontal="right" vertical="center"/>
    </xf>
    <xf numFmtId="3" fontId="42" fillId="3" borderId="1" xfId="0" applyNumberFormat="1" applyFont="1" applyFill="1" applyBorder="1" applyAlignment="1">
      <alignment horizontal="right" vertical="center"/>
    </xf>
    <xf numFmtId="4" fontId="42" fillId="3" borderId="1" xfId="0" applyNumberFormat="1" applyFont="1" applyFill="1" applyBorder="1" applyAlignment="1">
      <alignment horizontal="right"/>
    </xf>
    <xf numFmtId="3" fontId="42" fillId="23" borderId="1" xfId="3" applyNumberFormat="1" applyFont="1" applyFill="1" applyBorder="1" applyAlignment="1">
      <alignment horizontal="center" vertical="center"/>
    </xf>
    <xf numFmtId="3" fontId="42" fillId="3" borderId="1" xfId="0" applyNumberFormat="1" applyFont="1" applyFill="1" applyBorder="1" applyAlignment="1">
      <alignment horizontal="center"/>
    </xf>
    <xf numFmtId="3" fontId="42" fillId="3" borderId="1" xfId="0" applyNumberFormat="1" applyFont="1" applyFill="1" applyBorder="1" applyAlignment="1">
      <alignment horizontal="right"/>
    </xf>
    <xf numFmtId="4" fontId="42" fillId="3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4" fontId="42" fillId="3" borderId="1" xfId="0" applyNumberFormat="1" applyFont="1" applyFill="1" applyBorder="1" applyAlignment="1">
      <alignment horizontal="right" vertical="center"/>
    </xf>
    <xf numFmtId="0" fontId="42" fillId="23" borderId="1" xfId="0" applyFont="1" applyFill="1" applyBorder="1"/>
    <xf numFmtId="0" fontId="4" fillId="22" borderId="1" xfId="0" applyFont="1" applyFill="1" applyBorder="1"/>
    <xf numFmtId="4" fontId="4" fillId="22" borderId="1" xfId="0" applyNumberFormat="1" applyFont="1" applyFill="1" applyBorder="1"/>
    <xf numFmtId="4" fontId="4" fillId="2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3" fontId="50" fillId="19" borderId="2" xfId="0" applyNumberFormat="1" applyFont="1" applyFill="1" applyBorder="1" applyAlignment="1">
      <alignment horizontal="center" vertical="center" wrapText="1"/>
    </xf>
    <xf numFmtId="0" fontId="8" fillId="22" borderId="1" xfId="0" applyFont="1" applyFill="1" applyBorder="1" applyAlignment="1">
      <alignment horizontal="center" vertical="center"/>
    </xf>
    <xf numFmtId="0" fontId="46" fillId="22" borderId="1" xfId="0" applyFont="1" applyFill="1" applyBorder="1" applyAlignment="1">
      <alignment horizontal="center" vertical="center" wrapText="1"/>
    </xf>
    <xf numFmtId="0" fontId="46" fillId="3" borderId="1" xfId="0" applyFont="1" applyFill="1" applyBorder="1" applyAlignment="1">
      <alignment horizontal="center" vertical="center" wrapText="1"/>
    </xf>
    <xf numFmtId="0" fontId="8" fillId="22" borderId="1" xfId="0" applyFont="1" applyFill="1" applyBorder="1" applyAlignment="1">
      <alignment horizontal="center" vertical="center" wrapText="1"/>
    </xf>
    <xf numFmtId="1" fontId="42" fillId="2" borderId="1" xfId="0" applyNumberFormat="1" applyFont="1" applyFill="1" applyBorder="1"/>
    <xf numFmtId="0" fontId="9" fillId="2" borderId="0" xfId="0" applyFont="1" applyFill="1"/>
    <xf numFmtId="0" fontId="13" fillId="19" borderId="1" xfId="0" applyFont="1" applyFill="1" applyBorder="1" applyAlignment="1">
      <alignment horizontal="center" vertical="center" wrapText="1"/>
    </xf>
    <xf numFmtId="0" fontId="8" fillId="19" borderId="1" xfId="0" applyFont="1" applyFill="1" applyBorder="1" applyAlignment="1">
      <alignment horizontal="left" wrapText="1"/>
    </xf>
    <xf numFmtId="0" fontId="4" fillId="2" borderId="0" xfId="0" applyFont="1" applyFill="1" applyAlignment="1">
      <alignment horizontal="right" vertical="center"/>
    </xf>
    <xf numFmtId="0" fontId="48" fillId="2" borderId="0" xfId="0" applyFont="1" applyFill="1"/>
    <xf numFmtId="4" fontId="29" fillId="0" borderId="1" xfId="0" applyNumberFormat="1" applyFont="1" applyFill="1" applyBorder="1"/>
    <xf numFmtId="4" fontId="34" fillId="0" borderId="0" xfId="0" applyNumberFormat="1" applyFont="1" applyFill="1" applyBorder="1" applyAlignment="1">
      <alignment horizontal="right"/>
    </xf>
    <xf numFmtId="4" fontId="28" fillId="0" borderId="4" xfId="0" applyNumberFormat="1" applyFont="1" applyFill="1" applyBorder="1" applyAlignment="1">
      <alignment horizontal="center" wrapText="1"/>
    </xf>
    <xf numFmtId="0" fontId="29" fillId="0" borderId="1" xfId="0" applyFont="1" applyFill="1" applyBorder="1" applyAlignment="1">
      <alignment horizontal="center" wrapText="1"/>
    </xf>
    <xf numFmtId="4" fontId="34" fillId="0" borderId="1" xfId="0" applyNumberFormat="1" applyFont="1" applyFill="1" applyBorder="1"/>
    <xf numFmtId="0" fontId="28" fillId="0" borderId="0" xfId="0" applyFont="1" applyAlignment="1">
      <alignment horizontal="center" vertical="center" wrapText="1"/>
    </xf>
    <xf numFmtId="4" fontId="18" fillId="5" borderId="33" xfId="0" applyNumberFormat="1" applyFont="1" applyFill="1" applyBorder="1" applyAlignment="1">
      <alignment horizontal="right"/>
    </xf>
    <xf numFmtId="4" fontId="18" fillId="8" borderId="41" xfId="0" applyNumberFormat="1" applyFont="1" applyFill="1" applyBorder="1" applyAlignment="1">
      <alignment horizontal="right"/>
    </xf>
    <xf numFmtId="4" fontId="18" fillId="12" borderId="42" xfId="0" applyNumberFormat="1" applyFont="1" applyFill="1" applyBorder="1" applyAlignment="1">
      <alignment horizontal="right" wrapText="1"/>
    </xf>
    <xf numFmtId="4" fontId="37" fillId="5" borderId="27" xfId="0" applyNumberFormat="1" applyFont="1" applyFill="1" applyBorder="1" applyAlignment="1">
      <alignment horizontal="right"/>
    </xf>
    <xf numFmtId="4" fontId="37" fillId="8" borderId="43" xfId="0" applyNumberFormat="1" applyFont="1" applyFill="1" applyBorder="1" applyAlignment="1">
      <alignment horizontal="right"/>
    </xf>
    <xf numFmtId="4" fontId="37" fillId="5" borderId="43" xfId="0" applyNumberFormat="1" applyFont="1" applyFill="1" applyBorder="1" applyAlignment="1">
      <alignment horizontal="right"/>
    </xf>
    <xf numFmtId="4" fontId="18" fillId="12" borderId="33" xfId="0" applyNumberFormat="1" applyFont="1" applyFill="1" applyBorder="1" applyAlignment="1">
      <alignment horizontal="right" wrapText="1"/>
    </xf>
    <xf numFmtId="4" fontId="18" fillId="12" borderId="19" xfId="0" applyNumberFormat="1" applyFont="1" applyFill="1" applyBorder="1" applyAlignment="1">
      <alignment horizontal="right" wrapText="1"/>
    </xf>
    <xf numFmtId="4" fontId="37" fillId="8" borderId="21" xfId="0" applyNumberFormat="1" applyFont="1" applyFill="1" applyBorder="1" applyAlignment="1">
      <alignment horizontal="right"/>
    </xf>
    <xf numFmtId="4" fontId="26" fillId="12" borderId="44" xfId="0" applyNumberFormat="1" applyFont="1" applyFill="1" applyBorder="1"/>
    <xf numFmtId="0" fontId="28" fillId="16" borderId="0" xfId="0" applyFont="1" applyFill="1"/>
    <xf numFmtId="0" fontId="28" fillId="16" borderId="0" xfId="0" applyFont="1" applyFill="1" applyAlignment="1">
      <alignment horizontal="center" vertical="center" wrapText="1"/>
    </xf>
    <xf numFmtId="4" fontId="18" fillId="16" borderId="45" xfId="0" applyNumberFormat="1" applyFont="1" applyFill="1" applyBorder="1" applyAlignment="1">
      <alignment horizontal="right"/>
    </xf>
    <xf numFmtId="4" fontId="18" fillId="16" borderId="8" xfId="0" applyNumberFormat="1" applyFont="1" applyFill="1" applyBorder="1" applyAlignment="1">
      <alignment horizontal="right" wrapText="1"/>
    </xf>
    <xf numFmtId="4" fontId="37" fillId="16" borderId="46" xfId="0" applyNumberFormat="1" applyFont="1" applyFill="1" applyBorder="1" applyAlignment="1">
      <alignment horizontal="right"/>
    </xf>
    <xf numFmtId="4" fontId="18" fillId="16" borderId="45" xfId="0" applyNumberFormat="1" applyFont="1" applyFill="1" applyBorder="1" applyAlignment="1">
      <alignment horizontal="right" wrapText="1"/>
    </xf>
    <xf numFmtId="4" fontId="18" fillId="16" borderId="0" xfId="0" applyNumberFormat="1" applyFont="1" applyFill="1" applyBorder="1" applyAlignment="1">
      <alignment horizontal="right" wrapText="1"/>
    </xf>
    <xf numFmtId="170" fontId="18" fillId="16" borderId="45" xfId="0" applyNumberFormat="1" applyFont="1" applyFill="1" applyBorder="1" applyAlignment="1">
      <alignment horizontal="right" wrapText="1"/>
    </xf>
    <xf numFmtId="4" fontId="41" fillId="16" borderId="0" xfId="0" applyNumberFormat="1" applyFont="1" applyFill="1"/>
    <xf numFmtId="0" fontId="28" fillId="0" borderId="1" xfId="0" applyFont="1" applyBorder="1"/>
    <xf numFmtId="4" fontId="26" fillId="0" borderId="1" xfId="0" applyNumberFormat="1" applyFont="1" applyBorder="1"/>
    <xf numFmtId="170" fontId="38" fillId="0" borderId="1" xfId="0" applyNumberFormat="1" applyFont="1" applyBorder="1"/>
    <xf numFmtId="4" fontId="26" fillId="21" borderId="1" xfId="0" applyNumberFormat="1" applyFont="1" applyFill="1" applyBorder="1"/>
    <xf numFmtId="0" fontId="28" fillId="6" borderId="1" xfId="0" applyFont="1" applyFill="1" applyBorder="1"/>
    <xf numFmtId="0" fontId="18" fillId="6" borderId="1" xfId="0" applyFont="1" applyFill="1" applyBorder="1" applyAlignment="1">
      <alignment horizontal="right"/>
    </xf>
    <xf numFmtId="9" fontId="38" fillId="0" borderId="1" xfId="0" applyNumberFormat="1" applyFont="1" applyBorder="1"/>
    <xf numFmtId="0" fontId="26" fillId="0" borderId="1" xfId="0" applyFont="1" applyBorder="1"/>
    <xf numFmtId="0" fontId="37" fillId="6" borderId="1" xfId="0" applyFont="1" applyFill="1" applyBorder="1" applyAlignment="1">
      <alignment horizontal="right"/>
    </xf>
    <xf numFmtId="0" fontId="28" fillId="0" borderId="1" xfId="0" applyFont="1" applyFill="1" applyBorder="1"/>
    <xf numFmtId="0" fontId="37" fillId="0" borderId="0" xfId="0" applyFont="1" applyFill="1" applyBorder="1" applyAlignment="1">
      <alignment horizontal="right" vertical="center"/>
    </xf>
    <xf numFmtId="0" fontId="39" fillId="0" borderId="0" xfId="0" applyFont="1" applyFill="1" applyBorder="1"/>
    <xf numFmtId="170" fontId="28" fillId="0" borderId="0" xfId="0" applyNumberFormat="1" applyFont="1" applyFill="1" applyBorder="1"/>
    <xf numFmtId="4" fontId="26" fillId="0" borderId="0" xfId="0" applyNumberFormat="1" applyFont="1" applyFill="1" applyBorder="1"/>
    <xf numFmtId="4" fontId="38" fillId="0" borderId="0" xfId="0" applyNumberFormat="1" applyFont="1" applyBorder="1"/>
    <xf numFmtId="0" fontId="41" fillId="0" borderId="1" xfId="0" applyFont="1" applyFill="1" applyBorder="1"/>
    <xf numFmtId="4" fontId="41" fillId="0" borderId="1" xfId="0" applyNumberFormat="1" applyFont="1" applyFill="1" applyBorder="1"/>
    <xf numFmtId="170" fontId="41" fillId="0" borderId="1" xfId="0" applyNumberFormat="1" applyFont="1" applyFill="1" applyBorder="1"/>
    <xf numFmtId="0" fontId="39" fillId="0" borderId="0" xfId="0" applyFont="1"/>
    <xf numFmtId="4" fontId="41" fillId="13" borderId="0" xfId="0" applyNumberFormat="1" applyFont="1" applyFill="1"/>
    <xf numFmtId="0" fontId="28" fillId="0" borderId="0" xfId="0" applyFont="1" applyBorder="1" applyAlignment="1">
      <alignment horizontal="center" vertical="center" wrapText="1"/>
    </xf>
    <xf numFmtId="0" fontId="39" fillId="0" borderId="0" xfId="0" applyFont="1" applyBorder="1"/>
    <xf numFmtId="170" fontId="28" fillId="0" borderId="0" xfId="0" applyNumberFormat="1" applyFont="1" applyBorder="1"/>
    <xf numFmtId="4" fontId="37" fillId="0" borderId="1" xfId="0" applyNumberFormat="1" applyFont="1" applyBorder="1"/>
    <xf numFmtId="0" fontId="37" fillId="0" borderId="1" xfId="0" applyFont="1" applyBorder="1"/>
    <xf numFmtId="4" fontId="37" fillId="0" borderId="0" xfId="0" applyNumberFormat="1" applyFont="1"/>
    <xf numFmtId="0" fontId="37" fillId="0" borderId="0" xfId="0" applyFont="1"/>
    <xf numFmtId="4" fontId="26" fillId="0" borderId="0" xfId="0" applyNumberFormat="1" applyFont="1"/>
    <xf numFmtId="4" fontId="4" fillId="11" borderId="0" xfId="0" applyNumberFormat="1" applyFont="1" applyFill="1"/>
    <xf numFmtId="4" fontId="5" fillId="11" borderId="0" xfId="0" applyNumberFormat="1" applyFont="1" applyFill="1"/>
    <xf numFmtId="4" fontId="34" fillId="11" borderId="0" xfId="0" applyNumberFormat="1" applyFont="1" applyFill="1" applyBorder="1"/>
    <xf numFmtId="0" fontId="2" fillId="0" borderId="0" xfId="0" applyFont="1" applyAlignment="1">
      <alignment wrapText="1"/>
    </xf>
    <xf numFmtId="0" fontId="39" fillId="0" borderId="1" xfId="0" applyFont="1" applyBorder="1" applyAlignment="1">
      <alignment horizontal="left" wrapText="1"/>
    </xf>
    <xf numFmtId="0" fontId="35" fillId="20" borderId="20" xfId="0" applyFont="1" applyFill="1" applyBorder="1" applyAlignment="1">
      <alignment horizontal="center" vertical="center"/>
    </xf>
    <xf numFmtId="0" fontId="35" fillId="20" borderId="19" xfId="0" applyFont="1" applyFill="1" applyBorder="1" applyAlignment="1">
      <alignment horizontal="center" vertical="center"/>
    </xf>
    <xf numFmtId="0" fontId="35" fillId="20" borderId="2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52" fillId="0" borderId="0" xfId="0" applyFont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4" fontId="41" fillId="16" borderId="0" xfId="0" applyNumberFormat="1" applyFont="1" applyFill="1" applyAlignment="1">
      <alignment horizontal="center"/>
    </xf>
    <xf numFmtId="0" fontId="34" fillId="14" borderId="12" xfId="0" applyFont="1" applyFill="1" applyBorder="1" applyAlignment="1">
      <alignment horizontal="center"/>
    </xf>
    <xf numFmtId="0" fontId="34" fillId="14" borderId="11" xfId="0" applyFont="1" applyFill="1" applyBorder="1" applyAlignment="1">
      <alignment horizontal="center"/>
    </xf>
    <xf numFmtId="0" fontId="34" fillId="14" borderId="10" xfId="0" applyFont="1" applyFill="1" applyBorder="1" applyAlignment="1">
      <alignment horizontal="center"/>
    </xf>
    <xf numFmtId="0" fontId="34" fillId="11" borderId="12" xfId="0" applyFont="1" applyFill="1" applyBorder="1" applyAlignment="1">
      <alignment horizontal="center"/>
    </xf>
    <xf numFmtId="0" fontId="34" fillId="11" borderId="11" xfId="0" applyFont="1" applyFill="1" applyBorder="1" applyAlignment="1">
      <alignment horizontal="center"/>
    </xf>
    <xf numFmtId="0" fontId="34" fillId="11" borderId="10" xfId="0" applyFont="1" applyFill="1" applyBorder="1" applyAlignment="1">
      <alignment horizontal="center"/>
    </xf>
    <xf numFmtId="0" fontId="7" fillId="12" borderId="20" xfId="0" applyFont="1" applyFill="1" applyBorder="1" applyAlignment="1">
      <alignment horizontal="center" vertical="center" wrapText="1"/>
    </xf>
    <xf numFmtId="0" fontId="7" fillId="12" borderId="21" xfId="0" applyFont="1" applyFill="1" applyBorder="1" applyAlignment="1">
      <alignment horizontal="center" vertical="center" wrapText="1"/>
    </xf>
    <xf numFmtId="0" fontId="7" fillId="12" borderId="37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12" borderId="15" xfId="0" applyFont="1" applyFill="1" applyBorder="1" applyAlignment="1">
      <alignment horizontal="center" vertical="center" wrapText="1"/>
    </xf>
    <xf numFmtId="0" fontId="7" fillId="12" borderId="14" xfId="0" applyFont="1" applyFill="1" applyBorder="1" applyAlignment="1">
      <alignment horizontal="center" vertical="center" wrapText="1"/>
    </xf>
    <xf numFmtId="0" fontId="7" fillId="12" borderId="47" xfId="0" applyFont="1" applyFill="1" applyBorder="1" applyAlignment="1">
      <alignment horizontal="center" vertical="center" wrapText="1"/>
    </xf>
    <xf numFmtId="0" fontId="35" fillId="20" borderId="12" xfId="0" applyFont="1" applyFill="1" applyBorder="1" applyAlignment="1">
      <alignment horizontal="center"/>
    </xf>
    <xf numFmtId="0" fontId="35" fillId="20" borderId="11" xfId="0" applyFont="1" applyFill="1" applyBorder="1" applyAlignment="1">
      <alignment horizontal="center"/>
    </xf>
    <xf numFmtId="0" fontId="35" fillId="20" borderId="10" xfId="0" applyFont="1" applyFill="1" applyBorder="1" applyAlignment="1">
      <alignment horizontal="center"/>
    </xf>
    <xf numFmtId="0" fontId="34" fillId="20" borderId="12" xfId="0" applyFont="1" applyFill="1" applyBorder="1" applyAlignment="1">
      <alignment horizontal="center"/>
    </xf>
    <xf numFmtId="0" fontId="34" fillId="20" borderId="11" xfId="0" applyFont="1" applyFill="1" applyBorder="1" applyAlignment="1">
      <alignment horizontal="center"/>
    </xf>
    <xf numFmtId="0" fontId="34" fillId="20" borderId="10" xfId="0" applyFont="1" applyFill="1" applyBorder="1" applyAlignment="1">
      <alignment horizontal="center"/>
    </xf>
    <xf numFmtId="0" fontId="35" fillId="20" borderId="19" xfId="0" applyFont="1" applyFill="1" applyBorder="1" applyAlignment="1">
      <alignment horizontal="center"/>
    </xf>
    <xf numFmtId="0" fontId="35" fillId="20" borderId="27" xfId="0" applyFont="1" applyFill="1" applyBorder="1" applyAlignment="1">
      <alignment horizontal="center"/>
    </xf>
    <xf numFmtId="0" fontId="37" fillId="6" borderId="18" xfId="0" applyFont="1" applyFill="1" applyBorder="1" applyAlignment="1">
      <alignment horizontal="center" vertical="center" wrapText="1"/>
    </xf>
    <xf numFmtId="0" fontId="37" fillId="6" borderId="3" xfId="0" applyFont="1" applyFill="1" applyBorder="1" applyAlignment="1">
      <alignment horizontal="center" vertical="center" wrapText="1"/>
    </xf>
    <xf numFmtId="0" fontId="37" fillId="6" borderId="18" xfId="0" applyFont="1" applyFill="1" applyBorder="1" applyAlignment="1">
      <alignment horizontal="center" vertical="center"/>
    </xf>
    <xf numFmtId="0" fontId="37" fillId="6" borderId="3" xfId="0" applyFont="1" applyFill="1" applyBorder="1" applyAlignment="1">
      <alignment horizontal="center" vertical="center"/>
    </xf>
    <xf numFmtId="0" fontId="37" fillId="6" borderId="1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wrapText="1"/>
    </xf>
    <xf numFmtId="0" fontId="18" fillId="6" borderId="3" xfId="0" applyFont="1" applyFill="1" applyBorder="1" applyAlignment="1">
      <alignment horizontal="center" wrapText="1"/>
    </xf>
    <xf numFmtId="0" fontId="37" fillId="6" borderId="18" xfId="0" applyFont="1" applyFill="1" applyBorder="1" applyAlignment="1">
      <alignment horizontal="center" wrapText="1"/>
    </xf>
    <xf numFmtId="0" fontId="37" fillId="6" borderId="3" xfId="0" applyFont="1" applyFill="1" applyBorder="1" applyAlignment="1">
      <alignment horizontal="center" wrapText="1"/>
    </xf>
    <xf numFmtId="0" fontId="13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3" fontId="50" fillId="19" borderId="4" xfId="0" applyNumberFormat="1" applyFont="1" applyFill="1" applyBorder="1" applyAlignment="1">
      <alignment horizontal="center" vertical="center" wrapText="1"/>
    </xf>
    <xf numFmtId="3" fontId="50" fillId="19" borderId="2" xfId="0" applyNumberFormat="1" applyFont="1" applyFill="1" applyBorder="1" applyAlignment="1">
      <alignment horizontal="center" vertical="center" wrapText="1"/>
    </xf>
    <xf numFmtId="0" fontId="13" fillId="14" borderId="1" xfId="0" applyFont="1" applyFill="1" applyBorder="1" applyAlignment="1">
      <alignment horizontal="center" wrapText="1"/>
    </xf>
    <xf numFmtId="0" fontId="48" fillId="2" borderId="4" xfId="0" applyFont="1" applyFill="1" applyBorder="1" applyAlignment="1">
      <alignment horizontal="center" vertical="top"/>
    </xf>
    <xf numFmtId="0" fontId="48" fillId="2" borderId="8" xfId="0" applyFont="1" applyFill="1" applyBorder="1" applyAlignment="1">
      <alignment horizontal="center" vertical="top"/>
    </xf>
    <xf numFmtId="0" fontId="48" fillId="2" borderId="2" xfId="0" applyFont="1" applyFill="1" applyBorder="1" applyAlignment="1">
      <alignment horizontal="center" vertical="top"/>
    </xf>
    <xf numFmtId="0" fontId="13" fillId="23" borderId="1" xfId="0" applyFont="1" applyFill="1" applyBorder="1" applyAlignment="1">
      <alignment horizontal="center" vertical="center"/>
    </xf>
    <xf numFmtId="10" fontId="13" fillId="19" borderId="18" xfId="0" applyNumberFormat="1" applyFont="1" applyFill="1" applyBorder="1" applyAlignment="1">
      <alignment horizontal="center" vertical="center" wrapText="1"/>
    </xf>
    <xf numFmtId="10" fontId="13" fillId="19" borderId="50" xfId="0" applyNumberFormat="1" applyFont="1" applyFill="1" applyBorder="1" applyAlignment="1">
      <alignment horizontal="center" vertical="center" wrapText="1"/>
    </xf>
    <xf numFmtId="10" fontId="13" fillId="19" borderId="3" xfId="0" applyNumberFormat="1" applyFont="1" applyFill="1" applyBorder="1" applyAlignment="1">
      <alignment horizontal="center" vertical="center" wrapText="1"/>
    </xf>
    <xf numFmtId="0" fontId="50" fillId="19" borderId="18" xfId="0" applyFont="1" applyFill="1" applyBorder="1" applyAlignment="1">
      <alignment horizontal="center" vertical="center"/>
    </xf>
    <xf numFmtId="0" fontId="50" fillId="19" borderId="50" xfId="0" applyFont="1" applyFill="1" applyBorder="1" applyAlignment="1">
      <alignment horizontal="center" vertical="center"/>
    </xf>
    <xf numFmtId="0" fontId="50" fillId="19" borderId="3" xfId="0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1" fontId="42" fillId="2" borderId="1" xfId="0" applyNumberFormat="1" applyFont="1" applyFill="1" applyBorder="1" applyAlignment="1">
      <alignment horizontal="center" vertical="center"/>
    </xf>
    <xf numFmtId="4" fontId="42" fillId="2" borderId="1" xfId="0" applyNumberFormat="1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4" fontId="42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48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right" vertical="center"/>
    </xf>
    <xf numFmtId="0" fontId="8" fillId="22" borderId="4" xfId="0" applyFont="1" applyFill="1" applyBorder="1" applyAlignment="1">
      <alignment horizontal="center" vertical="center"/>
    </xf>
    <xf numFmtId="0" fontId="8" fillId="22" borderId="2" xfId="0" applyFont="1" applyFill="1" applyBorder="1" applyAlignment="1">
      <alignment horizontal="center" vertical="center"/>
    </xf>
    <xf numFmtId="0" fontId="8" fillId="22" borderId="4" xfId="0" applyFont="1" applyFill="1" applyBorder="1" applyAlignment="1">
      <alignment horizontal="center" vertical="center" wrapText="1"/>
    </xf>
    <xf numFmtId="0" fontId="8" fillId="22" borderId="2" xfId="0" applyFont="1" applyFill="1" applyBorder="1" applyAlignment="1">
      <alignment horizontal="center" vertical="center" wrapText="1"/>
    </xf>
    <xf numFmtId="0" fontId="46" fillId="3" borderId="18" xfId="0" applyFont="1" applyFill="1" applyBorder="1" applyAlignment="1">
      <alignment horizontal="center" vertical="center"/>
    </xf>
    <xf numFmtId="0" fontId="46" fillId="3" borderId="50" xfId="0" applyFont="1" applyFill="1" applyBorder="1" applyAlignment="1">
      <alignment horizontal="center" vertical="center"/>
    </xf>
    <xf numFmtId="0" fontId="46" fillId="3" borderId="3" xfId="0" applyFont="1" applyFill="1" applyBorder="1" applyAlignment="1">
      <alignment horizontal="center" vertical="center"/>
    </xf>
  </cellXfs>
  <cellStyles count="64">
    <cellStyle name="Comma 2" xfId="13" xr:uid="{66FE4C44-3609-4393-973D-2729B2BDBCB9}"/>
    <cellStyle name="Comma 2 2" xfId="16" xr:uid="{4D8CF083-AA87-4E4D-905E-EF28DF18B6ED}"/>
    <cellStyle name="Comma 2 2 2" xfId="60" xr:uid="{77A113C4-872D-42B8-A12A-901F828952A5}"/>
    <cellStyle name="Comma 2 3" xfId="41" xr:uid="{25963AE3-E5D6-4FFE-91CC-2D5923BE9D4C}"/>
    <cellStyle name="Comma 3" xfId="18" xr:uid="{3F56D422-5152-4746-9548-6126A2D14468}"/>
    <cellStyle name="Comma 3 2" xfId="29" xr:uid="{1F653B5F-CB82-4F4A-B549-17FB7B3845FD}"/>
    <cellStyle name="Comma 3 2 2" xfId="32" xr:uid="{7996879B-E2A7-40E6-B277-E19D75E4C1EC}"/>
    <cellStyle name="Comma 3 2 2 2" xfId="51" xr:uid="{FCF9F512-2752-4808-9E46-5C263DA52B08}"/>
    <cellStyle name="Comma 3 2 3" xfId="35" xr:uid="{97B7128B-845F-47D9-BEA5-CB3FA90802C7}"/>
    <cellStyle name="Comma 3 2 3 2" xfId="54" xr:uid="{9AF04393-3F82-4228-9737-F8B3E17D61B8}"/>
    <cellStyle name="Comma 3 2 4" xfId="49" xr:uid="{7750CE15-EBE2-4875-AA6D-1A21AE9E2566}"/>
    <cellStyle name="Comma 3 2 5" xfId="61" xr:uid="{6DAAFADB-6DEE-47A2-9B89-1A3FB04A9C05}"/>
    <cellStyle name="Comma 3 3" xfId="31" xr:uid="{9FFCBD79-5915-46B3-A4C0-1199553C992A}"/>
    <cellStyle name="Comma 3 3 2" xfId="50" xr:uid="{5217FE69-E55A-4D65-B340-D514F3926E95}"/>
    <cellStyle name="Comma 3 4" xfId="34" xr:uid="{6B3C0ABA-6CDB-4CCD-870B-B052B4276757}"/>
    <cellStyle name="Comma 3 4 2" xfId="53" xr:uid="{A56D1FC7-AF8B-4254-96E0-C30E53CB3A21}"/>
    <cellStyle name="Comma 3 5" xfId="40" xr:uid="{D5C38D04-C37A-4508-87C8-A1B53E778A27}"/>
    <cellStyle name="Comma 3 5 2" xfId="57" xr:uid="{B7DD08BF-6852-417F-800C-FE797C95CE4B}"/>
    <cellStyle name="Comma 3 6" xfId="48" xr:uid="{1233EE4B-1432-46C6-AAE4-AF01324DE516}"/>
    <cellStyle name="Comma 3 7" xfId="59" xr:uid="{BEBF9378-0BB2-45A0-9A49-0ED8F70DD612}"/>
    <cellStyle name="Comma 4" xfId="1" xr:uid="{D192EA61-A303-476D-A0B7-AC2698BCFD41}"/>
    <cellStyle name="Comma 4 2" xfId="45" xr:uid="{5E99D81C-5222-44F1-BE0A-75D749BA6F5B}"/>
    <cellStyle name="Comma 4 2 2" xfId="58" xr:uid="{A286E0B1-E19B-4982-96F4-BE6452BBB81B}"/>
    <cellStyle name="Comma 4 3" xfId="52" xr:uid="{1BF54918-A33C-4172-BDC9-F324CED1DA60}"/>
    <cellStyle name="Comma 4 4" xfId="33" xr:uid="{AACD268C-C4F1-40AA-B6D2-9D76FE57BDD6}"/>
    <cellStyle name="Comma 5" xfId="36" xr:uid="{7BFF76DD-FB73-40E4-80FD-89E11BE83E30}"/>
    <cellStyle name="Comma 5 2" xfId="39" xr:uid="{536B181F-8D35-4B2D-8471-583F36B8A61C}"/>
    <cellStyle name="Comma 5 2 2" xfId="56" xr:uid="{15D7D495-CEA0-4825-956C-56BBE2935554}"/>
    <cellStyle name="Comma 5 3" xfId="55" xr:uid="{20032804-FE42-4080-BD74-29122F48F7C1}"/>
    <cellStyle name="Comma 6" xfId="62" xr:uid="{6C132A8C-D82C-42FF-A37E-A3272CA32AEE}"/>
    <cellStyle name="Currency 2" xfId="3" xr:uid="{D3C5396D-119D-4E3B-8CA8-409402CBD837}"/>
    <cellStyle name="Excel Built-in Neutral" xfId="6" xr:uid="{D13F97CE-A1BB-43D3-BF50-718492E1868F}"/>
    <cellStyle name="Excel Built-in Normal" xfId="12" xr:uid="{F513C386-EFE7-4932-B7F1-3C345F7125F7}"/>
    <cellStyle name="Excel Built-in Normal 1" xfId="28" xr:uid="{9D9B25F9-BB28-4108-9BFA-5530E7796806}"/>
    <cellStyle name="Normal" xfId="0" builtinId="0"/>
    <cellStyle name="Normal 10 2 2" xfId="2" xr:uid="{0CE5E76B-2E26-4051-8A08-EAA1F960F298}"/>
    <cellStyle name="Normal 10 7" xfId="4" xr:uid="{B029D1E0-8EE2-4FB6-B26C-3E6BF06F8836}"/>
    <cellStyle name="Normal 2" xfId="5" xr:uid="{3AC57880-595C-4699-8A1D-81E3642C50D8}"/>
    <cellStyle name="Normal 2 2" xfId="17" xr:uid="{82926777-4A24-471C-A6E3-2890E0F350FA}"/>
    <cellStyle name="Normal 2 2 2" xfId="25" xr:uid="{8BD8C74B-E418-4EAD-B721-04E608429A2C}"/>
    <cellStyle name="Normal 2 2 3" xfId="43" xr:uid="{10B7D299-E714-4041-88A1-694A230210E0}"/>
    <cellStyle name="Normal 2 3" xfId="20" xr:uid="{CDF069C6-5708-4726-A672-186DFC6F7726}"/>
    <cellStyle name="Normal 2 4" xfId="38" xr:uid="{D59CED54-B5E3-4D43-B475-93D3AD4CB04D}"/>
    <cellStyle name="Normal 3" xfId="7" xr:uid="{122C9CC7-455C-4F40-84F7-2FF6336E8F9B}"/>
    <cellStyle name="Normal 3 2" xfId="22" xr:uid="{D714A35A-7294-4708-8140-B0B16F2F1D3F}"/>
    <cellStyle name="Normal 4" xfId="10" xr:uid="{9BFF0537-67C1-41A4-A69E-E3F0473166B0}"/>
    <cellStyle name="Normal 4 2" xfId="14" xr:uid="{D561462D-E299-4F19-8EAC-B9A3B2DEB0EB}"/>
    <cellStyle name="Normal 4 2 2" xfId="46" xr:uid="{9D74F0D6-8DBE-43A7-A15F-A293F672DF47}"/>
    <cellStyle name="Normal 4 3" xfId="42" xr:uid="{1042EE9B-3E16-49EC-AEF0-D25A32F4DD4A}"/>
    <cellStyle name="Normal 5" xfId="11" xr:uid="{4A0E5589-BC9B-4192-8C23-F778DC43D065}"/>
    <cellStyle name="Normal 5 2" xfId="15" xr:uid="{D973DA4D-54AD-4A0A-B96B-DF016F9706FB}"/>
    <cellStyle name="Normal 5 3" xfId="44" xr:uid="{601CD87E-101E-4F72-ADB1-7EEB571FF141}"/>
    <cellStyle name="Normal 6" xfId="19" xr:uid="{D792D7B9-A352-4A4F-9EC2-754BE09C0040}"/>
    <cellStyle name="Normal 6 2" xfId="27" xr:uid="{3DB92377-DCA6-444E-ADCB-14E8E892DD60}"/>
    <cellStyle name="Normal 6 3" xfId="26" xr:uid="{88F4F660-50D3-4522-9201-ED6B2E852E38}"/>
    <cellStyle name="Normal 6 4" xfId="37" xr:uid="{7F26CBEE-65B8-4484-A5CA-0AC11A265B1D}"/>
    <cellStyle name="Normal 7" xfId="21" xr:uid="{920E4215-97AD-4F8C-A6CA-033533E791CD}"/>
    <cellStyle name="Normal 7 2" xfId="30" xr:uid="{CA678052-3C5B-4359-8CA6-1537A5CD7F32}"/>
    <cellStyle name="Normal 8" xfId="23" xr:uid="{1F0EDBFB-56C5-45D5-996B-B4FAB357B3B8}"/>
    <cellStyle name="Normal 9" xfId="24" xr:uid="{CF26FA2C-8D18-4868-8A5B-1FEEC2B364E9}"/>
    <cellStyle name="Parasts 2" xfId="8" xr:uid="{DF16EEA7-2C53-472A-9063-4A3216367E15}"/>
    <cellStyle name="Parasts 3" xfId="9" xr:uid="{2FCC318D-F141-4ADD-9ABB-0A67EE61DEFC}"/>
    <cellStyle name="Percent" xfId="63" builtinId="5"/>
    <cellStyle name="Percent 2" xfId="47" xr:uid="{07A4A7AC-EF3E-4BCB-B334-31FCA6CF94A3}"/>
  </cellStyles>
  <dxfs count="0"/>
  <tableStyles count="0" defaultTableStyle="TableStyleMedium2" defaultPivotStyle="PivotStyleLight16"/>
  <colors>
    <mruColors>
      <color rgb="FFFF9933"/>
      <color rgb="FF99FFCC"/>
      <color rgb="FFFFCCFF"/>
      <color rgb="FFFF33CC"/>
      <color rgb="FFFFCC66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file_redirect$\Documents%20and%20Settings\bd-adija\Local%20Settings\Temporary%20Internet%20Files\Content.Outlook\U63RD855\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ocuments%20and%20Settings\Svetlana.Supulniece\Local%20Settings\Temporary%20Internet%20Files\Content.Outlook\J21U5MYL\LIC%20PP%20parrekins%20pec%202012%209m%20DB\LIC%20laboratorija\R0032%20-LIC%20darbs%20laboratorija%20citam%20ar%20palidz%20veidu%20AI%2031102012.xls?73E465BC" TargetMode="External"/><Relationship Id="rId1" Type="http://schemas.openxmlformats.org/officeDocument/2006/relationships/externalLinkPath" Target="file:///\\73E465BC\R0032%20-LIC%20darbs%20laboratorija%20citam%20ar%20palidz%20veidu%20AI%20311020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bulatoro_pakalpojumu_nodala\Planosana_2012\SAVA\!_Grozijumi%202012.gada%20laikaa\Egija_Grozijumi%20ar%2001.10.2012_NEPIENEMTIE\Apaksas%20SAVA%20rikojuma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inansu_planosanas_nodala\BUD&#381;ETS\2019\33_finansejums_2018_2021g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is.skrastins\Desktop\Ivita\8_centralizeto_medikamentu_aprekini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nita%20Krustina\Desktop\Ligumorganizaciju%20saraksts%202012%20MAN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0032"/>
      <sheetName val="Macro1"/>
      <sheetName val="Datu baze bez -"/>
      <sheetName val="Tarifi 18.piel"/>
      <sheetName val="Manip ar 0 tarif"/>
      <sheetName val="LIC tarifi"/>
    </sheetNames>
    <sheetDataSet>
      <sheetData sheetId="0" refreshError="1"/>
      <sheetData sheetId="1">
        <row r="80">
          <cell r="A80" t="str">
            <v>Recover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as 2015 kontakti"/>
      <sheetName val="stacionāri"/>
      <sheetName val="citas"/>
    </sheetNames>
    <sheetDataSet>
      <sheetData sheetId="0">
        <row r="13">
          <cell r="C13" t="str">
            <v>010064120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A117E-1414-48B1-A73A-44F16F23F16A}">
  <sheetPr>
    <tabColor rgb="FF92D050"/>
  </sheetPr>
  <dimension ref="A1:BSK98"/>
  <sheetViews>
    <sheetView tabSelected="1" zoomScale="90" zoomScaleNormal="90" workbookViewId="0">
      <pane xSplit="2" ySplit="5" topLeftCell="C66" activePane="bottomRight" state="frozen"/>
      <selection pane="topRight" activeCell="C1" sqref="C1"/>
      <selection pane="bottomLeft" activeCell="A4" sqref="A4"/>
      <selection pane="bottomRight" activeCell="BC1" sqref="BC1"/>
    </sheetView>
  </sheetViews>
  <sheetFormatPr defaultColWidth="9.140625" defaultRowHeight="12" x14ac:dyDescent="0.2"/>
  <cols>
    <col min="1" max="1" width="13.28515625" style="1" customWidth="1"/>
    <col min="2" max="2" width="37" style="1" customWidth="1"/>
    <col min="3" max="3" width="11.140625" style="1" customWidth="1"/>
    <col min="4" max="4" width="15.140625" style="1" hidden="1" customWidth="1"/>
    <col min="5" max="5" width="26.140625" style="1" hidden="1" customWidth="1"/>
    <col min="6" max="6" width="12.5703125" style="1" customWidth="1"/>
    <col min="7" max="7" width="14.28515625" style="1" customWidth="1"/>
    <col min="8" max="8" width="14.140625" style="1" customWidth="1"/>
    <col min="9" max="9" width="14.28515625" style="1" customWidth="1"/>
    <col min="10" max="10" width="13.5703125" style="1" customWidth="1"/>
    <col min="11" max="11" width="13.140625" style="1" customWidth="1"/>
    <col min="12" max="12" width="12.7109375" style="1" customWidth="1"/>
    <col min="13" max="15" width="20.7109375" style="1" hidden="1" customWidth="1"/>
    <col min="16" max="16" width="10.85546875" style="1" hidden="1" customWidth="1"/>
    <col min="17" max="17" width="12.7109375" style="1" hidden="1" customWidth="1"/>
    <col min="18" max="18" width="12.85546875" style="1" hidden="1" customWidth="1"/>
    <col min="19" max="19" width="10.85546875" style="1" hidden="1" customWidth="1"/>
    <col min="20" max="20" width="14.5703125" style="1" hidden="1" customWidth="1"/>
    <col min="21" max="21" width="22.28515625" style="1" hidden="1" customWidth="1"/>
    <col min="22" max="24" width="12" style="1" hidden="1" customWidth="1"/>
    <col min="25" max="25" width="13.85546875" style="1" hidden="1" customWidth="1"/>
    <col min="26" max="27" width="10.28515625" style="1" hidden="1" customWidth="1"/>
    <col min="28" max="28" width="12.140625" style="1" hidden="1" customWidth="1"/>
    <col min="29" max="31" width="12.28515625" style="1" hidden="1" customWidth="1"/>
    <col min="32" max="33" width="12.28515625" style="18" hidden="1" customWidth="1"/>
    <col min="34" max="36" width="11.28515625" style="1" hidden="1" customWidth="1"/>
    <col min="37" max="37" width="13.28515625" style="1" hidden="1" customWidth="1"/>
    <col min="38" max="38" width="21.7109375" style="1" hidden="1" customWidth="1"/>
    <col min="39" max="41" width="13.140625" style="1" hidden="1" customWidth="1"/>
    <col min="42" max="42" width="15.7109375" style="1" hidden="1" customWidth="1"/>
    <col min="43" max="43" width="16.28515625" style="1" hidden="1" customWidth="1"/>
    <col min="44" max="46" width="14.5703125" style="1" customWidth="1"/>
    <col min="47" max="47" width="19.28515625" style="1" customWidth="1"/>
    <col min="48" max="48" width="15" style="149" customWidth="1"/>
    <col min="49" max="49" width="13.140625" style="1" customWidth="1"/>
    <col min="50" max="50" width="14.5703125" style="174" customWidth="1"/>
    <col min="51" max="51" width="21.7109375" style="1" customWidth="1"/>
    <col min="52" max="52" width="14.5703125" style="1" customWidth="1"/>
    <col min="53" max="53" width="17.5703125" style="1" customWidth="1"/>
    <col min="54" max="54" width="15.140625" style="149" customWidth="1"/>
    <col min="55" max="55" width="19.5703125" style="1" customWidth="1"/>
    <col min="56" max="56" width="19.7109375" style="1" customWidth="1"/>
    <col min="57" max="59" width="0" style="1" hidden="1" customWidth="1"/>
    <col min="60" max="60" width="13.42578125" style="1" hidden="1" customWidth="1"/>
    <col min="61" max="61" width="18" style="1" hidden="1" customWidth="1"/>
    <col min="62" max="62" width="16.5703125" style="1" hidden="1" customWidth="1"/>
    <col min="63" max="63" width="0" style="1" hidden="1" customWidth="1"/>
    <col min="64" max="16384" width="9.140625" style="1"/>
  </cols>
  <sheetData>
    <row r="1" spans="1:56" ht="15" x14ac:dyDescent="0.25">
      <c r="BC1" s="351" t="s">
        <v>219</v>
      </c>
    </row>
    <row r="2" spans="1:56" ht="12.75" thickBot="1" x14ac:dyDescent="0.25"/>
    <row r="3" spans="1:56" ht="15" customHeight="1" thickBot="1" x14ac:dyDescent="0.25">
      <c r="A3" s="5"/>
      <c r="B3" s="6"/>
      <c r="C3" s="379" t="s">
        <v>53</v>
      </c>
      <c r="D3" s="380"/>
      <c r="E3" s="380"/>
      <c r="F3" s="380"/>
      <c r="G3" s="381"/>
      <c r="H3" s="382" t="s">
        <v>57</v>
      </c>
      <c r="I3" s="382"/>
      <c r="J3" s="382"/>
      <c r="K3" s="382"/>
      <c r="L3" s="383"/>
      <c r="M3" s="379" t="s">
        <v>59</v>
      </c>
      <c r="N3" s="380"/>
      <c r="O3" s="380"/>
      <c r="P3" s="380"/>
      <c r="Q3" s="381"/>
      <c r="R3" s="376" t="s">
        <v>61</v>
      </c>
      <c r="S3" s="377"/>
      <c r="T3" s="378"/>
      <c r="U3" s="376" t="s">
        <v>67</v>
      </c>
      <c r="V3" s="377"/>
      <c r="W3" s="377"/>
      <c r="X3" s="377"/>
      <c r="Y3" s="378"/>
      <c r="Z3" s="353" t="s">
        <v>69</v>
      </c>
      <c r="AA3" s="354"/>
      <c r="AB3" s="354"/>
      <c r="AC3" s="355"/>
      <c r="AD3" s="353" t="s">
        <v>75</v>
      </c>
      <c r="AE3" s="354"/>
      <c r="AF3" s="354"/>
      <c r="AG3" s="355"/>
      <c r="AH3" s="361" t="s">
        <v>29</v>
      </c>
      <c r="AI3" s="362"/>
      <c r="AJ3" s="362"/>
      <c r="AK3" s="363"/>
      <c r="AL3" s="364" t="s">
        <v>31</v>
      </c>
      <c r="AM3" s="365"/>
      <c r="AN3" s="365"/>
      <c r="AO3" s="365"/>
      <c r="AP3" s="365"/>
      <c r="AQ3" s="366"/>
      <c r="AR3" s="364" t="s">
        <v>30</v>
      </c>
      <c r="AS3" s="365"/>
      <c r="AT3" s="365"/>
      <c r="AU3" s="366"/>
      <c r="AV3" s="367" t="s">
        <v>105</v>
      </c>
      <c r="AW3" s="137"/>
      <c r="AX3" s="364" t="s">
        <v>109</v>
      </c>
      <c r="AY3" s="366"/>
      <c r="AZ3" s="364" t="s">
        <v>110</v>
      </c>
      <c r="BA3" s="366"/>
      <c r="BB3" s="370" t="s">
        <v>111</v>
      </c>
      <c r="BC3" s="373" t="s">
        <v>108</v>
      </c>
    </row>
    <row r="4" spans="1:56" ht="15" customHeight="1" thickBot="1" x14ac:dyDescent="0.25">
      <c r="A4" s="43"/>
      <c r="B4" s="43"/>
      <c r="C4" s="60"/>
      <c r="D4" s="44"/>
      <c r="E4" s="44">
        <v>1.1669895389384</v>
      </c>
      <c r="F4" s="44"/>
      <c r="G4" s="61"/>
      <c r="H4" s="42"/>
      <c r="I4" s="42"/>
      <c r="J4" s="42"/>
      <c r="K4" s="42"/>
      <c r="L4" s="45"/>
      <c r="M4" s="20">
        <f>N4/7743</f>
        <v>1.5247320160144646</v>
      </c>
      <c r="N4" s="20">
        <f>ROUND(SUM(((16300*5)+(10900*2))/7)*0.8,0)</f>
        <v>11806</v>
      </c>
      <c r="O4" s="44"/>
      <c r="P4" s="46"/>
      <c r="Q4" s="46"/>
      <c r="R4" s="47"/>
      <c r="S4" s="48"/>
      <c r="T4" s="48"/>
      <c r="U4" s="42"/>
      <c r="V4" s="7"/>
      <c r="W4" s="42"/>
      <c r="X4" s="42"/>
      <c r="Y4" s="42"/>
      <c r="Z4" s="49"/>
      <c r="AA4" s="50"/>
      <c r="AB4" s="50"/>
      <c r="AC4" s="51"/>
      <c r="AD4" s="105"/>
      <c r="AE4" s="105"/>
      <c r="AF4" s="119"/>
      <c r="AG4" s="119"/>
      <c r="AH4" s="52"/>
      <c r="AI4" s="106"/>
      <c r="AJ4" s="52"/>
      <c r="AK4" s="53"/>
      <c r="AL4" s="55"/>
      <c r="AM4" s="54"/>
      <c r="AN4" s="112"/>
      <c r="AO4" s="112"/>
      <c r="AP4" s="54"/>
      <c r="AQ4" s="56"/>
      <c r="AR4" s="55"/>
      <c r="AS4" s="54"/>
      <c r="AT4" s="54"/>
      <c r="AU4" s="56"/>
      <c r="AV4" s="368"/>
      <c r="AW4" s="54"/>
      <c r="AX4" s="167"/>
      <c r="AY4" s="56"/>
      <c r="AZ4" s="57"/>
      <c r="BA4" s="58"/>
      <c r="BB4" s="371"/>
      <c r="BC4" s="374"/>
    </row>
    <row r="5" spans="1:56" ht="115.5" thickBot="1" x14ac:dyDescent="0.25">
      <c r="A5" s="15" t="s">
        <v>37</v>
      </c>
      <c r="B5" s="16" t="s">
        <v>38</v>
      </c>
      <c r="C5" s="10" t="s">
        <v>22</v>
      </c>
      <c r="D5" s="41" t="s">
        <v>10</v>
      </c>
      <c r="E5" s="41" t="s">
        <v>13</v>
      </c>
      <c r="F5" s="11" t="s">
        <v>15</v>
      </c>
      <c r="G5" s="12" t="s">
        <v>77</v>
      </c>
      <c r="H5" s="8" t="s">
        <v>62</v>
      </c>
      <c r="I5" s="11" t="s">
        <v>55</v>
      </c>
      <c r="J5" s="11" t="s">
        <v>56</v>
      </c>
      <c r="K5" s="11" t="s">
        <v>17</v>
      </c>
      <c r="L5" s="12" t="s">
        <v>54</v>
      </c>
      <c r="M5" s="41" t="s">
        <v>11</v>
      </c>
      <c r="N5" s="41" t="s">
        <v>12</v>
      </c>
      <c r="O5" s="41" t="s">
        <v>81</v>
      </c>
      <c r="P5" s="13" t="s">
        <v>58</v>
      </c>
      <c r="Q5" s="14" t="s">
        <v>76</v>
      </c>
      <c r="R5" s="9" t="s">
        <v>63</v>
      </c>
      <c r="S5" s="13" t="s">
        <v>66</v>
      </c>
      <c r="T5" s="14" t="s">
        <v>60</v>
      </c>
      <c r="U5" s="41" t="s">
        <v>80</v>
      </c>
      <c r="V5" s="13" t="s">
        <v>70</v>
      </c>
      <c r="W5" s="13" t="s">
        <v>71</v>
      </c>
      <c r="X5" s="13" t="s">
        <v>64</v>
      </c>
      <c r="Y5" s="14" t="s">
        <v>65</v>
      </c>
      <c r="Z5" s="13" t="s">
        <v>68</v>
      </c>
      <c r="AA5" s="13" t="s">
        <v>73</v>
      </c>
      <c r="AB5" s="13" t="s">
        <v>72</v>
      </c>
      <c r="AC5" s="12" t="s">
        <v>82</v>
      </c>
      <c r="AD5" s="116" t="s">
        <v>68</v>
      </c>
      <c r="AE5" s="116" t="s">
        <v>100</v>
      </c>
      <c r="AF5" s="117" t="s">
        <v>74</v>
      </c>
      <c r="AG5" s="118" t="s">
        <v>60</v>
      </c>
      <c r="AH5" s="13" t="s">
        <v>68</v>
      </c>
      <c r="AI5" s="13" t="s">
        <v>100</v>
      </c>
      <c r="AJ5" s="34" t="s">
        <v>101</v>
      </c>
      <c r="AK5" s="35" t="s">
        <v>86</v>
      </c>
      <c r="AL5" s="41" t="s">
        <v>79</v>
      </c>
      <c r="AM5" s="108" t="s">
        <v>99</v>
      </c>
      <c r="AN5" s="93" t="s">
        <v>68</v>
      </c>
      <c r="AO5" s="93" t="s">
        <v>100</v>
      </c>
      <c r="AP5" s="109" t="s">
        <v>102</v>
      </c>
      <c r="AQ5" s="94" t="s">
        <v>87</v>
      </c>
      <c r="AR5" s="93" t="s">
        <v>68</v>
      </c>
      <c r="AS5" s="93" t="s">
        <v>100</v>
      </c>
      <c r="AT5" s="95" t="s">
        <v>83</v>
      </c>
      <c r="AU5" s="94" t="s">
        <v>88</v>
      </c>
      <c r="AV5" s="369"/>
      <c r="AW5" s="108" t="s">
        <v>104</v>
      </c>
      <c r="AX5" s="168" t="s">
        <v>84</v>
      </c>
      <c r="AY5" s="94" t="s">
        <v>89</v>
      </c>
      <c r="AZ5" s="95" t="s">
        <v>85</v>
      </c>
      <c r="BA5" s="96" t="s">
        <v>90</v>
      </c>
      <c r="BB5" s="372"/>
      <c r="BC5" s="375"/>
    </row>
    <row r="6" spans="1:56" ht="42.75" customHeight="1" x14ac:dyDescent="0.25">
      <c r="A6" s="113">
        <v>47060</v>
      </c>
      <c r="B6" s="19" t="s">
        <v>32</v>
      </c>
      <c r="C6" s="21">
        <v>4.8600000000000003</v>
      </c>
      <c r="D6" s="37">
        <v>3349</v>
      </c>
      <c r="E6" s="37">
        <v>1120651.0217435141</v>
      </c>
      <c r="F6" s="151">
        <f>7775+9693+20878+2651+53191+31533</f>
        <v>125721</v>
      </c>
      <c r="G6" s="152">
        <f>C6*F6</f>
        <v>611004.06000000006</v>
      </c>
      <c r="H6" s="22">
        <v>4.8600000000000003</v>
      </c>
      <c r="I6" s="151">
        <f>6679+4857+13306+2099+32141+19878</f>
        <v>78960</v>
      </c>
      <c r="J6" s="152">
        <f>1591+1400+4522+812+10163+6288</f>
        <v>24776</v>
      </c>
      <c r="K6" s="151">
        <f>I6+J6</f>
        <v>103736</v>
      </c>
      <c r="L6" s="152">
        <f>(C6*I6)+(H6*J6)</f>
        <v>504156.96000000008</v>
      </c>
      <c r="M6" s="153">
        <v>5106</v>
      </c>
      <c r="N6" s="153">
        <v>4442</v>
      </c>
      <c r="O6" s="153">
        <v>1316875.32</v>
      </c>
      <c r="P6" s="151">
        <f>6329+8261+20619+3258+43055+26874+1</f>
        <v>108397</v>
      </c>
      <c r="Q6" s="152">
        <f>H6*P6</f>
        <v>526809.42000000004</v>
      </c>
      <c r="R6" s="154">
        <v>4.13</v>
      </c>
      <c r="S6" s="151">
        <f>4529+6184+20809+1355+38094+21287+242+472</f>
        <v>92972</v>
      </c>
      <c r="T6" s="152">
        <f>R6*S6</f>
        <v>383974.36</v>
      </c>
      <c r="U6" s="153">
        <v>1327669.3800000001</v>
      </c>
      <c r="V6" s="151"/>
      <c r="W6" s="152"/>
      <c r="X6" s="151">
        <f>2201+3746+682+20974+4+34903+18208+33</f>
        <v>80751</v>
      </c>
      <c r="Y6" s="152">
        <f>X6*R6</f>
        <v>333501.63</v>
      </c>
      <c r="Z6" s="155"/>
      <c r="AA6" s="152"/>
      <c r="AB6" s="151">
        <f>1363+4000+13032+22059+11399+1+91+395</f>
        <v>52340</v>
      </c>
      <c r="AC6" s="120">
        <f>AB6*R6</f>
        <v>216164.19999999998</v>
      </c>
      <c r="AD6" s="26"/>
      <c r="AE6" s="26"/>
      <c r="AF6" s="26">
        <v>51565</v>
      </c>
      <c r="AG6" s="120">
        <f>AF6*R6</f>
        <v>212963.44999999998</v>
      </c>
      <c r="AH6" s="85"/>
      <c r="AI6" s="107"/>
      <c r="AJ6" s="85">
        <v>47255</v>
      </c>
      <c r="AK6" s="86">
        <f>AJ6*R6</f>
        <v>195163.15</v>
      </c>
      <c r="AL6" s="87">
        <v>877916.88000000012</v>
      </c>
      <c r="AM6" s="154"/>
      <c r="AN6" s="88"/>
      <c r="AO6" s="88"/>
      <c r="AP6" s="110">
        <v>94852</v>
      </c>
      <c r="AQ6" s="98">
        <f>AP6*R6</f>
        <v>391738.76</v>
      </c>
      <c r="AR6" s="88"/>
      <c r="AS6" s="88"/>
      <c r="AT6" s="88">
        <v>158674</v>
      </c>
      <c r="AU6" s="89">
        <f>AT6*R6</f>
        <v>655323.62</v>
      </c>
      <c r="AV6" s="156">
        <f>G6+L6+Q6+T6+Y6+AC6+AG6+AK6+AQ6+AU6</f>
        <v>4030799.6100000003</v>
      </c>
      <c r="AW6" s="154"/>
      <c r="AX6" s="169">
        <v>158674</v>
      </c>
      <c r="AY6" s="91">
        <f>R6*AX6</f>
        <v>655323.62</v>
      </c>
      <c r="AZ6" s="90">
        <f>AX6</f>
        <v>158674</v>
      </c>
      <c r="BA6" s="91">
        <f>AY6</f>
        <v>655323.62</v>
      </c>
      <c r="BB6" s="165">
        <f>AY6+BA6</f>
        <v>1310647.24</v>
      </c>
      <c r="BC6" s="92">
        <f>AV6+BB6</f>
        <v>5341446.8500000006</v>
      </c>
      <c r="BD6" s="138"/>
    </row>
    <row r="7" spans="1:56" s="18" customFormat="1" ht="27.75" customHeight="1" x14ac:dyDescent="0.25">
      <c r="A7" s="113">
        <v>47259</v>
      </c>
      <c r="B7" s="19" t="s">
        <v>0</v>
      </c>
      <c r="C7" s="21">
        <v>25.83</v>
      </c>
      <c r="D7" s="37">
        <v>175</v>
      </c>
      <c r="E7" s="37"/>
      <c r="F7" s="151"/>
      <c r="G7" s="152"/>
      <c r="H7" s="22"/>
      <c r="I7" s="151"/>
      <c r="J7" s="152"/>
      <c r="K7" s="151"/>
      <c r="L7" s="152"/>
      <c r="M7" s="153"/>
      <c r="N7" s="153"/>
      <c r="O7" s="153"/>
      <c r="P7" s="151"/>
      <c r="Q7" s="152"/>
      <c r="R7" s="154"/>
      <c r="S7" s="151"/>
      <c r="T7" s="152"/>
      <c r="U7" s="153"/>
      <c r="V7" s="151"/>
      <c r="W7" s="152"/>
      <c r="X7" s="151"/>
      <c r="Y7" s="152"/>
      <c r="Z7" s="155"/>
      <c r="AA7" s="152"/>
      <c r="AB7" s="151"/>
      <c r="AC7" s="120"/>
      <c r="AD7" s="26"/>
      <c r="AE7" s="26"/>
      <c r="AF7" s="26"/>
      <c r="AG7" s="26"/>
      <c r="AH7" s="85"/>
      <c r="AI7" s="107"/>
      <c r="AJ7" s="85"/>
      <c r="AK7" s="86"/>
      <c r="AL7" s="87"/>
      <c r="AM7" s="154"/>
      <c r="AN7" s="88"/>
      <c r="AO7" s="88"/>
      <c r="AP7" s="110"/>
      <c r="AQ7" s="98"/>
      <c r="AR7" s="88"/>
      <c r="AS7" s="88"/>
      <c r="AT7" s="88"/>
      <c r="AU7" s="89"/>
      <c r="AV7" s="156">
        <f t="shared" ref="AV7:AV35" si="0">G7+L7+Q7+T7+Y7+AC7+AG7+AK7+AQ7+AU7</f>
        <v>0</v>
      </c>
      <c r="AW7" s="154"/>
      <c r="AX7" s="169"/>
      <c r="AY7" s="91">
        <f>R7*AX7</f>
        <v>0</v>
      </c>
      <c r="AZ7" s="90">
        <f t="shared" ref="AZ7:AZ32" si="1">AX7</f>
        <v>0</v>
      </c>
      <c r="BA7" s="91">
        <f t="shared" ref="BA7:BA32" si="2">AY7</f>
        <v>0</v>
      </c>
      <c r="BB7" s="165">
        <f t="shared" ref="BB7:BB35" si="3">AY7+BA7</f>
        <v>0</v>
      </c>
      <c r="BC7" s="92">
        <f t="shared" ref="BC7:BC35" si="4">AV7+BB7</f>
        <v>0</v>
      </c>
      <c r="BD7" s="143"/>
    </row>
    <row r="8" spans="1:56" s="18" customFormat="1" ht="27.75" customHeight="1" x14ac:dyDescent="0.25">
      <c r="A8" s="113">
        <v>60162</v>
      </c>
      <c r="B8" s="19" t="s">
        <v>5</v>
      </c>
      <c r="C8" s="21">
        <v>5.13</v>
      </c>
      <c r="D8" s="37"/>
      <c r="E8" s="37">
        <v>61812.226656334969</v>
      </c>
      <c r="F8" s="151"/>
      <c r="G8" s="152"/>
      <c r="H8" s="22"/>
      <c r="I8" s="151"/>
      <c r="J8" s="152"/>
      <c r="K8" s="151"/>
      <c r="L8" s="152"/>
      <c r="M8" s="153">
        <v>267</v>
      </c>
      <c r="N8" s="153">
        <v>232</v>
      </c>
      <c r="O8" s="153">
        <v>72599.760000000009</v>
      </c>
      <c r="P8" s="151"/>
      <c r="Q8" s="152"/>
      <c r="R8" s="154"/>
      <c r="S8" s="151"/>
      <c r="T8" s="152"/>
      <c r="U8" s="153">
        <v>73194.840000000011</v>
      </c>
      <c r="V8" s="151"/>
      <c r="W8" s="152"/>
      <c r="X8" s="151"/>
      <c r="Y8" s="152"/>
      <c r="Z8" s="155"/>
      <c r="AA8" s="152"/>
      <c r="AB8" s="151"/>
      <c r="AC8" s="120"/>
      <c r="AD8" s="26"/>
      <c r="AE8" s="26"/>
      <c r="AF8" s="26"/>
      <c r="AG8" s="26"/>
      <c r="AH8" s="85"/>
      <c r="AI8" s="107"/>
      <c r="AJ8" s="85"/>
      <c r="AK8" s="86"/>
      <c r="AL8" s="87">
        <v>48399.839999999997</v>
      </c>
      <c r="AM8" s="154"/>
      <c r="AN8" s="88"/>
      <c r="AO8" s="88"/>
      <c r="AP8" s="110"/>
      <c r="AQ8" s="98"/>
      <c r="AR8" s="88"/>
      <c r="AS8" s="88"/>
      <c r="AT8" s="88"/>
      <c r="AU8" s="89"/>
      <c r="AV8" s="156">
        <f t="shared" si="0"/>
        <v>0</v>
      </c>
      <c r="AW8" s="154"/>
      <c r="AX8" s="169"/>
      <c r="AY8" s="91">
        <f>R8*AX8</f>
        <v>0</v>
      </c>
      <c r="AZ8" s="90">
        <f t="shared" si="1"/>
        <v>0</v>
      </c>
      <c r="BA8" s="91">
        <f t="shared" si="2"/>
        <v>0</v>
      </c>
      <c r="BB8" s="165">
        <f t="shared" si="3"/>
        <v>0</v>
      </c>
      <c r="BC8" s="92">
        <f t="shared" si="4"/>
        <v>0</v>
      </c>
      <c r="BD8" s="143"/>
    </row>
    <row r="9" spans="1:56" s="18" customFormat="1" ht="27.75" customHeight="1" x14ac:dyDescent="0.25">
      <c r="A9" s="113">
        <v>6014</v>
      </c>
      <c r="B9" s="19" t="s">
        <v>78</v>
      </c>
      <c r="C9" s="21">
        <v>2.73</v>
      </c>
      <c r="D9" s="37"/>
      <c r="E9" s="37">
        <v>32894.225881441416</v>
      </c>
      <c r="F9" s="151"/>
      <c r="G9" s="152"/>
      <c r="H9" s="22"/>
      <c r="I9" s="151"/>
      <c r="J9" s="152"/>
      <c r="K9" s="151"/>
      <c r="L9" s="152"/>
      <c r="M9" s="153">
        <v>267</v>
      </c>
      <c r="N9" s="153">
        <v>232</v>
      </c>
      <c r="O9" s="153">
        <v>38634.959999999999</v>
      </c>
      <c r="P9" s="151"/>
      <c r="Q9" s="152"/>
      <c r="R9" s="154"/>
      <c r="S9" s="151"/>
      <c r="T9" s="152"/>
      <c r="U9" s="153">
        <v>38951.64</v>
      </c>
      <c r="V9" s="151"/>
      <c r="W9" s="152"/>
      <c r="X9" s="151"/>
      <c r="Y9" s="152"/>
      <c r="Z9" s="155"/>
      <c r="AA9" s="152"/>
      <c r="AB9" s="151"/>
      <c r="AC9" s="120"/>
      <c r="AD9" s="26"/>
      <c r="AE9" s="26"/>
      <c r="AF9" s="26"/>
      <c r="AG9" s="26"/>
      <c r="AH9" s="85"/>
      <c r="AI9" s="107"/>
      <c r="AJ9" s="85"/>
      <c r="AK9" s="86"/>
      <c r="AL9" s="87">
        <v>25756.639999999996</v>
      </c>
      <c r="AM9" s="154"/>
      <c r="AN9" s="88"/>
      <c r="AO9" s="88"/>
      <c r="AP9" s="110"/>
      <c r="AQ9" s="98"/>
      <c r="AR9" s="88"/>
      <c r="AS9" s="88"/>
      <c r="AT9" s="88"/>
      <c r="AU9" s="89"/>
      <c r="AV9" s="156">
        <f t="shared" si="0"/>
        <v>0</v>
      </c>
      <c r="AW9" s="154"/>
      <c r="AX9" s="169"/>
      <c r="AY9" s="91">
        <f>R9*AX9</f>
        <v>0</v>
      </c>
      <c r="AZ9" s="90">
        <f t="shared" si="1"/>
        <v>0</v>
      </c>
      <c r="BA9" s="91">
        <f t="shared" si="2"/>
        <v>0</v>
      </c>
      <c r="BB9" s="165">
        <f t="shared" si="3"/>
        <v>0</v>
      </c>
      <c r="BC9" s="92">
        <f t="shared" si="4"/>
        <v>0</v>
      </c>
      <c r="BD9" s="143"/>
    </row>
    <row r="10" spans="1:56" s="18" customFormat="1" ht="31.5" customHeight="1" x14ac:dyDescent="0.25">
      <c r="A10" s="114">
        <v>47073</v>
      </c>
      <c r="B10" s="19" t="s">
        <v>33</v>
      </c>
      <c r="C10" s="23">
        <v>34.81</v>
      </c>
      <c r="D10" s="38">
        <v>5121</v>
      </c>
      <c r="E10" s="38">
        <v>12273764.150747815</v>
      </c>
      <c r="F10" s="26">
        <f>15507+8179+19927+5273+81422+60710+88</f>
        <v>191106</v>
      </c>
      <c r="G10" s="27">
        <f t="shared" ref="G10:G13" si="5">C10*F10</f>
        <v>6652399.8600000003</v>
      </c>
      <c r="H10" s="24">
        <v>26.68</v>
      </c>
      <c r="I10" s="26">
        <f>12786+5426+13306+3550+51159+35120+198</f>
        <v>121545</v>
      </c>
      <c r="J10" s="27">
        <f>3287+4533+4522+1263+15406+10730+108</f>
        <v>39849</v>
      </c>
      <c r="K10" s="26">
        <f t="shared" ref="K10:K18" si="6">I10+J10</f>
        <v>161394</v>
      </c>
      <c r="L10" s="27">
        <f>(C10*I10)+(H10*J10)</f>
        <v>5294152.7700000005</v>
      </c>
      <c r="M10" s="59">
        <v>7808</v>
      </c>
      <c r="N10" s="59">
        <v>6793</v>
      </c>
      <c r="O10" s="59">
        <v>14424324.130000001</v>
      </c>
      <c r="P10" s="26">
        <f>15469+21959+20619+4831+67964+47832+661+73</f>
        <v>179408</v>
      </c>
      <c r="Q10" s="27">
        <f t="shared" ref="Q10:Q18" si="7">H10*P10</f>
        <v>4786605.4400000004</v>
      </c>
      <c r="R10" s="29"/>
      <c r="S10" s="26">
        <f>13821+7966+20809+4042+59739+44344+783+81+176+495</f>
        <v>152256</v>
      </c>
      <c r="T10" s="27">
        <f>H10*S10</f>
        <v>4062190.08</v>
      </c>
      <c r="U10" s="59">
        <v>14542556.295000002</v>
      </c>
      <c r="V10" s="26"/>
      <c r="W10" s="27"/>
      <c r="X10" s="26">
        <f>11937+4217+156+555+20974+4157+58442+38775+707+36</f>
        <v>139956</v>
      </c>
      <c r="Y10" s="27">
        <f>X10*H10</f>
        <v>3734026.08</v>
      </c>
      <c r="Z10" s="33"/>
      <c r="AA10" s="27"/>
      <c r="AB10" s="26">
        <f>9481+4150+13032+2839+39437+24739+118+76+653+374</f>
        <v>94899</v>
      </c>
      <c r="AC10" s="115">
        <f>AB10*H10</f>
        <v>2531905.3199999998</v>
      </c>
      <c r="AD10" s="26"/>
      <c r="AE10" s="26"/>
      <c r="AF10" s="26">
        <v>84932</v>
      </c>
      <c r="AG10" s="115">
        <f>AF10*H10</f>
        <v>2265985.7599999998</v>
      </c>
      <c r="AH10" s="85"/>
      <c r="AI10" s="107"/>
      <c r="AJ10" s="85">
        <v>85564</v>
      </c>
      <c r="AK10" s="86">
        <f>AJ10*H10</f>
        <v>2282847.52</v>
      </c>
      <c r="AL10" s="87">
        <v>9616216.0866666697</v>
      </c>
      <c r="AM10" s="29"/>
      <c r="AN10" s="88"/>
      <c r="AO10" s="88"/>
      <c r="AP10" s="110">
        <v>165603</v>
      </c>
      <c r="AQ10" s="98">
        <f>AP10*H10</f>
        <v>4418288.04</v>
      </c>
      <c r="AR10" s="88"/>
      <c r="AS10" s="88"/>
      <c r="AT10" s="88">
        <v>262989</v>
      </c>
      <c r="AU10" s="89">
        <f>AT10*H10</f>
        <v>7016546.5199999996</v>
      </c>
      <c r="AV10" s="156">
        <f t="shared" si="0"/>
        <v>43044947.390000001</v>
      </c>
      <c r="AW10" s="29"/>
      <c r="AX10" s="169">
        <v>262989</v>
      </c>
      <c r="AY10" s="91">
        <f>H10*AX10</f>
        <v>7016546.5199999996</v>
      </c>
      <c r="AZ10" s="90">
        <f t="shared" si="1"/>
        <v>262989</v>
      </c>
      <c r="BA10" s="91">
        <f>AY10</f>
        <v>7016546.5199999996</v>
      </c>
      <c r="BB10" s="165">
        <f t="shared" si="3"/>
        <v>14033093.039999999</v>
      </c>
      <c r="BC10" s="92">
        <f t="shared" si="4"/>
        <v>57078040.43</v>
      </c>
      <c r="BD10" s="143"/>
    </row>
    <row r="11" spans="1:56" s="18" customFormat="1" ht="29.25" customHeight="1" x14ac:dyDescent="0.25">
      <c r="A11" s="114">
        <v>47075</v>
      </c>
      <c r="B11" s="19" t="s">
        <v>34</v>
      </c>
      <c r="C11" s="23">
        <v>41.84</v>
      </c>
      <c r="D11" s="38">
        <v>678</v>
      </c>
      <c r="E11" s="38">
        <v>1953171.3460519246</v>
      </c>
      <c r="F11" s="26">
        <f>98+2439+1349+8477+11231+4</f>
        <v>23598</v>
      </c>
      <c r="G11" s="27">
        <f t="shared" si="5"/>
        <v>987340.32000000007</v>
      </c>
      <c r="H11" s="24">
        <v>33.4</v>
      </c>
      <c r="I11" s="26">
        <f>264+1085+1866+7233+5117+1</f>
        <v>15566</v>
      </c>
      <c r="J11" s="27">
        <f>45+329+549+2472+1303</f>
        <v>4698</v>
      </c>
      <c r="K11" s="26">
        <f t="shared" si="6"/>
        <v>20264</v>
      </c>
      <c r="L11" s="27">
        <f>(C11*I11)+(H11*J11)</f>
        <v>808194.64</v>
      </c>
      <c r="M11" s="59">
        <v>1034</v>
      </c>
      <c r="N11" s="59">
        <v>900</v>
      </c>
      <c r="O11" s="59">
        <v>2297016</v>
      </c>
      <c r="P11" s="26">
        <f>2159+1773+2156+6+8323+4429+4</f>
        <v>18850</v>
      </c>
      <c r="Q11" s="27">
        <f t="shared" si="7"/>
        <v>629590</v>
      </c>
      <c r="R11" s="29"/>
      <c r="S11" s="26">
        <f>243+2001+1303+2858+7555+4279+66+109</f>
        <v>18414</v>
      </c>
      <c r="T11" s="27">
        <f>H11*S11</f>
        <v>615027.6</v>
      </c>
      <c r="U11" s="59">
        <v>2315844</v>
      </c>
      <c r="V11" s="26"/>
      <c r="W11" s="27"/>
      <c r="X11" s="26">
        <f>2989+1034+132+2937+7443+3284+12</f>
        <v>17831</v>
      </c>
      <c r="Y11" s="27">
        <f>X11*H11</f>
        <v>595555.4</v>
      </c>
      <c r="Z11" s="33"/>
      <c r="AA11" s="27"/>
      <c r="AB11" s="26">
        <f>2601+240+740+2116+949+15+34</f>
        <v>6695</v>
      </c>
      <c r="AC11" s="115">
        <f>AB11*H11</f>
        <v>223613</v>
      </c>
      <c r="AD11" s="26"/>
      <c r="AE11" s="26"/>
      <c r="AF11" s="26">
        <f>1421+1922</f>
        <v>3343</v>
      </c>
      <c r="AG11" s="115">
        <f>AF11*H11</f>
        <v>111656.2</v>
      </c>
      <c r="AH11" s="85"/>
      <c r="AI11" s="107"/>
      <c r="AJ11" s="85">
        <f>4205+1669</f>
        <v>5874</v>
      </c>
      <c r="AK11" s="86">
        <f>AJ11*H11</f>
        <v>196191.6</v>
      </c>
      <c r="AL11" s="87">
        <v>1531344.0000000002</v>
      </c>
      <c r="AM11" s="29"/>
      <c r="AN11" s="88"/>
      <c r="AO11" s="88"/>
      <c r="AP11" s="110">
        <f>15649+3172</f>
        <v>18821</v>
      </c>
      <c r="AQ11" s="98">
        <f>AP11*H11</f>
        <v>628621.4</v>
      </c>
      <c r="AR11" s="88"/>
      <c r="AS11" s="88"/>
      <c r="AT11" s="88">
        <f>52736+5593</f>
        <v>58329</v>
      </c>
      <c r="AU11" s="89">
        <f>AT11*H11</f>
        <v>1948188.5999999999</v>
      </c>
      <c r="AV11" s="156">
        <f t="shared" si="0"/>
        <v>6743978.7599999998</v>
      </c>
      <c r="AW11" s="29"/>
      <c r="AX11" s="169">
        <v>58329</v>
      </c>
      <c r="AY11" s="91">
        <f>H11*AX11</f>
        <v>1948188.5999999999</v>
      </c>
      <c r="AZ11" s="90">
        <f t="shared" si="1"/>
        <v>58329</v>
      </c>
      <c r="BA11" s="91">
        <f t="shared" si="2"/>
        <v>1948188.5999999999</v>
      </c>
      <c r="BB11" s="165">
        <f t="shared" si="3"/>
        <v>3896377.1999999997</v>
      </c>
      <c r="BC11" s="92">
        <f t="shared" si="4"/>
        <v>10640355.959999999</v>
      </c>
      <c r="BD11" s="143"/>
    </row>
    <row r="12" spans="1:56" s="18" customFormat="1" ht="52.5" customHeight="1" x14ac:dyDescent="0.25">
      <c r="A12" s="114">
        <v>47078</v>
      </c>
      <c r="B12" s="19" t="s">
        <v>35</v>
      </c>
      <c r="C12" s="23">
        <v>55.76</v>
      </c>
      <c r="D12" s="38">
        <v>17</v>
      </c>
      <c r="E12" s="38">
        <v>65266.550701278793</v>
      </c>
      <c r="F12" s="26">
        <f>147+370+1201+1</f>
        <v>1719</v>
      </c>
      <c r="G12" s="27">
        <f t="shared" si="5"/>
        <v>95851.44</v>
      </c>
      <c r="H12" s="24">
        <v>55.76</v>
      </c>
      <c r="I12" s="26">
        <f>28+114</f>
        <v>142</v>
      </c>
      <c r="J12" s="27">
        <f>14+55+1340</f>
        <v>1409</v>
      </c>
      <c r="K12" s="26">
        <f t="shared" si="6"/>
        <v>1551</v>
      </c>
      <c r="L12" s="27">
        <f t="shared" ref="L12:L18" si="8">(C12*I12)+(H12*J12)</f>
        <v>86483.76</v>
      </c>
      <c r="M12" s="59">
        <v>26</v>
      </c>
      <c r="N12" s="59">
        <v>23</v>
      </c>
      <c r="O12" s="59">
        <v>78231.28</v>
      </c>
      <c r="P12" s="26">
        <f>48+217+1590</f>
        <v>1855</v>
      </c>
      <c r="Q12" s="27">
        <f t="shared" si="7"/>
        <v>103434.8</v>
      </c>
      <c r="R12" s="29">
        <v>48.2</v>
      </c>
      <c r="S12" s="26">
        <f>50+261+5+1135+51+70</f>
        <v>1572</v>
      </c>
      <c r="T12" s="27">
        <f>R12*S12</f>
        <v>75770.400000000009</v>
      </c>
      <c r="U12" s="59">
        <v>78872.52</v>
      </c>
      <c r="V12" s="26">
        <v>14</v>
      </c>
      <c r="W12" s="27">
        <v>1363</v>
      </c>
      <c r="X12" s="26">
        <f>61+2+309+115+46</f>
        <v>533</v>
      </c>
      <c r="Y12" s="27">
        <f>(X12*R12)+(V12*C12)+(W12*R12)</f>
        <v>92167.840000000011</v>
      </c>
      <c r="Z12" s="33">
        <v>3</v>
      </c>
      <c r="AA12" s="27">
        <v>378</v>
      </c>
      <c r="AB12" s="26">
        <f>76+61+332+1018+22-1</f>
        <v>1508</v>
      </c>
      <c r="AC12" s="115">
        <f>(AB12*R12)+(Z12*H12)+(AA12*R12)</f>
        <v>91072.48000000001</v>
      </c>
      <c r="AD12" s="26"/>
      <c r="AE12" s="26">
        <v>357</v>
      </c>
      <c r="AF12" s="26">
        <f>976+472</f>
        <v>1448</v>
      </c>
      <c r="AG12" s="26">
        <f>(AE12*R12)+(AF12*R12)</f>
        <v>87001</v>
      </c>
      <c r="AH12" s="85">
        <v>3</v>
      </c>
      <c r="AI12" s="107">
        <v>375</v>
      </c>
      <c r="AJ12" s="85">
        <f>998+548</f>
        <v>1546</v>
      </c>
      <c r="AK12" s="86">
        <f>(AH12*C12)+(AI12*R12)+(AJ12*R12)</f>
        <v>92759.48000000001</v>
      </c>
      <c r="AL12" s="87">
        <v>52154.186666666668</v>
      </c>
      <c r="AM12" s="29"/>
      <c r="AN12" s="88">
        <v>780</v>
      </c>
      <c r="AO12" s="88">
        <v>3718</v>
      </c>
      <c r="AP12" s="110">
        <f>1554+721+46</f>
        <v>2321</v>
      </c>
      <c r="AQ12" s="98">
        <f>(AN12*H12)+(AO12*R12)+(AP12*R12)</f>
        <v>334572.59999999998</v>
      </c>
      <c r="AR12" s="88">
        <v>65</v>
      </c>
      <c r="AS12" s="88">
        <v>1387</v>
      </c>
      <c r="AT12" s="88">
        <f>2212+301+1721</f>
        <v>4234</v>
      </c>
      <c r="AU12" s="89">
        <f>(AR12*H12)+(AS12*R12)+(AT12*R12)</f>
        <v>274556.60000000003</v>
      </c>
      <c r="AV12" s="156">
        <f t="shared" si="0"/>
        <v>1333670.4000000001</v>
      </c>
      <c r="AW12" s="29"/>
      <c r="AX12" s="170">
        <v>4234</v>
      </c>
      <c r="AY12" s="91">
        <f>R12*AX12</f>
        <v>204078.80000000002</v>
      </c>
      <c r="AZ12" s="90">
        <f t="shared" si="1"/>
        <v>4234</v>
      </c>
      <c r="BA12" s="91">
        <f t="shared" si="2"/>
        <v>204078.80000000002</v>
      </c>
      <c r="BB12" s="165">
        <f t="shared" si="3"/>
        <v>408157.60000000003</v>
      </c>
      <c r="BC12" s="92">
        <f t="shared" si="4"/>
        <v>1741828.0000000002</v>
      </c>
      <c r="BD12" s="143"/>
    </row>
    <row r="13" spans="1:56" s="18" customFormat="1" ht="25.5" customHeight="1" x14ac:dyDescent="0.25">
      <c r="A13" s="114">
        <v>47079</v>
      </c>
      <c r="B13" s="19" t="s">
        <v>1</v>
      </c>
      <c r="C13" s="23">
        <v>1.86</v>
      </c>
      <c r="D13" s="38">
        <v>3613</v>
      </c>
      <c r="E13" s="38">
        <v>462700.40582720033</v>
      </c>
      <c r="F13" s="26">
        <f>10680+9693+23369+4039+81115+15527</f>
        <v>144423</v>
      </c>
      <c r="G13" s="27">
        <f t="shared" si="5"/>
        <v>268626.78000000003</v>
      </c>
      <c r="H13" s="24">
        <v>1.86</v>
      </c>
      <c r="I13" s="26">
        <f>9815+4857+13306+2924+45248+8927</f>
        <v>85077</v>
      </c>
      <c r="J13" s="27">
        <f>2713+1400+4522+1029+4288+3078</f>
        <v>17030</v>
      </c>
      <c r="K13" s="26">
        <f t="shared" si="6"/>
        <v>102107</v>
      </c>
      <c r="L13" s="27">
        <f t="shared" si="8"/>
        <v>189919.02000000002</v>
      </c>
      <c r="M13" s="59">
        <v>5509</v>
      </c>
      <c r="N13" s="59">
        <v>4793</v>
      </c>
      <c r="O13" s="59">
        <v>543813.78</v>
      </c>
      <c r="P13" s="26">
        <f>11704+8261+20619+4752+21839+15975</f>
        <v>83150</v>
      </c>
      <c r="Q13" s="27">
        <f t="shared" si="7"/>
        <v>154659</v>
      </c>
      <c r="R13" s="29">
        <v>1.5</v>
      </c>
      <c r="S13" s="26">
        <f>9840+6184+20809+4232+20896+17203+242+494</f>
        <v>79900</v>
      </c>
      <c r="T13" s="27">
        <f>R13*S13</f>
        <v>119850</v>
      </c>
      <c r="U13" s="59">
        <v>548271.27</v>
      </c>
      <c r="V13" s="26"/>
      <c r="W13" s="27"/>
      <c r="X13" s="26">
        <f>8869+3746+687+20974+22693+16866+4391+107</f>
        <v>78333</v>
      </c>
      <c r="Y13" s="27">
        <f>X13*R13</f>
        <v>117499.5</v>
      </c>
      <c r="Z13" s="33"/>
      <c r="AA13" s="27"/>
      <c r="AB13" s="26">
        <f>6926+4001+13032+3164+16996+11863+91+431</f>
        <v>56504</v>
      </c>
      <c r="AC13" s="115">
        <f>AB13*R13</f>
        <v>84756</v>
      </c>
      <c r="AD13" s="26"/>
      <c r="AE13" s="26"/>
      <c r="AF13" s="26">
        <v>47639</v>
      </c>
      <c r="AG13" s="115">
        <f>AF13*R13</f>
        <v>71458.5</v>
      </c>
      <c r="AH13" s="85"/>
      <c r="AI13" s="107"/>
      <c r="AJ13" s="85">
        <v>47268</v>
      </c>
      <c r="AK13" s="86">
        <f>AJ13*R13</f>
        <v>70902</v>
      </c>
      <c r="AL13" s="87">
        <v>362542.52</v>
      </c>
      <c r="AM13" s="29"/>
      <c r="AN13" s="88"/>
      <c r="AO13" s="88"/>
      <c r="AP13" s="110">
        <v>73272</v>
      </c>
      <c r="AQ13" s="98">
        <f>AP13*R13</f>
        <v>109908</v>
      </c>
      <c r="AR13" s="88"/>
      <c r="AS13" s="88"/>
      <c r="AT13" s="88">
        <v>96708</v>
      </c>
      <c r="AU13" s="89">
        <f>AT13*R13</f>
        <v>145062</v>
      </c>
      <c r="AV13" s="156">
        <f t="shared" si="0"/>
        <v>1332640.8</v>
      </c>
      <c r="AW13" s="29"/>
      <c r="AX13" s="169">
        <v>96708</v>
      </c>
      <c r="AY13" s="91">
        <f>R13*AX13</f>
        <v>145062</v>
      </c>
      <c r="AZ13" s="90">
        <f t="shared" si="1"/>
        <v>96708</v>
      </c>
      <c r="BA13" s="91">
        <f t="shared" si="2"/>
        <v>145062</v>
      </c>
      <c r="BB13" s="165">
        <f t="shared" si="3"/>
        <v>290124</v>
      </c>
      <c r="BC13" s="92">
        <f t="shared" si="4"/>
        <v>1622764.8</v>
      </c>
      <c r="BD13" s="143"/>
    </row>
    <row r="14" spans="1:56" s="2" customFormat="1" ht="24.75" customHeight="1" x14ac:dyDescent="0.25">
      <c r="A14" s="114" t="s">
        <v>39</v>
      </c>
      <c r="B14" s="19" t="s">
        <v>40</v>
      </c>
      <c r="C14" s="23">
        <v>3.36</v>
      </c>
      <c r="D14" s="38">
        <v>2545</v>
      </c>
      <c r="E14" s="38">
        <v>588770.49577683269</v>
      </c>
      <c r="F14" s="26">
        <f>925+317+19698+75743</f>
        <v>96683</v>
      </c>
      <c r="G14" s="27">
        <f>C14*F14</f>
        <v>324854.88</v>
      </c>
      <c r="H14" s="28">
        <v>3.36</v>
      </c>
      <c r="I14" s="26">
        <f>1654+15337+51424</f>
        <v>68415</v>
      </c>
      <c r="J14" s="27">
        <f>3464+735+5632+17815</f>
        <v>27646</v>
      </c>
      <c r="K14" s="26">
        <f t="shared" si="6"/>
        <v>96061</v>
      </c>
      <c r="L14" s="27">
        <f t="shared" si="8"/>
        <v>322764.95999999996</v>
      </c>
      <c r="M14" s="59">
        <v>3880</v>
      </c>
      <c r="N14" s="59">
        <v>4384</v>
      </c>
      <c r="O14" s="59">
        <v>898544.64000000001</v>
      </c>
      <c r="P14" s="26">
        <f>44479+18096+47736+102041</f>
        <v>212352</v>
      </c>
      <c r="Q14" s="27">
        <f t="shared" si="7"/>
        <v>713502.71999999997</v>
      </c>
      <c r="R14" s="29"/>
      <c r="S14" s="26">
        <f>54421+18230+47619+94480+637</f>
        <v>215387</v>
      </c>
      <c r="T14" s="27">
        <f>S14*H14</f>
        <v>723700.32</v>
      </c>
      <c r="U14" s="59">
        <v>905909.76000000001</v>
      </c>
      <c r="V14" s="26"/>
      <c r="W14" s="27"/>
      <c r="X14" s="26">
        <f>44364+24136+38989+73071+21</f>
        <v>180581</v>
      </c>
      <c r="Y14" s="27">
        <f>X14*H14</f>
        <v>606752.16</v>
      </c>
      <c r="Z14" s="33"/>
      <c r="AA14" s="27"/>
      <c r="AB14" s="26">
        <f>15736+9390+16551+41311+2047</f>
        <v>85035</v>
      </c>
      <c r="AC14" s="115">
        <f>AB14*H14</f>
        <v>285717.59999999998</v>
      </c>
      <c r="AD14" s="26"/>
      <c r="AE14" s="26"/>
      <c r="AF14" s="121">
        <f>9914+9228+13083+47928</f>
        <v>80153</v>
      </c>
      <c r="AG14" s="27">
        <f>AF14*H14</f>
        <v>269314.08</v>
      </c>
      <c r="AH14" s="85"/>
      <c r="AI14" s="107"/>
      <c r="AJ14" s="85">
        <v>263434</v>
      </c>
      <c r="AK14" s="86">
        <f>AJ14*H14</f>
        <v>885138.24</v>
      </c>
      <c r="AL14" s="87">
        <v>599029.76000000001</v>
      </c>
      <c r="AM14" s="29"/>
      <c r="AN14" s="88"/>
      <c r="AO14" s="88"/>
      <c r="AP14" s="110">
        <v>619377</v>
      </c>
      <c r="AQ14" s="98">
        <f>AP14*H14</f>
        <v>2081106.72</v>
      </c>
      <c r="AR14" s="88"/>
      <c r="AS14" s="88"/>
      <c r="AT14" s="88">
        <v>233080</v>
      </c>
      <c r="AU14" s="89">
        <f>AT14*H14</f>
        <v>783148.79999999993</v>
      </c>
      <c r="AV14" s="156">
        <f t="shared" si="0"/>
        <v>6996000.4799999995</v>
      </c>
      <c r="AW14" s="29"/>
      <c r="AX14" s="169">
        <f>AX15+AX16+AX17+AX18+AX19</f>
        <v>68320</v>
      </c>
      <c r="AY14" s="91">
        <f>H14*AX14</f>
        <v>229555.19999999998</v>
      </c>
      <c r="AZ14" s="90">
        <f>AZ15+AZ16+AZ17+AZ18+AZ19</f>
        <v>53998</v>
      </c>
      <c r="BA14" s="91">
        <f>AZ14*H14</f>
        <v>181433.28</v>
      </c>
      <c r="BB14" s="165">
        <f t="shared" si="3"/>
        <v>410988.48</v>
      </c>
      <c r="BC14" s="92">
        <f t="shared" si="4"/>
        <v>7406988.959999999</v>
      </c>
      <c r="BD14" s="139"/>
    </row>
    <row r="15" spans="1:56" s="2" customFormat="1" ht="48" customHeight="1" x14ac:dyDescent="0.25">
      <c r="A15" s="114" t="s">
        <v>41</v>
      </c>
      <c r="B15" s="19" t="s">
        <v>16</v>
      </c>
      <c r="C15" s="23">
        <v>15.14</v>
      </c>
      <c r="D15" s="38"/>
      <c r="E15" s="38"/>
      <c r="F15" s="26">
        <v>274</v>
      </c>
      <c r="G15" s="27">
        <f>C15*F15</f>
        <v>4148.3600000000006</v>
      </c>
      <c r="H15" s="28">
        <v>12.41</v>
      </c>
      <c r="I15" s="26">
        <v>0</v>
      </c>
      <c r="J15" s="27">
        <v>735</v>
      </c>
      <c r="K15" s="26">
        <f t="shared" si="6"/>
        <v>735</v>
      </c>
      <c r="L15" s="27">
        <f t="shared" si="8"/>
        <v>9121.35</v>
      </c>
      <c r="M15" s="59"/>
      <c r="N15" s="59"/>
      <c r="O15" s="59"/>
      <c r="P15" s="26">
        <v>223</v>
      </c>
      <c r="Q15" s="27">
        <f t="shared" si="7"/>
        <v>2767.43</v>
      </c>
      <c r="R15" s="29"/>
      <c r="S15" s="26">
        <f>174+4</f>
        <v>178</v>
      </c>
      <c r="T15" s="27">
        <f>H15*S15</f>
        <v>2208.98</v>
      </c>
      <c r="U15" s="59"/>
      <c r="V15" s="26"/>
      <c r="W15" s="27"/>
      <c r="X15" s="26">
        <v>183</v>
      </c>
      <c r="Y15" s="27">
        <f>X15*H15</f>
        <v>2271.0300000000002</v>
      </c>
      <c r="Z15" s="33"/>
      <c r="AA15" s="27"/>
      <c r="AB15" s="26">
        <v>11</v>
      </c>
      <c r="AC15" s="115">
        <f>AB15*H15</f>
        <v>136.51</v>
      </c>
      <c r="AD15" s="26"/>
      <c r="AE15" s="26"/>
      <c r="AF15" s="121">
        <v>3</v>
      </c>
      <c r="AG15" s="27">
        <f>AF15*H15</f>
        <v>37.230000000000004</v>
      </c>
      <c r="AH15" s="85"/>
      <c r="AI15" s="107"/>
      <c r="AJ15" s="85">
        <v>6</v>
      </c>
      <c r="AK15" s="86">
        <f>AJ15*H15</f>
        <v>74.460000000000008</v>
      </c>
      <c r="AL15" s="87"/>
      <c r="AM15" s="29"/>
      <c r="AN15" s="88"/>
      <c r="AO15" s="88"/>
      <c r="AP15" s="110">
        <v>13</v>
      </c>
      <c r="AQ15" s="98">
        <f>AP15*H15</f>
        <v>161.33000000000001</v>
      </c>
      <c r="AR15" s="88"/>
      <c r="AS15" s="88"/>
      <c r="AT15" s="88">
        <v>11</v>
      </c>
      <c r="AU15" s="89">
        <f>AT15*H15</f>
        <v>136.51</v>
      </c>
      <c r="AV15" s="156">
        <f t="shared" si="0"/>
        <v>21063.19</v>
      </c>
      <c r="AW15" s="29"/>
      <c r="AX15" s="169">
        <v>11</v>
      </c>
      <c r="AY15" s="91">
        <f>H15*AX15</f>
        <v>136.51</v>
      </c>
      <c r="AZ15" s="90">
        <v>7</v>
      </c>
      <c r="BA15" s="91">
        <f t="shared" si="2"/>
        <v>136.51</v>
      </c>
      <c r="BB15" s="165">
        <f t="shared" si="3"/>
        <v>273.02</v>
      </c>
      <c r="BC15" s="92">
        <f t="shared" si="4"/>
        <v>21336.21</v>
      </c>
      <c r="BD15" s="139"/>
    </row>
    <row r="16" spans="1:56" s="2" customFormat="1" ht="37.5" customHeight="1" x14ac:dyDescent="0.25">
      <c r="A16" s="114">
        <v>47403</v>
      </c>
      <c r="B16" s="19" t="s">
        <v>6</v>
      </c>
      <c r="C16" s="23">
        <v>8.26</v>
      </c>
      <c r="D16" s="38">
        <v>287</v>
      </c>
      <c r="E16" s="38">
        <v>163222.83570709082</v>
      </c>
      <c r="F16" s="26">
        <v>19698</v>
      </c>
      <c r="G16" s="27">
        <f>C16*F16</f>
        <v>162705.47999999998</v>
      </c>
      <c r="H16" s="28">
        <v>7.42</v>
      </c>
      <c r="I16" s="26">
        <v>13377</v>
      </c>
      <c r="J16" s="27">
        <v>1</v>
      </c>
      <c r="K16" s="26">
        <f t="shared" si="6"/>
        <v>13378</v>
      </c>
      <c r="L16" s="27">
        <f t="shared" si="8"/>
        <v>110501.44</v>
      </c>
      <c r="M16" s="59">
        <v>438</v>
      </c>
      <c r="N16" s="59">
        <v>495</v>
      </c>
      <c r="O16" s="59">
        <v>249410.69999999998</v>
      </c>
      <c r="P16" s="26"/>
      <c r="Q16" s="27">
        <f t="shared" si="7"/>
        <v>0</v>
      </c>
      <c r="R16" s="29"/>
      <c r="S16" s="26"/>
      <c r="T16" s="27"/>
      <c r="U16" s="59">
        <v>251455.05</v>
      </c>
      <c r="V16" s="26"/>
      <c r="W16" s="27"/>
      <c r="X16" s="26">
        <v>1</v>
      </c>
      <c r="Y16" s="115">
        <f>X16*H16</f>
        <v>7.42</v>
      </c>
      <c r="Z16" s="33"/>
      <c r="AA16" s="27"/>
      <c r="AB16" s="26">
        <f>5028+3508+18642+687</f>
        <v>27865</v>
      </c>
      <c r="AC16" s="115">
        <f>AB16*H16</f>
        <v>206758.3</v>
      </c>
      <c r="AD16" s="26"/>
      <c r="AE16" s="26"/>
      <c r="AF16" s="26">
        <v>66753</v>
      </c>
      <c r="AG16" s="115">
        <f>AF16*H16</f>
        <v>495307.26</v>
      </c>
      <c r="AH16" s="85"/>
      <c r="AI16" s="107"/>
      <c r="AJ16" s="85">
        <v>240657</v>
      </c>
      <c r="AK16" s="86">
        <f>AJ16*H16</f>
        <v>1785674.94</v>
      </c>
      <c r="AL16" s="87">
        <v>166273.79999999999</v>
      </c>
      <c r="AM16" s="29"/>
      <c r="AN16" s="88"/>
      <c r="AO16" s="88"/>
      <c r="AP16" s="110">
        <v>587333</v>
      </c>
      <c r="AQ16" s="98">
        <f>AP16*H16</f>
        <v>4358010.8600000003</v>
      </c>
      <c r="AR16" s="88"/>
      <c r="AS16" s="88"/>
      <c r="AT16" s="88">
        <v>58541</v>
      </c>
      <c r="AU16" s="89">
        <f>AT16*H16</f>
        <v>434374.22</v>
      </c>
      <c r="AV16" s="156">
        <f t="shared" si="0"/>
        <v>7553339.9199999999</v>
      </c>
      <c r="AW16" s="29"/>
      <c r="AX16" s="169">
        <f>AT16*0.3-0.3</f>
        <v>17562</v>
      </c>
      <c r="AY16" s="91">
        <f>H16*AX16</f>
        <v>130310.04</v>
      </c>
      <c r="AZ16" s="90">
        <f>AT16*0.2-0.2</f>
        <v>11708</v>
      </c>
      <c r="BA16" s="91">
        <f t="shared" si="2"/>
        <v>130310.04</v>
      </c>
      <c r="BB16" s="165">
        <f t="shared" si="3"/>
        <v>260620.08</v>
      </c>
      <c r="BC16" s="92">
        <f t="shared" si="4"/>
        <v>7813960</v>
      </c>
      <c r="BD16" s="139"/>
    </row>
    <row r="17" spans="1:1857" s="18" customFormat="1" ht="44.25" customHeight="1" x14ac:dyDescent="0.25">
      <c r="A17" s="113">
        <v>47408</v>
      </c>
      <c r="B17" s="19" t="s">
        <v>18</v>
      </c>
      <c r="C17" s="23">
        <v>12.69</v>
      </c>
      <c r="D17" s="38"/>
      <c r="E17" s="38"/>
      <c r="F17" s="26"/>
      <c r="G17" s="27"/>
      <c r="H17" s="28">
        <v>10.63</v>
      </c>
      <c r="I17" s="26">
        <v>1937</v>
      </c>
      <c r="J17" s="27">
        <v>5609</v>
      </c>
      <c r="K17" s="26">
        <f t="shared" si="6"/>
        <v>7546</v>
      </c>
      <c r="L17" s="27">
        <f t="shared" si="8"/>
        <v>84204.200000000012</v>
      </c>
      <c r="M17" s="59"/>
      <c r="N17" s="59"/>
      <c r="O17" s="59"/>
      <c r="P17" s="26">
        <v>47736</v>
      </c>
      <c r="Q17" s="27">
        <f t="shared" si="7"/>
        <v>507433.68000000005</v>
      </c>
      <c r="R17" s="29"/>
      <c r="S17" s="26">
        <f>5382+15924+4</f>
        <v>21310</v>
      </c>
      <c r="T17" s="27">
        <f>H17*S17</f>
        <v>226525.30000000002</v>
      </c>
      <c r="U17" s="59"/>
      <c r="V17" s="26"/>
      <c r="W17" s="27"/>
      <c r="X17" s="26">
        <v>20</v>
      </c>
      <c r="Y17" s="27">
        <f>X17*H17</f>
        <v>212.60000000000002</v>
      </c>
      <c r="Z17" s="33"/>
      <c r="AA17" s="27"/>
      <c r="AB17" s="26">
        <v>1</v>
      </c>
      <c r="AC17" s="27">
        <f>AB17*H17</f>
        <v>10.63</v>
      </c>
      <c r="AD17" s="26"/>
      <c r="AE17" s="26"/>
      <c r="AF17" s="121">
        <v>3</v>
      </c>
      <c r="AG17" s="27">
        <f>AF17*H17</f>
        <v>31.89</v>
      </c>
      <c r="AH17" s="85"/>
      <c r="AI17" s="107"/>
      <c r="AJ17" s="85">
        <v>10</v>
      </c>
      <c r="AK17" s="86">
        <f>AJ17*H17</f>
        <v>106.30000000000001</v>
      </c>
      <c r="AL17" s="87"/>
      <c r="AM17" s="29"/>
      <c r="AN17" s="88"/>
      <c r="AO17" s="88"/>
      <c r="AP17" s="110">
        <v>2</v>
      </c>
      <c r="AQ17" s="98">
        <f>AP17*H17</f>
        <v>21.26</v>
      </c>
      <c r="AR17" s="88"/>
      <c r="AS17" s="88"/>
      <c r="AT17" s="88"/>
      <c r="AU17" s="89"/>
      <c r="AV17" s="156">
        <f t="shared" si="0"/>
        <v>818545.86000000022</v>
      </c>
      <c r="AW17" s="29"/>
      <c r="AX17" s="169">
        <v>2</v>
      </c>
      <c r="AY17" s="91">
        <f>H17*AX17</f>
        <v>21.26</v>
      </c>
      <c r="AZ17" s="90">
        <v>1</v>
      </c>
      <c r="BA17" s="91">
        <f t="shared" si="2"/>
        <v>21.26</v>
      </c>
      <c r="BB17" s="165">
        <f t="shared" si="3"/>
        <v>42.52</v>
      </c>
      <c r="BC17" s="92">
        <f t="shared" si="4"/>
        <v>818588.38000000024</v>
      </c>
      <c r="BD17" s="143"/>
    </row>
    <row r="18" spans="1:1857" s="2" customFormat="1" ht="42" customHeight="1" x14ac:dyDescent="0.25">
      <c r="A18" s="113">
        <v>47409</v>
      </c>
      <c r="B18" s="19" t="s">
        <v>7</v>
      </c>
      <c r="C18" s="23">
        <v>11.21</v>
      </c>
      <c r="D18" s="38">
        <v>2257</v>
      </c>
      <c r="E18" s="38">
        <v>1742032.0715846634</v>
      </c>
      <c r="F18" s="26">
        <v>75743</v>
      </c>
      <c r="G18" s="27">
        <f>C18*F18</f>
        <v>849079.03</v>
      </c>
      <c r="H18" s="28">
        <v>9.56</v>
      </c>
      <c r="I18" s="26">
        <v>51424</v>
      </c>
      <c r="J18" s="27">
        <v>17815</v>
      </c>
      <c r="K18" s="26">
        <f t="shared" si="6"/>
        <v>69239</v>
      </c>
      <c r="L18" s="27">
        <f t="shared" si="8"/>
        <v>746774.44000000006</v>
      </c>
      <c r="M18" s="59">
        <v>3441</v>
      </c>
      <c r="N18" s="59">
        <v>3888</v>
      </c>
      <c r="O18" s="59">
        <v>2658653.2800000003</v>
      </c>
      <c r="P18" s="26">
        <f>7250+17873+102041</f>
        <v>127164</v>
      </c>
      <c r="Q18" s="27">
        <f t="shared" si="7"/>
        <v>1215687.8400000001</v>
      </c>
      <c r="R18" s="29"/>
      <c r="S18" s="26">
        <f>45745+18056+31695+94480+622</f>
        <v>190598</v>
      </c>
      <c r="T18" s="27">
        <f>S18*H18</f>
        <v>1822116.8800000001</v>
      </c>
      <c r="U18" s="59">
        <v>2680445.52</v>
      </c>
      <c r="V18" s="26"/>
      <c r="W18" s="27"/>
      <c r="X18" s="26">
        <f>44169+23953+38989+73071+20</f>
        <v>180202</v>
      </c>
      <c r="Y18" s="27">
        <f>X18*H18</f>
        <v>1722731.12</v>
      </c>
      <c r="Z18" s="33"/>
      <c r="AA18" s="27"/>
      <c r="AB18" s="26">
        <f>10530+7369+16551+22669</f>
        <v>57119</v>
      </c>
      <c r="AC18" s="115">
        <f>AB18*H18</f>
        <v>546057.64</v>
      </c>
      <c r="AD18" s="26"/>
      <c r="AE18" s="26"/>
      <c r="AF18" s="121">
        <f>20+13083</f>
        <v>13103</v>
      </c>
      <c r="AG18" s="27">
        <f>AF18*H18</f>
        <v>125264.68000000001</v>
      </c>
      <c r="AH18" s="85"/>
      <c r="AI18" s="107"/>
      <c r="AJ18" s="85">
        <v>21011</v>
      </c>
      <c r="AK18" s="86">
        <f>AJ18*H18</f>
        <v>200865.16</v>
      </c>
      <c r="AL18" s="87">
        <v>1772435.5200000003</v>
      </c>
      <c r="AM18" s="29"/>
      <c r="AN18" s="88"/>
      <c r="AO18" s="88"/>
      <c r="AP18" s="110">
        <v>28574</v>
      </c>
      <c r="AQ18" s="98">
        <f>AP18*H18</f>
        <v>273167.44</v>
      </c>
      <c r="AR18" s="88"/>
      <c r="AS18" s="88"/>
      <c r="AT18" s="88">
        <v>169106</v>
      </c>
      <c r="AU18" s="89">
        <f>AT18*H18</f>
        <v>1616653.36</v>
      </c>
      <c r="AV18" s="156">
        <f t="shared" si="0"/>
        <v>9118397.5899999999</v>
      </c>
      <c r="AW18" s="29"/>
      <c r="AX18" s="169">
        <f>AT18*0.3+0.2</f>
        <v>50731.999999999993</v>
      </c>
      <c r="AY18" s="91">
        <f>H18*AX18</f>
        <v>484997.92</v>
      </c>
      <c r="AZ18" s="90">
        <f>AT18*0.25-0.5</f>
        <v>42276</v>
      </c>
      <c r="BA18" s="91">
        <f t="shared" si="2"/>
        <v>484997.92</v>
      </c>
      <c r="BB18" s="165">
        <f t="shared" si="3"/>
        <v>969995.84</v>
      </c>
      <c r="BC18" s="92">
        <f t="shared" si="4"/>
        <v>10088393.43</v>
      </c>
      <c r="BD18" s="139"/>
    </row>
    <row r="19" spans="1:1857" s="18" customFormat="1" ht="45" customHeight="1" x14ac:dyDescent="0.25">
      <c r="A19" s="113">
        <v>47406</v>
      </c>
      <c r="B19" s="19" t="s">
        <v>20</v>
      </c>
      <c r="C19" s="23">
        <v>15.98</v>
      </c>
      <c r="D19" s="38"/>
      <c r="E19" s="38"/>
      <c r="F19" s="26"/>
      <c r="G19" s="27"/>
      <c r="H19" s="28"/>
      <c r="I19" s="26"/>
      <c r="J19" s="27"/>
      <c r="K19" s="26"/>
      <c r="L19" s="27"/>
      <c r="M19" s="59"/>
      <c r="N19" s="59"/>
      <c r="O19" s="59"/>
      <c r="P19" s="26">
        <v>23332</v>
      </c>
      <c r="Q19" s="27">
        <f>P19*C19</f>
        <v>372845.36</v>
      </c>
      <c r="R19" s="29"/>
      <c r="S19" s="26">
        <f>1902+2</f>
        <v>1904</v>
      </c>
      <c r="T19" s="27">
        <f>C19*S19</f>
        <v>30425.920000000002</v>
      </c>
      <c r="U19" s="59"/>
      <c r="V19" s="26"/>
      <c r="W19" s="27"/>
      <c r="X19" s="26">
        <v>9</v>
      </c>
      <c r="Y19" s="27">
        <f>X19*C19</f>
        <v>143.82</v>
      </c>
      <c r="Z19" s="33"/>
      <c r="AA19" s="27"/>
      <c r="AB19" s="26">
        <v>2</v>
      </c>
      <c r="AC19" s="115">
        <f>AB19*C19</f>
        <v>31.96</v>
      </c>
      <c r="AD19" s="26"/>
      <c r="AE19" s="26"/>
      <c r="AF19" s="121">
        <f>20</f>
        <v>20</v>
      </c>
      <c r="AG19" s="115">
        <f>AF19*C19</f>
        <v>319.60000000000002</v>
      </c>
      <c r="AH19" s="85"/>
      <c r="AI19" s="107"/>
      <c r="AJ19" s="85">
        <v>5</v>
      </c>
      <c r="AK19" s="86">
        <f>AJ19*C19</f>
        <v>79.900000000000006</v>
      </c>
      <c r="AL19" s="87"/>
      <c r="AM19" s="29"/>
      <c r="AN19" s="88"/>
      <c r="AO19" s="88"/>
      <c r="AP19" s="110">
        <v>9</v>
      </c>
      <c r="AQ19" s="98">
        <f>AP19*C19</f>
        <v>143.82</v>
      </c>
      <c r="AR19" s="88"/>
      <c r="AS19" s="88"/>
      <c r="AT19" s="88">
        <v>13</v>
      </c>
      <c r="AU19" s="89">
        <f>AT19*C19</f>
        <v>207.74</v>
      </c>
      <c r="AV19" s="156">
        <f t="shared" si="0"/>
        <v>404198.12</v>
      </c>
      <c r="AW19" s="29"/>
      <c r="AX19" s="169">
        <v>13</v>
      </c>
      <c r="AY19" s="91">
        <f>C19*AX19</f>
        <v>207.74</v>
      </c>
      <c r="AZ19" s="90">
        <v>6</v>
      </c>
      <c r="BA19" s="91">
        <f t="shared" si="2"/>
        <v>207.74</v>
      </c>
      <c r="BB19" s="165">
        <f t="shared" si="3"/>
        <v>415.48</v>
      </c>
      <c r="BC19" s="92">
        <f t="shared" si="4"/>
        <v>404613.6</v>
      </c>
      <c r="BD19" s="143"/>
    </row>
    <row r="20" spans="1:1857" s="18" customFormat="1" ht="25.5" customHeight="1" x14ac:dyDescent="0.25">
      <c r="A20" s="113">
        <v>47416</v>
      </c>
      <c r="B20" s="19" t="s">
        <v>34</v>
      </c>
      <c r="C20" s="23"/>
      <c r="D20" s="38"/>
      <c r="E20" s="38"/>
      <c r="F20" s="26"/>
      <c r="G20" s="27"/>
      <c r="H20" s="28"/>
      <c r="I20" s="26"/>
      <c r="J20" s="27"/>
      <c r="K20" s="26"/>
      <c r="L20" s="27"/>
      <c r="M20" s="59"/>
      <c r="N20" s="59"/>
      <c r="O20" s="59"/>
      <c r="P20" s="26"/>
      <c r="Q20" s="27"/>
      <c r="R20" s="29">
        <v>2.85</v>
      </c>
      <c r="S20" s="26">
        <f>2783+1161</f>
        <v>3944</v>
      </c>
      <c r="T20" s="27">
        <f>R20*S20</f>
        <v>11240.4</v>
      </c>
      <c r="U20" s="59"/>
      <c r="V20" s="26"/>
      <c r="W20" s="27"/>
      <c r="X20" s="26">
        <f>2022+2270</f>
        <v>4292</v>
      </c>
      <c r="Y20" s="27">
        <f>X20*R20</f>
        <v>12232.2</v>
      </c>
      <c r="Z20" s="33"/>
      <c r="AA20" s="27"/>
      <c r="AB20" s="26">
        <f>1536+1446-6</f>
        <v>2976</v>
      </c>
      <c r="AC20" s="115">
        <f>AB20*R20</f>
        <v>8481.6</v>
      </c>
      <c r="AD20" s="26"/>
      <c r="AE20" s="26"/>
      <c r="AF20" s="121">
        <f>2055+1490</f>
        <v>3545</v>
      </c>
      <c r="AG20" s="27">
        <f>AF20*R20</f>
        <v>10103.25</v>
      </c>
      <c r="AH20" s="85"/>
      <c r="AI20" s="107"/>
      <c r="AJ20" s="85">
        <v>3466</v>
      </c>
      <c r="AK20" s="86">
        <f>AJ20*R20</f>
        <v>9878.1</v>
      </c>
      <c r="AL20" s="87"/>
      <c r="AM20" s="29"/>
      <c r="AN20" s="88"/>
      <c r="AO20" s="88"/>
      <c r="AP20" s="110">
        <v>5801</v>
      </c>
      <c r="AQ20" s="98">
        <f>AP20*R20</f>
        <v>16532.850000000002</v>
      </c>
      <c r="AR20" s="88"/>
      <c r="AS20" s="88"/>
      <c r="AT20" s="88">
        <f>8783</f>
        <v>8783</v>
      </c>
      <c r="AU20" s="89">
        <f>AT20*R20</f>
        <v>25031.55</v>
      </c>
      <c r="AV20" s="156">
        <f t="shared" si="0"/>
        <v>93499.95</v>
      </c>
      <c r="AW20" s="29"/>
      <c r="AX20" s="169">
        <v>8783</v>
      </c>
      <c r="AY20" s="91">
        <f>R20*AX20</f>
        <v>25031.55</v>
      </c>
      <c r="AZ20" s="90">
        <f t="shared" si="1"/>
        <v>8783</v>
      </c>
      <c r="BA20" s="91">
        <f t="shared" si="2"/>
        <v>25031.55</v>
      </c>
      <c r="BB20" s="165">
        <f t="shared" si="3"/>
        <v>50063.1</v>
      </c>
      <c r="BC20" s="92">
        <f t="shared" si="4"/>
        <v>143563.04999999999</v>
      </c>
      <c r="BD20" s="143"/>
    </row>
    <row r="21" spans="1:1857" s="18" customFormat="1" ht="24.75" customHeight="1" x14ac:dyDescent="0.25">
      <c r="A21" s="113">
        <v>47417</v>
      </c>
      <c r="B21" s="19" t="s">
        <v>21</v>
      </c>
      <c r="C21" s="23"/>
      <c r="D21" s="38"/>
      <c r="E21" s="38"/>
      <c r="F21" s="26"/>
      <c r="G21" s="27"/>
      <c r="H21" s="28"/>
      <c r="I21" s="26"/>
      <c r="J21" s="27"/>
      <c r="K21" s="26"/>
      <c r="L21" s="27"/>
      <c r="M21" s="59"/>
      <c r="N21" s="59"/>
      <c r="O21" s="59"/>
      <c r="P21" s="26"/>
      <c r="Q21" s="27"/>
      <c r="R21" s="29">
        <v>33.4</v>
      </c>
      <c r="S21" s="26">
        <v>128</v>
      </c>
      <c r="T21" s="27">
        <f>R21*S21</f>
        <v>4275.2</v>
      </c>
      <c r="U21" s="59"/>
      <c r="V21" s="26"/>
      <c r="W21" s="27"/>
      <c r="X21" s="26">
        <f>86+347+173+23</f>
        <v>629</v>
      </c>
      <c r="Y21" s="27">
        <f>X21*R21</f>
        <v>21008.6</v>
      </c>
      <c r="Z21" s="33"/>
      <c r="AA21" s="27"/>
      <c r="AB21" s="26">
        <f>76+87</f>
        <v>163</v>
      </c>
      <c r="AC21" s="115">
        <f>AB21*R21</f>
        <v>5444.2</v>
      </c>
      <c r="AD21" s="26"/>
      <c r="AE21" s="26"/>
      <c r="AF21" s="121">
        <f>222+25</f>
        <v>247</v>
      </c>
      <c r="AG21" s="27">
        <f>AF21*R21</f>
        <v>8249.7999999999993</v>
      </c>
      <c r="AH21" s="85"/>
      <c r="AI21" s="107"/>
      <c r="AJ21" s="85"/>
      <c r="AK21" s="86">
        <f>AH21*R21</f>
        <v>0</v>
      </c>
      <c r="AL21" s="87"/>
      <c r="AM21" s="29"/>
      <c r="AN21" s="88"/>
      <c r="AO21" s="88"/>
      <c r="AP21" s="110"/>
      <c r="AQ21" s="98"/>
      <c r="AR21" s="88"/>
      <c r="AS21" s="88"/>
      <c r="AT21" s="88"/>
      <c r="AU21" s="89"/>
      <c r="AV21" s="156">
        <f t="shared" si="0"/>
        <v>38977.800000000003</v>
      </c>
      <c r="AW21" s="29"/>
      <c r="AX21" s="169"/>
      <c r="AY21" s="91">
        <f>H21*AX21</f>
        <v>0</v>
      </c>
      <c r="AZ21" s="90">
        <f t="shared" si="1"/>
        <v>0</v>
      </c>
      <c r="BA21" s="91">
        <f t="shared" si="2"/>
        <v>0</v>
      </c>
      <c r="BB21" s="165">
        <f t="shared" si="3"/>
        <v>0</v>
      </c>
      <c r="BC21" s="92">
        <f t="shared" si="4"/>
        <v>38977.800000000003</v>
      </c>
      <c r="BD21" s="143"/>
    </row>
    <row r="22" spans="1:1857" s="18" customFormat="1" ht="39" customHeight="1" x14ac:dyDescent="0.25">
      <c r="A22" s="113" t="s">
        <v>3</v>
      </c>
      <c r="B22" s="19" t="s">
        <v>45</v>
      </c>
      <c r="C22" s="23">
        <v>6.79</v>
      </c>
      <c r="D22" s="38">
        <v>2</v>
      </c>
      <c r="E22" s="38">
        <v>935.01535838822474</v>
      </c>
      <c r="F22" s="31">
        <v>69</v>
      </c>
      <c r="G22" s="27">
        <f>C22*F22</f>
        <v>468.51</v>
      </c>
      <c r="H22" s="28"/>
      <c r="I22" s="31"/>
      <c r="J22" s="27"/>
      <c r="K22" s="31">
        <v>168</v>
      </c>
      <c r="L22" s="27">
        <f>C22*K22</f>
        <v>1140.72</v>
      </c>
      <c r="M22" s="59">
        <v>3.0494640320289292</v>
      </c>
      <c r="N22" s="59">
        <v>3</v>
      </c>
      <c r="O22" s="59">
        <v>1242.5700000000002</v>
      </c>
      <c r="P22" s="31">
        <v>225</v>
      </c>
      <c r="Q22" s="27">
        <f t="shared" ref="Q22:Q32" si="9">P22*C22</f>
        <v>1527.75</v>
      </c>
      <c r="R22" s="29"/>
      <c r="S22" s="31">
        <f>228-20</f>
        <v>208</v>
      </c>
      <c r="T22" s="27">
        <f t="shared" ref="T22:T28" si="10">C22*S22</f>
        <v>1412.32</v>
      </c>
      <c r="U22" s="59">
        <v>1252.7550000000001</v>
      </c>
      <c r="V22" s="31"/>
      <c r="W22" s="27"/>
      <c r="X22" s="31">
        <v>174</v>
      </c>
      <c r="Y22" s="27">
        <f t="shared" ref="Y22:Y28" si="11">X22*C22</f>
        <v>1181.46</v>
      </c>
      <c r="Z22" s="32"/>
      <c r="AA22" s="27"/>
      <c r="AB22" s="31">
        <v>114</v>
      </c>
      <c r="AC22" s="115">
        <f t="shared" ref="AC22:AC28" si="12">AB22*C22</f>
        <v>774.06000000000006</v>
      </c>
      <c r="AD22" s="26"/>
      <c r="AE22" s="26"/>
      <c r="AF22" s="122">
        <v>1050</v>
      </c>
      <c r="AG22" s="115">
        <f>AF22*C22</f>
        <v>7129.5</v>
      </c>
      <c r="AH22" s="85"/>
      <c r="AI22" s="107"/>
      <c r="AJ22" s="85">
        <v>40</v>
      </c>
      <c r="AK22" s="86">
        <f t="shared" ref="AK22:AK28" si="13">AJ22*C22</f>
        <v>271.60000000000002</v>
      </c>
      <c r="AL22" s="87">
        <v>828.38</v>
      </c>
      <c r="AM22" s="29"/>
      <c r="AN22" s="88"/>
      <c r="AO22" s="88"/>
      <c r="AP22" s="110">
        <v>90</v>
      </c>
      <c r="AQ22" s="98">
        <f t="shared" ref="AQ22:AQ28" si="14">AP22*C22</f>
        <v>611.1</v>
      </c>
      <c r="AR22" s="88"/>
      <c r="AS22" s="88"/>
      <c r="AT22" s="88">
        <v>148</v>
      </c>
      <c r="AU22" s="89">
        <f t="shared" ref="AU22:AU28" si="15">AT22*C22</f>
        <v>1004.92</v>
      </c>
      <c r="AV22" s="156">
        <f t="shared" si="0"/>
        <v>15521.94</v>
      </c>
      <c r="AW22" s="29"/>
      <c r="AX22" s="169">
        <v>148</v>
      </c>
      <c r="AY22" s="91">
        <f>C22*AX22</f>
        <v>1004.92</v>
      </c>
      <c r="AZ22" s="90">
        <f t="shared" si="1"/>
        <v>148</v>
      </c>
      <c r="BA22" s="91">
        <f t="shared" si="2"/>
        <v>1004.92</v>
      </c>
      <c r="BB22" s="165">
        <f t="shared" si="3"/>
        <v>2009.84</v>
      </c>
      <c r="BC22" s="92">
        <f t="shared" si="4"/>
        <v>17531.78</v>
      </c>
      <c r="BD22" s="143"/>
    </row>
    <row r="23" spans="1:1857" s="18" customFormat="1" ht="39" customHeight="1" x14ac:dyDescent="0.25">
      <c r="A23" s="113" t="s">
        <v>42</v>
      </c>
      <c r="B23" s="19" t="s">
        <v>46</v>
      </c>
      <c r="C23" s="23">
        <v>13.32</v>
      </c>
      <c r="D23" s="38"/>
      <c r="E23" s="38"/>
      <c r="F23" s="31">
        <v>814</v>
      </c>
      <c r="G23" s="27">
        <f t="shared" ref="G23:G28" si="16">C23*F23</f>
        <v>10842.48</v>
      </c>
      <c r="H23" s="28"/>
      <c r="I23" s="31"/>
      <c r="J23" s="27"/>
      <c r="K23" s="31">
        <v>696</v>
      </c>
      <c r="L23" s="27">
        <f t="shared" ref="L23:L32" si="17">C23*K23</f>
        <v>9270.7199999999993</v>
      </c>
      <c r="M23" s="59"/>
      <c r="N23" s="59"/>
      <c r="O23" s="59"/>
      <c r="P23" s="31">
        <v>614</v>
      </c>
      <c r="Q23" s="27">
        <f t="shared" si="9"/>
        <v>8178.4800000000005</v>
      </c>
      <c r="R23" s="29"/>
      <c r="S23" s="31">
        <f>690-121</f>
        <v>569</v>
      </c>
      <c r="T23" s="27">
        <f t="shared" si="10"/>
        <v>7579.08</v>
      </c>
      <c r="U23" s="59"/>
      <c r="V23" s="31"/>
      <c r="W23" s="27"/>
      <c r="X23" s="31">
        <v>498</v>
      </c>
      <c r="Y23" s="27">
        <f t="shared" si="11"/>
        <v>6633.3600000000006</v>
      </c>
      <c r="Z23" s="32"/>
      <c r="AA23" s="27"/>
      <c r="AB23" s="31">
        <v>217</v>
      </c>
      <c r="AC23" s="115">
        <f t="shared" si="12"/>
        <v>2890.44</v>
      </c>
      <c r="AD23" s="26"/>
      <c r="AE23" s="26"/>
      <c r="AF23" s="122">
        <v>3565</v>
      </c>
      <c r="AG23" s="115">
        <f t="shared" ref="AG23:AG28" si="18">AF23*C23</f>
        <v>47485.8</v>
      </c>
      <c r="AH23" s="85"/>
      <c r="AI23" s="107"/>
      <c r="AJ23" s="85">
        <v>213</v>
      </c>
      <c r="AK23" s="86">
        <f t="shared" si="13"/>
        <v>2837.16</v>
      </c>
      <c r="AL23" s="87"/>
      <c r="AM23" s="29"/>
      <c r="AN23" s="88"/>
      <c r="AO23" s="88"/>
      <c r="AP23" s="110">
        <v>358</v>
      </c>
      <c r="AQ23" s="98">
        <f t="shared" si="14"/>
        <v>4768.5600000000004</v>
      </c>
      <c r="AR23" s="88"/>
      <c r="AS23" s="88"/>
      <c r="AT23" s="88">
        <v>710</v>
      </c>
      <c r="AU23" s="89">
        <f t="shared" si="15"/>
        <v>9457.2000000000007</v>
      </c>
      <c r="AV23" s="156">
        <f t="shared" si="0"/>
        <v>109943.28</v>
      </c>
      <c r="AW23" s="29"/>
      <c r="AX23" s="169">
        <v>710</v>
      </c>
      <c r="AY23" s="91">
        <f>C23*AX23</f>
        <v>9457.2000000000007</v>
      </c>
      <c r="AZ23" s="90">
        <f t="shared" si="1"/>
        <v>710</v>
      </c>
      <c r="BA23" s="91">
        <f t="shared" si="2"/>
        <v>9457.2000000000007</v>
      </c>
      <c r="BB23" s="165">
        <f t="shared" si="3"/>
        <v>18914.400000000001</v>
      </c>
      <c r="BC23" s="92">
        <f t="shared" si="4"/>
        <v>128857.68</v>
      </c>
      <c r="BD23" s="143"/>
    </row>
    <row r="24" spans="1:1857" s="18" customFormat="1" ht="33.75" customHeight="1" x14ac:dyDescent="0.25">
      <c r="A24" s="113" t="s">
        <v>8</v>
      </c>
      <c r="B24" s="19" t="s">
        <v>47</v>
      </c>
      <c r="C24" s="23">
        <v>1.3</v>
      </c>
      <c r="D24" s="38">
        <v>17</v>
      </c>
      <c r="E24" s="38">
        <v>1521.6376598217796</v>
      </c>
      <c r="F24" s="31">
        <v>665</v>
      </c>
      <c r="G24" s="27">
        <f t="shared" si="16"/>
        <v>864.5</v>
      </c>
      <c r="H24" s="28"/>
      <c r="I24" s="31"/>
      <c r="J24" s="27"/>
      <c r="K24" s="31">
        <v>370</v>
      </c>
      <c r="L24" s="27">
        <f t="shared" si="17"/>
        <v>481</v>
      </c>
      <c r="M24" s="59">
        <v>26</v>
      </c>
      <c r="N24" s="59">
        <v>23</v>
      </c>
      <c r="O24" s="59">
        <v>1823.9</v>
      </c>
      <c r="P24" s="31">
        <v>348</v>
      </c>
      <c r="Q24" s="27">
        <f t="shared" si="9"/>
        <v>452.40000000000003</v>
      </c>
      <c r="R24" s="29"/>
      <c r="S24" s="31">
        <f>245-130</f>
        <v>115</v>
      </c>
      <c r="T24" s="27">
        <f t="shared" si="10"/>
        <v>149.5</v>
      </c>
      <c r="U24" s="59">
        <v>1838.8500000000001</v>
      </c>
      <c r="V24" s="31"/>
      <c r="W24" s="27"/>
      <c r="X24" s="31">
        <v>535</v>
      </c>
      <c r="Y24" s="27">
        <f t="shared" si="11"/>
        <v>695.5</v>
      </c>
      <c r="Z24" s="32"/>
      <c r="AA24" s="27"/>
      <c r="AB24" s="31">
        <v>329</v>
      </c>
      <c r="AC24" s="115">
        <f t="shared" si="12"/>
        <v>427.7</v>
      </c>
      <c r="AD24" s="26"/>
      <c r="AE24" s="26"/>
      <c r="AF24" s="122">
        <v>2560</v>
      </c>
      <c r="AG24" s="115">
        <f t="shared" si="18"/>
        <v>3328</v>
      </c>
      <c r="AH24" s="85"/>
      <c r="AI24" s="107"/>
      <c r="AJ24" s="85">
        <v>262</v>
      </c>
      <c r="AK24" s="86">
        <f t="shared" si="13"/>
        <v>340.6</v>
      </c>
      <c r="AL24" s="87">
        <v>1215.9333333333334</v>
      </c>
      <c r="AM24" s="29"/>
      <c r="AN24" s="88"/>
      <c r="AO24" s="88"/>
      <c r="AP24" s="110">
        <v>384</v>
      </c>
      <c r="AQ24" s="98">
        <f t="shared" si="14"/>
        <v>499.20000000000005</v>
      </c>
      <c r="AR24" s="88"/>
      <c r="AS24" s="88"/>
      <c r="AT24" s="88">
        <v>633</v>
      </c>
      <c r="AU24" s="89">
        <f t="shared" si="15"/>
        <v>822.9</v>
      </c>
      <c r="AV24" s="156">
        <f t="shared" si="0"/>
        <v>8061.3</v>
      </c>
      <c r="AW24" s="29"/>
      <c r="AX24" s="169">
        <v>633</v>
      </c>
      <c r="AY24" s="91">
        <f>C24*AX24</f>
        <v>822.9</v>
      </c>
      <c r="AZ24" s="90">
        <f t="shared" si="1"/>
        <v>633</v>
      </c>
      <c r="BA24" s="91">
        <f t="shared" si="2"/>
        <v>822.9</v>
      </c>
      <c r="BB24" s="165">
        <f t="shared" si="3"/>
        <v>1645.8</v>
      </c>
      <c r="BC24" s="92">
        <f t="shared" si="4"/>
        <v>9707.1</v>
      </c>
      <c r="BD24" s="143"/>
    </row>
    <row r="25" spans="1:1857" s="18" customFormat="1" ht="54.75" customHeight="1" x14ac:dyDescent="0.25">
      <c r="A25" s="113" t="s">
        <v>2</v>
      </c>
      <c r="B25" s="19" t="s">
        <v>48</v>
      </c>
      <c r="C25" s="23">
        <v>171.06</v>
      </c>
      <c r="D25" s="38">
        <v>4</v>
      </c>
      <c r="E25" s="38">
        <v>47111.554405269431</v>
      </c>
      <c r="F25" s="31">
        <v>128</v>
      </c>
      <c r="G25" s="27">
        <f t="shared" si="16"/>
        <v>21895.68</v>
      </c>
      <c r="H25" s="28"/>
      <c r="I25" s="31"/>
      <c r="J25" s="27"/>
      <c r="K25" s="31">
        <v>74</v>
      </c>
      <c r="L25" s="27">
        <f t="shared" si="17"/>
        <v>12658.44</v>
      </c>
      <c r="M25" s="59">
        <v>6</v>
      </c>
      <c r="N25" s="59">
        <v>5</v>
      </c>
      <c r="O25" s="59">
        <v>52173.299999999996</v>
      </c>
      <c r="P25" s="31">
        <v>109</v>
      </c>
      <c r="Q25" s="27">
        <f t="shared" si="9"/>
        <v>18645.54</v>
      </c>
      <c r="R25" s="29"/>
      <c r="S25" s="31">
        <f>130+1</f>
        <v>131</v>
      </c>
      <c r="T25" s="27">
        <f t="shared" si="10"/>
        <v>22408.86</v>
      </c>
      <c r="U25" s="59">
        <v>52600.95</v>
      </c>
      <c r="V25" s="31"/>
      <c r="W25" s="27"/>
      <c r="X25" s="31">
        <f>182+2</f>
        <v>184</v>
      </c>
      <c r="Y25" s="27">
        <f t="shared" si="11"/>
        <v>31475.040000000001</v>
      </c>
      <c r="Z25" s="32"/>
      <c r="AA25" s="27"/>
      <c r="AB25" s="31">
        <v>160</v>
      </c>
      <c r="AC25" s="115">
        <f t="shared" si="12"/>
        <v>27369.599999999999</v>
      </c>
      <c r="AD25" s="26"/>
      <c r="AE25" s="26"/>
      <c r="AF25" s="122">
        <v>912</v>
      </c>
      <c r="AG25" s="115">
        <f t="shared" si="18"/>
        <v>156006.72</v>
      </c>
      <c r="AH25" s="85"/>
      <c r="AI25" s="107"/>
      <c r="AJ25" s="85">
        <v>159</v>
      </c>
      <c r="AK25" s="86">
        <f t="shared" si="13"/>
        <v>27198.54</v>
      </c>
      <c r="AL25" s="87">
        <v>34782.200000000004</v>
      </c>
      <c r="AM25" s="29"/>
      <c r="AN25" s="88"/>
      <c r="AO25" s="88"/>
      <c r="AP25" s="110">
        <v>189</v>
      </c>
      <c r="AQ25" s="98">
        <f t="shared" si="14"/>
        <v>32330.34</v>
      </c>
      <c r="AR25" s="88"/>
      <c r="AS25" s="88"/>
      <c r="AT25" s="88">
        <v>166</v>
      </c>
      <c r="AU25" s="89">
        <f t="shared" si="15"/>
        <v>28395.96</v>
      </c>
      <c r="AV25" s="156">
        <f t="shared" si="0"/>
        <v>378384.72000000003</v>
      </c>
      <c r="AW25" s="29"/>
      <c r="AX25" s="169">
        <v>166</v>
      </c>
      <c r="AY25" s="91">
        <f>C25*AX25</f>
        <v>28395.96</v>
      </c>
      <c r="AZ25" s="90">
        <f t="shared" si="1"/>
        <v>166</v>
      </c>
      <c r="BA25" s="91">
        <f t="shared" si="2"/>
        <v>28395.96</v>
      </c>
      <c r="BB25" s="165">
        <f t="shared" si="3"/>
        <v>56791.92</v>
      </c>
      <c r="BC25" s="92">
        <f t="shared" si="4"/>
        <v>435176.64</v>
      </c>
      <c r="BD25" s="143"/>
    </row>
    <row r="26" spans="1:1857" s="18" customFormat="1" ht="42" customHeight="1" x14ac:dyDescent="0.25">
      <c r="A26" s="113" t="s">
        <v>43</v>
      </c>
      <c r="B26" s="19" t="s">
        <v>49</v>
      </c>
      <c r="C26" s="23">
        <v>13.32</v>
      </c>
      <c r="D26" s="38">
        <v>49</v>
      </c>
      <c r="E26" s="38">
        <v>44938.573204184577</v>
      </c>
      <c r="F26" s="31">
        <v>896</v>
      </c>
      <c r="G26" s="27">
        <f t="shared" si="16"/>
        <v>11934.720000000001</v>
      </c>
      <c r="H26" s="28"/>
      <c r="I26" s="31"/>
      <c r="J26" s="27"/>
      <c r="K26" s="31">
        <v>853</v>
      </c>
      <c r="L26" s="27">
        <f t="shared" si="17"/>
        <v>11361.960000000001</v>
      </c>
      <c r="M26" s="59">
        <v>75</v>
      </c>
      <c r="N26" s="59">
        <v>65</v>
      </c>
      <c r="O26" s="59">
        <v>52813.8</v>
      </c>
      <c r="P26" s="31">
        <v>701</v>
      </c>
      <c r="Q26" s="27">
        <f t="shared" si="9"/>
        <v>9337.32</v>
      </c>
      <c r="R26" s="29"/>
      <c r="S26" s="31">
        <f>682-97</f>
        <v>585</v>
      </c>
      <c r="T26" s="27">
        <f t="shared" si="10"/>
        <v>7792.2</v>
      </c>
      <c r="U26" s="59">
        <v>53246.700000000004</v>
      </c>
      <c r="V26" s="31"/>
      <c r="W26" s="27"/>
      <c r="X26" s="31">
        <v>546</v>
      </c>
      <c r="Y26" s="27">
        <f t="shared" si="11"/>
        <v>7272.72</v>
      </c>
      <c r="Z26" s="32"/>
      <c r="AA26" s="27"/>
      <c r="AB26" s="31">
        <v>279</v>
      </c>
      <c r="AC26" s="115">
        <f t="shared" si="12"/>
        <v>3716.28</v>
      </c>
      <c r="AD26" s="26"/>
      <c r="AE26" s="26"/>
      <c r="AF26" s="122">
        <v>4061</v>
      </c>
      <c r="AG26" s="115">
        <f t="shared" si="18"/>
        <v>54092.520000000004</v>
      </c>
      <c r="AH26" s="85"/>
      <c r="AI26" s="107"/>
      <c r="AJ26" s="85">
        <v>254</v>
      </c>
      <c r="AK26" s="86">
        <f t="shared" si="13"/>
        <v>3383.28</v>
      </c>
      <c r="AL26" s="87">
        <v>35209.200000000004</v>
      </c>
      <c r="AM26" s="29"/>
      <c r="AN26" s="88"/>
      <c r="AO26" s="88"/>
      <c r="AP26" s="110">
        <v>379</v>
      </c>
      <c r="AQ26" s="98">
        <f t="shared" si="14"/>
        <v>5048.28</v>
      </c>
      <c r="AR26" s="88"/>
      <c r="AS26" s="88"/>
      <c r="AT26" s="88">
        <v>739</v>
      </c>
      <c r="AU26" s="89">
        <f t="shared" si="15"/>
        <v>9843.48</v>
      </c>
      <c r="AV26" s="156">
        <f t="shared" si="0"/>
        <v>123782.76</v>
      </c>
      <c r="AW26" s="29"/>
      <c r="AX26" s="169">
        <v>739</v>
      </c>
      <c r="AY26" s="91">
        <f>C26*AX26</f>
        <v>9843.48</v>
      </c>
      <c r="AZ26" s="90">
        <f t="shared" si="1"/>
        <v>739</v>
      </c>
      <c r="BA26" s="97">
        <f t="shared" si="2"/>
        <v>9843.48</v>
      </c>
      <c r="BB26" s="165">
        <f t="shared" si="3"/>
        <v>19686.96</v>
      </c>
      <c r="BC26" s="92">
        <f t="shared" si="4"/>
        <v>143469.72</v>
      </c>
      <c r="BD26" s="143"/>
    </row>
    <row r="27" spans="1:1857" s="145" customFormat="1" ht="46.5" customHeight="1" x14ac:dyDescent="0.25">
      <c r="A27" s="113" t="s">
        <v>4</v>
      </c>
      <c r="B27" s="19" t="s">
        <v>50</v>
      </c>
      <c r="C27" s="23">
        <v>20.48</v>
      </c>
      <c r="D27" s="140">
        <v>8</v>
      </c>
      <c r="E27" s="140">
        <v>11280.774397520379</v>
      </c>
      <c r="F27" s="31">
        <v>168</v>
      </c>
      <c r="G27" s="27">
        <f t="shared" si="16"/>
        <v>3440.64</v>
      </c>
      <c r="H27" s="28"/>
      <c r="I27" s="31"/>
      <c r="J27" s="27"/>
      <c r="K27" s="31">
        <v>349</v>
      </c>
      <c r="L27" s="27">
        <f t="shared" si="17"/>
        <v>7147.52</v>
      </c>
      <c r="M27" s="59">
        <v>12</v>
      </c>
      <c r="N27" s="59">
        <v>10</v>
      </c>
      <c r="O27" s="59">
        <v>12492.800000000001</v>
      </c>
      <c r="P27" s="31">
        <v>428</v>
      </c>
      <c r="Q27" s="27">
        <f t="shared" si="9"/>
        <v>8765.44</v>
      </c>
      <c r="R27" s="29"/>
      <c r="S27" s="31">
        <f>453-66</f>
        <v>387</v>
      </c>
      <c r="T27" s="27">
        <f t="shared" si="10"/>
        <v>7925.76</v>
      </c>
      <c r="U27" s="141">
        <v>12595.2</v>
      </c>
      <c r="V27" s="31"/>
      <c r="W27" s="27"/>
      <c r="X27" s="31">
        <v>278</v>
      </c>
      <c r="Y27" s="27">
        <f>X27*AM27</f>
        <v>3233.1400000000003</v>
      </c>
      <c r="Z27" s="32"/>
      <c r="AA27" s="27"/>
      <c r="AB27" s="31">
        <f>155</f>
        <v>155</v>
      </c>
      <c r="AC27" s="115">
        <f>AB27*AM27</f>
        <v>1802.65</v>
      </c>
      <c r="AD27" s="26"/>
      <c r="AE27" s="26"/>
      <c r="AF27" s="122">
        <v>1059</v>
      </c>
      <c r="AG27" s="115">
        <f t="shared" si="18"/>
        <v>21688.32</v>
      </c>
      <c r="AH27" s="85"/>
      <c r="AI27" s="107"/>
      <c r="AJ27" s="85">
        <v>45</v>
      </c>
      <c r="AK27" s="86">
        <f t="shared" si="13"/>
        <v>921.6</v>
      </c>
      <c r="AL27" s="142">
        <v>8328.5333333333328</v>
      </c>
      <c r="AM27" s="29">
        <v>11.63</v>
      </c>
      <c r="AN27" s="88"/>
      <c r="AO27" s="88"/>
      <c r="AP27" s="110">
        <v>251</v>
      </c>
      <c r="AQ27" s="98">
        <f t="shared" si="14"/>
        <v>5140.4800000000005</v>
      </c>
      <c r="AR27" s="88"/>
      <c r="AS27" s="88"/>
      <c r="AT27" s="88">
        <v>599</v>
      </c>
      <c r="AU27" s="89">
        <f t="shared" si="15"/>
        <v>12267.52</v>
      </c>
      <c r="AV27" s="156">
        <f t="shared" si="0"/>
        <v>72333.070000000007</v>
      </c>
      <c r="AW27" s="29"/>
      <c r="AX27" s="169">
        <v>599</v>
      </c>
      <c r="AY27" s="88">
        <f>AX27*C27</f>
        <v>12267.52</v>
      </c>
      <c r="AZ27" s="88">
        <f t="shared" si="1"/>
        <v>599</v>
      </c>
      <c r="BA27" s="98">
        <f t="shared" si="2"/>
        <v>12267.52</v>
      </c>
      <c r="BB27" s="165">
        <f t="shared" si="3"/>
        <v>24535.040000000001</v>
      </c>
      <c r="BC27" s="92">
        <f t="shared" si="4"/>
        <v>96868.110000000015</v>
      </c>
      <c r="BD27" s="143"/>
      <c r="BE27" s="144"/>
      <c r="BF27" s="144"/>
      <c r="BG27" s="144"/>
      <c r="BH27" s="144"/>
      <c r="BI27" s="144"/>
      <c r="BJ27" s="144"/>
      <c r="BK27" s="144"/>
      <c r="BL27" s="144"/>
      <c r="BM27" s="144"/>
      <c r="BN27" s="144"/>
      <c r="BO27" s="144"/>
      <c r="BP27" s="144"/>
      <c r="BQ27" s="144"/>
      <c r="BR27" s="144"/>
      <c r="BS27" s="144"/>
      <c r="BT27" s="144"/>
      <c r="BU27" s="144"/>
      <c r="BV27" s="144"/>
      <c r="BW27" s="144"/>
      <c r="BX27" s="144"/>
      <c r="BY27" s="144"/>
      <c r="BZ27" s="144"/>
      <c r="CA27" s="144"/>
      <c r="CB27" s="144"/>
      <c r="CC27" s="144"/>
      <c r="CD27" s="144"/>
      <c r="CE27" s="144"/>
      <c r="CF27" s="144"/>
      <c r="CG27" s="144"/>
      <c r="CH27" s="144"/>
      <c r="CI27" s="144"/>
      <c r="CJ27" s="144"/>
      <c r="CK27" s="144"/>
      <c r="CL27" s="144"/>
      <c r="CM27" s="144"/>
      <c r="CN27" s="144"/>
      <c r="CO27" s="144"/>
      <c r="CP27" s="144"/>
      <c r="CQ27" s="144"/>
      <c r="CR27" s="144"/>
      <c r="CS27" s="144"/>
      <c r="CT27" s="144"/>
      <c r="CU27" s="144"/>
      <c r="CV27" s="144"/>
      <c r="CW27" s="144"/>
      <c r="CX27" s="144"/>
      <c r="CY27" s="144"/>
      <c r="CZ27" s="144"/>
      <c r="DA27" s="144"/>
      <c r="DB27" s="144"/>
      <c r="DC27" s="144"/>
      <c r="DD27" s="144"/>
      <c r="DE27" s="144"/>
      <c r="DF27" s="144"/>
      <c r="DG27" s="144"/>
      <c r="DH27" s="144"/>
      <c r="DI27" s="144"/>
      <c r="DJ27" s="144"/>
      <c r="DK27" s="144"/>
      <c r="DL27" s="144"/>
      <c r="DM27" s="144"/>
      <c r="DN27" s="144"/>
      <c r="DO27" s="144"/>
      <c r="DP27" s="144"/>
      <c r="DQ27" s="144"/>
      <c r="DR27" s="144"/>
      <c r="DS27" s="144"/>
      <c r="DT27" s="144"/>
      <c r="DU27" s="144"/>
      <c r="DV27" s="144"/>
      <c r="DW27" s="144"/>
      <c r="DX27" s="144"/>
      <c r="DY27" s="144"/>
      <c r="DZ27" s="144"/>
      <c r="EA27" s="144"/>
      <c r="EB27" s="144"/>
      <c r="EC27" s="144"/>
      <c r="ED27" s="144"/>
      <c r="EE27" s="144"/>
      <c r="EF27" s="144"/>
      <c r="EG27" s="144"/>
      <c r="EH27" s="144"/>
      <c r="EI27" s="144"/>
      <c r="EJ27" s="144"/>
      <c r="EK27" s="144"/>
      <c r="EL27" s="144"/>
      <c r="EM27" s="144"/>
      <c r="EN27" s="144"/>
      <c r="EO27" s="144"/>
      <c r="EP27" s="144"/>
      <c r="EQ27" s="144"/>
      <c r="ER27" s="144"/>
      <c r="ES27" s="144"/>
      <c r="ET27" s="144"/>
      <c r="EU27" s="144"/>
      <c r="EV27" s="144"/>
      <c r="EW27" s="144"/>
      <c r="EX27" s="144"/>
      <c r="EY27" s="144"/>
      <c r="EZ27" s="144"/>
      <c r="FA27" s="144"/>
      <c r="FB27" s="144"/>
      <c r="FC27" s="144"/>
      <c r="FD27" s="144"/>
      <c r="FE27" s="144"/>
      <c r="FF27" s="144"/>
      <c r="FG27" s="144"/>
      <c r="FH27" s="144"/>
      <c r="FI27" s="144"/>
      <c r="FJ27" s="144"/>
      <c r="FK27" s="144"/>
      <c r="FL27" s="144"/>
      <c r="FM27" s="144"/>
      <c r="FN27" s="144"/>
      <c r="FO27" s="144"/>
      <c r="FP27" s="144"/>
      <c r="FQ27" s="144"/>
      <c r="FR27" s="144"/>
      <c r="FS27" s="144"/>
      <c r="FT27" s="144"/>
      <c r="FU27" s="144"/>
      <c r="FV27" s="144"/>
      <c r="FW27" s="144"/>
      <c r="FX27" s="144"/>
      <c r="FY27" s="144"/>
      <c r="FZ27" s="144"/>
      <c r="GA27" s="144"/>
      <c r="GB27" s="144"/>
      <c r="GC27" s="144"/>
      <c r="GD27" s="144"/>
      <c r="GE27" s="144"/>
      <c r="GF27" s="144"/>
      <c r="GG27" s="144"/>
      <c r="GH27" s="144"/>
      <c r="GI27" s="144"/>
      <c r="GJ27" s="144"/>
      <c r="GK27" s="144"/>
      <c r="GL27" s="144"/>
      <c r="GM27" s="144"/>
      <c r="GN27" s="144"/>
      <c r="GO27" s="144"/>
      <c r="GP27" s="144"/>
      <c r="GQ27" s="144"/>
      <c r="GR27" s="144"/>
      <c r="GS27" s="144"/>
      <c r="GT27" s="144"/>
      <c r="GU27" s="144"/>
      <c r="GV27" s="144"/>
      <c r="GW27" s="144"/>
      <c r="GX27" s="144"/>
      <c r="GY27" s="144"/>
      <c r="GZ27" s="144"/>
      <c r="HA27" s="144"/>
      <c r="HB27" s="144"/>
      <c r="HC27" s="144"/>
      <c r="HD27" s="144"/>
      <c r="HE27" s="144"/>
      <c r="HF27" s="144"/>
      <c r="HG27" s="144"/>
      <c r="HH27" s="144"/>
      <c r="HI27" s="144"/>
      <c r="HJ27" s="144"/>
      <c r="HK27" s="144"/>
      <c r="HL27" s="144"/>
      <c r="HM27" s="144"/>
      <c r="HN27" s="144"/>
      <c r="HO27" s="144"/>
      <c r="HP27" s="144"/>
      <c r="HQ27" s="144"/>
      <c r="HR27" s="144"/>
      <c r="HS27" s="144"/>
      <c r="HT27" s="144"/>
      <c r="HU27" s="144"/>
      <c r="HV27" s="144"/>
      <c r="HW27" s="144"/>
      <c r="HX27" s="144"/>
      <c r="HY27" s="144"/>
      <c r="HZ27" s="144"/>
      <c r="IA27" s="144"/>
      <c r="IB27" s="144"/>
      <c r="IC27" s="144"/>
      <c r="ID27" s="144"/>
      <c r="IE27" s="144"/>
      <c r="IF27" s="144"/>
      <c r="IG27" s="144"/>
      <c r="IH27" s="144"/>
      <c r="II27" s="144"/>
      <c r="IJ27" s="144"/>
      <c r="IK27" s="144"/>
      <c r="IL27" s="144"/>
      <c r="IM27" s="144"/>
      <c r="IN27" s="144"/>
      <c r="IO27" s="144"/>
      <c r="IP27" s="144"/>
      <c r="IQ27" s="144"/>
      <c r="IR27" s="144"/>
      <c r="IS27" s="144"/>
      <c r="IT27" s="144"/>
      <c r="IU27" s="144"/>
      <c r="IV27" s="144"/>
      <c r="IW27" s="144"/>
      <c r="IX27" s="144"/>
      <c r="IY27" s="144"/>
      <c r="IZ27" s="144"/>
      <c r="JA27" s="144"/>
      <c r="JB27" s="144"/>
      <c r="JC27" s="144"/>
      <c r="JD27" s="144"/>
      <c r="JE27" s="144"/>
      <c r="JF27" s="144"/>
      <c r="JG27" s="144"/>
      <c r="JH27" s="144"/>
      <c r="JI27" s="144"/>
      <c r="JJ27" s="144"/>
      <c r="JK27" s="144"/>
      <c r="JL27" s="144"/>
      <c r="JM27" s="144"/>
      <c r="JN27" s="144"/>
      <c r="JO27" s="144"/>
      <c r="JP27" s="144"/>
      <c r="JQ27" s="144"/>
      <c r="JR27" s="144"/>
      <c r="JS27" s="144"/>
      <c r="JT27" s="144"/>
      <c r="JU27" s="144"/>
      <c r="JV27" s="144"/>
      <c r="JW27" s="144"/>
      <c r="JX27" s="144"/>
      <c r="JY27" s="144"/>
      <c r="JZ27" s="144"/>
      <c r="KA27" s="144"/>
      <c r="KB27" s="144"/>
      <c r="KC27" s="144"/>
      <c r="KD27" s="144"/>
      <c r="KE27" s="144"/>
      <c r="KF27" s="144"/>
      <c r="KG27" s="144"/>
      <c r="KH27" s="144"/>
      <c r="KI27" s="144"/>
      <c r="KJ27" s="144"/>
      <c r="KK27" s="144"/>
      <c r="KL27" s="144"/>
      <c r="KM27" s="144"/>
      <c r="KN27" s="144"/>
      <c r="KO27" s="144"/>
      <c r="KP27" s="144"/>
      <c r="KQ27" s="144"/>
      <c r="KR27" s="144"/>
      <c r="KS27" s="144"/>
      <c r="KT27" s="144"/>
      <c r="KU27" s="144"/>
      <c r="KV27" s="144"/>
      <c r="KW27" s="144"/>
      <c r="KX27" s="144"/>
      <c r="KY27" s="144"/>
      <c r="KZ27" s="144"/>
      <c r="LA27" s="144"/>
      <c r="LB27" s="144"/>
      <c r="LC27" s="144"/>
      <c r="LD27" s="144"/>
      <c r="LE27" s="144"/>
      <c r="LF27" s="144"/>
      <c r="LG27" s="144"/>
      <c r="LH27" s="144"/>
      <c r="LI27" s="144"/>
      <c r="LJ27" s="144"/>
      <c r="LK27" s="144"/>
      <c r="LL27" s="144"/>
      <c r="LM27" s="144"/>
      <c r="LN27" s="144"/>
      <c r="LO27" s="144"/>
      <c r="LP27" s="144"/>
      <c r="LQ27" s="144"/>
      <c r="LR27" s="144"/>
      <c r="LS27" s="144"/>
      <c r="LT27" s="144"/>
      <c r="LU27" s="144"/>
      <c r="LV27" s="144"/>
      <c r="LW27" s="144"/>
      <c r="LX27" s="144"/>
      <c r="LY27" s="144"/>
      <c r="LZ27" s="144"/>
      <c r="MA27" s="144"/>
      <c r="MB27" s="144"/>
      <c r="MC27" s="144"/>
      <c r="MD27" s="144"/>
      <c r="ME27" s="144"/>
      <c r="MF27" s="144"/>
      <c r="MG27" s="144"/>
      <c r="MH27" s="144"/>
      <c r="MI27" s="144"/>
      <c r="MJ27" s="144"/>
      <c r="MK27" s="144"/>
      <c r="ML27" s="144"/>
      <c r="MM27" s="144"/>
      <c r="MN27" s="144"/>
      <c r="MO27" s="144"/>
      <c r="MP27" s="144"/>
      <c r="MQ27" s="144"/>
      <c r="MR27" s="144"/>
      <c r="MS27" s="144"/>
      <c r="MT27" s="144"/>
      <c r="MU27" s="144"/>
      <c r="MV27" s="144"/>
      <c r="MW27" s="144"/>
      <c r="MX27" s="144"/>
      <c r="MY27" s="144"/>
      <c r="MZ27" s="144"/>
      <c r="NA27" s="144"/>
      <c r="NB27" s="144"/>
      <c r="NC27" s="144"/>
      <c r="ND27" s="144"/>
      <c r="NE27" s="144"/>
      <c r="NF27" s="144"/>
      <c r="NG27" s="144"/>
      <c r="NH27" s="144"/>
      <c r="NI27" s="144"/>
      <c r="NJ27" s="144"/>
      <c r="NK27" s="144"/>
      <c r="NL27" s="144"/>
      <c r="NM27" s="144"/>
      <c r="NN27" s="144"/>
      <c r="NO27" s="144"/>
      <c r="NP27" s="144"/>
      <c r="NQ27" s="144"/>
      <c r="NR27" s="144"/>
      <c r="NS27" s="144"/>
      <c r="NT27" s="144"/>
      <c r="NU27" s="144"/>
      <c r="NV27" s="144"/>
      <c r="NW27" s="144"/>
      <c r="NX27" s="144"/>
      <c r="NY27" s="144"/>
      <c r="NZ27" s="144"/>
      <c r="OA27" s="144"/>
      <c r="OB27" s="144"/>
      <c r="OC27" s="144"/>
      <c r="OD27" s="144"/>
      <c r="OE27" s="144"/>
      <c r="OF27" s="144"/>
      <c r="OG27" s="144"/>
      <c r="OH27" s="144"/>
      <c r="OI27" s="144"/>
      <c r="OJ27" s="144"/>
      <c r="OK27" s="144"/>
      <c r="OL27" s="144"/>
      <c r="OM27" s="144"/>
      <c r="ON27" s="144"/>
      <c r="OO27" s="144"/>
      <c r="OP27" s="144"/>
      <c r="OQ27" s="144"/>
      <c r="OR27" s="144"/>
      <c r="OS27" s="144"/>
      <c r="OT27" s="144"/>
      <c r="OU27" s="144"/>
      <c r="OV27" s="144"/>
      <c r="OW27" s="144"/>
      <c r="OX27" s="144"/>
      <c r="OY27" s="144"/>
      <c r="OZ27" s="144"/>
      <c r="PA27" s="144"/>
      <c r="PB27" s="144"/>
      <c r="PC27" s="144"/>
      <c r="PD27" s="144"/>
      <c r="PE27" s="144"/>
      <c r="PF27" s="144"/>
      <c r="PG27" s="144"/>
      <c r="PH27" s="144"/>
      <c r="PI27" s="144"/>
      <c r="PJ27" s="144"/>
      <c r="PK27" s="144"/>
      <c r="PL27" s="144"/>
      <c r="PM27" s="144"/>
      <c r="PN27" s="144"/>
      <c r="PO27" s="144"/>
      <c r="PP27" s="144"/>
      <c r="PQ27" s="144"/>
      <c r="PR27" s="144"/>
      <c r="PS27" s="144"/>
      <c r="PT27" s="144"/>
      <c r="PU27" s="144"/>
      <c r="PV27" s="144"/>
      <c r="PW27" s="144"/>
      <c r="PX27" s="144"/>
      <c r="PY27" s="144"/>
      <c r="PZ27" s="144"/>
      <c r="QA27" s="144"/>
      <c r="QB27" s="144"/>
      <c r="QC27" s="144"/>
      <c r="QD27" s="144"/>
      <c r="QE27" s="144"/>
      <c r="QF27" s="144"/>
      <c r="QG27" s="144"/>
      <c r="QH27" s="144"/>
      <c r="QI27" s="144"/>
      <c r="QJ27" s="144"/>
      <c r="QK27" s="144"/>
      <c r="QL27" s="144"/>
      <c r="QM27" s="144"/>
      <c r="QN27" s="144"/>
      <c r="QO27" s="144"/>
      <c r="QP27" s="144"/>
      <c r="QQ27" s="144"/>
      <c r="QR27" s="144"/>
      <c r="QS27" s="144"/>
      <c r="QT27" s="144"/>
      <c r="QU27" s="144"/>
      <c r="QV27" s="144"/>
      <c r="QW27" s="144"/>
      <c r="QX27" s="144"/>
      <c r="QY27" s="144"/>
      <c r="QZ27" s="144"/>
      <c r="RA27" s="144"/>
      <c r="RB27" s="144"/>
      <c r="RC27" s="144"/>
      <c r="RD27" s="144"/>
      <c r="RE27" s="144"/>
      <c r="RF27" s="144"/>
      <c r="RG27" s="144"/>
      <c r="RH27" s="144"/>
      <c r="RI27" s="144"/>
      <c r="RJ27" s="144"/>
      <c r="RK27" s="144"/>
      <c r="RL27" s="144"/>
      <c r="RM27" s="144"/>
      <c r="RN27" s="144"/>
      <c r="RO27" s="144"/>
      <c r="RP27" s="144"/>
      <c r="RQ27" s="144"/>
      <c r="RR27" s="144"/>
      <c r="RS27" s="144"/>
      <c r="RT27" s="144"/>
      <c r="RU27" s="144"/>
      <c r="RV27" s="144"/>
      <c r="RW27" s="144"/>
      <c r="RX27" s="144"/>
      <c r="RY27" s="144"/>
      <c r="RZ27" s="144"/>
      <c r="SA27" s="144"/>
      <c r="SB27" s="144"/>
      <c r="SC27" s="144"/>
      <c r="SD27" s="144"/>
      <c r="SE27" s="144"/>
      <c r="SF27" s="144"/>
      <c r="SG27" s="144"/>
      <c r="SH27" s="144"/>
      <c r="SI27" s="144"/>
      <c r="SJ27" s="144"/>
      <c r="SK27" s="144"/>
      <c r="SL27" s="144"/>
      <c r="SM27" s="144"/>
      <c r="SN27" s="144"/>
      <c r="SO27" s="144"/>
      <c r="SP27" s="144"/>
      <c r="SQ27" s="144"/>
      <c r="SR27" s="144"/>
      <c r="SS27" s="144"/>
      <c r="ST27" s="144"/>
      <c r="SU27" s="144"/>
      <c r="SV27" s="144"/>
      <c r="SW27" s="144"/>
      <c r="SX27" s="144"/>
      <c r="SY27" s="144"/>
      <c r="SZ27" s="144"/>
      <c r="TA27" s="144"/>
      <c r="TB27" s="144"/>
      <c r="TC27" s="144"/>
      <c r="TD27" s="144"/>
      <c r="TE27" s="144"/>
      <c r="TF27" s="144"/>
      <c r="TG27" s="144"/>
      <c r="TH27" s="144"/>
      <c r="TI27" s="144"/>
      <c r="TJ27" s="144"/>
      <c r="TK27" s="144"/>
      <c r="TL27" s="144"/>
      <c r="TM27" s="144"/>
      <c r="TN27" s="144"/>
      <c r="TO27" s="144"/>
      <c r="TP27" s="144"/>
      <c r="TQ27" s="144"/>
      <c r="TR27" s="144"/>
      <c r="TS27" s="144"/>
      <c r="TT27" s="144"/>
      <c r="TU27" s="144"/>
      <c r="TV27" s="144"/>
      <c r="TW27" s="144"/>
      <c r="TX27" s="144"/>
      <c r="TY27" s="144"/>
      <c r="TZ27" s="144"/>
      <c r="UA27" s="144"/>
      <c r="UB27" s="144"/>
      <c r="UC27" s="144"/>
      <c r="UD27" s="144"/>
      <c r="UE27" s="144"/>
      <c r="UF27" s="144"/>
      <c r="UG27" s="144"/>
      <c r="UH27" s="144"/>
      <c r="UI27" s="144"/>
      <c r="UJ27" s="144"/>
      <c r="UK27" s="144"/>
      <c r="UL27" s="144"/>
      <c r="UM27" s="144"/>
      <c r="UN27" s="144"/>
      <c r="UO27" s="144"/>
      <c r="UP27" s="144"/>
      <c r="UQ27" s="144"/>
      <c r="UR27" s="144"/>
      <c r="US27" s="144"/>
      <c r="UT27" s="144"/>
      <c r="UU27" s="144"/>
      <c r="UV27" s="144"/>
      <c r="UW27" s="144"/>
      <c r="UX27" s="144"/>
      <c r="UY27" s="144"/>
      <c r="UZ27" s="144"/>
      <c r="VA27" s="144"/>
      <c r="VB27" s="144"/>
      <c r="VC27" s="144"/>
      <c r="VD27" s="144"/>
      <c r="VE27" s="144"/>
      <c r="VF27" s="144"/>
      <c r="VG27" s="144"/>
      <c r="VH27" s="144"/>
      <c r="VI27" s="144"/>
      <c r="VJ27" s="144"/>
      <c r="VK27" s="144"/>
      <c r="VL27" s="144"/>
      <c r="VM27" s="144"/>
      <c r="VN27" s="144"/>
      <c r="VO27" s="144"/>
      <c r="VP27" s="144"/>
      <c r="VQ27" s="144"/>
      <c r="VR27" s="144"/>
      <c r="VS27" s="144"/>
      <c r="VT27" s="144"/>
      <c r="VU27" s="144"/>
      <c r="VV27" s="144"/>
      <c r="VW27" s="144"/>
      <c r="VX27" s="144"/>
      <c r="VY27" s="144"/>
      <c r="VZ27" s="144"/>
      <c r="WA27" s="144"/>
      <c r="WB27" s="144"/>
      <c r="WC27" s="144"/>
      <c r="WD27" s="144"/>
      <c r="WE27" s="144"/>
      <c r="WF27" s="144"/>
      <c r="WG27" s="144"/>
      <c r="WH27" s="144"/>
      <c r="WI27" s="144"/>
      <c r="WJ27" s="144"/>
      <c r="WK27" s="144"/>
      <c r="WL27" s="144"/>
      <c r="WM27" s="144"/>
      <c r="WN27" s="144"/>
      <c r="WO27" s="144"/>
      <c r="WP27" s="144"/>
      <c r="WQ27" s="144"/>
      <c r="WR27" s="144"/>
      <c r="WS27" s="144"/>
      <c r="WT27" s="144"/>
      <c r="WU27" s="144"/>
      <c r="WV27" s="144"/>
      <c r="WW27" s="144"/>
      <c r="WX27" s="144"/>
      <c r="WY27" s="144"/>
      <c r="WZ27" s="144"/>
      <c r="XA27" s="144"/>
      <c r="XB27" s="144"/>
      <c r="XC27" s="144"/>
      <c r="XD27" s="144"/>
      <c r="XE27" s="144"/>
      <c r="XF27" s="144"/>
      <c r="XG27" s="144"/>
      <c r="XH27" s="144"/>
      <c r="XI27" s="144"/>
      <c r="XJ27" s="144"/>
      <c r="XK27" s="144"/>
      <c r="XL27" s="144"/>
      <c r="XM27" s="144"/>
      <c r="XN27" s="144"/>
      <c r="XO27" s="144"/>
      <c r="XP27" s="144"/>
      <c r="XQ27" s="144"/>
      <c r="XR27" s="144"/>
      <c r="XS27" s="144"/>
      <c r="XT27" s="144"/>
      <c r="XU27" s="144"/>
      <c r="XV27" s="144"/>
      <c r="XW27" s="144"/>
      <c r="XX27" s="144"/>
      <c r="XY27" s="144"/>
      <c r="XZ27" s="144"/>
      <c r="YA27" s="144"/>
      <c r="YB27" s="144"/>
      <c r="YC27" s="144"/>
      <c r="YD27" s="144"/>
      <c r="YE27" s="144"/>
      <c r="YF27" s="144"/>
      <c r="YG27" s="144"/>
      <c r="YH27" s="144"/>
      <c r="YI27" s="144"/>
      <c r="YJ27" s="144"/>
      <c r="YK27" s="144"/>
      <c r="YL27" s="144"/>
      <c r="YM27" s="144"/>
      <c r="YN27" s="144"/>
      <c r="YO27" s="144"/>
      <c r="YP27" s="144"/>
      <c r="YQ27" s="144"/>
      <c r="YR27" s="144"/>
      <c r="YS27" s="144"/>
      <c r="YT27" s="144"/>
      <c r="YU27" s="144"/>
      <c r="YV27" s="144"/>
      <c r="YW27" s="144"/>
      <c r="YX27" s="144"/>
      <c r="YY27" s="144"/>
      <c r="YZ27" s="144"/>
      <c r="ZA27" s="144"/>
      <c r="ZB27" s="144"/>
      <c r="ZC27" s="144"/>
      <c r="ZD27" s="144"/>
      <c r="ZE27" s="144"/>
      <c r="ZF27" s="144"/>
      <c r="ZG27" s="144"/>
      <c r="ZH27" s="144"/>
      <c r="ZI27" s="144"/>
      <c r="ZJ27" s="144"/>
      <c r="ZK27" s="144"/>
      <c r="ZL27" s="144"/>
      <c r="ZM27" s="144"/>
      <c r="ZN27" s="144"/>
      <c r="ZO27" s="144"/>
      <c r="ZP27" s="144"/>
      <c r="ZQ27" s="144"/>
      <c r="ZR27" s="144"/>
      <c r="ZS27" s="144"/>
      <c r="ZT27" s="144"/>
      <c r="ZU27" s="144"/>
      <c r="ZV27" s="144"/>
      <c r="ZW27" s="144"/>
      <c r="ZX27" s="144"/>
      <c r="ZY27" s="144"/>
      <c r="ZZ27" s="144"/>
      <c r="AAA27" s="144"/>
      <c r="AAB27" s="144"/>
      <c r="AAC27" s="144"/>
      <c r="AAD27" s="144"/>
      <c r="AAE27" s="144"/>
      <c r="AAF27" s="144"/>
      <c r="AAG27" s="144"/>
      <c r="AAH27" s="144"/>
      <c r="AAI27" s="144"/>
      <c r="AAJ27" s="144"/>
      <c r="AAK27" s="144"/>
      <c r="AAL27" s="144"/>
      <c r="AAM27" s="144"/>
      <c r="AAN27" s="144"/>
      <c r="AAO27" s="144"/>
      <c r="AAP27" s="144"/>
      <c r="AAQ27" s="144"/>
      <c r="AAR27" s="144"/>
      <c r="AAS27" s="144"/>
      <c r="AAT27" s="144"/>
      <c r="AAU27" s="144"/>
      <c r="AAV27" s="144"/>
      <c r="AAW27" s="144"/>
      <c r="AAX27" s="144"/>
      <c r="AAY27" s="144"/>
      <c r="AAZ27" s="144"/>
      <c r="ABA27" s="144"/>
      <c r="ABB27" s="144"/>
      <c r="ABC27" s="144"/>
      <c r="ABD27" s="144"/>
      <c r="ABE27" s="144"/>
      <c r="ABF27" s="144"/>
      <c r="ABG27" s="144"/>
      <c r="ABH27" s="144"/>
      <c r="ABI27" s="144"/>
      <c r="ABJ27" s="144"/>
      <c r="ABK27" s="144"/>
      <c r="ABL27" s="144"/>
      <c r="ABM27" s="144"/>
      <c r="ABN27" s="144"/>
      <c r="ABO27" s="144"/>
      <c r="ABP27" s="144"/>
      <c r="ABQ27" s="144"/>
      <c r="ABR27" s="144"/>
      <c r="ABS27" s="144"/>
      <c r="ABT27" s="144"/>
      <c r="ABU27" s="144"/>
      <c r="ABV27" s="144"/>
      <c r="ABW27" s="144"/>
      <c r="ABX27" s="144"/>
      <c r="ABY27" s="144"/>
      <c r="ABZ27" s="144"/>
      <c r="ACA27" s="144"/>
      <c r="ACB27" s="144"/>
      <c r="ACC27" s="144"/>
      <c r="ACD27" s="144"/>
      <c r="ACE27" s="144"/>
      <c r="ACF27" s="144"/>
      <c r="ACG27" s="144"/>
      <c r="ACH27" s="144"/>
      <c r="ACI27" s="144"/>
      <c r="ACJ27" s="144"/>
      <c r="ACK27" s="144"/>
      <c r="ACL27" s="144"/>
      <c r="ACM27" s="144"/>
      <c r="ACN27" s="144"/>
      <c r="ACO27" s="144"/>
      <c r="ACP27" s="144"/>
      <c r="ACQ27" s="144"/>
      <c r="ACR27" s="144"/>
      <c r="ACS27" s="144"/>
      <c r="ACT27" s="144"/>
      <c r="ACU27" s="144"/>
      <c r="ACV27" s="144"/>
      <c r="ACW27" s="144"/>
      <c r="ACX27" s="144"/>
      <c r="ACY27" s="144"/>
      <c r="ACZ27" s="144"/>
      <c r="ADA27" s="144"/>
      <c r="ADB27" s="144"/>
      <c r="ADC27" s="144"/>
      <c r="ADD27" s="144"/>
      <c r="ADE27" s="144"/>
      <c r="ADF27" s="144"/>
      <c r="ADG27" s="144"/>
      <c r="ADH27" s="144"/>
      <c r="ADI27" s="144"/>
      <c r="ADJ27" s="144"/>
      <c r="ADK27" s="144"/>
      <c r="ADL27" s="144"/>
      <c r="ADM27" s="144"/>
      <c r="ADN27" s="144"/>
      <c r="ADO27" s="144"/>
      <c r="ADP27" s="144"/>
      <c r="ADQ27" s="144"/>
      <c r="ADR27" s="144"/>
      <c r="ADS27" s="144"/>
      <c r="ADT27" s="144"/>
      <c r="ADU27" s="144"/>
      <c r="ADV27" s="144"/>
      <c r="ADW27" s="144"/>
      <c r="ADX27" s="144"/>
      <c r="ADY27" s="144"/>
      <c r="ADZ27" s="144"/>
      <c r="AEA27" s="144"/>
      <c r="AEB27" s="144"/>
      <c r="AEC27" s="144"/>
      <c r="AED27" s="144"/>
      <c r="AEE27" s="144"/>
      <c r="AEF27" s="144"/>
      <c r="AEG27" s="144"/>
      <c r="AEH27" s="144"/>
      <c r="AEI27" s="144"/>
      <c r="AEJ27" s="144"/>
      <c r="AEK27" s="144"/>
      <c r="AEL27" s="144"/>
      <c r="AEM27" s="144"/>
      <c r="AEN27" s="144"/>
      <c r="AEO27" s="144"/>
      <c r="AEP27" s="144"/>
      <c r="AEQ27" s="144"/>
      <c r="AER27" s="144"/>
      <c r="AES27" s="144"/>
      <c r="AET27" s="144"/>
      <c r="AEU27" s="144"/>
      <c r="AEV27" s="144"/>
      <c r="AEW27" s="144"/>
      <c r="AEX27" s="144"/>
      <c r="AEY27" s="144"/>
      <c r="AEZ27" s="144"/>
      <c r="AFA27" s="144"/>
      <c r="AFB27" s="144"/>
      <c r="AFC27" s="144"/>
      <c r="AFD27" s="144"/>
      <c r="AFE27" s="144"/>
      <c r="AFF27" s="144"/>
      <c r="AFG27" s="144"/>
      <c r="AFH27" s="144"/>
      <c r="AFI27" s="144"/>
      <c r="AFJ27" s="144"/>
      <c r="AFK27" s="144"/>
      <c r="AFL27" s="144"/>
      <c r="AFM27" s="144"/>
      <c r="AFN27" s="144"/>
      <c r="AFO27" s="144"/>
      <c r="AFP27" s="144"/>
      <c r="AFQ27" s="144"/>
      <c r="AFR27" s="144"/>
      <c r="AFS27" s="144"/>
      <c r="AFT27" s="144"/>
      <c r="AFU27" s="144"/>
      <c r="AFV27" s="144"/>
      <c r="AFW27" s="144"/>
      <c r="AFX27" s="144"/>
      <c r="AFY27" s="144"/>
      <c r="AFZ27" s="144"/>
      <c r="AGA27" s="144"/>
      <c r="AGB27" s="144"/>
      <c r="AGC27" s="144"/>
      <c r="AGD27" s="144"/>
      <c r="AGE27" s="144"/>
      <c r="AGF27" s="144"/>
      <c r="AGG27" s="144"/>
      <c r="AGH27" s="144"/>
      <c r="AGI27" s="144"/>
      <c r="AGJ27" s="144"/>
      <c r="AGK27" s="144"/>
      <c r="AGL27" s="144"/>
      <c r="AGM27" s="144"/>
      <c r="AGN27" s="144"/>
      <c r="AGO27" s="144"/>
      <c r="AGP27" s="144"/>
      <c r="AGQ27" s="144"/>
      <c r="AGR27" s="144"/>
      <c r="AGS27" s="144"/>
      <c r="AGT27" s="144"/>
      <c r="AGU27" s="144"/>
      <c r="AGV27" s="144"/>
      <c r="AGW27" s="144"/>
      <c r="AGX27" s="144"/>
      <c r="AGY27" s="144"/>
      <c r="AGZ27" s="144"/>
      <c r="AHA27" s="144"/>
      <c r="AHB27" s="144"/>
      <c r="AHC27" s="144"/>
      <c r="AHD27" s="144"/>
      <c r="AHE27" s="144"/>
      <c r="AHF27" s="144"/>
      <c r="AHG27" s="144"/>
      <c r="AHH27" s="144"/>
      <c r="AHI27" s="144"/>
      <c r="AHJ27" s="144"/>
      <c r="AHK27" s="144"/>
      <c r="AHL27" s="144"/>
      <c r="AHM27" s="144"/>
      <c r="AHN27" s="144"/>
      <c r="AHO27" s="144"/>
      <c r="AHP27" s="144"/>
      <c r="AHQ27" s="144"/>
      <c r="AHR27" s="144"/>
      <c r="AHS27" s="144"/>
      <c r="AHT27" s="144"/>
      <c r="AHU27" s="144"/>
      <c r="AHV27" s="144"/>
      <c r="AHW27" s="144"/>
      <c r="AHX27" s="144"/>
      <c r="AHY27" s="144"/>
      <c r="AHZ27" s="144"/>
      <c r="AIA27" s="144"/>
      <c r="AIB27" s="144"/>
      <c r="AIC27" s="144"/>
      <c r="AID27" s="144"/>
      <c r="AIE27" s="144"/>
      <c r="AIF27" s="144"/>
      <c r="AIG27" s="144"/>
      <c r="AIH27" s="144"/>
      <c r="AII27" s="144"/>
      <c r="AIJ27" s="144"/>
      <c r="AIK27" s="144"/>
      <c r="AIL27" s="144"/>
      <c r="AIM27" s="144"/>
      <c r="AIN27" s="144"/>
      <c r="AIO27" s="144"/>
      <c r="AIP27" s="144"/>
      <c r="AIQ27" s="144"/>
      <c r="AIR27" s="144"/>
      <c r="AIS27" s="144"/>
      <c r="AIT27" s="144"/>
      <c r="AIU27" s="144"/>
      <c r="AIV27" s="144"/>
      <c r="AIW27" s="144"/>
      <c r="AIX27" s="144"/>
      <c r="AIY27" s="144"/>
      <c r="AIZ27" s="144"/>
      <c r="AJA27" s="144"/>
      <c r="AJB27" s="144"/>
      <c r="AJC27" s="144"/>
      <c r="AJD27" s="144"/>
      <c r="AJE27" s="144"/>
      <c r="AJF27" s="144"/>
      <c r="AJG27" s="144"/>
      <c r="AJH27" s="144"/>
      <c r="AJI27" s="144"/>
      <c r="AJJ27" s="144"/>
      <c r="AJK27" s="144"/>
      <c r="AJL27" s="144"/>
      <c r="AJM27" s="144"/>
      <c r="AJN27" s="144"/>
      <c r="AJO27" s="144"/>
      <c r="AJP27" s="144"/>
      <c r="AJQ27" s="144"/>
      <c r="AJR27" s="144"/>
      <c r="AJS27" s="144"/>
      <c r="AJT27" s="144"/>
      <c r="AJU27" s="144"/>
      <c r="AJV27" s="144"/>
      <c r="AJW27" s="144"/>
      <c r="AJX27" s="144"/>
      <c r="AJY27" s="144"/>
      <c r="AJZ27" s="144"/>
      <c r="AKA27" s="144"/>
      <c r="AKB27" s="144"/>
      <c r="AKC27" s="144"/>
      <c r="AKD27" s="144"/>
      <c r="AKE27" s="144"/>
      <c r="AKF27" s="144"/>
      <c r="AKG27" s="144"/>
      <c r="AKH27" s="144"/>
      <c r="AKI27" s="144"/>
      <c r="AKJ27" s="144"/>
      <c r="AKK27" s="144"/>
      <c r="AKL27" s="144"/>
      <c r="AKM27" s="144"/>
      <c r="AKN27" s="144"/>
      <c r="AKO27" s="144"/>
      <c r="AKP27" s="144"/>
      <c r="AKQ27" s="144"/>
      <c r="AKR27" s="144"/>
      <c r="AKS27" s="144"/>
      <c r="AKT27" s="144"/>
      <c r="AKU27" s="144"/>
      <c r="AKV27" s="144"/>
      <c r="AKW27" s="144"/>
      <c r="AKX27" s="144"/>
      <c r="AKY27" s="144"/>
      <c r="AKZ27" s="144"/>
      <c r="ALA27" s="144"/>
      <c r="ALB27" s="144"/>
      <c r="ALC27" s="144"/>
      <c r="ALD27" s="144"/>
      <c r="ALE27" s="144"/>
      <c r="ALF27" s="144"/>
      <c r="ALG27" s="144"/>
      <c r="ALH27" s="144"/>
      <c r="ALI27" s="144"/>
      <c r="ALJ27" s="144"/>
      <c r="ALK27" s="144"/>
      <c r="ALL27" s="144"/>
      <c r="ALM27" s="144"/>
      <c r="ALN27" s="144"/>
      <c r="ALO27" s="144"/>
      <c r="ALP27" s="144"/>
      <c r="ALQ27" s="144"/>
      <c r="ALR27" s="144"/>
      <c r="ALS27" s="144"/>
      <c r="ALT27" s="144"/>
      <c r="ALU27" s="144"/>
      <c r="ALV27" s="144"/>
      <c r="ALW27" s="144"/>
      <c r="ALX27" s="144"/>
      <c r="ALY27" s="144"/>
      <c r="ALZ27" s="144"/>
      <c r="AMA27" s="144"/>
      <c r="AMB27" s="144"/>
      <c r="AMC27" s="144"/>
      <c r="AMD27" s="144"/>
      <c r="AME27" s="144"/>
      <c r="AMF27" s="144"/>
      <c r="AMG27" s="144"/>
      <c r="AMH27" s="144"/>
      <c r="AMI27" s="144"/>
      <c r="AMJ27" s="144"/>
      <c r="AMK27" s="144"/>
      <c r="AML27" s="144"/>
      <c r="AMM27" s="144"/>
      <c r="AMN27" s="144"/>
      <c r="AMO27" s="144"/>
      <c r="AMP27" s="144"/>
      <c r="AMQ27" s="144"/>
      <c r="AMR27" s="144"/>
      <c r="AMS27" s="144"/>
      <c r="AMT27" s="144"/>
      <c r="AMU27" s="144"/>
      <c r="AMV27" s="144"/>
      <c r="AMW27" s="144"/>
      <c r="AMX27" s="144"/>
      <c r="AMY27" s="144"/>
      <c r="AMZ27" s="144"/>
      <c r="ANA27" s="144"/>
      <c r="ANB27" s="144"/>
      <c r="ANC27" s="144"/>
      <c r="AND27" s="144"/>
      <c r="ANE27" s="144"/>
      <c r="ANF27" s="144"/>
      <c r="ANG27" s="144"/>
      <c r="ANH27" s="144"/>
      <c r="ANI27" s="144"/>
      <c r="ANJ27" s="144"/>
      <c r="ANK27" s="144"/>
      <c r="ANL27" s="144"/>
      <c r="ANM27" s="144"/>
      <c r="ANN27" s="144"/>
      <c r="ANO27" s="144"/>
      <c r="ANP27" s="144"/>
      <c r="ANQ27" s="144"/>
      <c r="ANR27" s="144"/>
      <c r="ANS27" s="144"/>
      <c r="ANT27" s="144"/>
      <c r="ANU27" s="144"/>
      <c r="ANV27" s="144"/>
      <c r="ANW27" s="144"/>
      <c r="ANX27" s="144"/>
      <c r="ANY27" s="144"/>
      <c r="ANZ27" s="144"/>
      <c r="AOA27" s="144"/>
      <c r="AOB27" s="144"/>
      <c r="AOC27" s="144"/>
      <c r="AOD27" s="144"/>
      <c r="AOE27" s="144"/>
      <c r="AOF27" s="144"/>
      <c r="AOG27" s="144"/>
      <c r="AOH27" s="144"/>
      <c r="AOI27" s="144"/>
      <c r="AOJ27" s="144"/>
      <c r="AOK27" s="144"/>
      <c r="AOL27" s="144"/>
      <c r="AOM27" s="144"/>
      <c r="AON27" s="144"/>
      <c r="AOO27" s="144"/>
      <c r="AOP27" s="144"/>
      <c r="AOQ27" s="144"/>
      <c r="AOR27" s="144"/>
      <c r="AOS27" s="144"/>
      <c r="AOT27" s="144"/>
      <c r="AOU27" s="144"/>
      <c r="AOV27" s="144"/>
      <c r="AOW27" s="144"/>
      <c r="AOX27" s="144"/>
      <c r="AOY27" s="144"/>
      <c r="AOZ27" s="144"/>
      <c r="APA27" s="144"/>
      <c r="APB27" s="144"/>
      <c r="APC27" s="144"/>
      <c r="APD27" s="144"/>
      <c r="APE27" s="144"/>
      <c r="APF27" s="144"/>
      <c r="APG27" s="144"/>
      <c r="APH27" s="144"/>
      <c r="API27" s="144"/>
      <c r="APJ27" s="144"/>
      <c r="APK27" s="144"/>
      <c r="APL27" s="144"/>
      <c r="APM27" s="144"/>
      <c r="APN27" s="144"/>
      <c r="APO27" s="144"/>
      <c r="APP27" s="144"/>
      <c r="APQ27" s="144"/>
      <c r="APR27" s="144"/>
      <c r="APS27" s="144"/>
      <c r="APT27" s="144"/>
      <c r="APU27" s="144"/>
      <c r="APV27" s="144"/>
      <c r="APW27" s="144"/>
      <c r="APX27" s="144"/>
      <c r="APY27" s="144"/>
      <c r="APZ27" s="144"/>
      <c r="AQA27" s="144"/>
      <c r="AQB27" s="144"/>
      <c r="AQC27" s="144"/>
      <c r="AQD27" s="144"/>
      <c r="AQE27" s="144"/>
      <c r="AQF27" s="144"/>
      <c r="AQG27" s="144"/>
      <c r="AQH27" s="144"/>
      <c r="AQI27" s="144"/>
      <c r="AQJ27" s="144"/>
      <c r="AQK27" s="144"/>
      <c r="AQL27" s="144"/>
      <c r="AQM27" s="144"/>
      <c r="AQN27" s="144"/>
      <c r="AQO27" s="144"/>
      <c r="AQP27" s="144"/>
      <c r="AQQ27" s="144"/>
      <c r="AQR27" s="144"/>
      <c r="AQS27" s="144"/>
      <c r="AQT27" s="144"/>
      <c r="AQU27" s="144"/>
      <c r="AQV27" s="144"/>
      <c r="AQW27" s="144"/>
      <c r="AQX27" s="144"/>
      <c r="AQY27" s="144"/>
      <c r="AQZ27" s="144"/>
      <c r="ARA27" s="144"/>
      <c r="ARB27" s="144"/>
      <c r="ARC27" s="144"/>
      <c r="ARD27" s="144"/>
      <c r="ARE27" s="144"/>
      <c r="ARF27" s="144"/>
      <c r="ARG27" s="144"/>
      <c r="ARH27" s="144"/>
      <c r="ARI27" s="144"/>
      <c r="ARJ27" s="144"/>
      <c r="ARK27" s="144"/>
      <c r="ARL27" s="144"/>
      <c r="ARM27" s="144"/>
      <c r="ARN27" s="144"/>
      <c r="ARO27" s="144"/>
      <c r="ARP27" s="144"/>
      <c r="ARQ27" s="144"/>
      <c r="ARR27" s="144"/>
      <c r="ARS27" s="144"/>
      <c r="ART27" s="144"/>
      <c r="ARU27" s="144"/>
      <c r="ARV27" s="144"/>
      <c r="ARW27" s="144"/>
      <c r="ARX27" s="144"/>
      <c r="ARY27" s="144"/>
      <c r="ARZ27" s="144"/>
      <c r="ASA27" s="144"/>
      <c r="ASB27" s="144"/>
      <c r="ASC27" s="144"/>
      <c r="ASD27" s="144"/>
      <c r="ASE27" s="144"/>
      <c r="ASF27" s="144"/>
      <c r="ASG27" s="144"/>
      <c r="ASH27" s="144"/>
      <c r="ASI27" s="144"/>
      <c r="ASJ27" s="144"/>
      <c r="ASK27" s="144"/>
      <c r="ASL27" s="144"/>
      <c r="ASM27" s="144"/>
      <c r="ASN27" s="144"/>
      <c r="ASO27" s="144"/>
      <c r="ASP27" s="144"/>
      <c r="ASQ27" s="144"/>
      <c r="ASR27" s="144"/>
      <c r="ASS27" s="144"/>
      <c r="AST27" s="144"/>
      <c r="ASU27" s="144"/>
      <c r="ASV27" s="144"/>
      <c r="ASW27" s="144"/>
      <c r="ASX27" s="144"/>
      <c r="ASY27" s="144"/>
      <c r="ASZ27" s="144"/>
      <c r="ATA27" s="144"/>
      <c r="ATB27" s="144"/>
      <c r="ATC27" s="144"/>
      <c r="ATD27" s="144"/>
      <c r="ATE27" s="144"/>
      <c r="ATF27" s="144"/>
      <c r="ATG27" s="144"/>
      <c r="ATH27" s="144"/>
      <c r="ATI27" s="144"/>
      <c r="ATJ27" s="144"/>
      <c r="ATK27" s="144"/>
      <c r="ATL27" s="144"/>
      <c r="ATM27" s="144"/>
      <c r="ATN27" s="144"/>
      <c r="ATO27" s="144"/>
      <c r="ATP27" s="144"/>
      <c r="ATQ27" s="144"/>
      <c r="ATR27" s="144"/>
      <c r="ATS27" s="144"/>
      <c r="ATT27" s="144"/>
      <c r="ATU27" s="144"/>
      <c r="ATV27" s="144"/>
      <c r="ATW27" s="144"/>
      <c r="ATX27" s="144"/>
      <c r="ATY27" s="144"/>
      <c r="ATZ27" s="144"/>
      <c r="AUA27" s="144"/>
      <c r="AUB27" s="144"/>
      <c r="AUC27" s="144"/>
      <c r="AUD27" s="144"/>
      <c r="AUE27" s="144"/>
      <c r="AUF27" s="144"/>
      <c r="AUG27" s="144"/>
      <c r="AUH27" s="144"/>
      <c r="AUI27" s="144"/>
      <c r="AUJ27" s="144"/>
      <c r="AUK27" s="144"/>
      <c r="AUL27" s="144"/>
      <c r="AUM27" s="144"/>
      <c r="AUN27" s="144"/>
      <c r="AUO27" s="144"/>
      <c r="AUP27" s="144"/>
      <c r="AUQ27" s="144"/>
      <c r="AUR27" s="144"/>
      <c r="AUS27" s="144"/>
      <c r="AUT27" s="144"/>
      <c r="AUU27" s="144"/>
      <c r="AUV27" s="144"/>
      <c r="AUW27" s="144"/>
      <c r="AUX27" s="144"/>
      <c r="AUY27" s="144"/>
      <c r="AUZ27" s="144"/>
      <c r="AVA27" s="144"/>
      <c r="AVB27" s="144"/>
      <c r="AVC27" s="144"/>
      <c r="AVD27" s="144"/>
      <c r="AVE27" s="144"/>
      <c r="AVF27" s="144"/>
      <c r="AVG27" s="144"/>
      <c r="AVH27" s="144"/>
      <c r="AVI27" s="144"/>
      <c r="AVJ27" s="144"/>
      <c r="AVK27" s="144"/>
      <c r="AVL27" s="144"/>
      <c r="AVM27" s="144"/>
      <c r="AVN27" s="144"/>
      <c r="AVO27" s="144"/>
      <c r="AVP27" s="144"/>
      <c r="AVQ27" s="144"/>
      <c r="AVR27" s="144"/>
      <c r="AVS27" s="144"/>
      <c r="AVT27" s="144"/>
      <c r="AVU27" s="144"/>
      <c r="AVV27" s="144"/>
      <c r="AVW27" s="144"/>
      <c r="AVX27" s="144"/>
      <c r="AVY27" s="144"/>
      <c r="AVZ27" s="144"/>
      <c r="AWA27" s="144"/>
      <c r="AWB27" s="144"/>
      <c r="AWC27" s="144"/>
      <c r="AWD27" s="144"/>
      <c r="AWE27" s="144"/>
      <c r="AWF27" s="144"/>
      <c r="AWG27" s="144"/>
      <c r="AWH27" s="144"/>
      <c r="AWI27" s="144"/>
      <c r="AWJ27" s="144"/>
      <c r="AWK27" s="144"/>
      <c r="AWL27" s="144"/>
      <c r="AWM27" s="144"/>
      <c r="AWN27" s="144"/>
      <c r="AWO27" s="144"/>
      <c r="AWP27" s="144"/>
      <c r="AWQ27" s="144"/>
      <c r="AWR27" s="144"/>
      <c r="AWS27" s="144"/>
      <c r="AWT27" s="144"/>
      <c r="AWU27" s="144"/>
      <c r="AWV27" s="144"/>
      <c r="AWW27" s="144"/>
      <c r="AWX27" s="144"/>
      <c r="AWY27" s="144"/>
      <c r="AWZ27" s="144"/>
      <c r="AXA27" s="144"/>
      <c r="AXB27" s="144"/>
      <c r="AXC27" s="144"/>
      <c r="AXD27" s="144"/>
      <c r="AXE27" s="144"/>
      <c r="AXF27" s="144"/>
      <c r="AXG27" s="144"/>
      <c r="AXH27" s="144"/>
      <c r="AXI27" s="144"/>
      <c r="AXJ27" s="144"/>
      <c r="AXK27" s="144"/>
      <c r="AXL27" s="144"/>
      <c r="AXM27" s="144"/>
      <c r="AXN27" s="144"/>
      <c r="AXO27" s="144"/>
      <c r="AXP27" s="144"/>
      <c r="AXQ27" s="144"/>
      <c r="AXR27" s="144"/>
      <c r="AXS27" s="144"/>
      <c r="AXT27" s="144"/>
      <c r="AXU27" s="144"/>
      <c r="AXV27" s="144"/>
      <c r="AXW27" s="144"/>
      <c r="AXX27" s="144"/>
      <c r="AXY27" s="144"/>
      <c r="AXZ27" s="144"/>
      <c r="AYA27" s="144"/>
      <c r="AYB27" s="144"/>
      <c r="AYC27" s="144"/>
      <c r="AYD27" s="144"/>
      <c r="AYE27" s="144"/>
      <c r="AYF27" s="144"/>
      <c r="AYG27" s="144"/>
      <c r="AYH27" s="144"/>
      <c r="AYI27" s="144"/>
      <c r="AYJ27" s="144"/>
      <c r="AYK27" s="144"/>
      <c r="AYL27" s="144"/>
      <c r="AYM27" s="144"/>
      <c r="AYN27" s="144"/>
      <c r="AYO27" s="144"/>
      <c r="AYP27" s="144"/>
      <c r="AYQ27" s="144"/>
      <c r="AYR27" s="144"/>
      <c r="AYS27" s="144"/>
      <c r="AYT27" s="144"/>
      <c r="AYU27" s="144"/>
      <c r="AYV27" s="144"/>
      <c r="AYW27" s="144"/>
      <c r="AYX27" s="144"/>
      <c r="AYY27" s="144"/>
      <c r="AYZ27" s="144"/>
      <c r="AZA27" s="144"/>
      <c r="AZB27" s="144"/>
      <c r="AZC27" s="144"/>
      <c r="AZD27" s="144"/>
      <c r="AZE27" s="144"/>
      <c r="AZF27" s="144"/>
      <c r="AZG27" s="144"/>
      <c r="AZH27" s="144"/>
      <c r="AZI27" s="144"/>
      <c r="AZJ27" s="144"/>
      <c r="AZK27" s="144"/>
      <c r="AZL27" s="144"/>
      <c r="AZM27" s="144"/>
      <c r="AZN27" s="144"/>
      <c r="AZO27" s="144"/>
      <c r="AZP27" s="144"/>
      <c r="AZQ27" s="144"/>
      <c r="AZR27" s="144"/>
      <c r="AZS27" s="144"/>
      <c r="AZT27" s="144"/>
      <c r="AZU27" s="144"/>
      <c r="AZV27" s="144"/>
      <c r="AZW27" s="144"/>
      <c r="AZX27" s="144"/>
      <c r="AZY27" s="144"/>
      <c r="AZZ27" s="144"/>
      <c r="BAA27" s="144"/>
      <c r="BAB27" s="144"/>
      <c r="BAC27" s="144"/>
      <c r="BAD27" s="144"/>
      <c r="BAE27" s="144"/>
      <c r="BAF27" s="144"/>
      <c r="BAG27" s="144"/>
      <c r="BAH27" s="144"/>
      <c r="BAI27" s="144"/>
      <c r="BAJ27" s="144"/>
      <c r="BAK27" s="144"/>
      <c r="BAL27" s="144"/>
      <c r="BAM27" s="144"/>
      <c r="BAN27" s="144"/>
      <c r="BAO27" s="144"/>
      <c r="BAP27" s="144"/>
      <c r="BAQ27" s="144"/>
      <c r="BAR27" s="144"/>
      <c r="BAS27" s="144"/>
      <c r="BAT27" s="144"/>
      <c r="BAU27" s="144"/>
      <c r="BAV27" s="144"/>
      <c r="BAW27" s="144"/>
      <c r="BAX27" s="144"/>
      <c r="BAY27" s="144"/>
      <c r="BAZ27" s="144"/>
      <c r="BBA27" s="144"/>
      <c r="BBB27" s="144"/>
      <c r="BBC27" s="144"/>
      <c r="BBD27" s="144"/>
      <c r="BBE27" s="144"/>
      <c r="BBF27" s="144"/>
      <c r="BBG27" s="144"/>
      <c r="BBH27" s="144"/>
      <c r="BBI27" s="144"/>
      <c r="BBJ27" s="144"/>
      <c r="BBK27" s="144"/>
      <c r="BBL27" s="144"/>
      <c r="BBM27" s="144"/>
      <c r="BBN27" s="144"/>
      <c r="BBO27" s="144"/>
      <c r="BBP27" s="144"/>
      <c r="BBQ27" s="144"/>
      <c r="BBR27" s="144"/>
      <c r="BBS27" s="144"/>
      <c r="BBT27" s="144"/>
      <c r="BBU27" s="144"/>
      <c r="BBV27" s="144"/>
      <c r="BBW27" s="144"/>
      <c r="BBX27" s="144"/>
      <c r="BBY27" s="144"/>
      <c r="BBZ27" s="144"/>
      <c r="BCA27" s="144"/>
      <c r="BCB27" s="144"/>
      <c r="BCC27" s="144"/>
      <c r="BCD27" s="144"/>
      <c r="BCE27" s="144"/>
      <c r="BCF27" s="144"/>
      <c r="BCG27" s="144"/>
      <c r="BCH27" s="144"/>
      <c r="BCI27" s="144"/>
      <c r="BCJ27" s="144"/>
      <c r="BCK27" s="144"/>
      <c r="BCL27" s="144"/>
      <c r="BCM27" s="144"/>
      <c r="BCN27" s="144"/>
      <c r="BCO27" s="144"/>
      <c r="BCP27" s="144"/>
      <c r="BCQ27" s="144"/>
      <c r="BCR27" s="144"/>
      <c r="BCS27" s="144"/>
      <c r="BCT27" s="144"/>
      <c r="BCU27" s="144"/>
      <c r="BCV27" s="144"/>
      <c r="BCW27" s="144"/>
      <c r="BCX27" s="144"/>
      <c r="BCY27" s="144"/>
      <c r="BCZ27" s="144"/>
      <c r="BDA27" s="144"/>
      <c r="BDB27" s="144"/>
      <c r="BDC27" s="144"/>
      <c r="BDD27" s="144"/>
      <c r="BDE27" s="144"/>
      <c r="BDF27" s="144"/>
      <c r="BDG27" s="144"/>
      <c r="BDH27" s="144"/>
      <c r="BDI27" s="144"/>
      <c r="BDJ27" s="144"/>
      <c r="BDK27" s="144"/>
      <c r="BDL27" s="144"/>
      <c r="BDM27" s="144"/>
      <c r="BDN27" s="144"/>
      <c r="BDO27" s="144"/>
      <c r="BDP27" s="144"/>
      <c r="BDQ27" s="144"/>
      <c r="BDR27" s="144"/>
      <c r="BDS27" s="144"/>
      <c r="BDT27" s="144"/>
      <c r="BDU27" s="144"/>
      <c r="BDV27" s="144"/>
      <c r="BDW27" s="144"/>
      <c r="BDX27" s="144"/>
      <c r="BDY27" s="144"/>
      <c r="BDZ27" s="144"/>
      <c r="BEA27" s="144"/>
      <c r="BEB27" s="144"/>
      <c r="BEC27" s="144"/>
      <c r="BED27" s="144"/>
      <c r="BEE27" s="144"/>
      <c r="BEF27" s="144"/>
      <c r="BEG27" s="144"/>
      <c r="BEH27" s="144"/>
      <c r="BEI27" s="144"/>
      <c r="BEJ27" s="144"/>
      <c r="BEK27" s="144"/>
      <c r="BEL27" s="144"/>
      <c r="BEM27" s="144"/>
      <c r="BEN27" s="144"/>
      <c r="BEO27" s="144"/>
      <c r="BEP27" s="144"/>
      <c r="BEQ27" s="144"/>
      <c r="BER27" s="144"/>
      <c r="BES27" s="144"/>
      <c r="BET27" s="144"/>
      <c r="BEU27" s="144"/>
      <c r="BEV27" s="144"/>
      <c r="BEW27" s="144"/>
      <c r="BEX27" s="144"/>
      <c r="BEY27" s="144"/>
      <c r="BEZ27" s="144"/>
      <c r="BFA27" s="144"/>
      <c r="BFB27" s="144"/>
      <c r="BFC27" s="144"/>
      <c r="BFD27" s="144"/>
      <c r="BFE27" s="144"/>
      <c r="BFF27" s="144"/>
      <c r="BFG27" s="144"/>
      <c r="BFH27" s="144"/>
      <c r="BFI27" s="144"/>
      <c r="BFJ27" s="144"/>
      <c r="BFK27" s="144"/>
      <c r="BFL27" s="144"/>
      <c r="BFM27" s="144"/>
      <c r="BFN27" s="144"/>
      <c r="BFO27" s="144"/>
      <c r="BFP27" s="144"/>
      <c r="BFQ27" s="144"/>
      <c r="BFR27" s="144"/>
      <c r="BFS27" s="144"/>
      <c r="BFT27" s="144"/>
      <c r="BFU27" s="144"/>
      <c r="BFV27" s="144"/>
      <c r="BFW27" s="144"/>
      <c r="BFX27" s="144"/>
      <c r="BFY27" s="144"/>
      <c r="BFZ27" s="144"/>
      <c r="BGA27" s="144"/>
      <c r="BGB27" s="144"/>
      <c r="BGC27" s="144"/>
      <c r="BGD27" s="144"/>
      <c r="BGE27" s="144"/>
      <c r="BGF27" s="144"/>
      <c r="BGG27" s="144"/>
      <c r="BGH27" s="144"/>
      <c r="BGI27" s="144"/>
      <c r="BGJ27" s="144"/>
      <c r="BGK27" s="144"/>
      <c r="BGL27" s="144"/>
      <c r="BGM27" s="144"/>
      <c r="BGN27" s="144"/>
      <c r="BGO27" s="144"/>
      <c r="BGP27" s="144"/>
      <c r="BGQ27" s="144"/>
      <c r="BGR27" s="144"/>
      <c r="BGS27" s="144"/>
      <c r="BGT27" s="144"/>
      <c r="BGU27" s="144"/>
      <c r="BGV27" s="144"/>
      <c r="BGW27" s="144"/>
      <c r="BGX27" s="144"/>
      <c r="BGY27" s="144"/>
      <c r="BGZ27" s="144"/>
      <c r="BHA27" s="144"/>
      <c r="BHB27" s="144"/>
      <c r="BHC27" s="144"/>
      <c r="BHD27" s="144"/>
      <c r="BHE27" s="144"/>
      <c r="BHF27" s="144"/>
      <c r="BHG27" s="144"/>
      <c r="BHH27" s="144"/>
      <c r="BHI27" s="144"/>
      <c r="BHJ27" s="144"/>
      <c r="BHK27" s="144"/>
      <c r="BHL27" s="144"/>
      <c r="BHM27" s="144"/>
      <c r="BHN27" s="144"/>
      <c r="BHO27" s="144"/>
      <c r="BHP27" s="144"/>
      <c r="BHQ27" s="144"/>
      <c r="BHR27" s="144"/>
      <c r="BHS27" s="144"/>
      <c r="BHT27" s="144"/>
      <c r="BHU27" s="144"/>
      <c r="BHV27" s="144"/>
      <c r="BHW27" s="144"/>
      <c r="BHX27" s="144"/>
      <c r="BHY27" s="144"/>
      <c r="BHZ27" s="144"/>
      <c r="BIA27" s="144"/>
      <c r="BIB27" s="144"/>
      <c r="BIC27" s="144"/>
      <c r="BID27" s="144"/>
      <c r="BIE27" s="144"/>
      <c r="BIF27" s="144"/>
      <c r="BIG27" s="144"/>
      <c r="BIH27" s="144"/>
      <c r="BII27" s="144"/>
      <c r="BIJ27" s="144"/>
      <c r="BIK27" s="144"/>
      <c r="BIL27" s="144"/>
      <c r="BIM27" s="144"/>
      <c r="BIN27" s="144"/>
      <c r="BIO27" s="144"/>
      <c r="BIP27" s="144"/>
      <c r="BIQ27" s="144"/>
      <c r="BIR27" s="144"/>
      <c r="BIS27" s="144"/>
      <c r="BIT27" s="144"/>
      <c r="BIU27" s="144"/>
      <c r="BIV27" s="144"/>
      <c r="BIW27" s="144"/>
      <c r="BIX27" s="144"/>
      <c r="BIY27" s="144"/>
      <c r="BIZ27" s="144"/>
      <c r="BJA27" s="144"/>
      <c r="BJB27" s="144"/>
      <c r="BJC27" s="144"/>
      <c r="BJD27" s="144"/>
      <c r="BJE27" s="144"/>
      <c r="BJF27" s="144"/>
      <c r="BJG27" s="144"/>
      <c r="BJH27" s="144"/>
      <c r="BJI27" s="144"/>
      <c r="BJJ27" s="144"/>
      <c r="BJK27" s="144"/>
      <c r="BJL27" s="144"/>
      <c r="BJM27" s="144"/>
      <c r="BJN27" s="144"/>
      <c r="BJO27" s="144"/>
      <c r="BJP27" s="144"/>
      <c r="BJQ27" s="144"/>
      <c r="BJR27" s="144"/>
      <c r="BJS27" s="144"/>
      <c r="BJT27" s="144"/>
      <c r="BJU27" s="144"/>
      <c r="BJV27" s="144"/>
      <c r="BJW27" s="144"/>
      <c r="BJX27" s="144"/>
      <c r="BJY27" s="144"/>
      <c r="BJZ27" s="144"/>
      <c r="BKA27" s="144"/>
      <c r="BKB27" s="144"/>
      <c r="BKC27" s="144"/>
      <c r="BKD27" s="144"/>
      <c r="BKE27" s="144"/>
      <c r="BKF27" s="144"/>
      <c r="BKG27" s="144"/>
      <c r="BKH27" s="144"/>
      <c r="BKI27" s="144"/>
      <c r="BKJ27" s="144"/>
      <c r="BKK27" s="144"/>
      <c r="BKL27" s="144"/>
      <c r="BKM27" s="144"/>
      <c r="BKN27" s="144"/>
      <c r="BKO27" s="144"/>
      <c r="BKP27" s="144"/>
      <c r="BKQ27" s="144"/>
      <c r="BKR27" s="144"/>
      <c r="BKS27" s="144"/>
      <c r="BKT27" s="144"/>
      <c r="BKU27" s="144"/>
      <c r="BKV27" s="144"/>
      <c r="BKW27" s="144"/>
      <c r="BKX27" s="144"/>
      <c r="BKY27" s="144"/>
      <c r="BKZ27" s="144"/>
      <c r="BLA27" s="144"/>
      <c r="BLB27" s="144"/>
      <c r="BLC27" s="144"/>
      <c r="BLD27" s="144"/>
      <c r="BLE27" s="144"/>
      <c r="BLF27" s="144"/>
      <c r="BLG27" s="144"/>
      <c r="BLH27" s="144"/>
      <c r="BLI27" s="144"/>
      <c r="BLJ27" s="144"/>
      <c r="BLK27" s="144"/>
      <c r="BLL27" s="144"/>
      <c r="BLM27" s="144"/>
      <c r="BLN27" s="144"/>
      <c r="BLO27" s="144"/>
      <c r="BLP27" s="144"/>
      <c r="BLQ27" s="144"/>
      <c r="BLR27" s="144"/>
      <c r="BLS27" s="144"/>
      <c r="BLT27" s="144"/>
      <c r="BLU27" s="144"/>
      <c r="BLV27" s="144"/>
      <c r="BLW27" s="144"/>
      <c r="BLX27" s="144"/>
      <c r="BLY27" s="144"/>
      <c r="BLZ27" s="144"/>
      <c r="BMA27" s="144"/>
      <c r="BMB27" s="144"/>
      <c r="BMC27" s="144"/>
      <c r="BMD27" s="144"/>
      <c r="BME27" s="144"/>
      <c r="BMF27" s="144"/>
      <c r="BMG27" s="144"/>
      <c r="BMH27" s="144"/>
      <c r="BMI27" s="144"/>
      <c r="BMJ27" s="144"/>
      <c r="BMK27" s="144"/>
      <c r="BML27" s="144"/>
      <c r="BMM27" s="144"/>
      <c r="BMN27" s="144"/>
      <c r="BMO27" s="144"/>
      <c r="BMP27" s="144"/>
      <c r="BMQ27" s="144"/>
      <c r="BMR27" s="144"/>
      <c r="BMS27" s="144"/>
      <c r="BMT27" s="144"/>
      <c r="BMU27" s="144"/>
      <c r="BMV27" s="144"/>
      <c r="BMW27" s="144"/>
      <c r="BMX27" s="144"/>
      <c r="BMY27" s="144"/>
      <c r="BMZ27" s="144"/>
      <c r="BNA27" s="144"/>
      <c r="BNB27" s="144"/>
      <c r="BNC27" s="144"/>
      <c r="BND27" s="144"/>
      <c r="BNE27" s="144"/>
      <c r="BNF27" s="144"/>
      <c r="BNG27" s="144"/>
      <c r="BNH27" s="144"/>
      <c r="BNI27" s="144"/>
      <c r="BNJ27" s="144"/>
      <c r="BNK27" s="144"/>
      <c r="BNL27" s="144"/>
      <c r="BNM27" s="144"/>
      <c r="BNN27" s="144"/>
      <c r="BNO27" s="144"/>
      <c r="BNP27" s="144"/>
      <c r="BNQ27" s="144"/>
      <c r="BNR27" s="144"/>
      <c r="BNS27" s="144"/>
      <c r="BNT27" s="144"/>
      <c r="BNU27" s="144"/>
      <c r="BNV27" s="144"/>
      <c r="BNW27" s="144"/>
      <c r="BNX27" s="144"/>
      <c r="BNY27" s="144"/>
      <c r="BNZ27" s="144"/>
      <c r="BOA27" s="144"/>
      <c r="BOB27" s="144"/>
      <c r="BOC27" s="144"/>
      <c r="BOD27" s="144"/>
      <c r="BOE27" s="144"/>
      <c r="BOF27" s="144"/>
      <c r="BOG27" s="144"/>
      <c r="BOH27" s="144"/>
      <c r="BOI27" s="144"/>
      <c r="BOJ27" s="144"/>
      <c r="BOK27" s="144"/>
      <c r="BOL27" s="144"/>
      <c r="BOM27" s="144"/>
      <c r="BON27" s="144"/>
      <c r="BOO27" s="144"/>
      <c r="BOP27" s="144"/>
      <c r="BOQ27" s="144"/>
      <c r="BOR27" s="144"/>
      <c r="BOS27" s="144"/>
      <c r="BOT27" s="144"/>
      <c r="BOU27" s="144"/>
      <c r="BOV27" s="144"/>
      <c r="BOW27" s="144"/>
      <c r="BOX27" s="144"/>
      <c r="BOY27" s="144"/>
      <c r="BOZ27" s="144"/>
      <c r="BPA27" s="144"/>
      <c r="BPB27" s="144"/>
      <c r="BPC27" s="144"/>
      <c r="BPD27" s="144"/>
      <c r="BPE27" s="144"/>
      <c r="BPF27" s="144"/>
      <c r="BPG27" s="144"/>
      <c r="BPH27" s="144"/>
      <c r="BPI27" s="144"/>
      <c r="BPJ27" s="144"/>
      <c r="BPK27" s="144"/>
      <c r="BPL27" s="144"/>
      <c r="BPM27" s="144"/>
      <c r="BPN27" s="144"/>
      <c r="BPO27" s="144"/>
      <c r="BPP27" s="144"/>
      <c r="BPQ27" s="144"/>
      <c r="BPR27" s="144"/>
      <c r="BPS27" s="144"/>
      <c r="BPT27" s="144"/>
      <c r="BPU27" s="144"/>
      <c r="BPV27" s="144"/>
      <c r="BPW27" s="144"/>
      <c r="BPX27" s="144"/>
      <c r="BPY27" s="144"/>
      <c r="BPZ27" s="144"/>
      <c r="BQA27" s="144"/>
      <c r="BQB27" s="144"/>
      <c r="BQC27" s="144"/>
      <c r="BQD27" s="144"/>
      <c r="BQE27" s="144"/>
      <c r="BQF27" s="144"/>
      <c r="BQG27" s="144"/>
      <c r="BQH27" s="144"/>
      <c r="BQI27" s="144"/>
      <c r="BQJ27" s="144"/>
      <c r="BQK27" s="144"/>
      <c r="BQL27" s="144"/>
      <c r="BQM27" s="144"/>
      <c r="BQN27" s="144"/>
      <c r="BQO27" s="144"/>
      <c r="BQP27" s="144"/>
      <c r="BQQ27" s="144"/>
      <c r="BQR27" s="144"/>
      <c r="BQS27" s="144"/>
      <c r="BQT27" s="144"/>
      <c r="BQU27" s="144"/>
      <c r="BQV27" s="144"/>
      <c r="BQW27" s="144"/>
      <c r="BQX27" s="144"/>
      <c r="BQY27" s="144"/>
      <c r="BQZ27" s="144"/>
      <c r="BRA27" s="144"/>
      <c r="BRB27" s="144"/>
      <c r="BRC27" s="144"/>
      <c r="BRD27" s="144"/>
      <c r="BRE27" s="144"/>
      <c r="BRF27" s="144"/>
      <c r="BRG27" s="144"/>
      <c r="BRH27" s="144"/>
      <c r="BRI27" s="144"/>
      <c r="BRJ27" s="144"/>
      <c r="BRK27" s="144"/>
      <c r="BRL27" s="144"/>
      <c r="BRM27" s="144"/>
      <c r="BRN27" s="144"/>
      <c r="BRO27" s="144"/>
      <c r="BRP27" s="144"/>
      <c r="BRQ27" s="144"/>
      <c r="BRR27" s="144"/>
      <c r="BRS27" s="144"/>
      <c r="BRT27" s="144"/>
      <c r="BRU27" s="144"/>
      <c r="BRV27" s="144"/>
      <c r="BRW27" s="144"/>
      <c r="BRX27" s="144"/>
      <c r="BRY27" s="144"/>
      <c r="BRZ27" s="144"/>
      <c r="BSA27" s="144"/>
      <c r="BSB27" s="144"/>
      <c r="BSC27" s="144"/>
      <c r="BSD27" s="144"/>
      <c r="BSE27" s="144"/>
      <c r="BSF27" s="144"/>
      <c r="BSG27" s="144"/>
      <c r="BSH27" s="144"/>
      <c r="BSI27" s="144"/>
      <c r="BSJ27" s="144"/>
      <c r="BSK27" s="144"/>
    </row>
    <row r="28" spans="1:1857" s="18" customFormat="1" ht="36.75" customHeight="1" x14ac:dyDescent="0.25">
      <c r="A28" s="113" t="s">
        <v>44</v>
      </c>
      <c r="B28" s="19" t="s">
        <v>51</v>
      </c>
      <c r="C28" s="23">
        <v>13.32</v>
      </c>
      <c r="D28" s="38"/>
      <c r="E28" s="38"/>
      <c r="F28" s="31">
        <v>43</v>
      </c>
      <c r="G28" s="27">
        <f t="shared" si="16"/>
        <v>572.76</v>
      </c>
      <c r="H28" s="28"/>
      <c r="I28" s="31"/>
      <c r="J28" s="27"/>
      <c r="K28" s="31">
        <v>42</v>
      </c>
      <c r="L28" s="27">
        <f t="shared" si="17"/>
        <v>559.44000000000005</v>
      </c>
      <c r="M28" s="59"/>
      <c r="N28" s="59"/>
      <c r="O28" s="59"/>
      <c r="P28" s="31">
        <v>29</v>
      </c>
      <c r="Q28" s="27">
        <f t="shared" si="9"/>
        <v>386.28000000000003</v>
      </c>
      <c r="R28" s="29"/>
      <c r="S28" s="31">
        <f>17-4</f>
        <v>13</v>
      </c>
      <c r="T28" s="27">
        <f t="shared" si="10"/>
        <v>173.16</v>
      </c>
      <c r="U28" s="59"/>
      <c r="V28" s="31"/>
      <c r="W28" s="27"/>
      <c r="X28" s="31">
        <v>22</v>
      </c>
      <c r="Y28" s="27">
        <f t="shared" si="11"/>
        <v>293.04000000000002</v>
      </c>
      <c r="Z28" s="32"/>
      <c r="AA28" s="27"/>
      <c r="AB28" s="31">
        <f>6+1</f>
        <v>7</v>
      </c>
      <c r="AC28" s="115">
        <f t="shared" si="12"/>
        <v>93.240000000000009</v>
      </c>
      <c r="AD28" s="26"/>
      <c r="AE28" s="26"/>
      <c r="AF28" s="26">
        <v>165</v>
      </c>
      <c r="AG28" s="115">
        <f t="shared" si="18"/>
        <v>2197.8000000000002</v>
      </c>
      <c r="AH28" s="85"/>
      <c r="AI28" s="107"/>
      <c r="AJ28" s="85">
        <v>2</v>
      </c>
      <c r="AK28" s="86">
        <f t="shared" si="13"/>
        <v>26.64</v>
      </c>
      <c r="AL28" s="87"/>
      <c r="AM28" s="29"/>
      <c r="AN28" s="88"/>
      <c r="AO28" s="88"/>
      <c r="AP28" s="110">
        <v>19</v>
      </c>
      <c r="AQ28" s="98">
        <f t="shared" si="14"/>
        <v>253.08</v>
      </c>
      <c r="AR28" s="88"/>
      <c r="AS28" s="88"/>
      <c r="AT28" s="88">
        <v>52</v>
      </c>
      <c r="AU28" s="89">
        <f t="shared" si="15"/>
        <v>692.64</v>
      </c>
      <c r="AV28" s="156">
        <f t="shared" si="0"/>
        <v>5248.0800000000008</v>
      </c>
      <c r="AW28" s="29"/>
      <c r="AX28" s="169">
        <v>52</v>
      </c>
      <c r="AY28" s="91">
        <f>C28*AX28</f>
        <v>692.64</v>
      </c>
      <c r="AZ28" s="90">
        <f t="shared" si="1"/>
        <v>52</v>
      </c>
      <c r="BA28" s="97">
        <f t="shared" si="2"/>
        <v>692.64</v>
      </c>
      <c r="BB28" s="165">
        <f t="shared" si="3"/>
        <v>1385.28</v>
      </c>
      <c r="BC28" s="92">
        <f t="shared" si="4"/>
        <v>6633.3600000000006</v>
      </c>
      <c r="BD28" s="143"/>
    </row>
    <row r="29" spans="1:1857" s="18" customFormat="1" ht="42" customHeight="1" x14ac:dyDescent="0.25">
      <c r="A29" s="113">
        <v>60046</v>
      </c>
      <c r="B29" s="19" t="s">
        <v>52</v>
      </c>
      <c r="C29" s="25">
        <v>1.49</v>
      </c>
      <c r="D29" s="39"/>
      <c r="E29" s="39"/>
      <c r="F29" s="26">
        <f>471+17</f>
        <v>488</v>
      </c>
      <c r="G29" s="27">
        <f>C29*F29</f>
        <v>727.12</v>
      </c>
      <c r="H29" s="28"/>
      <c r="I29" s="26"/>
      <c r="J29" s="27"/>
      <c r="K29" s="26">
        <f>483+70</f>
        <v>553</v>
      </c>
      <c r="L29" s="27">
        <f t="shared" si="17"/>
        <v>823.97</v>
      </c>
      <c r="M29" s="59"/>
      <c r="N29" s="59"/>
      <c r="O29" s="59"/>
      <c r="P29" s="26">
        <f>574+24</f>
        <v>598</v>
      </c>
      <c r="Q29" s="27">
        <f t="shared" si="9"/>
        <v>891.02</v>
      </c>
      <c r="R29" s="29">
        <v>1.5</v>
      </c>
      <c r="S29" s="26">
        <f>479+72</f>
        <v>551</v>
      </c>
      <c r="T29" s="27">
        <f>R29*S29</f>
        <v>826.5</v>
      </c>
      <c r="U29" s="59"/>
      <c r="V29" s="26">
        <v>5</v>
      </c>
      <c r="W29" s="27">
        <v>93</v>
      </c>
      <c r="X29" s="26">
        <f>371+118</f>
        <v>489</v>
      </c>
      <c r="Y29" s="27">
        <f>(V29*C29)+((W29+X29)*R29)</f>
        <v>880.45</v>
      </c>
      <c r="Z29" s="33">
        <v>1</v>
      </c>
      <c r="AA29" s="27">
        <v>81</v>
      </c>
      <c r="AB29" s="26">
        <f>336+23</f>
        <v>359</v>
      </c>
      <c r="AC29" s="115">
        <f>(AB29*R29)+(Z29*C29)+(AA29*R29)</f>
        <v>661.49</v>
      </c>
      <c r="AD29" s="26"/>
      <c r="AE29" s="26">
        <v>100</v>
      </c>
      <c r="AF29" s="26">
        <v>295</v>
      </c>
      <c r="AG29" s="115">
        <f>(AF29*R29)+(AE29*R29)</f>
        <v>592.5</v>
      </c>
      <c r="AH29" s="85">
        <v>2</v>
      </c>
      <c r="AI29" s="107">
        <v>73</v>
      </c>
      <c r="AJ29" s="85">
        <f>283+42</f>
        <v>325</v>
      </c>
      <c r="AK29" s="86">
        <f>(AH29*C29)+(AI29*R29)+(AJ29*R29)</f>
        <v>599.98</v>
      </c>
      <c r="AL29" s="87"/>
      <c r="AM29" s="29"/>
      <c r="AN29" s="88"/>
      <c r="AO29" s="88">
        <v>76</v>
      </c>
      <c r="AP29" s="110">
        <f>243+50+381</f>
        <v>674</v>
      </c>
      <c r="AQ29" s="98">
        <f>(AO29*R29)+(AP29*R29)</f>
        <v>1125</v>
      </c>
      <c r="AR29" s="88"/>
      <c r="AS29" s="88">
        <v>111</v>
      </c>
      <c r="AT29" s="88">
        <f>341+42+73</f>
        <v>456</v>
      </c>
      <c r="AU29" s="89">
        <f>(AS29*R29)+(AT29*R29)</f>
        <v>850.5</v>
      </c>
      <c r="AV29" s="156">
        <f t="shared" si="0"/>
        <v>7978.5300000000007</v>
      </c>
      <c r="AW29" s="29"/>
      <c r="AX29" s="169">
        <v>456</v>
      </c>
      <c r="AY29" s="91">
        <f>R29*AX29</f>
        <v>684</v>
      </c>
      <c r="AZ29" s="90">
        <f t="shared" si="1"/>
        <v>456</v>
      </c>
      <c r="BA29" s="91">
        <f t="shared" si="2"/>
        <v>684</v>
      </c>
      <c r="BB29" s="165">
        <f t="shared" si="3"/>
        <v>1368</v>
      </c>
      <c r="BC29" s="92">
        <f t="shared" si="4"/>
        <v>9346.5300000000007</v>
      </c>
      <c r="BD29" s="143"/>
    </row>
    <row r="30" spans="1:1857" s="18" customFormat="1" ht="30" customHeight="1" x14ac:dyDescent="0.25">
      <c r="A30" s="113">
        <v>47268</v>
      </c>
      <c r="B30" s="19" t="s">
        <v>36</v>
      </c>
      <c r="C30" s="25">
        <v>14.04</v>
      </c>
      <c r="D30" s="39"/>
      <c r="E30" s="39">
        <v>11232</v>
      </c>
      <c r="F30" s="26">
        <f>2218+139-2</f>
        <v>2355</v>
      </c>
      <c r="G30" s="27">
        <f t="shared" ref="G30" si="19">C30*F30</f>
        <v>33064.199999999997</v>
      </c>
      <c r="H30" s="28"/>
      <c r="I30" s="26"/>
      <c r="J30" s="27"/>
      <c r="K30" s="26">
        <f>4055+287</f>
        <v>4342</v>
      </c>
      <c r="L30" s="27">
        <f t="shared" si="17"/>
        <v>60961.679999999993</v>
      </c>
      <c r="M30" s="59">
        <v>2000</v>
      </c>
      <c r="N30" s="59">
        <v>2000</v>
      </c>
      <c r="O30" s="59">
        <v>28080</v>
      </c>
      <c r="P30" s="26">
        <f>6357+206</f>
        <v>6563</v>
      </c>
      <c r="Q30" s="27">
        <f t="shared" si="9"/>
        <v>92144.51999999999</v>
      </c>
      <c r="R30" s="29">
        <v>9.36</v>
      </c>
      <c r="S30" s="26">
        <f>4289+683</f>
        <v>4972</v>
      </c>
      <c r="T30" s="27">
        <f>R30*S30</f>
        <v>46537.919999999998</v>
      </c>
      <c r="U30" s="59">
        <v>28080</v>
      </c>
      <c r="V30" s="26">
        <v>158</v>
      </c>
      <c r="W30" s="27">
        <v>5359</v>
      </c>
      <c r="X30" s="26">
        <f>625+31</f>
        <v>656</v>
      </c>
      <c r="Y30" s="27">
        <f>(V30*C30)+(W30*R30)+(X30*R30)</f>
        <v>58518.720000000001</v>
      </c>
      <c r="Z30" s="33">
        <v>136</v>
      </c>
      <c r="AA30" s="27">
        <v>1318</v>
      </c>
      <c r="AB30" s="26">
        <f>23+225+107+21+718+3886+279-1075</f>
        <v>4184</v>
      </c>
      <c r="AC30" s="115">
        <f>(AB30*R30)+(Z30*C30)+(AA30*R30)</f>
        <v>53408.160000000003</v>
      </c>
      <c r="AD30" s="33">
        <v>133</v>
      </c>
      <c r="AE30" s="27">
        <v>1269</v>
      </c>
      <c r="AF30" s="26">
        <f>2910+8372</f>
        <v>11282</v>
      </c>
      <c r="AG30" s="115">
        <f>(AF30*R30)+(AD30*C30)+(AE30*R30)</f>
        <v>119344.68</v>
      </c>
      <c r="AH30" s="85">
        <v>1</v>
      </c>
      <c r="AI30" s="107">
        <v>807</v>
      </c>
      <c r="AJ30" s="85">
        <f>2232+1016</f>
        <v>3248</v>
      </c>
      <c r="AK30" s="86">
        <f>(AH30*C30)+(AI30*R30)+(AJ30*R30)</f>
        <v>37968.839999999997</v>
      </c>
      <c r="AL30" s="87">
        <v>16848</v>
      </c>
      <c r="AM30" s="29"/>
      <c r="AN30" s="88">
        <v>4</v>
      </c>
      <c r="AO30" s="88">
        <v>1289</v>
      </c>
      <c r="AP30" s="110">
        <f>2260+253+476</f>
        <v>2989</v>
      </c>
      <c r="AQ30" s="98">
        <f>(AN30*C30)+(AO30*R30)+(AP30*R30)</f>
        <v>40098.239999999998</v>
      </c>
      <c r="AR30" s="88">
        <v>1</v>
      </c>
      <c r="AS30" s="88">
        <v>1772</v>
      </c>
      <c r="AT30" s="88">
        <f>2758+1736+532</f>
        <v>5026</v>
      </c>
      <c r="AU30" s="89">
        <f>(AR30*C30)+(AS30*R30)+(AT30*R30)</f>
        <v>63643.32</v>
      </c>
      <c r="AV30" s="156">
        <f t="shared" si="0"/>
        <v>605690.27999999991</v>
      </c>
      <c r="AW30" s="29">
        <v>5.28</v>
      </c>
      <c r="AX30" s="169">
        <v>5026</v>
      </c>
      <c r="AY30" s="91">
        <f>((AX30/30)*21)*R30+((AX30/30)*9)*AW30</f>
        <v>40891.536</v>
      </c>
      <c r="AZ30" s="90">
        <f t="shared" si="1"/>
        <v>5026</v>
      </c>
      <c r="BA30" s="91">
        <f>AZ30*AW30</f>
        <v>26537.280000000002</v>
      </c>
      <c r="BB30" s="165">
        <f t="shared" si="3"/>
        <v>67428.816000000006</v>
      </c>
      <c r="BC30" s="92">
        <f t="shared" si="4"/>
        <v>673119.0959999999</v>
      </c>
      <c r="BD30" s="143"/>
      <c r="BE30" s="18" t="s">
        <v>96</v>
      </c>
      <c r="BJ30" s="356" t="s">
        <v>95</v>
      </c>
      <c r="BK30" s="356"/>
      <c r="BL30" s="356"/>
      <c r="BM30" s="356"/>
    </row>
    <row r="31" spans="1:1857" s="18" customFormat="1" ht="34.5" customHeight="1" x14ac:dyDescent="0.25">
      <c r="A31" s="113">
        <v>47328</v>
      </c>
      <c r="B31" s="19" t="s">
        <v>14</v>
      </c>
      <c r="C31" s="30"/>
      <c r="D31" s="40"/>
      <c r="E31" s="40"/>
      <c r="F31" s="157"/>
      <c r="G31" s="125"/>
      <c r="H31" s="28"/>
      <c r="I31" s="157"/>
      <c r="J31" s="125"/>
      <c r="K31" s="157"/>
      <c r="L31" s="125"/>
      <c r="M31" s="158"/>
      <c r="N31" s="158"/>
      <c r="O31" s="158"/>
      <c r="P31" s="157"/>
      <c r="Q31" s="125"/>
      <c r="R31" s="29">
        <v>3.67</v>
      </c>
      <c r="S31" s="157">
        <f>5+1</f>
        <v>6</v>
      </c>
      <c r="T31" s="125">
        <f>R31*S31</f>
        <v>22.02</v>
      </c>
      <c r="U31" s="158"/>
      <c r="V31" s="157"/>
      <c r="W31" s="125">
        <v>5</v>
      </c>
      <c r="X31" s="157">
        <f>4+1</f>
        <v>5</v>
      </c>
      <c r="Y31" s="125">
        <f>(W31+X31)*R31</f>
        <v>36.700000000000003</v>
      </c>
      <c r="Z31" s="159"/>
      <c r="AA31" s="125">
        <v>2</v>
      </c>
      <c r="AB31" s="157">
        <f>288+76</f>
        <v>364</v>
      </c>
      <c r="AC31" s="123">
        <f>(AB31*R31)+(AA31*R31)</f>
        <v>1343.2199999999998</v>
      </c>
      <c r="AD31" s="26"/>
      <c r="AE31" s="26">
        <v>103</v>
      </c>
      <c r="AF31" s="26">
        <v>954</v>
      </c>
      <c r="AG31" s="123">
        <f>(AF31*R31)+(AE31*R31)</f>
        <v>3879.1899999999996</v>
      </c>
      <c r="AH31" s="85"/>
      <c r="AI31" s="107">
        <v>215</v>
      </c>
      <c r="AJ31" s="85">
        <v>1005</v>
      </c>
      <c r="AK31" s="86">
        <f>(AI31*R31)+(AJ31*R31)</f>
        <v>4477.3999999999996</v>
      </c>
      <c r="AL31" s="87"/>
      <c r="AM31" s="29"/>
      <c r="AN31" s="88"/>
      <c r="AO31" s="88">
        <v>220</v>
      </c>
      <c r="AP31" s="110">
        <f>1288+307</f>
        <v>1595</v>
      </c>
      <c r="AQ31" s="98">
        <f>(AO31*R31)+(AP31*R31)</f>
        <v>6661.0499999999993</v>
      </c>
      <c r="AR31" s="88"/>
      <c r="AS31" s="88">
        <v>229</v>
      </c>
      <c r="AT31" s="88">
        <f>1267+296</f>
        <v>1563</v>
      </c>
      <c r="AU31" s="89">
        <f>(AS31*R31)+(AT31*R31)</f>
        <v>6576.64</v>
      </c>
      <c r="AV31" s="156">
        <f t="shared" si="0"/>
        <v>22996.219999999998</v>
      </c>
      <c r="AW31" s="29"/>
      <c r="AX31" s="169">
        <v>1563</v>
      </c>
      <c r="AY31" s="91">
        <f>R31*AX31</f>
        <v>5736.21</v>
      </c>
      <c r="AZ31" s="90">
        <f t="shared" si="1"/>
        <v>1563</v>
      </c>
      <c r="BA31" s="91">
        <f t="shared" si="2"/>
        <v>5736.21</v>
      </c>
      <c r="BB31" s="165">
        <f t="shared" si="3"/>
        <v>11472.42</v>
      </c>
      <c r="BC31" s="92">
        <f t="shared" si="4"/>
        <v>34468.639999999999</v>
      </c>
      <c r="BD31" s="143"/>
      <c r="BJ31" s="356"/>
      <c r="BK31" s="356"/>
      <c r="BL31" s="356"/>
      <c r="BM31" s="356"/>
    </row>
    <row r="32" spans="1:1857" s="18" customFormat="1" ht="50.25" customHeight="1" x14ac:dyDescent="0.25">
      <c r="A32" s="113">
        <v>47269</v>
      </c>
      <c r="B32" s="19" t="s">
        <v>9</v>
      </c>
      <c r="C32" s="25">
        <v>12.2</v>
      </c>
      <c r="D32" s="39"/>
      <c r="E32" s="39">
        <v>9760</v>
      </c>
      <c r="F32" s="26"/>
      <c r="G32" s="27"/>
      <c r="H32" s="28"/>
      <c r="I32" s="26"/>
      <c r="J32" s="27"/>
      <c r="K32" s="26">
        <v>97</v>
      </c>
      <c r="L32" s="27">
        <f t="shared" si="17"/>
        <v>1183.3999999999999</v>
      </c>
      <c r="M32" s="59">
        <v>2000</v>
      </c>
      <c r="N32" s="59">
        <v>2000</v>
      </c>
      <c r="O32" s="59">
        <v>24400.000000000004</v>
      </c>
      <c r="P32" s="26">
        <f>30+225</f>
        <v>255</v>
      </c>
      <c r="Q32" s="27">
        <f t="shared" si="9"/>
        <v>3111</v>
      </c>
      <c r="R32" s="29"/>
      <c r="S32" s="26">
        <f>18+289+22</f>
        <v>329</v>
      </c>
      <c r="T32" s="27">
        <f>C32*S32</f>
        <v>4013.7999999999997</v>
      </c>
      <c r="U32" s="59">
        <v>24400.000000000004</v>
      </c>
      <c r="V32" s="26">
        <v>2</v>
      </c>
      <c r="W32" s="27">
        <v>596</v>
      </c>
      <c r="X32" s="26">
        <f>118-67</f>
        <v>51</v>
      </c>
      <c r="Y32" s="27">
        <f>(X32*C32)+(V32*C32)+(W32*C32)</f>
        <v>7917.7999999999993</v>
      </c>
      <c r="Z32" s="33"/>
      <c r="AA32" s="27">
        <v>48</v>
      </c>
      <c r="AB32" s="26">
        <f>88+184-72</f>
        <v>200</v>
      </c>
      <c r="AC32" s="115">
        <f>(AB32*C32)+(AA32*C32)</f>
        <v>3025.6</v>
      </c>
      <c r="AD32" s="26"/>
      <c r="AE32" s="26">
        <v>61</v>
      </c>
      <c r="AF32" s="26">
        <v>256</v>
      </c>
      <c r="AG32" s="115">
        <f>(AF32*C32)+(AE32*C32)</f>
        <v>3867.3999999999996</v>
      </c>
      <c r="AH32" s="85"/>
      <c r="AI32" s="107">
        <v>70</v>
      </c>
      <c r="AJ32" s="85">
        <f>174</f>
        <v>174</v>
      </c>
      <c r="AK32" s="86">
        <f>(AI32*C32)+(AJ32*C32)</f>
        <v>2976.7999999999997</v>
      </c>
      <c r="AL32" s="87">
        <v>14640.000000000002</v>
      </c>
      <c r="AM32" s="29"/>
      <c r="AN32" s="88"/>
      <c r="AO32" s="88"/>
      <c r="AP32" s="110">
        <v>483</v>
      </c>
      <c r="AQ32" s="98">
        <f>AP32*C32</f>
        <v>5892.5999999999995</v>
      </c>
      <c r="AR32" s="88"/>
      <c r="AS32" s="88"/>
      <c r="AT32" s="88">
        <v>46</v>
      </c>
      <c r="AU32" s="89">
        <f>AT32*C32</f>
        <v>561.19999999999993</v>
      </c>
      <c r="AV32" s="156">
        <f t="shared" si="0"/>
        <v>32549.599999999999</v>
      </c>
      <c r="AW32" s="29"/>
      <c r="AX32" s="169">
        <v>46</v>
      </c>
      <c r="AY32" s="91">
        <f>C32*AX32</f>
        <v>561.19999999999993</v>
      </c>
      <c r="AZ32" s="90">
        <f t="shared" si="1"/>
        <v>46</v>
      </c>
      <c r="BA32" s="91">
        <f t="shared" si="2"/>
        <v>561.19999999999993</v>
      </c>
      <c r="BB32" s="165">
        <f t="shared" si="3"/>
        <v>1122.3999999999999</v>
      </c>
      <c r="BC32" s="92">
        <f t="shared" si="4"/>
        <v>33672</v>
      </c>
      <c r="BD32" s="143"/>
      <c r="BJ32" s="356"/>
      <c r="BK32" s="356"/>
      <c r="BL32" s="356"/>
      <c r="BM32" s="356"/>
    </row>
    <row r="33" spans="1:65" s="18" customFormat="1" ht="39" customHeight="1" x14ac:dyDescent="0.3">
      <c r="A33" s="113">
        <v>60173</v>
      </c>
      <c r="B33" s="19" t="s">
        <v>19</v>
      </c>
      <c r="C33" s="30">
        <v>3.7</v>
      </c>
      <c r="D33" s="40"/>
      <c r="E33" s="40"/>
      <c r="F33" s="157">
        <v>64107</v>
      </c>
      <c r="G33" s="125">
        <f>C33*F33</f>
        <v>237195.90000000002</v>
      </c>
      <c r="H33" s="160">
        <v>3.7</v>
      </c>
      <c r="I33" s="157">
        <f>42713</f>
        <v>42713</v>
      </c>
      <c r="J33" s="125">
        <f>3660</f>
        <v>3660</v>
      </c>
      <c r="K33" s="157"/>
      <c r="L33" s="125">
        <f>(C33*I33)+(H33*J33)</f>
        <v>171580.1</v>
      </c>
      <c r="M33" s="158"/>
      <c r="N33" s="158"/>
      <c r="O33" s="158"/>
      <c r="P33" s="157">
        <v>11932</v>
      </c>
      <c r="Q33" s="125">
        <f t="shared" ref="Q33" si="20">P33*C33</f>
        <v>44148.4</v>
      </c>
      <c r="R33" s="161"/>
      <c r="S33" s="157">
        <v>3068</v>
      </c>
      <c r="T33" s="125">
        <f>S33*C33</f>
        <v>11351.6</v>
      </c>
      <c r="U33" s="158"/>
      <c r="V33" s="157"/>
      <c r="W33" s="125"/>
      <c r="X33" s="157">
        <f>22+3288</f>
        <v>3310</v>
      </c>
      <c r="Y33" s="125">
        <f>X33*H33</f>
        <v>12247</v>
      </c>
      <c r="Z33" s="159"/>
      <c r="AA33" s="125"/>
      <c r="AB33" s="157">
        <f>1504+4</f>
        <v>1508</v>
      </c>
      <c r="AC33" s="123">
        <f>(AB33*H33)</f>
        <v>5579.6</v>
      </c>
      <c r="AD33" s="26"/>
      <c r="AE33" s="26"/>
      <c r="AF33" s="124">
        <f>1292+27</f>
        <v>1319</v>
      </c>
      <c r="AG33" s="125">
        <f>AF33*H33</f>
        <v>4880.3</v>
      </c>
      <c r="AH33" s="85"/>
      <c r="AI33" s="107"/>
      <c r="AJ33" s="85">
        <v>977</v>
      </c>
      <c r="AK33" s="86">
        <f>AJ33*H33</f>
        <v>3614.9</v>
      </c>
      <c r="AL33" s="87"/>
      <c r="AM33" s="161"/>
      <c r="AN33" s="88"/>
      <c r="AO33" s="88"/>
      <c r="AP33" s="110">
        <v>2224</v>
      </c>
      <c r="AQ33" s="98">
        <f>AP33*H33</f>
        <v>8228.8000000000011</v>
      </c>
      <c r="AR33" s="88"/>
      <c r="AS33" s="88"/>
      <c r="AT33" s="88">
        <v>3430</v>
      </c>
      <c r="AU33" s="89">
        <f>AT33*H33</f>
        <v>12691</v>
      </c>
      <c r="AV33" s="156">
        <f t="shared" si="0"/>
        <v>511517.6</v>
      </c>
      <c r="AW33" s="161"/>
      <c r="AX33" s="169">
        <v>3430</v>
      </c>
      <c r="AY33" s="91">
        <f>H33*AX33</f>
        <v>12691</v>
      </c>
      <c r="AZ33" s="90">
        <f t="shared" ref="AZ33" si="21">AX33</f>
        <v>3430</v>
      </c>
      <c r="BA33" s="91">
        <f t="shared" ref="BA33" si="22">AY33</f>
        <v>12691</v>
      </c>
      <c r="BB33" s="165">
        <f t="shared" si="3"/>
        <v>25382</v>
      </c>
      <c r="BC33" s="92">
        <f t="shared" si="4"/>
        <v>536899.6</v>
      </c>
      <c r="BD33" s="143"/>
      <c r="BE33" s="162"/>
      <c r="BF33" s="162"/>
      <c r="BG33" s="162"/>
      <c r="BH33" s="162"/>
      <c r="BI33" s="163"/>
      <c r="BL33" s="164"/>
      <c r="BM33" s="164"/>
    </row>
    <row r="34" spans="1:65" s="2" customFormat="1" ht="45.75" customHeight="1" x14ac:dyDescent="0.3">
      <c r="A34" s="113" t="s">
        <v>106</v>
      </c>
      <c r="B34" s="19" t="s">
        <v>107</v>
      </c>
      <c r="C34" s="30"/>
      <c r="D34" s="40"/>
      <c r="E34" s="40"/>
      <c r="F34" s="157"/>
      <c r="G34" s="125"/>
      <c r="H34" s="160"/>
      <c r="I34" s="157"/>
      <c r="J34" s="125"/>
      <c r="K34" s="157"/>
      <c r="L34" s="125"/>
      <c r="M34" s="158"/>
      <c r="N34" s="158"/>
      <c r="O34" s="158"/>
      <c r="P34" s="157"/>
      <c r="Q34" s="125"/>
      <c r="R34" s="161"/>
      <c r="S34" s="157"/>
      <c r="T34" s="125"/>
      <c r="U34" s="158"/>
      <c r="V34" s="157"/>
      <c r="W34" s="125"/>
      <c r="X34" s="157"/>
      <c r="Y34" s="125"/>
      <c r="Z34" s="159"/>
      <c r="AA34" s="125"/>
      <c r="AB34" s="157"/>
      <c r="AC34" s="123"/>
      <c r="AD34" s="26"/>
      <c r="AE34" s="26"/>
      <c r="AF34" s="124"/>
      <c r="AG34" s="123"/>
      <c r="AH34" s="85"/>
      <c r="AI34" s="107"/>
      <c r="AJ34" s="85"/>
      <c r="AK34" s="86"/>
      <c r="AL34" s="87"/>
      <c r="AM34" s="161"/>
      <c r="AN34" s="88"/>
      <c r="AO34" s="88"/>
      <c r="AP34" s="110"/>
      <c r="AQ34" s="98"/>
      <c r="AR34" s="88"/>
      <c r="AS34" s="88"/>
      <c r="AT34" s="88"/>
      <c r="AU34" s="89"/>
      <c r="AV34" s="156">
        <f t="shared" si="0"/>
        <v>0</v>
      </c>
      <c r="AW34" s="161">
        <v>3.39</v>
      </c>
      <c r="AX34" s="169">
        <v>908169</v>
      </c>
      <c r="AY34" s="91">
        <f>AX34*AW34</f>
        <v>3078692.91</v>
      </c>
      <c r="AZ34" s="90">
        <f>819564+198700</f>
        <v>1018264</v>
      </c>
      <c r="BA34" s="91">
        <f>AW34*AZ34</f>
        <v>3451914.96</v>
      </c>
      <c r="BB34" s="165">
        <f t="shared" si="3"/>
        <v>6530607.8700000001</v>
      </c>
      <c r="BC34" s="92">
        <f t="shared" si="4"/>
        <v>6530607.8700000001</v>
      </c>
      <c r="BD34" s="139"/>
      <c r="BE34" s="146"/>
      <c r="BF34" s="146"/>
      <c r="BG34" s="146"/>
      <c r="BH34" s="146"/>
      <c r="BI34" s="147"/>
      <c r="BL34" s="71"/>
      <c r="BM34" s="71"/>
    </row>
    <row r="35" spans="1:65" s="2" customFormat="1" ht="24" customHeight="1" thickBot="1" x14ac:dyDescent="0.35">
      <c r="A35" s="113">
        <v>47419</v>
      </c>
      <c r="B35" s="19" t="s">
        <v>103</v>
      </c>
      <c r="C35" s="30"/>
      <c r="D35" s="40"/>
      <c r="E35" s="40"/>
      <c r="F35" s="157"/>
      <c r="G35" s="125"/>
      <c r="H35" s="160"/>
      <c r="I35" s="157"/>
      <c r="J35" s="125"/>
      <c r="K35" s="157"/>
      <c r="L35" s="125"/>
      <c r="M35" s="158"/>
      <c r="N35" s="158"/>
      <c r="O35" s="158"/>
      <c r="P35" s="157"/>
      <c r="Q35" s="125"/>
      <c r="R35" s="161"/>
      <c r="S35" s="157"/>
      <c r="T35" s="125"/>
      <c r="U35" s="158"/>
      <c r="V35" s="157"/>
      <c r="W35" s="125"/>
      <c r="X35" s="157"/>
      <c r="Y35" s="125"/>
      <c r="Z35" s="159"/>
      <c r="AA35" s="125"/>
      <c r="AB35" s="157"/>
      <c r="AC35" s="123"/>
      <c r="AD35" s="26"/>
      <c r="AE35" s="26"/>
      <c r="AF35" s="26"/>
      <c r="AG35" s="26"/>
      <c r="AH35" s="85"/>
      <c r="AI35" s="107"/>
      <c r="AJ35" s="85"/>
      <c r="AK35" s="86"/>
      <c r="AL35" s="87"/>
      <c r="AM35" s="161">
        <v>3.54</v>
      </c>
      <c r="AN35" s="88"/>
      <c r="AO35" s="88"/>
      <c r="AP35" s="110">
        <v>50280</v>
      </c>
      <c r="AQ35" s="98">
        <f>AM35*AP35</f>
        <v>177991.2</v>
      </c>
      <c r="AR35" s="88"/>
      <c r="AS35" s="88"/>
      <c r="AT35" s="88">
        <v>287633</v>
      </c>
      <c r="AU35" s="89">
        <f>AT35*AM35</f>
        <v>1018220.8200000001</v>
      </c>
      <c r="AV35" s="156">
        <f t="shared" si="0"/>
        <v>1196212.02</v>
      </c>
      <c r="AW35" s="161"/>
      <c r="AX35" s="169">
        <v>573514</v>
      </c>
      <c r="AY35" s="89">
        <f>AX35*AM35</f>
        <v>2030239.56</v>
      </c>
      <c r="AZ35" s="90">
        <v>537630</v>
      </c>
      <c r="BA35" s="89">
        <f>AM35*AZ35</f>
        <v>1903210.2</v>
      </c>
      <c r="BB35" s="165">
        <f t="shared" si="3"/>
        <v>3933449.76</v>
      </c>
      <c r="BC35" s="92">
        <f t="shared" si="4"/>
        <v>5129661.7799999993</v>
      </c>
      <c r="BD35" s="139"/>
      <c r="BE35" s="146"/>
      <c r="BF35" s="146"/>
      <c r="BG35" s="146"/>
      <c r="BH35" s="146"/>
      <c r="BI35" s="147"/>
      <c r="BL35" s="71"/>
      <c r="BM35" s="71"/>
    </row>
    <row r="36" spans="1:65" ht="19.5" customHeight="1" x14ac:dyDescent="0.3">
      <c r="A36" s="18"/>
      <c r="B36" s="300"/>
      <c r="C36" s="301"/>
      <c r="D36" s="302">
        <f>SUM(D6:D35)</f>
        <v>18122</v>
      </c>
      <c r="E36" s="302">
        <f>SUM(E6:E35)</f>
        <v>18591064.885703281</v>
      </c>
      <c r="F36" s="303">
        <f>SUM(F6:F35)</f>
        <v>748698</v>
      </c>
      <c r="G36" s="99">
        <f>ROUNDUP(SUM(G6:G35),)</f>
        <v>10277017</v>
      </c>
      <c r="H36" s="304"/>
      <c r="I36" s="303">
        <f t="shared" ref="I36:Q36" si="23">ROUNDUP(SUM(I6:I35),)</f>
        <v>479156</v>
      </c>
      <c r="J36" s="99">
        <f t="shared" si="23"/>
        <v>143228</v>
      </c>
      <c r="K36" s="303">
        <f t="shared" si="23"/>
        <v>583555</v>
      </c>
      <c r="L36" s="99">
        <f t="shared" si="23"/>
        <v>8433443</v>
      </c>
      <c r="M36" s="305">
        <f>SUM(M6:M35)</f>
        <v>31898.049464032028</v>
      </c>
      <c r="N36" s="305">
        <f>SUM(N6:N35)</f>
        <v>30288</v>
      </c>
      <c r="O36" s="305">
        <f>SUM(O6:O35)</f>
        <v>22751130.220000006</v>
      </c>
      <c r="P36" s="303">
        <f>ROUNDUP(SUM(P6:P35),)</f>
        <v>824269</v>
      </c>
      <c r="Q36" s="99">
        <f t="shared" si="23"/>
        <v>9200924</v>
      </c>
      <c r="R36" s="306"/>
      <c r="S36" s="303">
        <f>ROUNDUP(SUM(S6:S35),)</f>
        <v>789497</v>
      </c>
      <c r="T36" s="99">
        <f t="shared" ref="T36:AG36" si="24">SUM(T6:T35)</f>
        <v>8187498.1600000011</v>
      </c>
      <c r="U36" s="305">
        <f>SUM(U6:U35)</f>
        <v>22937184.73</v>
      </c>
      <c r="V36" s="303">
        <f t="shared" si="24"/>
        <v>179</v>
      </c>
      <c r="W36" s="99">
        <f t="shared" si="24"/>
        <v>7416</v>
      </c>
      <c r="X36" s="303">
        <f t="shared" si="24"/>
        <v>690069</v>
      </c>
      <c r="Y36" s="99">
        <f t="shared" si="24"/>
        <v>7368494.3300000001</v>
      </c>
      <c r="Z36" s="307">
        <f t="shared" si="24"/>
        <v>140</v>
      </c>
      <c r="AA36" s="99">
        <f t="shared" si="24"/>
        <v>1827</v>
      </c>
      <c r="AB36" s="303">
        <f t="shared" si="24"/>
        <v>392994</v>
      </c>
      <c r="AC36" s="127">
        <f t="shared" si="24"/>
        <v>4301241.4799999995</v>
      </c>
      <c r="AD36" s="126"/>
      <c r="AE36" s="126"/>
      <c r="AF36" s="126"/>
      <c r="AG36" s="127">
        <f t="shared" si="24"/>
        <v>4082185.43</v>
      </c>
      <c r="AH36" s="307">
        <f t="shared" ref="AH36:AX36" si="25">SUM(AH6:AH35)</f>
        <v>6</v>
      </c>
      <c r="AI36" s="308"/>
      <c r="AJ36" s="307">
        <f t="shared" ref="AJ36" si="26">SUM(AJ6:AJ35)</f>
        <v>722800</v>
      </c>
      <c r="AK36" s="99">
        <f>SUM(AK6:AK35)</f>
        <v>5804298.1900000004</v>
      </c>
      <c r="AL36" s="309">
        <f t="shared" si="25"/>
        <v>15163921.480000002</v>
      </c>
      <c r="AM36" s="127"/>
      <c r="AN36" s="111">
        <f t="shared" si="25"/>
        <v>784</v>
      </c>
      <c r="AO36" s="111">
        <f t="shared" si="25"/>
        <v>5303</v>
      </c>
      <c r="AP36" s="111">
        <f t="shared" si="25"/>
        <v>1655893</v>
      </c>
      <c r="AQ36" s="99">
        <f>SUM(AQ6:AQ35)</f>
        <v>12900921.01</v>
      </c>
      <c r="AR36" s="135">
        <f t="shared" si="25"/>
        <v>66</v>
      </c>
      <c r="AS36" s="136">
        <f t="shared" si="25"/>
        <v>3499</v>
      </c>
      <c r="AT36" s="136">
        <f t="shared" si="25"/>
        <v>1351669</v>
      </c>
      <c r="AU36" s="99">
        <f>SUM(AU6:AU35)</f>
        <v>14064257.620000003</v>
      </c>
      <c r="AV36" s="99">
        <f>SUM(AV6:AV35)</f>
        <v>84620279.269999966</v>
      </c>
      <c r="AW36" s="127"/>
      <c r="AX36" s="171">
        <f t="shared" si="25"/>
        <v>2221608</v>
      </c>
      <c r="AY36" s="166">
        <f>SUM(AY6:AY35)</f>
        <v>16071440.796000002</v>
      </c>
      <c r="AZ36" s="166">
        <f>SUM(AZ6:AZ35)</f>
        <v>2267175</v>
      </c>
      <c r="BA36" s="166">
        <f>SUM(BA6:BA35)</f>
        <v>16255157.309999999</v>
      </c>
      <c r="BB36" s="166">
        <f>SUM(BB6:BB35)</f>
        <v>32326598.106000006</v>
      </c>
      <c r="BC36" s="310">
        <f>SUM(BC6:BC35)</f>
        <v>116946877.37599997</v>
      </c>
      <c r="BE36" s="102"/>
      <c r="BF36" s="102"/>
      <c r="BG36" s="102"/>
      <c r="BH36" s="102"/>
      <c r="BI36" s="103"/>
      <c r="BJ36" s="104"/>
    </row>
    <row r="37" spans="1:65" ht="19.5" hidden="1" customHeight="1" x14ac:dyDescent="0.3">
      <c r="A37" s="311"/>
      <c r="B37" s="312"/>
      <c r="C37" s="313"/>
      <c r="D37" s="313"/>
      <c r="E37" s="313"/>
      <c r="F37" s="314"/>
      <c r="G37" s="315"/>
      <c r="H37" s="128"/>
      <c r="I37" s="314"/>
      <c r="J37" s="315"/>
      <c r="K37" s="314"/>
      <c r="L37" s="315"/>
      <c r="M37" s="315"/>
      <c r="N37" s="315"/>
      <c r="O37" s="315"/>
      <c r="P37" s="314"/>
      <c r="Q37" s="315"/>
      <c r="R37" s="315"/>
      <c r="S37" s="314"/>
      <c r="T37" s="315"/>
      <c r="U37" s="315"/>
      <c r="V37" s="314"/>
      <c r="W37" s="315"/>
      <c r="X37" s="314"/>
      <c r="Y37" s="315"/>
      <c r="Z37" s="316"/>
      <c r="AA37" s="315"/>
      <c r="AB37" s="314"/>
      <c r="AC37" s="315"/>
      <c r="AD37" s="128"/>
      <c r="AE37" s="128"/>
      <c r="AF37" s="128"/>
      <c r="AG37" s="128"/>
      <c r="AH37" s="316"/>
      <c r="AI37" s="317"/>
      <c r="AJ37" s="316"/>
      <c r="AK37" s="315"/>
      <c r="AL37" s="128"/>
      <c r="AM37" s="128"/>
      <c r="AN37" s="128"/>
      <c r="AO37" s="128"/>
      <c r="AP37" s="316"/>
      <c r="AQ37" s="315"/>
      <c r="AR37" s="316"/>
      <c r="AS37" s="317"/>
      <c r="AT37" s="317"/>
      <c r="AU37" s="315"/>
      <c r="AV37" s="128"/>
      <c r="AW37" s="128"/>
      <c r="AX37" s="318"/>
      <c r="AY37" s="360" t="s">
        <v>91</v>
      </c>
      <c r="AZ37" s="360"/>
      <c r="BA37" s="360"/>
      <c r="BB37" s="128"/>
      <c r="BC37" s="319" t="e">
        <f>BC36-G36-L36-Y36-Q36-T36-AC36-#REF!-AK36</f>
        <v>#REF!</v>
      </c>
      <c r="BE37" s="359" t="s">
        <v>93</v>
      </c>
      <c r="BF37" s="359"/>
      <c r="BG37" s="359"/>
      <c r="BH37" s="359"/>
      <c r="BI37" s="67"/>
      <c r="BJ37" s="70"/>
    </row>
    <row r="38" spans="1:65" ht="18.75" hidden="1" x14ac:dyDescent="0.3">
      <c r="A38" s="389" t="s">
        <v>28</v>
      </c>
      <c r="B38" s="390"/>
      <c r="C38" s="320"/>
      <c r="D38" s="320"/>
      <c r="E38" s="320"/>
      <c r="F38" s="129">
        <f>F6+F10+F11+F13+F35</f>
        <v>484848</v>
      </c>
      <c r="G38" s="129">
        <f>G6+G10+G11+G13+G35</f>
        <v>8519371.0199999996</v>
      </c>
      <c r="H38" s="320"/>
      <c r="I38" s="129"/>
      <c r="J38" s="129"/>
      <c r="K38" s="129">
        <f>K6+K10+K11+K13+K35</f>
        <v>387501</v>
      </c>
      <c r="L38" s="129">
        <f>L6+L10+L11+L13+L35</f>
        <v>6796423.3900000006</v>
      </c>
      <c r="M38" s="320"/>
      <c r="N38" s="320"/>
      <c r="O38" s="320"/>
      <c r="P38" s="129">
        <f>P6+P10+P11+P13+P35</f>
        <v>389805</v>
      </c>
      <c r="Q38" s="129">
        <f>Q6+Q10+Q11+Q13+Q35</f>
        <v>6097663.8600000003</v>
      </c>
      <c r="R38" s="320"/>
      <c r="S38" s="129">
        <f>S6+S10+S11+S13+S35</f>
        <v>343542</v>
      </c>
      <c r="T38" s="129">
        <f>T6+T10+T11+T13+T35</f>
        <v>5181042.04</v>
      </c>
      <c r="U38" s="320"/>
      <c r="V38" s="320"/>
      <c r="W38" s="320"/>
      <c r="X38" s="129">
        <f>X6+X10+X11+X13+X35</f>
        <v>316871</v>
      </c>
      <c r="Y38" s="129">
        <f>Y6+Y10+Y11+Y13+Y35</f>
        <v>4780582.6100000003</v>
      </c>
      <c r="Z38" s="129"/>
      <c r="AA38" s="320"/>
      <c r="AB38" s="129">
        <f t="shared" ref="AB38:AK38" si="27">AB6+AB10+AB11+AB13+AB35</f>
        <v>210438</v>
      </c>
      <c r="AC38" s="129">
        <f t="shared" si="27"/>
        <v>3056438.52</v>
      </c>
      <c r="AD38" s="129"/>
      <c r="AE38" s="129"/>
      <c r="AF38" s="129">
        <f t="shared" ref="AF38:AG38" si="28">AF6+AF10+AF11+AF13+AF35</f>
        <v>187479</v>
      </c>
      <c r="AG38" s="129">
        <f t="shared" si="28"/>
        <v>2662063.91</v>
      </c>
      <c r="AH38" s="129">
        <f t="shared" si="27"/>
        <v>0</v>
      </c>
      <c r="AI38" s="129"/>
      <c r="AJ38" s="129">
        <f t="shared" ref="AJ38" si="29">AJ6+AJ10+AJ11+AJ13+AJ35</f>
        <v>185961</v>
      </c>
      <c r="AK38" s="129">
        <f t="shared" si="27"/>
        <v>2745104.27</v>
      </c>
      <c r="AL38" s="129"/>
      <c r="AM38" s="129"/>
      <c r="AN38" s="129"/>
      <c r="AO38" s="129"/>
      <c r="AP38" s="129">
        <f>AP6+AP10+AP11+AP13+AP35</f>
        <v>402828</v>
      </c>
      <c r="AQ38" s="129">
        <f>AQ6+AQ10+AQ11+AQ13+AQ35</f>
        <v>5726547.4000000004</v>
      </c>
      <c r="AR38" s="129">
        <f>AR6+AR10+AR11+AR13+AR35</f>
        <v>0</v>
      </c>
      <c r="AS38" s="129"/>
      <c r="AT38" s="129"/>
      <c r="AU38" s="129">
        <f t="shared" ref="AU38:BA38" si="30">AU6+AU10+AU11+AU13+AU35</f>
        <v>10783341.560000001</v>
      </c>
      <c r="AV38" s="321"/>
      <c r="AW38" s="129"/>
      <c r="AX38" s="322">
        <f t="shared" si="30"/>
        <v>1150214</v>
      </c>
      <c r="AY38" s="129">
        <f t="shared" si="30"/>
        <v>11795360.300000001</v>
      </c>
      <c r="AZ38" s="129">
        <f t="shared" si="30"/>
        <v>1114330</v>
      </c>
      <c r="BA38" s="129">
        <f t="shared" si="30"/>
        <v>11668330.939999999</v>
      </c>
      <c r="BB38" s="321"/>
      <c r="BC38" s="323"/>
      <c r="BE38" s="359"/>
      <c r="BF38" s="359"/>
      <c r="BG38" s="359"/>
      <c r="BH38" s="359"/>
      <c r="BI38" s="68" t="e">
        <f>AQ48+AU48+AY48</f>
        <v>#REF!</v>
      </c>
      <c r="BJ38" s="69" t="e">
        <f>BI38-BC37</f>
        <v>#REF!</v>
      </c>
    </row>
    <row r="39" spans="1:65" ht="30.75" hidden="1" customHeight="1" x14ac:dyDescent="0.3">
      <c r="A39" s="391" t="s">
        <v>26</v>
      </c>
      <c r="B39" s="392"/>
      <c r="C39" s="320"/>
      <c r="D39" s="320"/>
      <c r="E39" s="320"/>
      <c r="F39" s="129">
        <f>F10+F11+F12+F21+F25</f>
        <v>216551</v>
      </c>
      <c r="G39" s="129">
        <f>G10+G11+G12+G21+G25</f>
        <v>7757487.3000000007</v>
      </c>
      <c r="H39" s="320"/>
      <c r="I39" s="129"/>
      <c r="J39" s="129"/>
      <c r="K39" s="129">
        <f>K10+K11+K12+K21+K25</f>
        <v>183283</v>
      </c>
      <c r="L39" s="129">
        <f>L10+L11+L12+L21+L25</f>
        <v>6201489.6100000003</v>
      </c>
      <c r="M39" s="320"/>
      <c r="N39" s="320"/>
      <c r="O39" s="320"/>
      <c r="P39" s="129">
        <f>P10+P11+P12+P21+P25</f>
        <v>200222</v>
      </c>
      <c r="Q39" s="129">
        <f>Q10+Q11+Q12+Q21+Q25</f>
        <v>5538275.7800000003</v>
      </c>
      <c r="R39" s="320"/>
      <c r="S39" s="129">
        <f>S10+S11+S12+S21+S25</f>
        <v>172501</v>
      </c>
      <c r="T39" s="129">
        <f>T10+T11+T12+T21+T25</f>
        <v>4779672.1400000006</v>
      </c>
      <c r="U39" s="320"/>
      <c r="V39" s="320"/>
      <c r="W39" s="320"/>
      <c r="X39" s="129">
        <f>X10+X11+X12+X21+X25</f>
        <v>159133</v>
      </c>
      <c r="Y39" s="129">
        <f>Y10+Y11+Y12+Y21+Y25</f>
        <v>4474232.96</v>
      </c>
      <c r="Z39" s="129"/>
      <c r="AA39" s="320"/>
      <c r="AB39" s="129">
        <f t="shared" ref="AB39:AK39" si="31">AB10+AB11+AB12+AB21+AB25</f>
        <v>103425</v>
      </c>
      <c r="AC39" s="129">
        <f t="shared" si="31"/>
        <v>2879404.6</v>
      </c>
      <c r="AD39" s="129"/>
      <c r="AE39" s="129"/>
      <c r="AF39" s="129">
        <f t="shared" ref="AF39:AG39" si="32">AF10+AF11+AF12+AF21+AF25</f>
        <v>90882</v>
      </c>
      <c r="AG39" s="129">
        <f t="shared" si="32"/>
        <v>2628899.48</v>
      </c>
      <c r="AH39" s="129">
        <f t="shared" si="31"/>
        <v>3</v>
      </c>
      <c r="AI39" s="129"/>
      <c r="AJ39" s="129">
        <f t="shared" ref="AJ39" si="33">AJ10+AJ11+AJ12+AJ21+AJ25</f>
        <v>93143</v>
      </c>
      <c r="AK39" s="129">
        <f t="shared" si="31"/>
        <v>2598997.14</v>
      </c>
      <c r="AL39" s="129"/>
      <c r="AM39" s="129"/>
      <c r="AN39" s="129"/>
      <c r="AO39" s="129"/>
      <c r="AP39" s="129">
        <f t="shared" ref="AP39:BA39" si="34">AP10+AP11+AP12+AP21+AP25</f>
        <v>186934</v>
      </c>
      <c r="AQ39" s="129">
        <f t="shared" si="34"/>
        <v>5413812.3799999999</v>
      </c>
      <c r="AR39" s="129">
        <f t="shared" si="34"/>
        <v>65</v>
      </c>
      <c r="AS39" s="129"/>
      <c r="AT39" s="129"/>
      <c r="AU39" s="129">
        <f t="shared" si="34"/>
        <v>9267687.6799999997</v>
      </c>
      <c r="AV39" s="321"/>
      <c r="AW39" s="129"/>
      <c r="AX39" s="322">
        <f t="shared" si="34"/>
        <v>325718</v>
      </c>
      <c r="AY39" s="129">
        <f t="shared" si="34"/>
        <v>9197209.8800000008</v>
      </c>
      <c r="AZ39" s="129">
        <f t="shared" si="34"/>
        <v>325718</v>
      </c>
      <c r="BA39" s="129">
        <f t="shared" si="34"/>
        <v>9197209.8800000008</v>
      </c>
      <c r="BB39" s="321"/>
      <c r="BC39" s="323"/>
      <c r="BE39" s="75"/>
      <c r="BF39" s="75"/>
      <c r="BG39" s="75"/>
      <c r="BH39" s="75"/>
      <c r="BI39" s="75"/>
      <c r="BJ39" s="76"/>
    </row>
    <row r="40" spans="1:65" s="2" customFormat="1" ht="15" hidden="1" x14ac:dyDescent="0.25">
      <c r="A40" s="324"/>
      <c r="B40" s="325" t="s">
        <v>218</v>
      </c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320"/>
      <c r="U40" s="320"/>
      <c r="V40" s="320"/>
      <c r="W40" s="320"/>
      <c r="X40" s="320"/>
      <c r="Y40" s="320"/>
      <c r="Z40" s="320"/>
      <c r="AA40" s="320"/>
      <c r="AB40" s="130"/>
      <c r="AC40" s="130"/>
      <c r="AD40" s="130"/>
      <c r="AE40" s="130"/>
      <c r="AF40" s="130"/>
      <c r="AG40" s="130"/>
      <c r="AH40" s="326"/>
      <c r="AI40" s="326"/>
      <c r="AJ40" s="326"/>
      <c r="AK40" s="130"/>
      <c r="AL40" s="130"/>
      <c r="AM40" s="130"/>
      <c r="AN40" s="130"/>
      <c r="AO40" s="130"/>
      <c r="AP40" s="326"/>
      <c r="AQ40" s="130"/>
      <c r="AR40" s="326"/>
      <c r="AS40" s="326"/>
      <c r="AT40" s="326"/>
      <c r="AU40" s="130"/>
      <c r="AV40" s="327"/>
      <c r="AW40" s="130"/>
      <c r="AX40" s="322"/>
      <c r="AY40" s="130"/>
      <c r="AZ40" s="326"/>
      <c r="BA40" s="130"/>
      <c r="BB40" s="327"/>
      <c r="BC40" s="323"/>
    </row>
    <row r="41" spans="1:65" s="2" customFormat="1" ht="14.25" hidden="1" x14ac:dyDescent="0.2">
      <c r="A41" s="324"/>
      <c r="B41" s="328" t="s">
        <v>27</v>
      </c>
      <c r="C41" s="320"/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130"/>
      <c r="AC41" s="130"/>
      <c r="AD41" s="130"/>
      <c r="AE41" s="130"/>
      <c r="AF41" s="130"/>
      <c r="AG41" s="130"/>
      <c r="AH41" s="130"/>
      <c r="AI41" s="130"/>
      <c r="AJ41" s="130"/>
      <c r="AK41" s="129"/>
      <c r="AL41" s="130"/>
      <c r="AM41" s="130"/>
      <c r="AN41" s="130"/>
      <c r="AO41" s="130"/>
      <c r="AP41" s="130"/>
      <c r="AQ41" s="129"/>
      <c r="AR41" s="130"/>
      <c r="AS41" s="130"/>
      <c r="AT41" s="130"/>
      <c r="AU41" s="129"/>
      <c r="AV41" s="327"/>
      <c r="AW41" s="130"/>
      <c r="AX41" s="322"/>
      <c r="AY41" s="129"/>
      <c r="AZ41" s="130"/>
      <c r="BA41" s="129"/>
      <c r="BB41" s="327"/>
      <c r="BC41" s="323"/>
    </row>
    <row r="42" spans="1:65" ht="15" hidden="1" customHeight="1" x14ac:dyDescent="0.2">
      <c r="A42" s="384" t="s">
        <v>24</v>
      </c>
      <c r="B42" s="385"/>
      <c r="C42" s="320"/>
      <c r="D42" s="320"/>
      <c r="E42" s="320"/>
      <c r="F42" s="129">
        <f>F14+F15+F16+F17+F18+F19</f>
        <v>192398</v>
      </c>
      <c r="G42" s="129">
        <f>G14+G15+G16+G17+G18+G19</f>
        <v>1340787.75</v>
      </c>
      <c r="H42" s="320"/>
      <c r="I42" s="129"/>
      <c r="J42" s="129"/>
      <c r="K42" s="129">
        <f>K14+K15+K16+K17+K18+K19</f>
        <v>186959</v>
      </c>
      <c r="L42" s="129">
        <f>L14+L15+L16+L17+L18+L19</f>
        <v>1273366.3900000001</v>
      </c>
      <c r="M42" s="320"/>
      <c r="N42" s="320"/>
      <c r="O42" s="320"/>
      <c r="P42" s="129">
        <f>P14+P15+P16+P17+P18+P19</f>
        <v>410807</v>
      </c>
      <c r="Q42" s="129">
        <f>Q14+Q15+Q16+Q17+Q18+Q19</f>
        <v>2812237.03</v>
      </c>
      <c r="R42" s="320"/>
      <c r="S42" s="129">
        <f>S14+S15+S16+S17+S18+S19</f>
        <v>429377</v>
      </c>
      <c r="T42" s="129">
        <f>T14+T15+T16+T17+T18+T19</f>
        <v>2804977.4</v>
      </c>
      <c r="U42" s="320"/>
      <c r="V42" s="320"/>
      <c r="W42" s="320"/>
      <c r="X42" s="129">
        <f>X14+X15+X16+X17+X18+X19</f>
        <v>360996</v>
      </c>
      <c r="Y42" s="129">
        <f>Y14+Y15+Y16+Y17+Y18+Y19</f>
        <v>2332118.15</v>
      </c>
      <c r="Z42" s="320"/>
      <c r="AA42" s="320"/>
      <c r="AB42" s="129">
        <f t="shared" ref="AB42:AK42" si="35">AB14+AB15+AB16+AB17+AB18+AB19</f>
        <v>170033</v>
      </c>
      <c r="AC42" s="129">
        <f t="shared" si="35"/>
        <v>1038712.6399999999</v>
      </c>
      <c r="AD42" s="129"/>
      <c r="AE42" s="129"/>
      <c r="AF42" s="129">
        <f t="shared" ref="AF42:AG42" si="36">AF14+AF15+AF16+AF17+AF18+AF19</f>
        <v>160035</v>
      </c>
      <c r="AG42" s="129">
        <f t="shared" si="36"/>
        <v>890274.74000000011</v>
      </c>
      <c r="AH42" s="129">
        <f t="shared" si="35"/>
        <v>0</v>
      </c>
      <c r="AI42" s="129"/>
      <c r="AJ42" s="129">
        <f t="shared" ref="AJ42" si="37">AJ14+AJ15+AJ16+AJ17+AJ18+AJ19</f>
        <v>525123</v>
      </c>
      <c r="AK42" s="129">
        <f t="shared" si="35"/>
        <v>2871938.9999999995</v>
      </c>
      <c r="AL42" s="130"/>
      <c r="AM42" s="130"/>
      <c r="AN42" s="130"/>
      <c r="AO42" s="130"/>
      <c r="AP42" s="129">
        <f t="shared" ref="AP42:AY42" si="38">AP14+AP15+AP16+AP17+AP18+AP19</f>
        <v>1235308</v>
      </c>
      <c r="AQ42" s="129">
        <f t="shared" si="38"/>
        <v>6712611.4300000006</v>
      </c>
      <c r="AR42" s="129">
        <f t="shared" si="38"/>
        <v>0</v>
      </c>
      <c r="AS42" s="129"/>
      <c r="AT42" s="129"/>
      <c r="AU42" s="129">
        <f t="shared" si="38"/>
        <v>2834520.63</v>
      </c>
      <c r="AV42" s="327"/>
      <c r="AW42" s="130"/>
      <c r="AX42" s="322">
        <f t="shared" si="38"/>
        <v>136640</v>
      </c>
      <c r="AY42" s="129">
        <f t="shared" si="38"/>
        <v>845228.66999999993</v>
      </c>
      <c r="AZ42" s="129">
        <f>AZ14+AZ15+AZ16+AZ17+AZ19+AZ18</f>
        <v>107996</v>
      </c>
      <c r="BA42" s="129">
        <f>BA14+BA15+BA16+BA17+BA18+BA19</f>
        <v>797106.75</v>
      </c>
      <c r="BB42" s="327"/>
      <c r="BC42" s="323"/>
    </row>
    <row r="43" spans="1:65" ht="15.75" hidden="1" x14ac:dyDescent="0.25">
      <c r="A43" s="384" t="s">
        <v>25</v>
      </c>
      <c r="B43" s="385"/>
      <c r="C43" s="320"/>
      <c r="D43" s="320"/>
      <c r="E43" s="320"/>
      <c r="F43" s="129">
        <f>F38</f>
        <v>484848</v>
      </c>
      <c r="G43" s="129">
        <f>G38</f>
        <v>8519371.0199999996</v>
      </c>
      <c r="H43" s="320"/>
      <c r="I43" s="129"/>
      <c r="J43" s="129"/>
      <c r="K43" s="129">
        <f>K38</f>
        <v>387501</v>
      </c>
      <c r="L43" s="129">
        <f>L38</f>
        <v>6796423.3900000006</v>
      </c>
      <c r="M43" s="320"/>
      <c r="N43" s="320"/>
      <c r="O43" s="320"/>
      <c r="P43" s="129">
        <f>P38</f>
        <v>389805</v>
      </c>
      <c r="Q43" s="129">
        <f>Q38</f>
        <v>6097663.8600000003</v>
      </c>
      <c r="R43" s="320"/>
      <c r="S43" s="129">
        <f>S38</f>
        <v>343542</v>
      </c>
      <c r="T43" s="129">
        <f>T38</f>
        <v>5181042.04</v>
      </c>
      <c r="U43" s="320"/>
      <c r="V43" s="320"/>
      <c r="W43" s="320"/>
      <c r="X43" s="129">
        <f>X38</f>
        <v>316871</v>
      </c>
      <c r="Y43" s="129">
        <f>Y38</f>
        <v>4780582.6100000003</v>
      </c>
      <c r="Z43" s="320"/>
      <c r="AA43" s="320"/>
      <c r="AB43" s="129">
        <f t="shared" ref="AB43:AK43" si="39">AB38</f>
        <v>210438</v>
      </c>
      <c r="AC43" s="129">
        <f t="shared" si="39"/>
        <v>3056438.52</v>
      </c>
      <c r="AD43" s="129"/>
      <c r="AE43" s="129"/>
      <c r="AF43" s="129">
        <f t="shared" ref="AF43:AG43" si="40">AF38</f>
        <v>187479</v>
      </c>
      <c r="AG43" s="129">
        <f t="shared" si="40"/>
        <v>2662063.91</v>
      </c>
      <c r="AH43" s="129">
        <f t="shared" si="39"/>
        <v>0</v>
      </c>
      <c r="AI43" s="129"/>
      <c r="AJ43" s="129">
        <f t="shared" ref="AJ43" si="41">AJ38</f>
        <v>185961</v>
      </c>
      <c r="AK43" s="129">
        <f t="shared" si="39"/>
        <v>2745104.27</v>
      </c>
      <c r="AL43" s="129"/>
      <c r="AM43" s="129"/>
      <c r="AN43" s="129"/>
      <c r="AO43" s="129"/>
      <c r="AP43" s="129">
        <f t="shared" ref="AP43:BA43" si="42">AP38</f>
        <v>402828</v>
      </c>
      <c r="AQ43" s="129">
        <f t="shared" si="42"/>
        <v>5726547.4000000004</v>
      </c>
      <c r="AR43" s="129">
        <f t="shared" si="42"/>
        <v>0</v>
      </c>
      <c r="AS43" s="129"/>
      <c r="AT43" s="129"/>
      <c r="AU43" s="129">
        <f t="shared" si="42"/>
        <v>10783341.560000001</v>
      </c>
      <c r="AV43" s="321"/>
      <c r="AW43" s="129"/>
      <c r="AX43" s="322">
        <f t="shared" si="42"/>
        <v>1150214</v>
      </c>
      <c r="AY43" s="129">
        <f t="shared" si="42"/>
        <v>11795360.300000001</v>
      </c>
      <c r="AZ43" s="129">
        <f t="shared" si="42"/>
        <v>1114330</v>
      </c>
      <c r="BA43" s="129">
        <f t="shared" si="42"/>
        <v>11668330.939999999</v>
      </c>
      <c r="BB43" s="321"/>
      <c r="BC43" s="323"/>
      <c r="BE43" s="357" t="s">
        <v>98</v>
      </c>
      <c r="BF43" s="357"/>
      <c r="BG43" s="357"/>
      <c r="BH43" s="357"/>
      <c r="BI43" s="72" t="e">
        <f>BA48</f>
        <v>#REF!</v>
      </c>
    </row>
    <row r="44" spans="1:65" ht="15.75" hidden="1" x14ac:dyDescent="0.25">
      <c r="A44" s="386" t="s">
        <v>23</v>
      </c>
      <c r="B44" s="387"/>
      <c r="C44" s="320"/>
      <c r="D44" s="320"/>
      <c r="E44" s="320"/>
      <c r="F44" s="129">
        <f>F42+F43</f>
        <v>677246</v>
      </c>
      <c r="G44" s="129">
        <f t="shared" ref="G44" si="43">G42+G43</f>
        <v>9860158.7699999996</v>
      </c>
      <c r="H44" s="320"/>
      <c r="I44" s="129"/>
      <c r="J44" s="129"/>
      <c r="K44" s="129">
        <f>K42+K43</f>
        <v>574460</v>
      </c>
      <c r="L44" s="129">
        <f t="shared" ref="L44" si="44">L42+L43</f>
        <v>8069789.7800000012</v>
      </c>
      <c r="M44" s="320"/>
      <c r="N44" s="320"/>
      <c r="O44" s="320"/>
      <c r="P44" s="129">
        <f>P42+P43</f>
        <v>800612</v>
      </c>
      <c r="Q44" s="129">
        <f t="shared" ref="Q44" si="45">Q42+Q43</f>
        <v>8909900.8900000006</v>
      </c>
      <c r="R44" s="320"/>
      <c r="S44" s="129">
        <f>S42+S43</f>
        <v>772919</v>
      </c>
      <c r="T44" s="129">
        <f t="shared" ref="T44" si="46">T42+T43</f>
        <v>7986019.4399999995</v>
      </c>
      <c r="U44" s="320"/>
      <c r="V44" s="320"/>
      <c r="W44" s="320"/>
      <c r="X44" s="129">
        <f>X42+X43</f>
        <v>677867</v>
      </c>
      <c r="Y44" s="129">
        <f t="shared" ref="Y44" si="47">Y42+Y43</f>
        <v>7112700.7599999998</v>
      </c>
      <c r="Z44" s="320"/>
      <c r="AA44" s="320"/>
      <c r="AB44" s="129">
        <f>AB42+AB43</f>
        <v>380471</v>
      </c>
      <c r="AC44" s="129">
        <f t="shared" ref="AC44:AZ44" si="48">AC42+AC43</f>
        <v>4095151.16</v>
      </c>
      <c r="AD44" s="129"/>
      <c r="AE44" s="129"/>
      <c r="AF44" s="129">
        <f t="shared" ref="AF44:AG44" si="49">AF42+AF43</f>
        <v>347514</v>
      </c>
      <c r="AG44" s="129">
        <f t="shared" si="49"/>
        <v>3552338.6500000004</v>
      </c>
      <c r="AH44" s="129">
        <f>AH42+AH43</f>
        <v>0</v>
      </c>
      <c r="AI44" s="129"/>
      <c r="AJ44" s="129">
        <f>AJ42+AJ43</f>
        <v>711084</v>
      </c>
      <c r="AK44" s="129">
        <f>AK42+AK43</f>
        <v>5617043.2699999996</v>
      </c>
      <c r="AL44" s="129">
        <f t="shared" si="48"/>
        <v>0</v>
      </c>
      <c r="AM44" s="129"/>
      <c r="AN44" s="129"/>
      <c r="AO44" s="129"/>
      <c r="AP44" s="129">
        <f t="shared" si="48"/>
        <v>1638136</v>
      </c>
      <c r="AQ44" s="129">
        <f>AQ42+AQ43</f>
        <v>12439158.830000002</v>
      </c>
      <c r="AR44" s="129">
        <f t="shared" si="48"/>
        <v>0</v>
      </c>
      <c r="AS44" s="129"/>
      <c r="AT44" s="129"/>
      <c r="AU44" s="129">
        <f t="shared" si="48"/>
        <v>13617862.190000001</v>
      </c>
      <c r="AV44" s="321"/>
      <c r="AW44" s="129"/>
      <c r="AX44" s="322">
        <f t="shared" si="48"/>
        <v>1286854</v>
      </c>
      <c r="AY44" s="129">
        <f t="shared" si="48"/>
        <v>12640588.970000001</v>
      </c>
      <c r="AZ44" s="129">
        <f t="shared" si="48"/>
        <v>1222326</v>
      </c>
      <c r="BA44" s="129">
        <f>BA42+BA43</f>
        <v>12465437.689999999</v>
      </c>
      <c r="BB44" s="321"/>
      <c r="BC44" s="323"/>
      <c r="BE44" s="100"/>
      <c r="BF44" s="100"/>
      <c r="BG44" s="100"/>
      <c r="BH44" s="100"/>
      <c r="BI44" s="101"/>
    </row>
    <row r="45" spans="1:65" s="65" customFormat="1" ht="39" hidden="1" customHeight="1" x14ac:dyDescent="0.25">
      <c r="A45" s="388" t="s">
        <v>92</v>
      </c>
      <c r="B45" s="388"/>
      <c r="C45" s="329"/>
      <c r="D45" s="329"/>
      <c r="E45" s="329"/>
      <c r="F45" s="329"/>
      <c r="G45" s="329"/>
      <c r="H45" s="329"/>
      <c r="I45" s="329"/>
      <c r="J45" s="329"/>
      <c r="K45" s="329"/>
      <c r="L45" s="329"/>
      <c r="M45" s="329"/>
      <c r="N45" s="329"/>
      <c r="O45" s="329"/>
      <c r="P45" s="329"/>
      <c r="Q45" s="329"/>
      <c r="R45" s="329"/>
      <c r="S45" s="329"/>
      <c r="T45" s="329"/>
      <c r="U45" s="329"/>
      <c r="V45" s="329"/>
      <c r="W45" s="329"/>
      <c r="X45" s="329"/>
      <c r="Y45" s="329"/>
      <c r="Z45" s="329"/>
      <c r="AA45" s="3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 t="e">
        <f>#REF!+#REF!</f>
        <v>#REF!</v>
      </c>
      <c r="AQ45" s="129" t="e">
        <f>#REF!</f>
        <v>#REF!</v>
      </c>
      <c r="AR45" s="129" t="e">
        <f>#REF!+#REF!</f>
        <v>#REF!</v>
      </c>
      <c r="AS45" s="129"/>
      <c r="AT45" s="129"/>
      <c r="AU45" s="129" t="e">
        <f>#REF!</f>
        <v>#REF!</v>
      </c>
      <c r="AV45" s="321"/>
      <c r="AW45" s="129"/>
      <c r="AX45" s="322" t="e">
        <f>#REF!+#REF!</f>
        <v>#REF!</v>
      </c>
      <c r="AY45" s="129" t="e">
        <f>#REF!</f>
        <v>#REF!</v>
      </c>
      <c r="AZ45" s="129" t="e">
        <f>#REF!+#REF!</f>
        <v>#REF!</v>
      </c>
      <c r="BA45" s="129" t="e">
        <f>#REF!</f>
        <v>#REF!</v>
      </c>
      <c r="BB45" s="321"/>
      <c r="BC45" s="323"/>
      <c r="BE45" s="100"/>
      <c r="BF45" s="100"/>
      <c r="BG45" s="100"/>
      <c r="BH45" s="100"/>
      <c r="BI45" s="76"/>
    </row>
    <row r="46" spans="1:65" s="65" customFormat="1" ht="14.25" hidden="1" x14ac:dyDescent="0.2">
      <c r="A46" s="131"/>
      <c r="B46" s="330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131"/>
      <c r="AC46" s="131"/>
      <c r="AD46" s="131"/>
      <c r="AE46" s="131"/>
      <c r="AF46" s="131"/>
      <c r="AG46" s="131"/>
      <c r="AH46" s="131"/>
      <c r="AI46" s="131"/>
      <c r="AJ46" s="131"/>
      <c r="AK46" s="131"/>
      <c r="AL46" s="131"/>
      <c r="AM46" s="131"/>
      <c r="AN46" s="131"/>
      <c r="AO46" s="131"/>
      <c r="AP46" s="131"/>
      <c r="AQ46" s="131"/>
      <c r="AR46" s="131"/>
      <c r="AS46" s="131"/>
      <c r="AT46" s="131"/>
      <c r="AU46" s="131"/>
      <c r="AV46" s="331"/>
      <c r="AW46" s="131"/>
      <c r="AX46" s="332"/>
      <c r="AY46" s="131"/>
      <c r="AZ46" s="131"/>
      <c r="BA46" s="131"/>
      <c r="BB46" s="331"/>
      <c r="BC46" s="333"/>
    </row>
    <row r="47" spans="1:65" s="65" customFormat="1" ht="14.25" hidden="1" x14ac:dyDescent="0.2">
      <c r="A47" s="131"/>
      <c r="B47" s="330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31"/>
      <c r="AH47" s="131"/>
      <c r="AI47" s="131"/>
      <c r="AJ47" s="131"/>
      <c r="AK47" s="131"/>
      <c r="AL47" s="131"/>
      <c r="AM47" s="131"/>
      <c r="AN47" s="131"/>
      <c r="AO47" s="131"/>
      <c r="AP47" s="131"/>
      <c r="AQ47" s="131"/>
      <c r="AR47" s="131"/>
      <c r="AS47" s="131"/>
      <c r="AT47" s="131"/>
      <c r="AU47" s="131"/>
      <c r="AV47" s="331"/>
      <c r="AW47" s="131"/>
      <c r="AX47" s="332"/>
      <c r="AY47" s="131"/>
      <c r="AZ47" s="131"/>
      <c r="BA47" s="131"/>
      <c r="BB47" s="331"/>
      <c r="BC47" s="333"/>
    </row>
    <row r="48" spans="1:65" s="65" customFormat="1" ht="18.75" hidden="1" x14ac:dyDescent="0.3">
      <c r="A48" s="131"/>
      <c r="B48" s="330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131"/>
      <c r="X48" s="131"/>
      <c r="Y48" s="131"/>
      <c r="Z48" s="131"/>
      <c r="AA48" s="131"/>
      <c r="AB48" s="131"/>
      <c r="AC48" s="131"/>
      <c r="AD48" s="131"/>
      <c r="AE48" s="131"/>
      <c r="AF48" s="131"/>
      <c r="AG48" s="131"/>
      <c r="AH48" s="334"/>
      <c r="AI48" s="334"/>
      <c r="AJ48" s="334"/>
      <c r="AK48" s="335" t="s">
        <v>94</v>
      </c>
      <c r="AL48" s="335"/>
      <c r="AM48" s="335"/>
      <c r="AN48" s="335"/>
      <c r="AO48" s="335"/>
      <c r="AP48" s="335"/>
      <c r="AQ48" s="336" t="e">
        <f>AQ36-AQ42+AQ45</f>
        <v>#REF!</v>
      </c>
      <c r="AR48" s="335"/>
      <c r="AS48" s="335"/>
      <c r="AT48" s="335"/>
      <c r="AU48" s="336" t="e">
        <f>AU36-AU42+AU45</f>
        <v>#REF!</v>
      </c>
      <c r="AV48" s="335"/>
      <c r="AW48" s="335"/>
      <c r="AX48" s="337"/>
      <c r="AY48" s="336" t="e">
        <f>AY36-AY42+AY45</f>
        <v>#REF!</v>
      </c>
      <c r="AZ48" s="335"/>
      <c r="BA48" s="336" t="e">
        <f>BA36-BA42+BA45</f>
        <v>#REF!</v>
      </c>
      <c r="BB48" s="335"/>
      <c r="BC48" s="333" t="e">
        <f>(AQ48+AU48+AY48+BA48)/4</f>
        <v>#REF!</v>
      </c>
    </row>
    <row r="49" spans="1:56" s="65" customFormat="1" ht="15.75" hidden="1" x14ac:dyDescent="0.25">
      <c r="A49" s="131"/>
      <c r="B49" s="330"/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1"/>
      <c r="AV49" s="331"/>
      <c r="AW49" s="131"/>
      <c r="AX49" s="332"/>
      <c r="AY49" s="131"/>
      <c r="AZ49" s="131"/>
      <c r="BA49" s="131"/>
      <c r="BB49" s="331"/>
      <c r="BC49" s="333"/>
      <c r="BD49" s="73"/>
    </row>
    <row r="50" spans="1:56" ht="36" hidden="1" customHeight="1" x14ac:dyDescent="0.3">
      <c r="A50" s="18"/>
      <c r="B50" s="300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338"/>
      <c r="AW50" s="18"/>
      <c r="AX50" s="358" t="s">
        <v>97</v>
      </c>
      <c r="AY50" s="358"/>
      <c r="AZ50" s="358"/>
      <c r="BA50" s="339" t="e">
        <f>G36+L36+Q36+T36+Y36+AC36+#REF!+AK36+AQ48+AU48+AY48+BA48</f>
        <v>#REF!</v>
      </c>
      <c r="BB50" s="338"/>
      <c r="BC50" s="339" t="e">
        <f>BA50-BA48</f>
        <v>#REF!</v>
      </c>
      <c r="BD50" s="74"/>
    </row>
    <row r="51" spans="1:56" s="17" customFormat="1" ht="2.25" customHeight="1" x14ac:dyDescent="0.2">
      <c r="A51" s="132"/>
      <c r="B51" s="340"/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Y51" s="132"/>
      <c r="Z51" s="132"/>
      <c r="AA51" s="132"/>
      <c r="AB51" s="132"/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132"/>
      <c r="AP51" s="132"/>
      <c r="AQ51" s="132"/>
      <c r="AR51" s="132"/>
      <c r="AS51" s="132"/>
      <c r="AT51" s="132"/>
      <c r="AU51" s="132"/>
      <c r="AV51" s="341"/>
      <c r="AW51" s="132"/>
      <c r="AX51" s="342"/>
      <c r="AY51" s="132"/>
      <c r="AZ51" s="132"/>
      <c r="BA51" s="132"/>
      <c r="BB51" s="341"/>
      <c r="BC51" s="333"/>
    </row>
    <row r="52" spans="1:56" s="149" customFormat="1" ht="76.5" customHeight="1" x14ac:dyDescent="0.2">
      <c r="A52" s="352" t="s">
        <v>112</v>
      </c>
      <c r="B52" s="352"/>
      <c r="C52" s="321"/>
      <c r="D52" s="321"/>
      <c r="E52" s="321"/>
      <c r="F52" s="321"/>
      <c r="G52" s="321">
        <v>129960.44</v>
      </c>
      <c r="H52" s="321"/>
      <c r="I52" s="321"/>
      <c r="J52" s="321"/>
      <c r="K52" s="321"/>
      <c r="L52" s="321">
        <v>162280.19</v>
      </c>
      <c r="M52" s="321"/>
      <c r="N52" s="321"/>
      <c r="O52" s="321"/>
      <c r="P52" s="321"/>
      <c r="Q52" s="321">
        <v>40842.400000000001</v>
      </c>
      <c r="R52" s="321"/>
      <c r="S52" s="321"/>
      <c r="T52" s="321">
        <v>29465</v>
      </c>
      <c r="U52" s="321"/>
      <c r="V52" s="321"/>
      <c r="W52" s="321"/>
      <c r="X52" s="321"/>
      <c r="Y52" s="321">
        <v>58558.64</v>
      </c>
      <c r="Z52" s="321"/>
      <c r="AA52" s="321"/>
      <c r="AB52" s="321"/>
      <c r="AC52" s="321">
        <v>70812.639999999999</v>
      </c>
      <c r="AD52" s="321"/>
      <c r="AE52" s="321"/>
      <c r="AF52" s="321"/>
      <c r="AG52" s="321">
        <v>21300</v>
      </c>
      <c r="AH52" s="321"/>
      <c r="AI52" s="321"/>
      <c r="AJ52" s="321"/>
      <c r="AK52" s="321">
        <v>34080</v>
      </c>
      <c r="AL52" s="343"/>
      <c r="AM52" s="343"/>
      <c r="AN52" s="343"/>
      <c r="AO52" s="343"/>
      <c r="AP52" s="344"/>
      <c r="AQ52" s="344">
        <f>40200.96+51120</f>
        <v>91320.959999999992</v>
      </c>
      <c r="AR52" s="344"/>
      <c r="AS52" s="344"/>
      <c r="AT52" s="344"/>
      <c r="AU52" s="344">
        <v>51120</v>
      </c>
      <c r="AV52" s="345"/>
      <c r="AW52" s="345"/>
      <c r="AX52" s="346"/>
      <c r="AY52" s="346"/>
      <c r="AZ52" s="346"/>
      <c r="BA52" s="346"/>
      <c r="BB52" s="345"/>
      <c r="BC52" s="347"/>
    </row>
    <row r="53" spans="1:56" ht="15" x14ac:dyDescent="0.25">
      <c r="A53" s="176" t="s">
        <v>113</v>
      </c>
      <c r="B53" s="62"/>
      <c r="C53" s="62"/>
      <c r="D53" s="62"/>
      <c r="E53" s="62"/>
      <c r="F53" s="62"/>
      <c r="G53" s="177">
        <f>G36-G52</f>
        <v>10147056.560000001</v>
      </c>
      <c r="H53" s="62"/>
      <c r="I53" s="62"/>
      <c r="J53" s="62"/>
      <c r="K53" s="62"/>
      <c r="L53" s="177">
        <f>L36-L52</f>
        <v>8271162.8099999996</v>
      </c>
      <c r="M53" s="62"/>
      <c r="N53" s="62"/>
      <c r="O53" s="62"/>
      <c r="P53" s="62"/>
      <c r="Q53" s="177">
        <f>Q36-Q52</f>
        <v>9160081.5999999996</v>
      </c>
      <c r="R53" s="62"/>
      <c r="S53" s="62"/>
      <c r="T53" s="177">
        <f>T36-T52</f>
        <v>8158033.1600000011</v>
      </c>
      <c r="U53" s="62"/>
      <c r="V53" s="62"/>
      <c r="W53" s="62"/>
      <c r="X53" s="62"/>
      <c r="Y53" s="177">
        <f>Y36-Y52</f>
        <v>7309935.6900000004</v>
      </c>
      <c r="Z53" s="62"/>
      <c r="AA53" s="62"/>
      <c r="AB53" s="62"/>
      <c r="AC53" s="177">
        <f>AC36-AC52</f>
        <v>4230428.84</v>
      </c>
      <c r="AD53" s="62"/>
      <c r="AE53" s="62"/>
      <c r="AF53" s="129"/>
      <c r="AG53" s="177">
        <f>AG36-AG52</f>
        <v>4060885.43</v>
      </c>
      <c r="AH53" s="62"/>
      <c r="AI53" s="62"/>
      <c r="AJ53" s="62"/>
      <c r="AK53" s="177">
        <f>AK36-AK52</f>
        <v>5770218.1900000004</v>
      </c>
      <c r="AL53" s="177"/>
      <c r="AM53" s="177"/>
      <c r="AN53" s="177"/>
      <c r="AO53" s="177"/>
      <c r="AP53" s="178"/>
      <c r="AQ53" s="177">
        <f>AQ36-AQ52</f>
        <v>12809600.049999999</v>
      </c>
      <c r="AR53" s="178"/>
      <c r="AS53" s="178"/>
      <c r="AT53" s="178"/>
      <c r="AU53" s="177">
        <f>AU36-AU52</f>
        <v>14013137.620000003</v>
      </c>
      <c r="AV53" s="348">
        <f>G53+L53+Q53+T53+Y53+AC53+AG53+AK53+AQ53+AU53</f>
        <v>83930539.950000003</v>
      </c>
      <c r="AW53" s="179"/>
      <c r="AX53" s="180"/>
      <c r="AY53" s="180"/>
      <c r="AZ53" s="180"/>
      <c r="BA53" s="180"/>
      <c r="BB53" s="175"/>
      <c r="BC53" s="349">
        <f>AV53+AY36+BA36</f>
        <v>116257138.05600001</v>
      </c>
    </row>
    <row r="54" spans="1:56" s="17" customFormat="1" ht="12.75" x14ac:dyDescent="0.2">
      <c r="B54" s="77"/>
      <c r="AF54" s="132"/>
      <c r="AG54" s="132"/>
      <c r="AV54" s="150"/>
      <c r="AX54" s="173"/>
      <c r="BB54" s="150"/>
      <c r="BC54" s="64"/>
    </row>
    <row r="55" spans="1:56" s="17" customFormat="1" ht="12.75" x14ac:dyDescent="0.2">
      <c r="B55" s="77"/>
      <c r="AF55" s="132"/>
      <c r="AG55" s="132"/>
      <c r="AV55" s="150"/>
      <c r="AX55" s="173"/>
      <c r="BB55" s="150"/>
      <c r="BC55" s="64"/>
    </row>
    <row r="56" spans="1:56" s="17" customFormat="1" ht="36" x14ac:dyDescent="0.2">
      <c r="A56" s="17" t="s">
        <v>114</v>
      </c>
      <c r="B56" s="77" t="s">
        <v>115</v>
      </c>
      <c r="C56" s="17" t="s">
        <v>123</v>
      </c>
      <c r="F56" s="17" t="s">
        <v>124</v>
      </c>
      <c r="G56" s="17" t="s">
        <v>125</v>
      </c>
      <c r="H56" s="189" t="s">
        <v>127</v>
      </c>
      <c r="AF56" s="132"/>
      <c r="AG56" s="132"/>
      <c r="AV56" s="150"/>
      <c r="AX56" s="173"/>
      <c r="BB56" s="150"/>
      <c r="BC56" s="64"/>
    </row>
    <row r="57" spans="1:56" s="17" customFormat="1" ht="12.75" x14ac:dyDescent="0.2">
      <c r="A57" s="17" t="s">
        <v>116</v>
      </c>
      <c r="B57" s="77">
        <v>241</v>
      </c>
      <c r="C57" s="181">
        <v>44309</v>
      </c>
      <c r="F57" s="78">
        <v>9535056</v>
      </c>
      <c r="G57" s="78"/>
      <c r="H57" s="188">
        <f>G53</f>
        <v>10147056.560000001</v>
      </c>
      <c r="AF57" s="132"/>
      <c r="AG57" s="132"/>
      <c r="AV57" s="150"/>
      <c r="AX57" s="173"/>
      <c r="BB57" s="150"/>
      <c r="BC57" s="64"/>
    </row>
    <row r="58" spans="1:56" s="17" customFormat="1" ht="12.75" x14ac:dyDescent="0.2">
      <c r="A58" s="17" t="s">
        <v>117</v>
      </c>
      <c r="B58" s="77">
        <v>258</v>
      </c>
      <c r="C58" s="181">
        <v>44322</v>
      </c>
      <c r="F58" s="78">
        <v>8038172</v>
      </c>
      <c r="G58" s="78"/>
      <c r="H58" s="188">
        <f>L53</f>
        <v>8271162.8099999996</v>
      </c>
      <c r="AF58" s="132"/>
      <c r="AG58" s="132"/>
      <c r="AV58" s="150"/>
      <c r="AX58" s="173"/>
      <c r="BB58" s="150"/>
      <c r="BC58" s="64"/>
    </row>
    <row r="59" spans="1:56" s="17" customFormat="1" ht="12.75" x14ac:dyDescent="0.2">
      <c r="A59" s="17" t="s">
        <v>118</v>
      </c>
      <c r="B59" s="77">
        <v>276</v>
      </c>
      <c r="C59" s="181">
        <v>44330</v>
      </c>
      <c r="F59" s="78">
        <v>9033465</v>
      </c>
      <c r="G59" s="78"/>
      <c r="H59" s="188">
        <f>Q53</f>
        <v>9160081.5999999996</v>
      </c>
      <c r="AF59" s="132"/>
      <c r="AG59" s="132"/>
      <c r="AV59" s="150"/>
      <c r="AX59" s="173"/>
      <c r="BB59" s="150"/>
      <c r="BC59" s="64"/>
    </row>
    <row r="60" spans="1:56" s="17" customFormat="1" ht="12.75" x14ac:dyDescent="0.2">
      <c r="A60" s="17" t="s">
        <v>119</v>
      </c>
      <c r="B60" s="77">
        <v>397</v>
      </c>
      <c r="C60" s="181">
        <v>44386</v>
      </c>
      <c r="F60" s="78">
        <v>9084733</v>
      </c>
      <c r="G60" s="78"/>
      <c r="H60" s="188">
        <f>T53</f>
        <v>8158033.1600000011</v>
      </c>
      <c r="AF60" s="132"/>
      <c r="AG60" s="132"/>
      <c r="AV60" s="150"/>
      <c r="AX60" s="173"/>
      <c r="BB60" s="150"/>
      <c r="BC60" s="64"/>
    </row>
    <row r="61" spans="1:56" s="17" customFormat="1" ht="12.75" x14ac:dyDescent="0.2">
      <c r="A61" s="17" t="s">
        <v>120</v>
      </c>
      <c r="B61" s="77">
        <v>459</v>
      </c>
      <c r="C61" s="181">
        <v>44420</v>
      </c>
      <c r="F61" s="78">
        <v>7296102</v>
      </c>
      <c r="G61" s="78"/>
      <c r="H61" s="188">
        <f>Y53</f>
        <v>7309935.6900000004</v>
      </c>
      <c r="AF61" s="132"/>
      <c r="AG61" s="132"/>
      <c r="AV61" s="150"/>
      <c r="AX61" s="173"/>
      <c r="BB61" s="150"/>
      <c r="BC61" s="64"/>
    </row>
    <row r="62" spans="1:56" s="17" customFormat="1" ht="12.75" x14ac:dyDescent="0.2">
      <c r="A62" s="17" t="s">
        <v>121</v>
      </c>
      <c r="B62" s="77">
        <v>458</v>
      </c>
      <c r="C62" s="181">
        <v>44419</v>
      </c>
      <c r="F62" s="78">
        <v>4213418</v>
      </c>
      <c r="G62" s="78"/>
      <c r="H62" s="188">
        <f>AC53</f>
        <v>4230428.84</v>
      </c>
      <c r="AF62" s="132"/>
      <c r="AG62" s="132"/>
      <c r="AV62" s="150"/>
      <c r="AX62" s="173"/>
      <c r="BB62" s="150"/>
      <c r="BC62" s="64"/>
    </row>
    <row r="63" spans="1:56" s="63" customFormat="1" ht="12.75" x14ac:dyDescent="0.2">
      <c r="A63" s="63" t="s">
        <v>122</v>
      </c>
      <c r="B63" s="77">
        <v>616</v>
      </c>
      <c r="C63" s="181">
        <v>44488</v>
      </c>
      <c r="D63" s="17"/>
      <c r="E63" s="17"/>
      <c r="F63" s="78">
        <v>4081966</v>
      </c>
      <c r="G63" s="78">
        <v>300895</v>
      </c>
      <c r="H63" s="78">
        <f>AG53</f>
        <v>4060885.43</v>
      </c>
      <c r="AF63" s="131"/>
      <c r="AG63" s="131"/>
      <c r="AV63" s="148"/>
      <c r="AX63" s="172"/>
      <c r="BB63" s="148"/>
      <c r="BC63" s="64"/>
    </row>
    <row r="64" spans="1:56" s="63" customFormat="1" x14ac:dyDescent="0.2">
      <c r="A64" s="63" t="s">
        <v>29</v>
      </c>
      <c r="B64" s="79">
        <v>645</v>
      </c>
      <c r="C64" s="182">
        <v>44495</v>
      </c>
      <c r="F64" s="78">
        <v>5822007</v>
      </c>
      <c r="G64" s="78">
        <v>179087</v>
      </c>
      <c r="H64" s="78">
        <f>AK53</f>
        <v>5770218.1900000004</v>
      </c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133"/>
      <c r="AG64" s="133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80"/>
      <c r="AW64" s="78"/>
      <c r="AX64" s="172"/>
      <c r="BB64" s="80"/>
      <c r="BD64" s="78"/>
    </row>
    <row r="65" spans="1:56" s="63" customFormat="1" x14ac:dyDescent="0.2">
      <c r="A65" s="63" t="s">
        <v>31</v>
      </c>
      <c r="B65" s="79">
        <v>765</v>
      </c>
      <c r="C65" s="182">
        <v>44529</v>
      </c>
      <c r="E65" s="80"/>
      <c r="F65" s="78">
        <v>12812532</v>
      </c>
      <c r="G65" s="78">
        <v>83381</v>
      </c>
      <c r="H65" s="78">
        <f>AQ53</f>
        <v>12809600.049999999</v>
      </c>
      <c r="I65" s="78"/>
      <c r="J65" s="78"/>
      <c r="K65" s="78"/>
      <c r="L65" s="78"/>
      <c r="M65" s="78"/>
      <c r="N65" s="78"/>
      <c r="O65" s="80"/>
      <c r="P65" s="78"/>
      <c r="Q65" s="78"/>
      <c r="R65" s="78"/>
      <c r="S65" s="78"/>
      <c r="T65" s="78"/>
      <c r="U65" s="80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133"/>
      <c r="AG65" s="133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80"/>
      <c r="AW65" s="78"/>
      <c r="AX65" s="172"/>
      <c r="AY65" s="78"/>
      <c r="AZ65" s="78"/>
      <c r="BA65" s="78"/>
      <c r="BB65" s="80"/>
      <c r="BC65" s="78"/>
      <c r="BD65" s="78"/>
    </row>
    <row r="66" spans="1:56" s="63" customFormat="1" ht="15" x14ac:dyDescent="0.25">
      <c r="A66" s="63" t="s">
        <v>30</v>
      </c>
      <c r="B66" s="187">
        <v>822</v>
      </c>
      <c r="C66" s="183">
        <v>44508</v>
      </c>
      <c r="D66" s="184"/>
      <c r="E66" s="184"/>
      <c r="F66" s="185">
        <v>9525846</v>
      </c>
      <c r="G66" s="186">
        <v>36920</v>
      </c>
      <c r="H66" s="78">
        <f>AU53</f>
        <v>14013137.620000003</v>
      </c>
      <c r="I66" s="78"/>
      <c r="J66" s="81"/>
      <c r="K66" s="78"/>
      <c r="L66" s="82"/>
      <c r="M66" s="82"/>
      <c r="N66" s="82"/>
      <c r="O66" s="82"/>
      <c r="P66" s="81"/>
      <c r="Q66" s="82"/>
      <c r="R66" s="83"/>
      <c r="S66" s="81"/>
      <c r="T66" s="82"/>
      <c r="U66" s="82"/>
      <c r="V66" s="83"/>
      <c r="W66" s="83"/>
      <c r="X66" s="81"/>
      <c r="Y66" s="82"/>
      <c r="Z66" s="78"/>
      <c r="AA66" s="78"/>
      <c r="AB66" s="84"/>
      <c r="AC66" s="83"/>
      <c r="AD66" s="83"/>
      <c r="AE66" s="83"/>
      <c r="AF66" s="134"/>
      <c r="AG66" s="134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80"/>
      <c r="AW66" s="78"/>
      <c r="AX66" s="172"/>
      <c r="AY66" s="78"/>
      <c r="AZ66" s="78"/>
      <c r="BA66" s="78"/>
      <c r="BB66" s="80"/>
      <c r="BC66" s="78"/>
      <c r="BD66" s="78"/>
    </row>
    <row r="67" spans="1:56" s="63" customFormat="1" x14ac:dyDescent="0.2">
      <c r="F67" s="80">
        <f>SUM(F57:F66)</f>
        <v>79443297</v>
      </c>
      <c r="G67" s="80">
        <f>SUM(G57:G66)</f>
        <v>600283</v>
      </c>
      <c r="H67" s="80">
        <f>SUM(H57:H66)</f>
        <v>83930539.950000003</v>
      </c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133"/>
      <c r="AG67" s="133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80"/>
      <c r="AW67" s="78"/>
      <c r="AX67" s="172"/>
      <c r="AY67" s="78"/>
      <c r="AZ67" s="78"/>
      <c r="BA67" s="78"/>
      <c r="BB67" s="80"/>
      <c r="BC67" s="78"/>
      <c r="BD67" s="78"/>
    </row>
    <row r="68" spans="1:56" s="63" customFormat="1" ht="18" customHeight="1" x14ac:dyDescent="0.2">
      <c r="F68" s="81"/>
      <c r="G68" s="82"/>
      <c r="H68" s="78"/>
      <c r="I68" s="78"/>
      <c r="J68" s="81"/>
      <c r="K68" s="78"/>
      <c r="L68" s="82"/>
      <c r="M68" s="82"/>
      <c r="N68" s="82"/>
      <c r="O68" s="82"/>
      <c r="P68" s="81"/>
      <c r="Q68" s="82"/>
      <c r="R68" s="83"/>
      <c r="S68" s="81"/>
      <c r="T68" s="82"/>
      <c r="U68" s="82"/>
      <c r="V68" s="83"/>
      <c r="W68" s="83"/>
      <c r="X68" s="81"/>
      <c r="Y68" s="82"/>
      <c r="Z68" s="78"/>
      <c r="AA68" s="78"/>
      <c r="AB68" s="78"/>
      <c r="AC68" s="78"/>
      <c r="AD68" s="78"/>
      <c r="AE68" s="78"/>
      <c r="AF68" s="133"/>
      <c r="AG68" s="133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80"/>
      <c r="AW68" s="78"/>
      <c r="AX68" s="172"/>
      <c r="AY68" s="78"/>
      <c r="AZ68" s="78"/>
      <c r="BA68" s="78"/>
      <c r="BB68" s="80"/>
      <c r="BC68" s="78"/>
      <c r="BD68" s="78"/>
    </row>
    <row r="69" spans="1:56" s="63" customFormat="1" ht="81.75" customHeight="1" x14ac:dyDescent="0.2">
      <c r="F69" s="297" t="s">
        <v>213</v>
      </c>
      <c r="G69" s="297" t="s">
        <v>212</v>
      </c>
      <c r="H69" s="78"/>
      <c r="I69" s="78"/>
      <c r="J69" s="81"/>
      <c r="K69" s="78"/>
      <c r="L69" s="82"/>
      <c r="M69" s="82"/>
      <c r="N69" s="82"/>
      <c r="O69" s="82"/>
      <c r="P69" s="81"/>
      <c r="Q69" s="82"/>
      <c r="R69" s="83"/>
      <c r="S69" s="81"/>
      <c r="T69" s="82"/>
      <c r="U69" s="82"/>
      <c r="V69" s="83"/>
      <c r="W69" s="83"/>
      <c r="X69" s="81"/>
      <c r="Y69" s="82"/>
      <c r="Z69" s="78"/>
      <c r="AA69" s="78"/>
      <c r="AB69" s="78"/>
      <c r="AC69" s="78"/>
      <c r="AD69" s="78"/>
      <c r="AE69" s="78"/>
      <c r="AF69" s="133"/>
      <c r="AG69" s="133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80"/>
      <c r="AW69" s="78"/>
      <c r="AX69" s="172"/>
      <c r="AY69" s="78"/>
      <c r="AZ69" s="78"/>
      <c r="BA69" s="78"/>
      <c r="BB69" s="80"/>
      <c r="BC69" s="78"/>
      <c r="BD69" s="78"/>
    </row>
    <row r="70" spans="1:56" s="63" customFormat="1" ht="53.25" customHeight="1" x14ac:dyDescent="0.2">
      <c r="A70" s="298" t="s">
        <v>129</v>
      </c>
      <c r="B70" s="299">
        <v>79443301</v>
      </c>
      <c r="C70" s="298" t="s">
        <v>126</v>
      </c>
      <c r="D70" s="66"/>
      <c r="E70" s="66"/>
      <c r="F70" s="295">
        <f>ROUNDUP(H67-F67,0)</f>
        <v>4487243</v>
      </c>
      <c r="G70" s="295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133"/>
      <c r="AG70" s="133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80"/>
      <c r="AW70" s="78"/>
      <c r="AX70" s="172"/>
      <c r="AY70" s="78"/>
      <c r="AZ70" s="78"/>
      <c r="BA70" s="78"/>
      <c r="BB70" s="80"/>
      <c r="BC70" s="78"/>
      <c r="BD70" s="78"/>
    </row>
    <row r="71" spans="1:56" s="63" customFormat="1" ht="113.25" customHeight="1" x14ac:dyDescent="0.2">
      <c r="A71" s="298" t="s">
        <v>215</v>
      </c>
      <c r="B71" s="296" t="s">
        <v>214</v>
      </c>
      <c r="C71" s="298" t="s">
        <v>216</v>
      </c>
      <c r="D71" s="66"/>
      <c r="E71" s="66"/>
      <c r="F71" s="295">
        <f>antigēni_ārstniec_iestades_pilo!J27</f>
        <v>362011</v>
      </c>
      <c r="G71" s="295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133"/>
      <c r="AG71" s="133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80"/>
      <c r="AW71" s="78"/>
      <c r="AX71" s="172"/>
      <c r="AY71" s="78"/>
      <c r="AZ71" s="78"/>
      <c r="BA71" s="78"/>
      <c r="BB71" s="80"/>
      <c r="BC71" s="78"/>
      <c r="BD71" s="78"/>
    </row>
    <row r="72" spans="1:56" s="63" customFormat="1" ht="63.75" customHeight="1" x14ac:dyDescent="0.2">
      <c r="A72" s="298" t="s">
        <v>130</v>
      </c>
      <c r="B72" s="299">
        <v>3597119</v>
      </c>
      <c r="C72" s="298" t="s">
        <v>131</v>
      </c>
      <c r="D72" s="66"/>
      <c r="E72" s="66"/>
      <c r="F72" s="66"/>
      <c r="G72" s="295">
        <v>121306.78859000001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133"/>
      <c r="AG72" s="133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80"/>
      <c r="AW72" s="78"/>
      <c r="AX72" s="172"/>
      <c r="AY72" s="78"/>
      <c r="AZ72" s="78"/>
      <c r="BA72" s="78"/>
      <c r="BB72" s="80"/>
      <c r="BC72" s="78"/>
      <c r="BD72" s="78"/>
    </row>
    <row r="73" spans="1:56" s="63" customFormat="1" ht="68.25" customHeight="1" x14ac:dyDescent="0.2">
      <c r="A73" s="298" t="s">
        <v>132</v>
      </c>
      <c r="B73" s="299">
        <v>13537586.51</v>
      </c>
      <c r="C73" s="298" t="s">
        <v>217</v>
      </c>
      <c r="D73" s="66"/>
      <c r="E73" s="66"/>
      <c r="F73" s="295">
        <f>AY36</f>
        <v>16071440.796000002</v>
      </c>
      <c r="G73" s="295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133"/>
      <c r="AG73" s="133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80"/>
      <c r="AW73" s="78"/>
      <c r="AX73" s="172"/>
      <c r="AY73" s="78"/>
      <c r="AZ73" s="78"/>
      <c r="BA73" s="78"/>
      <c r="BB73" s="80"/>
      <c r="BC73" s="78"/>
      <c r="BD73" s="78"/>
    </row>
    <row r="74" spans="1:56" s="63" customFormat="1" ht="69" customHeight="1" x14ac:dyDescent="0.2">
      <c r="A74" s="298" t="s">
        <v>133</v>
      </c>
      <c r="B74" s="299">
        <v>14636985</v>
      </c>
      <c r="C74" s="298" t="s">
        <v>128</v>
      </c>
      <c r="D74" s="66"/>
      <c r="E74" s="66"/>
      <c r="F74" s="66"/>
      <c r="G74" s="295">
        <f>B74-BA36</f>
        <v>-1618172.3099999987</v>
      </c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133"/>
      <c r="AG74" s="133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80"/>
      <c r="AW74" s="78"/>
      <c r="AX74" s="172"/>
      <c r="AY74" s="78"/>
      <c r="AZ74" s="78"/>
      <c r="BA74" s="78"/>
      <c r="BB74" s="80"/>
      <c r="BC74" s="78"/>
      <c r="BD74" s="78"/>
    </row>
    <row r="75" spans="1:56" s="63" customFormat="1" x14ac:dyDescent="0.2">
      <c r="B75" s="296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133"/>
      <c r="AG75" s="133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80"/>
      <c r="AW75" s="78"/>
      <c r="AX75" s="172"/>
      <c r="AY75" s="78"/>
      <c r="AZ75" s="78"/>
      <c r="BA75" s="78"/>
      <c r="BB75" s="80"/>
      <c r="BC75" s="78"/>
      <c r="BD75" s="78"/>
    </row>
    <row r="76" spans="1:56" s="63" customFormat="1" x14ac:dyDescent="0.2">
      <c r="F76" s="350">
        <f>ROUNDUP(F70+F73+F71,0)</f>
        <v>20920695</v>
      </c>
      <c r="G76" s="350">
        <f>ROUNDUP(G72-G74,0)</f>
        <v>1739480</v>
      </c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133"/>
      <c r="AG76" s="133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80"/>
      <c r="AW76" s="78"/>
      <c r="AX76" s="172"/>
      <c r="AY76" s="78"/>
      <c r="AZ76" s="78"/>
      <c r="BA76" s="78"/>
      <c r="BB76" s="80"/>
      <c r="BC76" s="78"/>
      <c r="BD76" s="78"/>
    </row>
    <row r="77" spans="1:56" s="63" customFormat="1" x14ac:dyDescent="0.2"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133"/>
      <c r="AG77" s="133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80"/>
      <c r="AW77" s="78"/>
      <c r="AX77" s="172"/>
      <c r="AY77" s="78"/>
      <c r="AZ77" s="78"/>
      <c r="BA77" s="78"/>
      <c r="BB77" s="80"/>
      <c r="BC77" s="78"/>
      <c r="BD77" s="78"/>
    </row>
    <row r="78" spans="1:56" s="63" customFormat="1" x14ac:dyDescent="0.2"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133"/>
      <c r="AG78" s="133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80"/>
      <c r="AW78" s="78"/>
      <c r="AX78" s="172"/>
      <c r="AY78" s="78"/>
      <c r="AZ78" s="78"/>
      <c r="BA78" s="78"/>
      <c r="BB78" s="80"/>
      <c r="BC78" s="78"/>
      <c r="BD78" s="78"/>
    </row>
    <row r="79" spans="1:56" s="63" customFormat="1" x14ac:dyDescent="0.2">
      <c r="F79" s="78"/>
      <c r="G79" s="78"/>
      <c r="H79" s="78"/>
      <c r="I79" s="78"/>
      <c r="J79" s="78"/>
      <c r="K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133"/>
      <c r="AG79" s="133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80"/>
      <c r="AW79" s="78"/>
      <c r="AX79" s="172"/>
      <c r="AY79" s="78"/>
      <c r="AZ79" s="78"/>
      <c r="BA79" s="78"/>
      <c r="BB79" s="80"/>
      <c r="BC79" s="78"/>
      <c r="BD79" s="78"/>
    </row>
    <row r="80" spans="1:56" s="63" customFormat="1" x14ac:dyDescent="0.2">
      <c r="G80" s="78"/>
      <c r="L80" s="78"/>
      <c r="M80" s="78"/>
      <c r="N80" s="78"/>
      <c r="O80" s="78"/>
      <c r="AF80" s="131"/>
      <c r="AG80" s="131"/>
      <c r="AV80" s="148"/>
      <c r="AX80" s="172"/>
      <c r="BB80" s="148"/>
    </row>
    <row r="82" spans="2:36" ht="15.75" x14ac:dyDescent="0.25">
      <c r="B82" s="190"/>
      <c r="C82" s="63"/>
      <c r="D82" s="63"/>
      <c r="E82" s="63"/>
      <c r="F82" s="191"/>
      <c r="G82" s="63"/>
      <c r="H82" s="63"/>
      <c r="I82" s="191"/>
      <c r="J82" s="63"/>
      <c r="K82" s="63"/>
      <c r="P82" s="36"/>
      <c r="S82" s="36"/>
      <c r="X82" s="36"/>
      <c r="AB82" s="36"/>
      <c r="AH82" s="36"/>
      <c r="AI82" s="36"/>
      <c r="AJ82" s="36"/>
    </row>
    <row r="83" spans="2:36" x14ac:dyDescent="0.2">
      <c r="B83" s="63"/>
      <c r="C83" s="63"/>
      <c r="D83" s="63"/>
      <c r="E83" s="63"/>
      <c r="F83" s="63"/>
      <c r="G83" s="63"/>
      <c r="H83" s="63"/>
      <c r="I83" s="63"/>
      <c r="J83" s="63"/>
      <c r="K83" s="63"/>
    </row>
    <row r="84" spans="2:36" x14ac:dyDescent="0.2">
      <c r="B84" s="63"/>
      <c r="C84" s="63"/>
      <c r="D84" s="63"/>
      <c r="E84" s="63"/>
      <c r="F84" s="63"/>
      <c r="G84" s="63"/>
      <c r="H84" s="63"/>
      <c r="I84" s="63"/>
      <c r="J84" s="63"/>
      <c r="K84" s="63"/>
      <c r="AB84" s="2"/>
    </row>
    <row r="85" spans="2:36" ht="15" x14ac:dyDescent="0.25">
      <c r="B85" s="63"/>
      <c r="C85" s="192"/>
      <c r="D85" s="192"/>
      <c r="E85" s="192"/>
      <c r="F85" s="192"/>
      <c r="G85" s="192"/>
      <c r="H85" s="192"/>
      <c r="I85" s="192"/>
      <c r="J85" s="192"/>
      <c r="K85" s="192"/>
      <c r="L85"/>
      <c r="M85"/>
      <c r="N85"/>
      <c r="O85"/>
      <c r="P85"/>
      <c r="Q85"/>
      <c r="R85"/>
    </row>
    <row r="86" spans="2:36" ht="15" x14ac:dyDescent="0.25">
      <c r="B86" s="63"/>
      <c r="C86" s="192"/>
      <c r="D86" s="192"/>
      <c r="E86" s="192"/>
      <c r="F86" s="193"/>
      <c r="G86" s="192"/>
      <c r="H86" s="192"/>
      <c r="I86" s="192"/>
      <c r="J86" s="192"/>
      <c r="K86" s="192"/>
      <c r="L86"/>
      <c r="M86"/>
      <c r="N86"/>
      <c r="O86"/>
      <c r="P86"/>
      <c r="Q86"/>
      <c r="R86"/>
    </row>
    <row r="87" spans="2:36" ht="15" x14ac:dyDescent="0.25">
      <c r="B87" s="63"/>
      <c r="C87" s="192"/>
      <c r="D87" s="192"/>
      <c r="E87" s="192"/>
      <c r="F87" s="193"/>
      <c r="G87" s="192"/>
      <c r="H87" s="192"/>
      <c r="I87" s="192"/>
      <c r="J87" s="192"/>
      <c r="K87" s="192"/>
      <c r="L87"/>
      <c r="M87"/>
      <c r="N87"/>
      <c r="O87"/>
      <c r="P87"/>
      <c r="Q87"/>
      <c r="R87"/>
    </row>
    <row r="88" spans="2:36" ht="15" x14ac:dyDescent="0.25">
      <c r="B88" s="63"/>
      <c r="C88" s="192"/>
      <c r="D88" s="192"/>
      <c r="E88" s="192"/>
      <c r="F88" s="193"/>
      <c r="G88" s="192"/>
      <c r="H88" s="192"/>
      <c r="I88" s="192"/>
      <c r="J88" s="192"/>
      <c r="K88" s="192"/>
      <c r="L88"/>
      <c r="M88"/>
      <c r="N88"/>
      <c r="O88"/>
      <c r="P88"/>
      <c r="Q88"/>
      <c r="R88"/>
    </row>
    <row r="89" spans="2:36" ht="15" x14ac:dyDescent="0.25">
      <c r="B89" s="63"/>
      <c r="C89" s="192"/>
      <c r="D89" s="192"/>
      <c r="E89" s="192"/>
      <c r="F89" s="193"/>
      <c r="G89" s="192"/>
      <c r="H89" s="192"/>
      <c r="I89" s="192"/>
      <c r="J89" s="192"/>
      <c r="K89" s="192"/>
      <c r="L89"/>
      <c r="M89"/>
      <c r="N89"/>
      <c r="O89"/>
      <c r="P89"/>
      <c r="Q89"/>
      <c r="R89"/>
    </row>
    <row r="90" spans="2:36" ht="15" x14ac:dyDescent="0.25">
      <c r="B90" s="63"/>
      <c r="C90" s="192"/>
      <c r="D90" s="192"/>
      <c r="E90" s="192"/>
      <c r="F90" s="193"/>
      <c r="G90" s="192"/>
      <c r="H90" s="192"/>
      <c r="I90" s="192"/>
      <c r="J90" s="192"/>
      <c r="K90" s="194"/>
      <c r="L90" s="3"/>
      <c r="M90" s="3"/>
      <c r="N90" s="3"/>
      <c r="O90" s="3"/>
      <c r="P90"/>
      <c r="Q90"/>
      <c r="R90"/>
    </row>
    <row r="91" spans="2:36" ht="15" x14ac:dyDescent="0.25">
      <c r="B91" s="63"/>
      <c r="C91" s="192"/>
      <c r="D91" s="192"/>
      <c r="E91" s="192"/>
      <c r="F91" s="193"/>
      <c r="G91" s="192"/>
      <c r="H91" s="192"/>
      <c r="I91" s="192"/>
      <c r="J91" s="192"/>
      <c r="K91" s="192"/>
      <c r="L91"/>
      <c r="M91"/>
      <c r="N91"/>
      <c r="O91"/>
      <c r="P91"/>
      <c r="Q91"/>
      <c r="R91"/>
    </row>
    <row r="92" spans="2:36" ht="15" x14ac:dyDescent="0.25">
      <c r="B92" s="195"/>
      <c r="C92" s="196"/>
      <c r="D92" s="192"/>
      <c r="E92" s="192"/>
      <c r="F92" s="197"/>
      <c r="G92" s="192"/>
      <c r="H92" s="192"/>
      <c r="I92" s="192"/>
      <c r="J92" s="192"/>
      <c r="K92" s="192"/>
      <c r="L92"/>
      <c r="M92"/>
      <c r="N92"/>
      <c r="O92"/>
      <c r="P92"/>
      <c r="Q92"/>
      <c r="R92"/>
    </row>
    <row r="93" spans="2:36" ht="15" x14ac:dyDescent="0.25">
      <c r="B93" s="195"/>
      <c r="C93" s="196"/>
      <c r="D93" s="192"/>
      <c r="E93" s="192"/>
      <c r="F93" s="197"/>
      <c r="G93" s="192"/>
      <c r="H93" s="192"/>
      <c r="I93" s="192"/>
      <c r="J93" s="192"/>
      <c r="K93" s="192"/>
      <c r="L93"/>
      <c r="M93"/>
      <c r="N93"/>
      <c r="O93"/>
      <c r="P93"/>
      <c r="Q93"/>
      <c r="R93"/>
    </row>
    <row r="94" spans="2:36" ht="15" x14ac:dyDescent="0.25">
      <c r="B94" s="63"/>
      <c r="C94" s="192"/>
      <c r="D94" s="192"/>
      <c r="E94" s="192"/>
      <c r="F94" s="198"/>
      <c r="G94" s="199"/>
      <c r="H94" s="192"/>
      <c r="I94" s="192"/>
      <c r="J94" s="192"/>
      <c r="K94" s="200"/>
      <c r="L94" s="4"/>
      <c r="M94" s="4"/>
      <c r="N94" s="4"/>
      <c r="O94" s="4"/>
      <c r="P94"/>
      <c r="Q94"/>
      <c r="R94"/>
    </row>
    <row r="95" spans="2:36" ht="15" x14ac:dyDescent="0.25">
      <c r="B95" s="63"/>
      <c r="C95" s="192"/>
      <c r="D95" s="192"/>
      <c r="E95" s="192"/>
      <c r="F95" s="192"/>
      <c r="G95" s="192"/>
      <c r="H95" s="192"/>
      <c r="I95" s="192"/>
      <c r="J95" s="192"/>
      <c r="K95" s="192"/>
      <c r="L95"/>
      <c r="M95"/>
      <c r="N95"/>
      <c r="O95"/>
      <c r="P95"/>
      <c r="Q95"/>
      <c r="R95"/>
    </row>
    <row r="96" spans="2:36" ht="15" x14ac:dyDescent="0.25">
      <c r="B96" s="63"/>
      <c r="C96" s="192"/>
      <c r="D96" s="192"/>
      <c r="E96" s="192"/>
      <c r="F96" s="192"/>
      <c r="G96" s="192"/>
      <c r="H96" s="192"/>
      <c r="I96" s="192"/>
      <c r="J96" s="192"/>
      <c r="K96" s="192"/>
      <c r="L96"/>
      <c r="M96"/>
      <c r="N96"/>
      <c r="O96"/>
      <c r="P96"/>
      <c r="Q96"/>
      <c r="R96"/>
    </row>
    <row r="97" spans="2:18" ht="15" x14ac:dyDescent="0.25">
      <c r="B97" s="63"/>
      <c r="C97" s="192"/>
      <c r="D97" s="192"/>
      <c r="E97" s="192"/>
      <c r="F97" s="193"/>
      <c r="G97" s="199"/>
      <c r="H97" s="192"/>
      <c r="I97" s="192"/>
      <c r="J97" s="192"/>
      <c r="K97" s="192"/>
      <c r="L97"/>
      <c r="M97"/>
      <c r="N97"/>
      <c r="O97"/>
      <c r="P97"/>
      <c r="Q97"/>
      <c r="R97"/>
    </row>
    <row r="98" spans="2:18" ht="15" x14ac:dyDescent="0.25">
      <c r="B98" s="63"/>
      <c r="C98" s="192"/>
      <c r="D98" s="192"/>
      <c r="E98" s="192"/>
      <c r="F98" s="192"/>
      <c r="G98" s="192"/>
      <c r="H98" s="192"/>
      <c r="I98" s="192"/>
      <c r="J98" s="192"/>
      <c r="K98" s="192"/>
      <c r="L98"/>
      <c r="M98"/>
      <c r="N98"/>
      <c r="O98"/>
      <c r="P98"/>
      <c r="Q98"/>
      <c r="R98"/>
    </row>
  </sheetData>
  <mergeCells count="28">
    <mergeCell ref="A43:B43"/>
    <mergeCell ref="A44:B44"/>
    <mergeCell ref="A45:B45"/>
    <mergeCell ref="A38:B38"/>
    <mergeCell ref="A39:B39"/>
    <mergeCell ref="A42:B42"/>
    <mergeCell ref="Z3:AC3"/>
    <mergeCell ref="R3:T3"/>
    <mergeCell ref="C3:G3"/>
    <mergeCell ref="H3:L3"/>
    <mergeCell ref="M3:Q3"/>
    <mergeCell ref="U3:Y3"/>
    <mergeCell ref="A52:B52"/>
    <mergeCell ref="AD3:AG3"/>
    <mergeCell ref="BL30:BM32"/>
    <mergeCell ref="BE43:BH43"/>
    <mergeCell ref="AX50:AZ50"/>
    <mergeCell ref="BE37:BH38"/>
    <mergeCell ref="BJ30:BK32"/>
    <mergeCell ref="AY37:BA37"/>
    <mergeCell ref="AH3:AK3"/>
    <mergeCell ref="AR3:AU3"/>
    <mergeCell ref="AX3:AY3"/>
    <mergeCell ref="AZ3:BA3"/>
    <mergeCell ref="AL3:AQ3"/>
    <mergeCell ref="AV3:AV5"/>
    <mergeCell ref="BB3:BB5"/>
    <mergeCell ref="BC3:BC5"/>
  </mergeCells>
  <pageMargins left="0.7" right="0.7" top="0.75" bottom="0.75" header="0.3" footer="0.3"/>
  <pageSetup paperSize="9" scale="12" orientation="portrait" verticalDpi="90" r:id="rId1"/>
  <colBreaks count="1" manualBreakCount="1"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9B600-A8FD-4793-859D-8A6530EB979F}">
  <sheetPr>
    <pageSetUpPr fitToPage="1"/>
  </sheetPr>
  <dimension ref="A1:J29"/>
  <sheetViews>
    <sheetView zoomScale="115" zoomScaleNormal="115" workbookViewId="0">
      <pane ySplit="4" topLeftCell="A23" activePane="bottomLeft" state="frozen"/>
      <selection pane="bottomLeft" activeCell="J1" sqref="J1"/>
    </sheetView>
  </sheetViews>
  <sheetFormatPr defaultColWidth="8.85546875" defaultRowHeight="15.75" x14ac:dyDescent="0.25"/>
  <cols>
    <col min="1" max="1" width="15.85546875" style="201" customWidth="1"/>
    <col min="2" max="2" width="17.42578125" style="217" customWidth="1"/>
    <col min="3" max="3" width="36.5703125" style="201" customWidth="1"/>
    <col min="4" max="4" width="15.42578125" style="217" customWidth="1"/>
    <col min="5" max="5" width="14.5703125" style="217" customWidth="1"/>
    <col min="6" max="6" width="9" style="201" customWidth="1"/>
    <col min="7" max="7" width="11.85546875" style="201" customWidth="1"/>
    <col min="8" max="8" width="8.85546875" style="201"/>
    <col min="9" max="9" width="12.140625" style="201" customWidth="1"/>
    <col min="10" max="10" width="18.140625" style="217" customWidth="1"/>
    <col min="11" max="11" width="26.5703125" style="201" customWidth="1"/>
    <col min="12" max="16384" width="8.85546875" style="201"/>
  </cols>
  <sheetData>
    <row r="1" spans="1:10" x14ac:dyDescent="0.25">
      <c r="J1" s="351" t="s">
        <v>220</v>
      </c>
    </row>
    <row r="2" spans="1:10" ht="60" customHeight="1" x14ac:dyDescent="0.25">
      <c r="A2" s="393" t="s">
        <v>134</v>
      </c>
      <c r="B2" s="393"/>
      <c r="C2" s="393"/>
      <c r="D2" s="393"/>
      <c r="E2" s="393"/>
      <c r="F2" s="393"/>
      <c r="G2" s="393"/>
      <c r="H2" s="393"/>
      <c r="I2" s="393"/>
      <c r="J2" s="393"/>
    </row>
    <row r="3" spans="1:10" ht="45.6" customHeight="1" x14ac:dyDescent="0.25">
      <c r="A3" s="394" t="s">
        <v>135</v>
      </c>
      <c r="B3" s="395"/>
      <c r="C3" s="396"/>
      <c r="D3" s="397" t="s">
        <v>136</v>
      </c>
      <c r="E3" s="397" t="s">
        <v>137</v>
      </c>
      <c r="F3" s="394" t="s">
        <v>138</v>
      </c>
      <c r="G3" s="395"/>
      <c r="H3" s="396"/>
      <c r="I3" s="397" t="s">
        <v>139</v>
      </c>
      <c r="J3" s="397" t="s">
        <v>140</v>
      </c>
    </row>
    <row r="4" spans="1:10" ht="66.599999999999994" customHeight="1" x14ac:dyDescent="0.25">
      <c r="A4" s="202" t="s">
        <v>141</v>
      </c>
      <c r="B4" s="202" t="s">
        <v>142</v>
      </c>
      <c r="C4" s="202" t="s">
        <v>143</v>
      </c>
      <c r="D4" s="398"/>
      <c r="E4" s="398"/>
      <c r="F4" s="202" t="s">
        <v>144</v>
      </c>
      <c r="G4" s="203" t="s">
        <v>145</v>
      </c>
      <c r="H4" s="203" t="s">
        <v>146</v>
      </c>
      <c r="I4" s="398"/>
      <c r="J4" s="398"/>
    </row>
    <row r="5" spans="1:10" ht="33.75" customHeight="1" x14ac:dyDescent="0.25">
      <c r="A5" s="204" t="s">
        <v>147</v>
      </c>
      <c r="B5" s="205">
        <v>901200014</v>
      </c>
      <c r="C5" s="206" t="s">
        <v>148</v>
      </c>
      <c r="D5" s="207">
        <v>44498</v>
      </c>
      <c r="E5" s="208" t="s">
        <v>149</v>
      </c>
      <c r="F5" s="209">
        <v>5</v>
      </c>
      <c r="G5" s="209"/>
      <c r="H5" s="209">
        <v>0</v>
      </c>
      <c r="I5" s="208">
        <v>4.43</v>
      </c>
      <c r="J5" s="210">
        <f t="shared" ref="J5:J25" si="0">ROUND((F5+G5+H5)*I5,2)</f>
        <v>22.15</v>
      </c>
    </row>
    <row r="6" spans="1:10" ht="33.75" customHeight="1" x14ac:dyDescent="0.25">
      <c r="A6" s="204" t="s">
        <v>147</v>
      </c>
      <c r="B6" s="205">
        <v>170064506</v>
      </c>
      <c r="C6" s="206" t="s">
        <v>150</v>
      </c>
      <c r="D6" s="207">
        <v>44498</v>
      </c>
      <c r="E6" s="208" t="s">
        <v>149</v>
      </c>
      <c r="F6" s="209">
        <v>100</v>
      </c>
      <c r="G6" s="209"/>
      <c r="H6" s="209">
        <v>0</v>
      </c>
      <c r="I6" s="208">
        <v>4.43</v>
      </c>
      <c r="J6" s="210">
        <f t="shared" si="0"/>
        <v>443</v>
      </c>
    </row>
    <row r="7" spans="1:10" ht="33.75" customHeight="1" x14ac:dyDescent="0.25">
      <c r="A7" s="204" t="s">
        <v>147</v>
      </c>
      <c r="B7" s="205">
        <v>170064003</v>
      </c>
      <c r="C7" s="206" t="s">
        <v>151</v>
      </c>
      <c r="D7" s="207">
        <v>44498</v>
      </c>
      <c r="E7" s="208" t="s">
        <v>149</v>
      </c>
      <c r="F7" s="209"/>
      <c r="G7" s="209">
        <v>93</v>
      </c>
      <c r="H7" s="209">
        <v>60</v>
      </c>
      <c r="I7" s="208">
        <v>4.43</v>
      </c>
      <c r="J7" s="210">
        <f t="shared" si="0"/>
        <v>677.79</v>
      </c>
    </row>
    <row r="8" spans="1:10" ht="33.75" customHeight="1" x14ac:dyDescent="0.25">
      <c r="A8" s="204" t="s">
        <v>147</v>
      </c>
      <c r="B8" s="205">
        <v>880200016</v>
      </c>
      <c r="C8" s="206" t="s">
        <v>152</v>
      </c>
      <c r="D8" s="207">
        <v>44498</v>
      </c>
      <c r="E8" s="208" t="s">
        <v>149</v>
      </c>
      <c r="F8" s="209"/>
      <c r="G8" s="209">
        <v>1660</v>
      </c>
      <c r="H8" s="209">
        <v>340</v>
      </c>
      <c r="I8" s="208">
        <v>4.43</v>
      </c>
      <c r="J8" s="210">
        <f t="shared" si="0"/>
        <v>8860</v>
      </c>
    </row>
    <row r="9" spans="1:10" ht="33.75" customHeight="1" x14ac:dyDescent="0.25">
      <c r="A9" s="204" t="s">
        <v>147</v>
      </c>
      <c r="B9" s="205">
        <v>640600018</v>
      </c>
      <c r="C9" s="206" t="s">
        <v>153</v>
      </c>
      <c r="D9" s="207">
        <v>44501</v>
      </c>
      <c r="E9" s="208" t="s">
        <v>149</v>
      </c>
      <c r="F9" s="209"/>
      <c r="G9" s="209">
        <v>21</v>
      </c>
      <c r="H9" s="209">
        <v>0</v>
      </c>
      <c r="I9" s="208">
        <v>4.43</v>
      </c>
      <c r="J9" s="210">
        <f t="shared" si="0"/>
        <v>93.03</v>
      </c>
    </row>
    <row r="10" spans="1:10" ht="33.75" customHeight="1" x14ac:dyDescent="0.25">
      <c r="A10" s="204" t="s">
        <v>147</v>
      </c>
      <c r="B10" s="211">
        <v>887600002</v>
      </c>
      <c r="C10" s="206" t="s">
        <v>154</v>
      </c>
      <c r="D10" s="207">
        <v>44501</v>
      </c>
      <c r="E10" s="207">
        <v>44501</v>
      </c>
      <c r="F10" s="209">
        <v>38</v>
      </c>
      <c r="G10" s="209"/>
      <c r="H10" s="209">
        <v>0</v>
      </c>
      <c r="I10" s="208">
        <v>4.43</v>
      </c>
      <c r="J10" s="210">
        <f t="shared" si="0"/>
        <v>168.34</v>
      </c>
    </row>
    <row r="11" spans="1:10" ht="33.75" customHeight="1" x14ac:dyDescent="0.25">
      <c r="A11" s="212" t="s">
        <v>155</v>
      </c>
      <c r="B11" s="205">
        <v>19475419</v>
      </c>
      <c r="C11" s="213" t="s">
        <v>156</v>
      </c>
      <c r="D11" s="214" t="s">
        <v>157</v>
      </c>
      <c r="E11" s="214" t="s">
        <v>149</v>
      </c>
      <c r="F11" s="209"/>
      <c r="G11" s="209">
        <v>107</v>
      </c>
      <c r="H11" s="209">
        <v>0</v>
      </c>
      <c r="I11" s="208">
        <v>4.43</v>
      </c>
      <c r="J11" s="210">
        <f t="shared" si="0"/>
        <v>474.01</v>
      </c>
    </row>
    <row r="12" spans="1:10" ht="33.75" customHeight="1" x14ac:dyDescent="0.25">
      <c r="A12" s="212" t="s">
        <v>155</v>
      </c>
      <c r="B12" s="205">
        <v>10001411</v>
      </c>
      <c r="C12" s="213" t="s">
        <v>158</v>
      </c>
      <c r="D12" s="214" t="s">
        <v>157</v>
      </c>
      <c r="E12" s="214" t="s">
        <v>149</v>
      </c>
      <c r="F12" s="209">
        <v>76</v>
      </c>
      <c r="G12" s="209"/>
      <c r="H12" s="209">
        <v>0</v>
      </c>
      <c r="I12" s="208">
        <v>4.43</v>
      </c>
      <c r="J12" s="210">
        <f t="shared" si="0"/>
        <v>336.68</v>
      </c>
    </row>
    <row r="13" spans="1:10" ht="33.75" customHeight="1" x14ac:dyDescent="0.25">
      <c r="A13" s="212" t="s">
        <v>155</v>
      </c>
      <c r="B13" s="215">
        <v>10001694</v>
      </c>
      <c r="C13" s="216" t="s">
        <v>159</v>
      </c>
      <c r="D13" s="214" t="s">
        <v>157</v>
      </c>
      <c r="E13" s="208" t="s">
        <v>149</v>
      </c>
      <c r="F13" s="209"/>
      <c r="G13" s="209">
        <v>9</v>
      </c>
      <c r="H13" s="209">
        <v>0</v>
      </c>
      <c r="I13" s="208">
        <v>4.43</v>
      </c>
      <c r="J13" s="210">
        <f t="shared" si="0"/>
        <v>39.869999999999997</v>
      </c>
    </row>
    <row r="14" spans="1:10" ht="33.75" customHeight="1" x14ac:dyDescent="0.25">
      <c r="A14" s="212" t="s">
        <v>155</v>
      </c>
      <c r="B14" s="215">
        <v>10060302</v>
      </c>
      <c r="C14" s="216" t="s">
        <v>160</v>
      </c>
      <c r="D14" s="214" t="s">
        <v>157</v>
      </c>
      <c r="E14" s="208" t="s">
        <v>149</v>
      </c>
      <c r="F14" s="209"/>
      <c r="G14" s="209">
        <v>119</v>
      </c>
      <c r="H14" s="209">
        <v>0</v>
      </c>
      <c r="I14" s="208">
        <v>4.43</v>
      </c>
      <c r="J14" s="210">
        <f t="shared" si="0"/>
        <v>527.16999999999996</v>
      </c>
    </row>
    <row r="15" spans="1:10" ht="33.75" customHeight="1" x14ac:dyDescent="0.25">
      <c r="A15" s="212" t="s">
        <v>155</v>
      </c>
      <c r="B15" s="215">
        <v>10000178</v>
      </c>
      <c r="C15" s="216" t="s">
        <v>161</v>
      </c>
      <c r="D15" s="214" t="s">
        <v>162</v>
      </c>
      <c r="E15" s="214" t="s">
        <v>163</v>
      </c>
      <c r="F15" s="209">
        <v>20</v>
      </c>
      <c r="G15" s="209"/>
      <c r="H15" s="209">
        <v>0</v>
      </c>
      <c r="I15" s="208">
        <v>4.43</v>
      </c>
      <c r="J15" s="210">
        <f t="shared" si="0"/>
        <v>88.6</v>
      </c>
    </row>
    <row r="16" spans="1:10" ht="33.75" customHeight="1" x14ac:dyDescent="0.25">
      <c r="A16" s="212" t="s">
        <v>155</v>
      </c>
      <c r="B16" s="215">
        <v>800600008</v>
      </c>
      <c r="C16" s="216" t="s">
        <v>164</v>
      </c>
      <c r="D16" s="214" t="s">
        <v>157</v>
      </c>
      <c r="E16" s="214" t="s">
        <v>163</v>
      </c>
      <c r="F16" s="209">
        <v>7</v>
      </c>
      <c r="G16" s="209"/>
      <c r="H16" s="209">
        <v>0</v>
      </c>
      <c r="I16" s="208">
        <v>4.43</v>
      </c>
      <c r="J16" s="210">
        <f t="shared" si="0"/>
        <v>31.01</v>
      </c>
    </row>
    <row r="17" spans="1:10" ht="33.75" customHeight="1" x14ac:dyDescent="0.25">
      <c r="A17" s="212" t="s">
        <v>155</v>
      </c>
      <c r="B17" s="215">
        <v>10064514</v>
      </c>
      <c r="C17" s="216" t="s">
        <v>165</v>
      </c>
      <c r="D17" s="214" t="s">
        <v>157</v>
      </c>
      <c r="E17" s="214" t="s">
        <v>149</v>
      </c>
      <c r="F17" s="209">
        <v>408</v>
      </c>
      <c r="G17" s="209"/>
      <c r="H17" s="209">
        <v>0</v>
      </c>
      <c r="I17" s="208">
        <v>4.43</v>
      </c>
      <c r="J17" s="210">
        <f t="shared" si="0"/>
        <v>1807.44</v>
      </c>
    </row>
    <row r="18" spans="1:10" ht="33.75" customHeight="1" x14ac:dyDescent="0.25">
      <c r="A18" s="212" t="s">
        <v>155</v>
      </c>
      <c r="B18" s="215">
        <v>10001409</v>
      </c>
      <c r="C18" s="216" t="s">
        <v>166</v>
      </c>
      <c r="D18" s="214" t="s">
        <v>157</v>
      </c>
      <c r="E18" s="214" t="s">
        <v>149</v>
      </c>
      <c r="F18" s="209">
        <v>21</v>
      </c>
      <c r="G18" s="209"/>
      <c r="H18" s="209">
        <v>0</v>
      </c>
      <c r="I18" s="208">
        <v>4.43</v>
      </c>
      <c r="J18" s="210">
        <f t="shared" si="0"/>
        <v>93.03</v>
      </c>
    </row>
    <row r="19" spans="1:10" ht="33.75" customHeight="1" x14ac:dyDescent="0.25">
      <c r="A19" s="204" t="s">
        <v>167</v>
      </c>
      <c r="B19" s="205">
        <v>420200052</v>
      </c>
      <c r="C19" s="206" t="s">
        <v>168</v>
      </c>
      <c r="D19" s="208" t="s">
        <v>169</v>
      </c>
      <c r="E19" s="208" t="s">
        <v>149</v>
      </c>
      <c r="F19" s="209"/>
      <c r="G19" s="209">
        <v>2433</v>
      </c>
      <c r="H19" s="209">
        <v>778</v>
      </c>
      <c r="I19" s="208">
        <v>4.43</v>
      </c>
      <c r="J19" s="210">
        <f t="shared" si="0"/>
        <v>14224.73</v>
      </c>
    </row>
    <row r="20" spans="1:10" ht="33.75" customHeight="1" x14ac:dyDescent="0.25">
      <c r="A20" s="204" t="s">
        <v>155</v>
      </c>
      <c r="B20" s="205">
        <v>19466203</v>
      </c>
      <c r="C20" s="206" t="s">
        <v>170</v>
      </c>
      <c r="D20" s="207">
        <v>44498</v>
      </c>
      <c r="E20" s="208" t="s">
        <v>149</v>
      </c>
      <c r="F20" s="209"/>
      <c r="G20" s="209">
        <v>976</v>
      </c>
      <c r="H20" s="209">
        <v>2</v>
      </c>
      <c r="I20" s="208">
        <v>4.43</v>
      </c>
      <c r="J20" s="210">
        <f t="shared" si="0"/>
        <v>4332.54</v>
      </c>
    </row>
    <row r="21" spans="1:10" ht="33.75" customHeight="1" x14ac:dyDescent="0.25">
      <c r="A21" s="204" t="s">
        <v>155</v>
      </c>
      <c r="B21" s="205">
        <v>130064003</v>
      </c>
      <c r="C21" s="206" t="s">
        <v>171</v>
      </c>
      <c r="D21" s="207">
        <v>44498</v>
      </c>
      <c r="E21" s="208" t="s">
        <v>172</v>
      </c>
      <c r="F21" s="209"/>
      <c r="G21" s="209">
        <v>70</v>
      </c>
      <c r="H21" s="209">
        <v>10</v>
      </c>
      <c r="I21" s="208">
        <v>4.43</v>
      </c>
      <c r="J21" s="210">
        <f t="shared" si="0"/>
        <v>354.4</v>
      </c>
    </row>
    <row r="22" spans="1:10" ht="33.75" customHeight="1" x14ac:dyDescent="0.25">
      <c r="A22" s="204" t="s">
        <v>173</v>
      </c>
      <c r="B22" s="205">
        <v>90000019</v>
      </c>
      <c r="C22" s="206" t="s">
        <v>174</v>
      </c>
      <c r="D22" s="207">
        <v>44501</v>
      </c>
      <c r="E22" s="207">
        <v>44501</v>
      </c>
      <c r="F22" s="209"/>
      <c r="G22" s="209">
        <v>66</v>
      </c>
      <c r="H22" s="209">
        <v>0</v>
      </c>
      <c r="I22" s="208">
        <v>4.43</v>
      </c>
      <c r="J22" s="210">
        <f t="shared" si="0"/>
        <v>292.38</v>
      </c>
    </row>
    <row r="23" spans="1:10" ht="33.75" customHeight="1" x14ac:dyDescent="0.25">
      <c r="A23" s="204" t="s">
        <v>173</v>
      </c>
      <c r="B23" s="205">
        <v>90077403</v>
      </c>
      <c r="C23" s="206" t="s">
        <v>175</v>
      </c>
      <c r="D23" s="207">
        <v>44498</v>
      </c>
      <c r="E23" s="207">
        <v>44501</v>
      </c>
      <c r="F23" s="209"/>
      <c r="G23" s="209">
        <v>0</v>
      </c>
      <c r="H23" s="209">
        <v>224</v>
      </c>
      <c r="I23" s="208">
        <v>4.43</v>
      </c>
      <c r="J23" s="210">
        <f t="shared" si="0"/>
        <v>992.32</v>
      </c>
    </row>
    <row r="24" spans="1:10" ht="33.75" customHeight="1" x14ac:dyDescent="0.25">
      <c r="A24" s="204" t="s">
        <v>167</v>
      </c>
      <c r="B24" s="205">
        <v>420200077</v>
      </c>
      <c r="C24" s="206" t="s">
        <v>176</v>
      </c>
      <c r="D24" s="207">
        <v>44498</v>
      </c>
      <c r="E24" s="207">
        <v>44501</v>
      </c>
      <c r="F24" s="209"/>
      <c r="G24" s="209">
        <v>142</v>
      </c>
      <c r="H24" s="209">
        <v>230</v>
      </c>
      <c r="I24" s="208">
        <v>4.43</v>
      </c>
      <c r="J24" s="210">
        <f t="shared" si="0"/>
        <v>1647.96</v>
      </c>
    </row>
    <row r="25" spans="1:10" ht="33.75" customHeight="1" x14ac:dyDescent="0.25">
      <c r="A25" s="204" t="s">
        <v>147</v>
      </c>
      <c r="B25" s="205">
        <v>170010601</v>
      </c>
      <c r="C25" s="206" t="s">
        <v>177</v>
      </c>
      <c r="D25" s="207">
        <v>44510</v>
      </c>
      <c r="E25" s="207">
        <v>44509</v>
      </c>
      <c r="F25" s="209"/>
      <c r="G25" s="209">
        <v>23</v>
      </c>
      <c r="H25" s="209">
        <v>42</v>
      </c>
      <c r="I25" s="208">
        <v>4.43</v>
      </c>
      <c r="J25" s="210">
        <f t="shared" si="0"/>
        <v>287.95</v>
      </c>
    </row>
    <row r="26" spans="1:10" ht="33.75" customHeight="1" x14ac:dyDescent="0.25">
      <c r="A26" s="204" t="s">
        <v>155</v>
      </c>
      <c r="B26" s="205" t="str">
        <f>'[8]Manas 2015 kontakti'!$C$13</f>
        <v>010064120</v>
      </c>
      <c r="C26" s="206" t="s">
        <v>178</v>
      </c>
      <c r="D26" s="207">
        <v>44498</v>
      </c>
      <c r="E26" s="207">
        <v>44501</v>
      </c>
      <c r="F26" s="209"/>
      <c r="G26" s="209">
        <v>62662</v>
      </c>
      <c r="H26" s="209">
        <v>10976</v>
      </c>
      <c r="I26" s="208">
        <v>4.43</v>
      </c>
      <c r="J26" s="210">
        <f>ROUND((F26+G26+H26)*I26,2)</f>
        <v>326216.34000000003</v>
      </c>
    </row>
    <row r="27" spans="1:10" ht="23.25" customHeight="1" x14ac:dyDescent="0.25">
      <c r="I27" s="218" t="s">
        <v>179</v>
      </c>
      <c r="J27" s="219">
        <f>ROUND(SUM(J5:J26),0)</f>
        <v>362011</v>
      </c>
    </row>
    <row r="28" spans="1:10" x14ac:dyDescent="0.25">
      <c r="A28" s="220"/>
      <c r="B28" s="221"/>
    </row>
    <row r="29" spans="1:10" x14ac:dyDescent="0.25">
      <c r="A29" s="220"/>
      <c r="B29" s="221"/>
    </row>
  </sheetData>
  <autoFilter ref="A4:J26" xr:uid="{F55BF858-0A6E-4FD9-8690-859E1B0EB929}"/>
  <mergeCells count="7">
    <mergeCell ref="A2:J2"/>
    <mergeCell ref="A3:C3"/>
    <mergeCell ref="D3:D4"/>
    <mergeCell ref="E3:E4"/>
    <mergeCell ref="F3:H3"/>
    <mergeCell ref="I3:I4"/>
    <mergeCell ref="J3:J4"/>
  </mergeCells>
  <pageMargins left="0.70866141732283472" right="0.70866141732283472" top="0.74803149606299213" bottom="0.74803149606299213" header="0.31496062992125984" footer="0.31496062992125984"/>
  <pageSetup paperSize="9" scale="55" fitToHeight="0" orientation="portrait" r:id="rId1"/>
  <headerFooter>
    <oddFooter>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70805-A010-4E20-9E39-A1EE8833DF65}">
  <dimension ref="A1:V31"/>
  <sheetViews>
    <sheetView zoomScale="84" zoomScaleNormal="84" workbookViewId="0">
      <pane xSplit="8" ySplit="4" topLeftCell="I59" activePane="bottomRight" state="frozen"/>
      <selection pane="topRight" activeCell="I1" sqref="I1"/>
      <selection pane="bottomLeft" activeCell="A7" sqref="A7"/>
      <selection pane="bottomRight" activeCell="V8" sqref="V8"/>
    </sheetView>
  </sheetViews>
  <sheetFormatPr defaultColWidth="8.85546875" defaultRowHeight="15" x14ac:dyDescent="0.25"/>
  <cols>
    <col min="1" max="1" width="4" style="222" customWidth="1"/>
    <col min="2" max="2" width="5.85546875" style="224" customWidth="1"/>
    <col min="3" max="3" width="36.5703125" style="222" customWidth="1"/>
    <col min="4" max="4" width="14.28515625" style="222" customWidth="1"/>
    <col min="5" max="5" width="10.7109375" style="222" customWidth="1"/>
    <col min="6" max="6" width="12.5703125" style="222" customWidth="1"/>
    <col min="7" max="7" width="15.5703125" style="222" customWidth="1"/>
    <col min="8" max="8" width="12.140625" style="222" customWidth="1"/>
    <col min="9" max="13" width="13" style="222" customWidth="1"/>
    <col min="14" max="14" width="15.7109375" style="222" customWidth="1"/>
    <col min="15" max="16" width="13" style="222" customWidth="1"/>
    <col min="17" max="17" width="13" style="223" customWidth="1"/>
    <col min="18" max="20" width="13" style="222" customWidth="1"/>
    <col min="21" max="21" width="15.7109375" style="223" customWidth="1"/>
    <col min="22" max="22" width="13.140625" style="222" customWidth="1"/>
    <col min="23" max="16384" width="8.85546875" style="222"/>
  </cols>
  <sheetData>
    <row r="1" spans="1:22" x14ac:dyDescent="0.25">
      <c r="U1" s="351" t="s">
        <v>221</v>
      </c>
    </row>
    <row r="2" spans="1:22" ht="24" customHeight="1" x14ac:dyDescent="0.35">
      <c r="D2" s="419" t="s">
        <v>211</v>
      </c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294"/>
      <c r="P2" s="294"/>
      <c r="Q2" s="294"/>
      <c r="R2" s="420"/>
      <c r="S2" s="421"/>
      <c r="T2" s="293"/>
    </row>
    <row r="3" spans="1:22" s="290" customFormat="1" ht="29.1" customHeight="1" x14ac:dyDescent="0.25">
      <c r="A3" s="403">
        <v>1</v>
      </c>
      <c r="B3" s="292"/>
      <c r="C3" s="405" t="s">
        <v>210</v>
      </c>
      <c r="D3" s="405"/>
      <c r="E3" s="405"/>
      <c r="F3" s="405"/>
      <c r="G3" s="291"/>
      <c r="H3" s="291"/>
      <c r="I3" s="406" t="s">
        <v>209</v>
      </c>
      <c r="J3" s="407"/>
      <c r="K3" s="407"/>
      <c r="L3" s="407"/>
      <c r="M3" s="407"/>
      <c r="N3" s="407"/>
      <c r="O3" s="407"/>
      <c r="P3" s="407"/>
      <c r="Q3" s="408"/>
      <c r="R3" s="409" t="s">
        <v>208</v>
      </c>
      <c r="S3" s="410"/>
      <c r="T3" s="411"/>
      <c r="U3" s="399" t="s">
        <v>207</v>
      </c>
    </row>
    <row r="4" spans="1:22" ht="66" customHeight="1" x14ac:dyDescent="0.25">
      <c r="A4" s="403"/>
      <c r="B4" s="289"/>
      <c r="C4" s="422" t="s">
        <v>206</v>
      </c>
      <c r="D4" s="424" t="s">
        <v>203</v>
      </c>
      <c r="E4" s="424" t="s">
        <v>205</v>
      </c>
      <c r="F4" s="424" t="s">
        <v>204</v>
      </c>
      <c r="G4" s="288"/>
      <c r="H4" s="288" t="s">
        <v>203</v>
      </c>
      <c r="I4" s="285" t="s">
        <v>118</v>
      </c>
      <c r="J4" s="285" t="s">
        <v>119</v>
      </c>
      <c r="K4" s="285" t="s">
        <v>120</v>
      </c>
      <c r="L4" s="285" t="s">
        <v>121</v>
      </c>
      <c r="M4" s="285" t="s">
        <v>122</v>
      </c>
      <c r="N4" s="285" t="s">
        <v>29</v>
      </c>
      <c r="O4" s="285" t="s">
        <v>31</v>
      </c>
      <c r="P4" s="285" t="s">
        <v>30</v>
      </c>
      <c r="Q4" s="285" t="s">
        <v>179</v>
      </c>
      <c r="R4" s="285" t="s">
        <v>202</v>
      </c>
      <c r="S4" s="285" t="s">
        <v>201</v>
      </c>
      <c r="T4" s="285" t="s">
        <v>179</v>
      </c>
      <c r="U4" s="400"/>
    </row>
    <row r="5" spans="1:22" ht="60" customHeight="1" x14ac:dyDescent="0.25">
      <c r="A5" s="403"/>
      <c r="B5" s="289"/>
      <c r="C5" s="423"/>
      <c r="D5" s="425"/>
      <c r="E5" s="425"/>
      <c r="F5" s="425"/>
      <c r="G5" s="288"/>
      <c r="H5" s="288"/>
      <c r="I5" s="426" t="s">
        <v>200</v>
      </c>
      <c r="J5" s="427"/>
      <c r="K5" s="427"/>
      <c r="L5" s="427"/>
      <c r="M5" s="428"/>
      <c r="N5" s="287" t="s">
        <v>199</v>
      </c>
      <c r="O5" s="287" t="s">
        <v>198</v>
      </c>
      <c r="P5" s="286" t="s">
        <v>197</v>
      </c>
      <c r="Q5" s="285"/>
      <c r="R5" s="285"/>
      <c r="S5" s="285"/>
      <c r="T5" s="285"/>
      <c r="U5" s="284"/>
    </row>
    <row r="6" spans="1:22" ht="25.5" customHeight="1" x14ac:dyDescent="0.25">
      <c r="A6" s="403"/>
      <c r="B6" s="413">
        <v>1</v>
      </c>
      <c r="C6" s="417" t="s">
        <v>196</v>
      </c>
      <c r="D6" s="260">
        <f>0.65*1.21</f>
        <v>0.78649999999999998</v>
      </c>
      <c r="E6" s="272">
        <v>148428</v>
      </c>
      <c r="F6" s="266">
        <f>D6*E6</f>
        <v>116738.622</v>
      </c>
      <c r="G6" s="259" t="s">
        <v>191</v>
      </c>
      <c r="H6" s="416">
        <v>0.79</v>
      </c>
      <c r="I6" s="250">
        <f t="shared" ref="I6:P6" si="0">ROUND($H$6*I7,2)</f>
        <v>445.56</v>
      </c>
      <c r="J6" s="250">
        <f t="shared" si="0"/>
        <v>816.86</v>
      </c>
      <c r="K6" s="250">
        <f t="shared" si="0"/>
        <v>927.46</v>
      </c>
      <c r="L6" s="250">
        <f t="shared" si="0"/>
        <v>531.66999999999996</v>
      </c>
      <c r="M6" s="250">
        <f t="shared" si="0"/>
        <v>522.98</v>
      </c>
      <c r="N6" s="250">
        <f t="shared" si="0"/>
        <v>816.86</v>
      </c>
      <c r="O6" s="283">
        <f t="shared" si="0"/>
        <v>2254.66</v>
      </c>
      <c r="P6" s="282">
        <f t="shared" si="0"/>
        <v>7337.52</v>
      </c>
      <c r="Q6" s="281">
        <f>SUM(I6:P6)</f>
        <v>13653.57</v>
      </c>
      <c r="R6" s="237">
        <f>ROUND($H$6*R7,2)</f>
        <v>7337.52</v>
      </c>
      <c r="S6" s="237">
        <f>ROUND($H$6*S7,2)</f>
        <v>7337.52</v>
      </c>
      <c r="T6" s="281">
        <f>R6+S6</f>
        <v>14675.04</v>
      </c>
      <c r="U6" s="280">
        <f>Q6+T6</f>
        <v>28328.61</v>
      </c>
      <c r="V6" s="225"/>
    </row>
    <row r="7" spans="1:22" ht="16.5" customHeight="1" x14ac:dyDescent="0.25">
      <c r="A7" s="404"/>
      <c r="B7" s="413"/>
      <c r="C7" s="417"/>
      <c r="D7" s="260"/>
      <c r="E7" s="272"/>
      <c r="F7" s="266"/>
      <c r="G7" s="259" t="s">
        <v>189</v>
      </c>
      <c r="H7" s="416"/>
      <c r="I7" s="263">
        <v>564</v>
      </c>
      <c r="J7" s="263">
        <v>1034</v>
      </c>
      <c r="K7" s="263">
        <v>1174</v>
      </c>
      <c r="L7" s="263">
        <v>673</v>
      </c>
      <c r="M7" s="263">
        <v>662</v>
      </c>
      <c r="N7" s="263">
        <v>1034</v>
      </c>
      <c r="O7" s="263">
        <v>2854</v>
      </c>
      <c r="P7" s="262">
        <v>9288</v>
      </c>
      <c r="Q7" s="257">
        <f>SUM(I7:P7)</f>
        <v>17283</v>
      </c>
      <c r="R7" s="262">
        <v>9288</v>
      </c>
      <c r="S7" s="262">
        <v>9288</v>
      </c>
      <c r="T7" s="257">
        <f>R7+S7</f>
        <v>18576</v>
      </c>
      <c r="U7" s="234">
        <f>Q7+T7</f>
        <v>35859</v>
      </c>
    </row>
    <row r="8" spans="1:22" ht="33" customHeight="1" x14ac:dyDescent="0.25">
      <c r="A8" s="402">
        <v>2</v>
      </c>
      <c r="B8" s="412" t="s">
        <v>195</v>
      </c>
      <c r="C8" s="412"/>
      <c r="D8" s="412"/>
      <c r="E8" s="412"/>
      <c r="F8" s="412"/>
      <c r="G8" s="412"/>
      <c r="H8" s="412"/>
      <c r="I8" s="412"/>
      <c r="J8" s="412"/>
      <c r="K8" s="412"/>
      <c r="L8" s="412"/>
      <c r="M8" s="412"/>
      <c r="N8" s="412"/>
      <c r="O8" s="412"/>
      <c r="P8" s="412"/>
      <c r="Q8" s="412"/>
      <c r="R8" s="412"/>
      <c r="S8" s="412"/>
      <c r="T8" s="248"/>
      <c r="U8" s="279"/>
    </row>
    <row r="9" spans="1:22" ht="23.25" customHeight="1" x14ac:dyDescent="0.25">
      <c r="A9" s="403"/>
      <c r="B9" s="414">
        <v>1</v>
      </c>
      <c r="C9" s="415" t="s">
        <v>194</v>
      </c>
      <c r="D9" s="278"/>
      <c r="E9" s="272"/>
      <c r="F9" s="260"/>
      <c r="G9" s="259" t="s">
        <v>191</v>
      </c>
      <c r="H9" s="418">
        <v>117</v>
      </c>
      <c r="I9" s="277"/>
      <c r="J9" s="270">
        <f t="shared" ref="J9:P9" si="1">ROUND($H$9*J10,2)</f>
        <v>101088</v>
      </c>
      <c r="K9" s="270">
        <f t="shared" si="1"/>
        <v>88920</v>
      </c>
      <c r="L9" s="270">
        <f t="shared" si="1"/>
        <v>84708</v>
      </c>
      <c r="M9" s="270">
        <f t="shared" si="1"/>
        <v>110331</v>
      </c>
      <c r="N9" s="270">
        <f t="shared" si="1"/>
        <v>43992</v>
      </c>
      <c r="O9" s="270">
        <f t="shared" si="1"/>
        <v>54990</v>
      </c>
      <c r="P9" s="268">
        <f t="shared" si="1"/>
        <v>0</v>
      </c>
      <c r="Q9" s="269">
        <f t="shared" ref="Q9:Q18" si="2">SUM(I9:P9)</f>
        <v>484029</v>
      </c>
      <c r="R9" s="268">
        <v>0</v>
      </c>
      <c r="S9" s="276">
        <v>0</v>
      </c>
      <c r="T9" s="267">
        <f t="shared" ref="T9:T15" si="3">R9+S9</f>
        <v>0</v>
      </c>
      <c r="U9" s="267">
        <f t="shared" ref="U9:U15" si="4">Q9+T9</f>
        <v>484029</v>
      </c>
      <c r="V9" s="225"/>
    </row>
    <row r="10" spans="1:22" ht="23.25" customHeight="1" x14ac:dyDescent="0.25">
      <c r="A10" s="403"/>
      <c r="B10" s="414"/>
      <c r="C10" s="415"/>
      <c r="D10" s="260"/>
      <c r="E10" s="272"/>
      <c r="F10" s="266"/>
      <c r="G10" s="259" t="s">
        <v>189</v>
      </c>
      <c r="H10" s="418"/>
      <c r="I10" s="275"/>
      <c r="J10" s="263">
        <v>864</v>
      </c>
      <c r="K10" s="263">
        <v>760</v>
      </c>
      <c r="L10" s="263">
        <v>724</v>
      </c>
      <c r="M10" s="263">
        <v>943</v>
      </c>
      <c r="N10" s="263">
        <v>376</v>
      </c>
      <c r="O10" s="263">
        <v>470</v>
      </c>
      <c r="P10" s="262">
        <v>0</v>
      </c>
      <c r="Q10" s="257">
        <f t="shared" si="2"/>
        <v>4137</v>
      </c>
      <c r="R10" s="262">
        <v>0</v>
      </c>
      <c r="S10" s="256">
        <v>0</v>
      </c>
      <c r="T10" s="235">
        <f t="shared" si="3"/>
        <v>0</v>
      </c>
      <c r="U10" s="235">
        <f t="shared" si="4"/>
        <v>4137</v>
      </c>
    </row>
    <row r="11" spans="1:22" ht="23.25" customHeight="1" x14ac:dyDescent="0.25">
      <c r="A11" s="403"/>
      <c r="B11" s="414">
        <v>2</v>
      </c>
      <c r="C11" s="415" t="s">
        <v>193</v>
      </c>
      <c r="D11" s="260">
        <f>8*1.21</f>
        <v>9.68</v>
      </c>
      <c r="E11" s="272">
        <v>15360</v>
      </c>
      <c r="F11" s="266">
        <f>D11*E11</f>
        <v>148684.79999999999</v>
      </c>
      <c r="G11" s="259" t="s">
        <v>191</v>
      </c>
      <c r="H11" s="416">
        <v>9.68</v>
      </c>
      <c r="I11" s="271"/>
      <c r="J11" s="274"/>
      <c r="K11" s="270">
        <f t="shared" ref="K11:P11" si="5">ROUND($H$11*K12,2)</f>
        <v>11364.32</v>
      </c>
      <c r="L11" s="270">
        <f t="shared" si="5"/>
        <v>6514.64</v>
      </c>
      <c r="M11" s="270">
        <f t="shared" si="5"/>
        <v>6408.16</v>
      </c>
      <c r="N11" s="270">
        <f t="shared" si="5"/>
        <v>10009.120000000001</v>
      </c>
      <c r="O11" s="270">
        <f t="shared" si="5"/>
        <v>16843.2</v>
      </c>
      <c r="P11" s="268">
        <f t="shared" si="5"/>
        <v>18740.48</v>
      </c>
      <c r="Q11" s="269">
        <f t="shared" si="2"/>
        <v>69879.92</v>
      </c>
      <c r="R11" s="268">
        <f>ROUND($H$11*R12,2)</f>
        <v>19108.32</v>
      </c>
      <c r="S11" s="268">
        <f>ROUND($H$11*S12,2)</f>
        <v>19863.36</v>
      </c>
      <c r="T11" s="267">
        <f t="shared" si="3"/>
        <v>38971.68</v>
      </c>
      <c r="U11" s="267">
        <f t="shared" si="4"/>
        <v>108851.6</v>
      </c>
      <c r="V11" s="225"/>
    </row>
    <row r="12" spans="1:22" ht="23.25" customHeight="1" x14ac:dyDescent="0.25">
      <c r="A12" s="403"/>
      <c r="B12" s="414"/>
      <c r="C12" s="415"/>
      <c r="D12" s="260"/>
      <c r="E12" s="272"/>
      <c r="F12" s="266"/>
      <c r="G12" s="259" t="s">
        <v>189</v>
      </c>
      <c r="H12" s="416"/>
      <c r="I12" s="265"/>
      <c r="J12" s="273"/>
      <c r="K12" s="273">
        <v>1174</v>
      </c>
      <c r="L12" s="273">
        <v>673</v>
      </c>
      <c r="M12" s="273">
        <v>662</v>
      </c>
      <c r="N12" s="273">
        <v>1034</v>
      </c>
      <c r="O12" s="273">
        <v>1740</v>
      </c>
      <c r="P12" s="245">
        <v>1936</v>
      </c>
      <c r="Q12" s="235">
        <f t="shared" si="2"/>
        <v>7219</v>
      </c>
      <c r="R12" s="245">
        <f>R14+R15</f>
        <v>1974</v>
      </c>
      <c r="S12" s="245">
        <f>S14+S15</f>
        <v>2052</v>
      </c>
      <c r="T12" s="235">
        <f t="shared" si="3"/>
        <v>4026</v>
      </c>
      <c r="U12" s="235">
        <f t="shared" si="4"/>
        <v>11245</v>
      </c>
    </row>
    <row r="13" spans="1:22" ht="18" customHeight="1" x14ac:dyDescent="0.25">
      <c r="A13" s="403"/>
      <c r="B13" s="414">
        <v>3</v>
      </c>
      <c r="C13" s="415" t="s">
        <v>192</v>
      </c>
      <c r="D13" s="260">
        <f>160*1.21</f>
        <v>193.6</v>
      </c>
      <c r="E13" s="272">
        <v>15360</v>
      </c>
      <c r="F13" s="266">
        <f>D13*E13</f>
        <v>2973696</v>
      </c>
      <c r="G13" s="259" t="s">
        <v>191</v>
      </c>
      <c r="H13" s="416">
        <v>193.6</v>
      </c>
      <c r="I13" s="271"/>
      <c r="J13" s="270"/>
      <c r="K13" s="270">
        <f t="shared" ref="K13:P13" si="6">ROUND($H$13*K14,2)</f>
        <v>8905.6</v>
      </c>
      <c r="L13" s="270">
        <f t="shared" si="6"/>
        <v>2904</v>
      </c>
      <c r="M13" s="270">
        <f t="shared" si="6"/>
        <v>774.4</v>
      </c>
      <c r="N13" s="270">
        <f t="shared" si="6"/>
        <v>0</v>
      </c>
      <c r="O13" s="270">
        <f t="shared" si="6"/>
        <v>9292.7999999999993</v>
      </c>
      <c r="P13" s="268">
        <f t="shared" si="6"/>
        <v>10841.6</v>
      </c>
      <c r="Q13" s="269">
        <f t="shared" si="2"/>
        <v>32718.400000000001</v>
      </c>
      <c r="R13" s="268">
        <f>ROUND($H$13*R14,2)</f>
        <v>18198.400000000001</v>
      </c>
      <c r="S13" s="268">
        <f>ROUND($H$13*S14,2)</f>
        <v>69696</v>
      </c>
      <c r="T13" s="267">
        <f t="shared" si="3"/>
        <v>87894.399999999994</v>
      </c>
      <c r="U13" s="267">
        <f t="shared" si="4"/>
        <v>120612.79999999999</v>
      </c>
      <c r="V13" s="225"/>
    </row>
    <row r="14" spans="1:22" ht="18" customHeight="1" x14ac:dyDescent="0.25">
      <c r="A14" s="403"/>
      <c r="B14" s="414"/>
      <c r="C14" s="415"/>
      <c r="D14" s="260"/>
      <c r="E14" s="260"/>
      <c r="F14" s="266"/>
      <c r="G14" s="259" t="s">
        <v>189</v>
      </c>
      <c r="H14" s="416"/>
      <c r="I14" s="265"/>
      <c r="J14" s="263"/>
      <c r="K14" s="263">
        <v>46</v>
      </c>
      <c r="L14" s="263">
        <v>15</v>
      </c>
      <c r="M14" s="263">
        <v>4</v>
      </c>
      <c r="N14" s="263">
        <v>0</v>
      </c>
      <c r="O14" s="263">
        <v>48</v>
      </c>
      <c r="P14" s="262">
        <v>56</v>
      </c>
      <c r="Q14" s="257">
        <f t="shared" si="2"/>
        <v>169</v>
      </c>
      <c r="R14" s="245">
        <v>94</v>
      </c>
      <c r="S14" s="245">
        <v>360</v>
      </c>
      <c r="T14" s="235">
        <f t="shared" si="3"/>
        <v>454</v>
      </c>
      <c r="U14" s="235">
        <f t="shared" si="4"/>
        <v>623</v>
      </c>
    </row>
    <row r="15" spans="1:22" ht="44.25" customHeight="1" x14ac:dyDescent="0.25">
      <c r="A15" s="404"/>
      <c r="B15" s="254"/>
      <c r="C15" s="264" t="s">
        <v>190</v>
      </c>
      <c r="D15" s="260"/>
      <c r="E15" s="260"/>
      <c r="F15" s="260"/>
      <c r="G15" s="259" t="s">
        <v>189</v>
      </c>
      <c r="H15" s="258"/>
      <c r="I15" s="263">
        <v>564</v>
      </c>
      <c r="J15" s="263">
        <v>1034</v>
      </c>
      <c r="K15" s="263">
        <v>1128</v>
      </c>
      <c r="L15" s="263">
        <v>658</v>
      </c>
      <c r="M15" s="263">
        <v>658</v>
      </c>
      <c r="N15" s="263">
        <v>1034</v>
      </c>
      <c r="O15" s="263">
        <v>1692</v>
      </c>
      <c r="P15" s="262">
        <v>1880</v>
      </c>
      <c r="Q15" s="257">
        <f t="shared" si="2"/>
        <v>8648</v>
      </c>
      <c r="R15" s="262">
        <v>1880</v>
      </c>
      <c r="S15" s="262">
        <v>1692</v>
      </c>
      <c r="T15" s="235">
        <f t="shared" si="3"/>
        <v>3572</v>
      </c>
      <c r="U15" s="235">
        <f t="shared" si="4"/>
        <v>12220</v>
      </c>
    </row>
    <row r="16" spans="1:22" ht="44.25" customHeight="1" x14ac:dyDescent="0.25">
      <c r="A16" s="255"/>
      <c r="B16" s="254"/>
      <c r="C16" s="261" t="s">
        <v>188</v>
      </c>
      <c r="D16" s="260"/>
      <c r="E16" s="260"/>
      <c r="F16" s="260"/>
      <c r="G16" s="259"/>
      <c r="H16" s="258"/>
      <c r="I16" s="250">
        <f t="shared" ref="I16:P16" si="7">I9+I11+I13+I6</f>
        <v>445.56</v>
      </c>
      <c r="J16" s="250">
        <f t="shared" si="7"/>
        <v>101904.86</v>
      </c>
      <c r="K16" s="250">
        <f t="shared" si="7"/>
        <v>110117.38000000002</v>
      </c>
      <c r="L16" s="250">
        <f t="shared" si="7"/>
        <v>94658.31</v>
      </c>
      <c r="M16" s="250">
        <f t="shared" si="7"/>
        <v>118036.54</v>
      </c>
      <c r="N16" s="250">
        <f t="shared" si="7"/>
        <v>54817.98</v>
      </c>
      <c r="O16" s="250">
        <f t="shared" si="7"/>
        <v>83380.66</v>
      </c>
      <c r="P16" s="256">
        <f t="shared" si="7"/>
        <v>36919.600000000006</v>
      </c>
      <c r="Q16" s="257">
        <f t="shared" si="2"/>
        <v>600280.8899999999</v>
      </c>
      <c r="R16" s="256">
        <f>R9+R11+R13+R6</f>
        <v>44644.240000000005</v>
      </c>
      <c r="S16" s="256">
        <f>S9+S11+S13+S6</f>
        <v>96896.88</v>
      </c>
      <c r="T16" s="235">
        <f>T9+T11+T13+T6</f>
        <v>141541.12</v>
      </c>
      <c r="U16" s="235">
        <f>U9+U11+U13+U6</f>
        <v>741822.00999999989</v>
      </c>
      <c r="V16" s="225"/>
    </row>
    <row r="17" spans="1:22" ht="44.25" customHeight="1" x14ac:dyDescent="0.25">
      <c r="A17" s="255"/>
      <c r="B17" s="254"/>
      <c r="C17" s="261" t="s">
        <v>187</v>
      </c>
      <c r="D17" s="260"/>
      <c r="E17" s="260"/>
      <c r="F17" s="260"/>
      <c r="G17" s="259"/>
      <c r="H17" s="258"/>
      <c r="I17" s="250"/>
      <c r="J17" s="250">
        <v>21228.48</v>
      </c>
      <c r="K17" s="250">
        <v>18673.2</v>
      </c>
      <c r="L17" s="250">
        <v>17788.68</v>
      </c>
      <c r="M17" s="250">
        <v>23169.51</v>
      </c>
      <c r="N17" s="250">
        <v>9238.32</v>
      </c>
      <c r="O17" s="250">
        <v>11547.9</v>
      </c>
      <c r="P17" s="256">
        <v>0</v>
      </c>
      <c r="Q17" s="257">
        <f t="shared" si="2"/>
        <v>101646.09</v>
      </c>
      <c r="R17" s="256">
        <v>0</v>
      </c>
      <c r="S17" s="256">
        <v>0</v>
      </c>
      <c r="T17" s="235">
        <f>R17+S17</f>
        <v>0</v>
      </c>
      <c r="U17" s="235">
        <f>Q17+T17</f>
        <v>101646.09</v>
      </c>
      <c r="V17" s="225"/>
    </row>
    <row r="18" spans="1:22" ht="44.25" customHeight="1" x14ac:dyDescent="0.25">
      <c r="A18" s="255"/>
      <c r="B18" s="254"/>
      <c r="C18" s="253" t="s">
        <v>186</v>
      </c>
      <c r="D18" s="251"/>
      <c r="E18" s="251"/>
      <c r="F18" s="251"/>
      <c r="G18" s="252"/>
      <c r="H18" s="251"/>
      <c r="I18" s="250">
        <f t="shared" ref="I18:P18" si="8">I17+I16</f>
        <v>445.56</v>
      </c>
      <c r="J18" s="250">
        <f t="shared" si="8"/>
        <v>123133.34</v>
      </c>
      <c r="K18" s="250">
        <f t="shared" si="8"/>
        <v>128790.58000000002</v>
      </c>
      <c r="L18" s="250">
        <f t="shared" si="8"/>
        <v>112446.98999999999</v>
      </c>
      <c r="M18" s="250">
        <f t="shared" si="8"/>
        <v>141206.04999999999</v>
      </c>
      <c r="N18" s="250">
        <f t="shared" si="8"/>
        <v>64056.3</v>
      </c>
      <c r="O18" s="250">
        <f t="shared" si="8"/>
        <v>94928.56</v>
      </c>
      <c r="P18" s="250">
        <f t="shared" si="8"/>
        <v>36919.600000000006</v>
      </c>
      <c r="Q18" s="250">
        <f t="shared" si="2"/>
        <v>701926.97999999986</v>
      </c>
      <c r="R18" s="250">
        <f>R17+R16</f>
        <v>44644.240000000005</v>
      </c>
      <c r="S18" s="250">
        <f>S17+S16</f>
        <v>96896.88</v>
      </c>
      <c r="T18" s="249">
        <f>R18+S18</f>
        <v>141541.12</v>
      </c>
      <c r="U18" s="249">
        <f>Q18+T18</f>
        <v>843468.09999999986</v>
      </c>
      <c r="V18" s="225"/>
    </row>
    <row r="19" spans="1:22" ht="59.25" customHeight="1" x14ac:dyDescent="0.25">
      <c r="A19" s="402">
        <v>3</v>
      </c>
      <c r="B19" s="412" t="s">
        <v>185</v>
      </c>
      <c r="C19" s="412"/>
      <c r="D19" s="412"/>
      <c r="E19" s="412"/>
      <c r="F19" s="412"/>
      <c r="G19" s="412"/>
      <c r="H19" s="412"/>
      <c r="I19" s="412"/>
      <c r="J19" s="412"/>
      <c r="K19" s="412"/>
      <c r="L19" s="412"/>
      <c r="M19" s="412"/>
      <c r="N19" s="412"/>
      <c r="O19" s="412"/>
      <c r="P19" s="412"/>
      <c r="Q19" s="412"/>
      <c r="R19" s="412"/>
      <c r="S19" s="412"/>
      <c r="T19" s="248"/>
      <c r="U19" s="248"/>
    </row>
    <row r="20" spans="1:22" x14ac:dyDescent="0.25">
      <c r="A20" s="403"/>
      <c r="B20" s="242">
        <v>1</v>
      </c>
      <c r="C20" s="246" t="s">
        <v>184</v>
      </c>
      <c r="D20" s="240">
        <v>3500</v>
      </c>
      <c r="E20" s="239">
        <v>2</v>
      </c>
      <c r="F20" s="238">
        <v>70000</v>
      </c>
      <c r="G20" s="237"/>
      <c r="H20" s="237"/>
      <c r="I20" s="245">
        <v>2031.1769320000001</v>
      </c>
      <c r="J20" s="245">
        <v>2031.1769320000001</v>
      </c>
      <c r="K20" s="245">
        <v>4449.24</v>
      </c>
      <c r="L20" s="245">
        <v>4449.24</v>
      </c>
      <c r="M20" s="245">
        <v>4449.24</v>
      </c>
      <c r="N20" s="245">
        <v>3639.73</v>
      </c>
      <c r="O20" s="245">
        <v>4145.7647550000002</v>
      </c>
      <c r="P20" s="245">
        <v>4449.24</v>
      </c>
      <c r="Q20" s="235">
        <f>SUM(I20:P20)</f>
        <v>29644.808618999996</v>
      </c>
      <c r="R20" s="247">
        <v>4450</v>
      </c>
      <c r="S20" s="247">
        <v>4450</v>
      </c>
      <c r="T20" s="244">
        <f>R20+S20</f>
        <v>8900</v>
      </c>
      <c r="U20" s="234">
        <f>Q20+T20</f>
        <v>38544.808618999996</v>
      </c>
      <c r="V20" s="225"/>
    </row>
    <row r="21" spans="1:22" ht="30" x14ac:dyDescent="0.25">
      <c r="A21" s="403"/>
      <c r="B21" s="242">
        <v>2</v>
      </c>
      <c r="C21" s="246" t="s">
        <v>183</v>
      </c>
      <c r="D21" s="240">
        <v>3000</v>
      </c>
      <c r="E21" s="239">
        <v>6</v>
      </c>
      <c r="F21" s="238">
        <v>180000</v>
      </c>
      <c r="G21" s="237"/>
      <c r="H21" s="237"/>
      <c r="I21" s="245">
        <v>3257.3244451000005</v>
      </c>
      <c r="J21" s="245">
        <v>4648.01</v>
      </c>
      <c r="K21" s="245">
        <v>5837.9466759999996</v>
      </c>
      <c r="L21" s="245">
        <v>7896.0662279999997</v>
      </c>
      <c r="M21" s="245">
        <v>8455.1299999999992</v>
      </c>
      <c r="N21" s="245">
        <v>10254.99</v>
      </c>
      <c r="O21" s="245">
        <v>12837.305659</v>
      </c>
      <c r="P21" s="245">
        <v>12859.811398</v>
      </c>
      <c r="Q21" s="235">
        <f>SUM(I21:P21)</f>
        <v>66046.584406099995</v>
      </c>
      <c r="R21" s="245">
        <v>4018</v>
      </c>
      <c r="S21" s="245">
        <v>4161.1517100000001</v>
      </c>
      <c r="T21" s="244">
        <f>R21+S21</f>
        <v>8179.1517100000001</v>
      </c>
      <c r="U21" s="234">
        <f>Q21+T21</f>
        <v>74225.736116100001</v>
      </c>
      <c r="V21" s="225"/>
    </row>
    <row r="22" spans="1:22" x14ac:dyDescent="0.25">
      <c r="A22" s="404"/>
      <c r="B22" s="242">
        <v>3</v>
      </c>
      <c r="C22" s="246" t="s">
        <v>182</v>
      </c>
      <c r="D22" s="240">
        <v>1800</v>
      </c>
      <c r="E22" s="239">
        <v>6</v>
      </c>
      <c r="F22" s="238">
        <v>108000</v>
      </c>
      <c r="G22" s="237"/>
      <c r="H22" s="237"/>
      <c r="I22" s="226">
        <v>977.91</v>
      </c>
      <c r="J22" s="226">
        <v>1987.69</v>
      </c>
      <c r="K22" s="226">
        <v>1811.04</v>
      </c>
      <c r="L22" s="226">
        <v>1746.83</v>
      </c>
      <c r="M22" s="226">
        <v>613.70000000000005</v>
      </c>
      <c r="N22" s="226">
        <v>842.20405500000004</v>
      </c>
      <c r="O22" s="226">
        <v>1272.297255</v>
      </c>
      <c r="P22" s="226">
        <v>1738.8495050000001</v>
      </c>
      <c r="Q22" s="235">
        <f>SUM(I22:P22)</f>
        <v>10990.520815</v>
      </c>
      <c r="R22" s="245">
        <v>15254</v>
      </c>
      <c r="S22" s="245">
        <v>15798.756880000001</v>
      </c>
      <c r="T22" s="244">
        <f>R22+S22</f>
        <v>31052.756880000001</v>
      </c>
      <c r="U22" s="234">
        <f>Q22+T22</f>
        <v>42043.277694999997</v>
      </c>
      <c r="V22" s="225"/>
    </row>
    <row r="23" spans="1:22" ht="25.5" x14ac:dyDescent="0.25">
      <c r="A23" s="243"/>
      <c r="B23" s="242"/>
      <c r="C23" s="241" t="s">
        <v>181</v>
      </c>
      <c r="D23" s="240"/>
      <c r="E23" s="239"/>
      <c r="F23" s="238"/>
      <c r="G23" s="237"/>
      <c r="H23" s="237"/>
      <c r="I23" s="236">
        <f t="shared" ref="I23:P23" si="9">I20+I21+I22</f>
        <v>6266.4113771000002</v>
      </c>
      <c r="J23" s="236">
        <f t="shared" si="9"/>
        <v>8666.876932000001</v>
      </c>
      <c r="K23" s="236">
        <f t="shared" si="9"/>
        <v>12098.226675999998</v>
      </c>
      <c r="L23" s="236">
        <f t="shared" si="9"/>
        <v>14092.136227999999</v>
      </c>
      <c r="M23" s="236">
        <f t="shared" si="9"/>
        <v>13518.07</v>
      </c>
      <c r="N23" s="236">
        <f t="shared" si="9"/>
        <v>14736.924054999999</v>
      </c>
      <c r="O23" s="236">
        <f t="shared" si="9"/>
        <v>18255.367669000003</v>
      </c>
      <c r="P23" s="236">
        <f t="shared" si="9"/>
        <v>19047.900903000002</v>
      </c>
      <c r="Q23" s="235">
        <f>SUM(I23:P23)</f>
        <v>106681.91384009999</v>
      </c>
      <c r="R23" s="236">
        <f>R20+R21+R22</f>
        <v>23722</v>
      </c>
      <c r="S23" s="236">
        <f>S20+S21+S22</f>
        <v>24409.908589999999</v>
      </c>
      <c r="T23" s="235">
        <f>R23+S23</f>
        <v>48131.908589999999</v>
      </c>
      <c r="U23" s="234">
        <f>Q23+T23</f>
        <v>154813.8224301</v>
      </c>
      <c r="V23" s="225"/>
    </row>
    <row r="24" spans="1:22" x14ac:dyDescent="0.25">
      <c r="C24" s="223" t="s">
        <v>180</v>
      </c>
    </row>
    <row r="25" spans="1:22" x14ac:dyDescent="0.25">
      <c r="K25" s="225"/>
    </row>
    <row r="26" spans="1:22" ht="37.5" customHeight="1" x14ac:dyDescent="0.3">
      <c r="B26" s="401" t="s">
        <v>179</v>
      </c>
      <c r="C26" s="401"/>
      <c r="D26" s="401"/>
      <c r="E26" s="401"/>
      <c r="F26" s="401"/>
      <c r="G26" s="401"/>
      <c r="H26" s="401"/>
      <c r="I26" s="401"/>
      <c r="J26" s="401"/>
      <c r="K26" s="401"/>
      <c r="L26" s="401"/>
      <c r="M26" s="401"/>
      <c r="N26" s="401"/>
      <c r="O26" s="401"/>
      <c r="P26" s="401"/>
      <c r="Q26" s="231">
        <f>Q23+Q18+Q6</f>
        <v>822262.46384009987</v>
      </c>
      <c r="R26" s="233"/>
      <c r="S26" s="232">
        <f>S18+S23</f>
        <v>121306.78859000001</v>
      </c>
      <c r="T26" s="231">
        <f>T23+T18+T6</f>
        <v>204348.06859000001</v>
      </c>
      <c r="U26" s="231">
        <f>Q26+T26</f>
        <v>1026610.5324300999</v>
      </c>
      <c r="V26" s="230"/>
    </row>
    <row r="27" spans="1:22" x14ac:dyDescent="0.25">
      <c r="F27" s="227"/>
      <c r="G27" s="227"/>
      <c r="H27" s="227"/>
      <c r="Q27" s="229"/>
      <c r="T27" s="229"/>
    </row>
    <row r="28" spans="1:22" x14ac:dyDescent="0.25">
      <c r="I28" s="228"/>
      <c r="J28" s="228"/>
      <c r="K28" s="228"/>
      <c r="L28" s="228"/>
      <c r="M28" s="228"/>
      <c r="N28" s="228"/>
      <c r="O28" s="228"/>
      <c r="P28" s="228"/>
      <c r="Q28" s="225"/>
    </row>
    <row r="29" spans="1:22" x14ac:dyDescent="0.25">
      <c r="F29" s="227"/>
      <c r="G29" s="227"/>
      <c r="H29" s="227"/>
      <c r="I29" s="226"/>
      <c r="J29" s="226"/>
      <c r="K29" s="226"/>
      <c r="L29" s="226"/>
      <c r="M29" s="226"/>
      <c r="N29" s="226"/>
      <c r="O29" s="226"/>
      <c r="P29" s="226"/>
      <c r="Q29" s="222"/>
    </row>
    <row r="30" spans="1:22" x14ac:dyDescent="0.25">
      <c r="Q30" s="225"/>
    </row>
    <row r="31" spans="1:22" x14ac:dyDescent="0.25">
      <c r="Q31" s="222"/>
    </row>
  </sheetData>
  <mergeCells count="29">
    <mergeCell ref="D2:N2"/>
    <mergeCell ref="R2:S2"/>
    <mergeCell ref="C4:C5"/>
    <mergeCell ref="D4:D5"/>
    <mergeCell ref="E4:E5"/>
    <mergeCell ref="F4:F5"/>
    <mergeCell ref="I5:M5"/>
    <mergeCell ref="H6:H7"/>
    <mergeCell ref="H9:H10"/>
    <mergeCell ref="B9:B10"/>
    <mergeCell ref="B11:B12"/>
    <mergeCell ref="C11:C12"/>
    <mergeCell ref="H11:H12"/>
    <mergeCell ref="U3:U4"/>
    <mergeCell ref="B26:P26"/>
    <mergeCell ref="A19:A22"/>
    <mergeCell ref="C3:F3"/>
    <mergeCell ref="I3:Q3"/>
    <mergeCell ref="R3:T3"/>
    <mergeCell ref="B19:S19"/>
    <mergeCell ref="B6:B7"/>
    <mergeCell ref="A3:A7"/>
    <mergeCell ref="A8:A15"/>
    <mergeCell ref="B13:B14"/>
    <mergeCell ref="C13:C14"/>
    <mergeCell ref="H13:H14"/>
    <mergeCell ref="B8:S8"/>
    <mergeCell ref="C6:C7"/>
    <mergeCell ref="C9:C10"/>
  </mergeCells>
  <pageMargins left="0.17" right="0.17" top="0.17" bottom="0.17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test_sept_dec</vt:lpstr>
      <vt:lpstr>antigēni_ārstniec_iestades_pilo</vt:lpstr>
      <vt:lpstr>sekvencesana_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Lāsma Zandberga</cp:lastModifiedBy>
  <cp:revision/>
  <cp:lastPrinted>2021-02-16T07:17:37Z</cp:lastPrinted>
  <dcterms:created xsi:type="dcterms:W3CDTF">2021-02-11T10:08:50Z</dcterms:created>
  <dcterms:modified xsi:type="dcterms:W3CDTF">2021-12-20T08:24:26Z</dcterms:modified>
  <cp:category/>
  <cp:contentStatus/>
</cp:coreProperties>
</file>