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27"/>
  <workbookPr filterPrivacy="1" defaultThemeVersion="124226"/>
  <xr:revisionPtr revIDLastSave="0" documentId="8_{8EF58E44-3E22-8645-A716-786383CEB4C6}" xr6:coauthVersionLast="47" xr6:coauthVersionMax="47" xr10:uidLastSave="{00000000-0000-0000-0000-000000000000}"/>
  <bookViews>
    <workbookView xWindow="0" yWindow="760" windowWidth="34560" windowHeight="20100" activeTab="1" xr2:uid="{00000000-000D-0000-FFFF-FFFF00000000}"/>
  </bookViews>
  <sheets>
    <sheet name="PIRMS" sheetId="1" r:id="rId1"/>
    <sheet name="PĒC" sheetId="4" r:id="rId2"/>
    <sheet name="IZMAIŅA" sheetId="5" r:id="rId3"/>
    <sheet name="raditaji" sheetId="2" state="hidden" r:id="rId4"/>
    <sheet name="tirgus" sheetId="3" state="hidden" r:id="rId5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0" i="4" l="1"/>
  <c r="K140" i="4"/>
  <c r="M140" i="4"/>
  <c r="I136" i="4"/>
  <c r="K134" i="4"/>
  <c r="L134" i="4"/>
  <c r="M134" i="4"/>
  <c r="J134" i="4"/>
  <c r="J140" i="4"/>
  <c r="K146" i="4"/>
  <c r="L146" i="4"/>
  <c r="M146" i="4"/>
  <c r="J146" i="4"/>
  <c r="K136" i="4"/>
  <c r="L136" i="4"/>
  <c r="M136" i="4"/>
  <c r="J136" i="4"/>
  <c r="K138" i="4"/>
  <c r="L138" i="4"/>
  <c r="M138" i="4"/>
  <c r="J138" i="4"/>
  <c r="K132" i="4"/>
  <c r="L132" i="4"/>
  <c r="M132" i="4"/>
  <c r="J132" i="4"/>
  <c r="K127" i="4"/>
  <c r="L127" i="4"/>
  <c r="M127" i="4"/>
  <c r="J127" i="4"/>
  <c r="J123" i="4"/>
  <c r="I58" i="4"/>
  <c r="I144" i="4"/>
  <c r="J157" i="4" l="1"/>
  <c r="I156" i="4"/>
  <c r="I163" i="4"/>
  <c r="I160" i="4"/>
  <c r="J163" i="4"/>
  <c r="K111" i="4"/>
  <c r="L111" i="4"/>
  <c r="M111" i="4"/>
  <c r="J111" i="4"/>
  <c r="I111" i="4"/>
  <c r="I113" i="4"/>
  <c r="H161" i="4"/>
  <c r="H164" i="4"/>
  <c r="B145" i="4"/>
  <c r="I9" i="1"/>
  <c r="I149" i="4" l="1"/>
  <c r="J161" i="4"/>
  <c r="I161" i="4"/>
  <c r="M161" i="4"/>
  <c r="M163" i="4"/>
  <c r="L161" i="4"/>
  <c r="L163" i="4"/>
  <c r="K161" i="4"/>
  <c r="K163" i="4"/>
  <c r="J164" i="4"/>
  <c r="C79" i="5"/>
  <c r="D79" i="5"/>
  <c r="E79" i="5"/>
  <c r="F79" i="5"/>
  <c r="G79" i="5"/>
  <c r="H79" i="5"/>
  <c r="I79" i="5"/>
  <c r="J79" i="5"/>
  <c r="K79" i="5"/>
  <c r="L79" i="5"/>
  <c r="M79" i="5"/>
  <c r="C80" i="5"/>
  <c r="C81" i="5"/>
  <c r="C82" i="5"/>
  <c r="C83" i="5"/>
  <c r="C84" i="5"/>
  <c r="C85" i="5"/>
  <c r="D85" i="5"/>
  <c r="E85" i="5"/>
  <c r="F85" i="5"/>
  <c r="G85" i="5"/>
  <c r="H85" i="5"/>
  <c r="I85" i="5"/>
  <c r="J85" i="5"/>
  <c r="K85" i="5"/>
  <c r="L85" i="5"/>
  <c r="M85" i="5"/>
  <c r="C86" i="5"/>
  <c r="C87" i="5"/>
  <c r="C88" i="5"/>
  <c r="D88" i="5"/>
  <c r="E88" i="5"/>
  <c r="F88" i="5"/>
  <c r="G88" i="5"/>
  <c r="H88" i="5"/>
  <c r="I88" i="5"/>
  <c r="J88" i="5"/>
  <c r="K88" i="5"/>
  <c r="L88" i="5"/>
  <c r="M88" i="5"/>
  <c r="C89" i="5"/>
  <c r="C90" i="5"/>
  <c r="C91" i="5"/>
  <c r="C92" i="5"/>
  <c r="D92" i="5"/>
  <c r="E92" i="5"/>
  <c r="F92" i="5"/>
  <c r="G92" i="5"/>
  <c r="H92" i="5"/>
  <c r="I92" i="5"/>
  <c r="J92" i="5"/>
  <c r="K92" i="5"/>
  <c r="L92" i="5"/>
  <c r="M92" i="5"/>
  <c r="C93" i="5"/>
  <c r="C94" i="5"/>
  <c r="D94" i="5"/>
  <c r="E94" i="5"/>
  <c r="F94" i="5"/>
  <c r="G94" i="5"/>
  <c r="H94" i="5"/>
  <c r="I94" i="5"/>
  <c r="J94" i="5"/>
  <c r="K94" i="5"/>
  <c r="L94" i="5"/>
  <c r="M94" i="5"/>
  <c r="C95" i="5"/>
  <c r="C78" i="5"/>
  <c r="D59" i="5"/>
  <c r="E59" i="5"/>
  <c r="F59" i="5"/>
  <c r="G59" i="5"/>
  <c r="C60" i="5"/>
  <c r="D60" i="5"/>
  <c r="F60" i="5"/>
  <c r="C63" i="5"/>
  <c r="D63" i="5"/>
  <c r="E63" i="5"/>
  <c r="F63" i="5"/>
  <c r="G63" i="5"/>
  <c r="H63" i="5"/>
  <c r="I63" i="5"/>
  <c r="J63" i="5"/>
  <c r="K63" i="5"/>
  <c r="L63" i="5"/>
  <c r="M63" i="5"/>
  <c r="C64" i="5"/>
  <c r="D64" i="5"/>
  <c r="E64" i="5"/>
  <c r="F64" i="5"/>
  <c r="G64" i="5"/>
  <c r="C65" i="5"/>
  <c r="D65" i="5"/>
  <c r="E65" i="5"/>
  <c r="F65" i="5"/>
  <c r="G65" i="5"/>
  <c r="C66" i="5"/>
  <c r="D66" i="5"/>
  <c r="E66" i="5"/>
  <c r="F66" i="5"/>
  <c r="G66" i="5"/>
  <c r="C67" i="5"/>
  <c r="D67" i="5"/>
  <c r="E67" i="5"/>
  <c r="F67" i="5"/>
  <c r="G67" i="5"/>
  <c r="C68" i="5"/>
  <c r="D68" i="5"/>
  <c r="E68" i="5"/>
  <c r="F68" i="5"/>
  <c r="G68" i="5"/>
  <c r="C69" i="5"/>
  <c r="E70" i="5"/>
  <c r="F70" i="5"/>
  <c r="G70" i="5"/>
  <c r="G58" i="5"/>
  <c r="F58" i="5"/>
  <c r="E58" i="5"/>
  <c r="D58" i="5"/>
  <c r="C58" i="5"/>
  <c r="C48" i="5"/>
  <c r="D48" i="5"/>
  <c r="E48" i="5"/>
  <c r="F48" i="5"/>
  <c r="G48" i="5"/>
  <c r="C50" i="5"/>
  <c r="D50" i="5"/>
  <c r="E50" i="5"/>
  <c r="F50" i="5"/>
  <c r="G50" i="5"/>
  <c r="H50" i="5"/>
  <c r="I50" i="5"/>
  <c r="J50" i="5"/>
  <c r="K50" i="5"/>
  <c r="L50" i="5"/>
  <c r="M50" i="5"/>
  <c r="C51" i="5"/>
  <c r="D51" i="5"/>
  <c r="E51" i="5"/>
  <c r="F51" i="5"/>
  <c r="G51" i="5"/>
  <c r="C52" i="5"/>
  <c r="D52" i="5"/>
  <c r="E52" i="5"/>
  <c r="F52" i="5"/>
  <c r="G52" i="5"/>
  <c r="C53" i="5"/>
  <c r="D53" i="5"/>
  <c r="E53" i="5"/>
  <c r="F53" i="5"/>
  <c r="G53" i="5"/>
  <c r="G47" i="5"/>
  <c r="F47" i="5"/>
  <c r="E47" i="5"/>
  <c r="D47" i="5"/>
  <c r="C47" i="5"/>
  <c r="C8" i="5"/>
  <c r="D8" i="5"/>
  <c r="E8" i="5"/>
  <c r="F8" i="5"/>
  <c r="G8" i="5"/>
  <c r="C9" i="5"/>
  <c r="D9" i="5"/>
  <c r="E9" i="5"/>
  <c r="F9" i="5"/>
  <c r="G9" i="5"/>
  <c r="C10" i="5"/>
  <c r="D10" i="5"/>
  <c r="E10" i="5"/>
  <c r="F10" i="5"/>
  <c r="G10" i="5"/>
  <c r="H10" i="5"/>
  <c r="I10" i="5"/>
  <c r="J10" i="5"/>
  <c r="K10" i="5"/>
  <c r="L10" i="5"/>
  <c r="M10" i="5"/>
  <c r="C13" i="5"/>
  <c r="C14" i="5"/>
  <c r="D14" i="5"/>
  <c r="E14" i="5"/>
  <c r="F14" i="5"/>
  <c r="C15" i="5"/>
  <c r="D15" i="5"/>
  <c r="E15" i="5"/>
  <c r="F15" i="5"/>
  <c r="G15" i="5"/>
  <c r="C17" i="5"/>
  <c r="D17" i="5"/>
  <c r="E17" i="5"/>
  <c r="F17" i="5"/>
  <c r="G17" i="5"/>
  <c r="H17" i="5"/>
  <c r="I17" i="5"/>
  <c r="J17" i="5"/>
  <c r="K17" i="5"/>
  <c r="L17" i="5"/>
  <c r="M17" i="5"/>
  <c r="C19" i="5"/>
  <c r="D19" i="5"/>
  <c r="E19" i="5"/>
  <c r="F19" i="5"/>
  <c r="G19" i="5"/>
  <c r="H19" i="5"/>
  <c r="I19" i="5"/>
  <c r="J19" i="5"/>
  <c r="K19" i="5"/>
  <c r="L19" i="5"/>
  <c r="M19" i="5"/>
  <c r="C22" i="5"/>
  <c r="E22" i="5"/>
  <c r="F22" i="5"/>
  <c r="C24" i="5"/>
  <c r="D24" i="5"/>
  <c r="E24" i="5"/>
  <c r="F24" i="5"/>
  <c r="G24" i="5"/>
  <c r="H24" i="5"/>
  <c r="I24" i="5"/>
  <c r="J24" i="5"/>
  <c r="K24" i="5"/>
  <c r="L24" i="5"/>
  <c r="M24" i="5"/>
  <c r="C28" i="5"/>
  <c r="E28" i="5"/>
  <c r="G28" i="5"/>
  <c r="C29" i="5"/>
  <c r="D29" i="5"/>
  <c r="E29" i="5"/>
  <c r="F29" i="5"/>
  <c r="G29" i="5"/>
  <c r="H29" i="5"/>
  <c r="I29" i="5"/>
  <c r="J29" i="5"/>
  <c r="K29" i="5"/>
  <c r="L29" i="5"/>
  <c r="M29" i="5"/>
  <c r="C31" i="5"/>
  <c r="D31" i="5"/>
  <c r="E31" i="5"/>
  <c r="F31" i="5"/>
  <c r="G31" i="5"/>
  <c r="H31" i="5"/>
  <c r="I31" i="5"/>
  <c r="J31" i="5"/>
  <c r="K31" i="5"/>
  <c r="L31" i="5"/>
  <c r="M31" i="5"/>
  <c r="C32" i="5"/>
  <c r="D32" i="5"/>
  <c r="E32" i="5"/>
  <c r="F32" i="5"/>
  <c r="G32" i="5"/>
  <c r="C33" i="5"/>
  <c r="D33" i="5"/>
  <c r="E33" i="5"/>
  <c r="F33" i="5"/>
  <c r="G33" i="5"/>
  <c r="H33" i="5"/>
  <c r="I33" i="5"/>
  <c r="J33" i="5"/>
  <c r="K33" i="5"/>
  <c r="L33" i="5"/>
  <c r="M33" i="5"/>
  <c r="C35" i="5"/>
  <c r="D35" i="5"/>
  <c r="E35" i="5"/>
  <c r="F35" i="5"/>
  <c r="G35" i="5"/>
  <c r="H35" i="5"/>
  <c r="I35" i="5"/>
  <c r="J35" i="5"/>
  <c r="K35" i="5"/>
  <c r="L35" i="5"/>
  <c r="M35" i="5"/>
  <c r="C36" i="5"/>
  <c r="D36" i="5"/>
  <c r="E36" i="5"/>
  <c r="F36" i="5"/>
  <c r="G36" i="5"/>
  <c r="C37" i="5"/>
  <c r="D37" i="5"/>
  <c r="E37" i="5"/>
  <c r="F37" i="5"/>
  <c r="G37" i="5"/>
  <c r="H37" i="5"/>
  <c r="I37" i="5"/>
  <c r="J37" i="5"/>
  <c r="K37" i="5"/>
  <c r="L37" i="5"/>
  <c r="M37" i="5"/>
  <c r="C39" i="5"/>
  <c r="D39" i="5"/>
  <c r="E39" i="5"/>
  <c r="F39" i="5"/>
  <c r="G39" i="5"/>
  <c r="H39" i="5"/>
  <c r="I39" i="5"/>
  <c r="J39" i="5"/>
  <c r="K39" i="5"/>
  <c r="L39" i="5"/>
  <c r="M39" i="5"/>
  <c r="C40" i="5"/>
  <c r="D40" i="5"/>
  <c r="E40" i="5"/>
  <c r="F40" i="5"/>
  <c r="G40" i="5"/>
  <c r="H40" i="5"/>
  <c r="I40" i="5"/>
  <c r="J40" i="5"/>
  <c r="K40" i="5"/>
  <c r="L40" i="5"/>
  <c r="M40" i="5"/>
  <c r="C41" i="5"/>
  <c r="D41" i="5"/>
  <c r="E41" i="5"/>
  <c r="F41" i="5"/>
  <c r="G41" i="5"/>
  <c r="H41" i="5"/>
  <c r="I41" i="5"/>
  <c r="J41" i="5"/>
  <c r="K41" i="5"/>
  <c r="L41" i="5"/>
  <c r="M41" i="5"/>
  <c r="M77" i="5"/>
  <c r="L77" i="5"/>
  <c r="K77" i="5"/>
  <c r="J77" i="5"/>
  <c r="I77" i="5"/>
  <c r="H77" i="5"/>
  <c r="G77" i="5"/>
  <c r="F77" i="5"/>
  <c r="E77" i="5"/>
  <c r="D77" i="5"/>
  <c r="C77" i="5"/>
  <c r="M45" i="5"/>
  <c r="L45" i="5"/>
  <c r="K45" i="5"/>
  <c r="J45" i="5"/>
  <c r="I45" i="5"/>
  <c r="H45" i="5"/>
  <c r="G45" i="5"/>
  <c r="F45" i="5"/>
  <c r="E45" i="5"/>
  <c r="D45" i="5"/>
  <c r="C45" i="5"/>
  <c r="I113" i="1"/>
  <c r="J113" i="1"/>
  <c r="K113" i="1"/>
  <c r="L113" i="1"/>
  <c r="M113" i="1"/>
  <c r="H113" i="1"/>
  <c r="I111" i="1"/>
  <c r="J111" i="1"/>
  <c r="K111" i="1"/>
  <c r="L111" i="1"/>
  <c r="M111" i="1"/>
  <c r="H111" i="1"/>
  <c r="M171" i="4"/>
  <c r="L171" i="4"/>
  <c r="K171" i="4"/>
  <c r="J171" i="4"/>
  <c r="I171" i="4"/>
  <c r="H171" i="4"/>
  <c r="M170" i="4"/>
  <c r="L170" i="4"/>
  <c r="K170" i="4"/>
  <c r="J170" i="4"/>
  <c r="I170" i="4"/>
  <c r="H170" i="4"/>
  <c r="M157" i="4"/>
  <c r="L157" i="4"/>
  <c r="K157" i="4"/>
  <c r="I157" i="4"/>
  <c r="H157" i="4"/>
  <c r="G153" i="4"/>
  <c r="F153" i="4"/>
  <c r="E153" i="4"/>
  <c r="D153" i="4"/>
  <c r="M152" i="4"/>
  <c r="L152" i="4"/>
  <c r="K152" i="4"/>
  <c r="J152" i="4"/>
  <c r="I152" i="4"/>
  <c r="H152" i="4"/>
  <c r="G149" i="4"/>
  <c r="F149" i="4"/>
  <c r="E149" i="4"/>
  <c r="D149" i="4"/>
  <c r="G145" i="4"/>
  <c r="H145" i="4" s="1"/>
  <c r="I145" i="4" s="1"/>
  <c r="I146" i="4" s="1"/>
  <c r="E145" i="4"/>
  <c r="C145" i="4"/>
  <c r="B143" i="4"/>
  <c r="B141" i="4"/>
  <c r="B139" i="4"/>
  <c r="G137" i="4"/>
  <c r="F137" i="4"/>
  <c r="E137" i="4"/>
  <c r="D137" i="4"/>
  <c r="C137" i="4"/>
  <c r="B137" i="4"/>
  <c r="F135" i="4"/>
  <c r="E135" i="4"/>
  <c r="D135" i="4"/>
  <c r="C135" i="4"/>
  <c r="B135" i="4"/>
  <c r="C133" i="4"/>
  <c r="B133" i="4"/>
  <c r="H132" i="4"/>
  <c r="B131" i="4"/>
  <c r="B128" i="4"/>
  <c r="G126" i="4"/>
  <c r="H126" i="4" s="1"/>
  <c r="F126" i="4"/>
  <c r="E126" i="4"/>
  <c r="D126" i="4"/>
  <c r="C126" i="4"/>
  <c r="B126" i="4"/>
  <c r="H125" i="4"/>
  <c r="H22" i="4" s="1"/>
  <c r="H22" i="5" s="1"/>
  <c r="F125" i="4"/>
  <c r="E125" i="4"/>
  <c r="C125" i="4"/>
  <c r="B125" i="4"/>
  <c r="I124" i="4"/>
  <c r="J124" i="4" s="1"/>
  <c r="K124" i="4" s="1"/>
  <c r="L124" i="4" s="1"/>
  <c r="M124" i="4" s="1"/>
  <c r="M21" i="4" s="1"/>
  <c r="M21" i="5" s="1"/>
  <c r="B124" i="4"/>
  <c r="B122" i="4"/>
  <c r="J116" i="4"/>
  <c r="G115" i="4"/>
  <c r="F115" i="4"/>
  <c r="F122" i="4" s="1"/>
  <c r="E115" i="4"/>
  <c r="E122" i="4" s="1"/>
  <c r="D115" i="4"/>
  <c r="D122" i="4" s="1"/>
  <c r="C115" i="4"/>
  <c r="C122" i="4" s="1"/>
  <c r="F114" i="4"/>
  <c r="E114" i="4"/>
  <c r="D114" i="4"/>
  <c r="C114" i="4"/>
  <c r="H107" i="4"/>
  <c r="I107" i="4" s="1"/>
  <c r="J107" i="4" s="1"/>
  <c r="K107" i="4" s="1"/>
  <c r="L107" i="4" s="1"/>
  <c r="M107" i="4" s="1"/>
  <c r="M102" i="4"/>
  <c r="M182" i="4" s="1"/>
  <c r="L102" i="4"/>
  <c r="L182" i="4" s="1"/>
  <c r="K102" i="4"/>
  <c r="K182" i="4" s="1"/>
  <c r="J102" i="4"/>
  <c r="J182" i="4" s="1"/>
  <c r="I102" i="4"/>
  <c r="I182" i="4" s="1"/>
  <c r="H102" i="4"/>
  <c r="H182" i="4" s="1"/>
  <c r="G102" i="4"/>
  <c r="G182" i="4" s="1"/>
  <c r="F102" i="4"/>
  <c r="F182" i="4" s="1"/>
  <c r="E102" i="4"/>
  <c r="E182" i="4" s="1"/>
  <c r="D102" i="4"/>
  <c r="D182" i="4" s="1"/>
  <c r="C102" i="4"/>
  <c r="C182" i="4" s="1"/>
  <c r="C96" i="4"/>
  <c r="C96" i="5" s="1"/>
  <c r="G89" i="4"/>
  <c r="G89" i="5" s="1"/>
  <c r="F89" i="4"/>
  <c r="F89" i="5" s="1"/>
  <c r="E89" i="4"/>
  <c r="E89" i="5" s="1"/>
  <c r="D89" i="4"/>
  <c r="D89" i="5" s="1"/>
  <c r="G82" i="4"/>
  <c r="G82" i="5" s="1"/>
  <c r="F82" i="4"/>
  <c r="F82" i="5" s="1"/>
  <c r="E82" i="4"/>
  <c r="E82" i="5" s="1"/>
  <c r="D82" i="4"/>
  <c r="D82" i="5" s="1"/>
  <c r="G81" i="4"/>
  <c r="G81" i="5" s="1"/>
  <c r="F81" i="4"/>
  <c r="F81" i="5" s="1"/>
  <c r="E81" i="4"/>
  <c r="E81" i="5" s="1"/>
  <c r="D81" i="4"/>
  <c r="D81" i="5" s="1"/>
  <c r="G80" i="4"/>
  <c r="G80" i="5" s="1"/>
  <c r="F80" i="4"/>
  <c r="F80" i="5" s="1"/>
  <c r="E80" i="4"/>
  <c r="E80" i="5" s="1"/>
  <c r="D80" i="4"/>
  <c r="D80" i="5" s="1"/>
  <c r="M77" i="4"/>
  <c r="L77" i="4"/>
  <c r="K77" i="4"/>
  <c r="J77" i="4"/>
  <c r="I77" i="4"/>
  <c r="H77" i="4"/>
  <c r="G77" i="4"/>
  <c r="F77" i="4"/>
  <c r="E77" i="4"/>
  <c r="D77" i="4"/>
  <c r="C77" i="4"/>
  <c r="D70" i="4"/>
  <c r="D70" i="5" s="1"/>
  <c r="C70" i="4"/>
  <c r="C71" i="4" s="1"/>
  <c r="C71" i="5" s="1"/>
  <c r="G69" i="4"/>
  <c r="F69" i="4"/>
  <c r="E69" i="4"/>
  <c r="D69" i="4"/>
  <c r="M64" i="4"/>
  <c r="M64" i="5" s="1"/>
  <c r="L64" i="4"/>
  <c r="L64" i="5" s="1"/>
  <c r="K64" i="4"/>
  <c r="K64" i="5" s="1"/>
  <c r="J64" i="4"/>
  <c r="J64" i="5" s="1"/>
  <c r="I64" i="4"/>
  <c r="H64" i="4"/>
  <c r="H64" i="5" s="1"/>
  <c r="G60" i="4"/>
  <c r="G60" i="5" s="1"/>
  <c r="E60" i="4"/>
  <c r="E60" i="5" s="1"/>
  <c r="H59" i="4"/>
  <c r="I59" i="4" s="1"/>
  <c r="J59" i="4" s="1"/>
  <c r="K59" i="4" s="1"/>
  <c r="L59" i="4" s="1"/>
  <c r="M59" i="4" s="1"/>
  <c r="M59" i="5" s="1"/>
  <c r="C59" i="4"/>
  <c r="C59" i="5" s="1"/>
  <c r="H58" i="4"/>
  <c r="G54" i="4"/>
  <c r="F54" i="4"/>
  <c r="E54" i="4"/>
  <c r="E54" i="5" s="1"/>
  <c r="D54" i="4"/>
  <c r="D54" i="5" s="1"/>
  <c r="C54" i="4"/>
  <c r="H51" i="4"/>
  <c r="G49" i="4"/>
  <c r="G49" i="5" s="1"/>
  <c r="F49" i="4"/>
  <c r="E49" i="4"/>
  <c r="D49" i="4"/>
  <c r="C49" i="4"/>
  <c r="M45" i="4"/>
  <c r="L45" i="4"/>
  <c r="K45" i="4"/>
  <c r="J45" i="4"/>
  <c r="I45" i="4"/>
  <c r="H45" i="4"/>
  <c r="G45" i="4"/>
  <c r="F45" i="4"/>
  <c r="E45" i="4"/>
  <c r="D45" i="4"/>
  <c r="C45" i="4"/>
  <c r="F28" i="4"/>
  <c r="F145" i="4" s="1"/>
  <c r="D28" i="4"/>
  <c r="D145" i="4" s="1"/>
  <c r="G27" i="4"/>
  <c r="G143" i="4" s="1"/>
  <c r="F27" i="4"/>
  <c r="F143" i="4" s="1"/>
  <c r="E27" i="4"/>
  <c r="E143" i="4" s="1"/>
  <c r="D27" i="4"/>
  <c r="D143" i="4" s="1"/>
  <c r="C27" i="4"/>
  <c r="C143" i="4" s="1"/>
  <c r="G26" i="4"/>
  <c r="G26" i="5" s="1"/>
  <c r="F26" i="4"/>
  <c r="F26" i="5" s="1"/>
  <c r="E26" i="4"/>
  <c r="E141" i="4" s="1"/>
  <c r="D26" i="4"/>
  <c r="C26" i="4"/>
  <c r="C141" i="4" s="1"/>
  <c r="G22" i="4"/>
  <c r="G125" i="4" s="1"/>
  <c r="D22" i="4"/>
  <c r="D125" i="4" s="1"/>
  <c r="H21" i="4"/>
  <c r="H21" i="5" s="1"/>
  <c r="G21" i="4"/>
  <c r="G124" i="4" s="1"/>
  <c r="F21" i="4"/>
  <c r="F124" i="4" s="1"/>
  <c r="E21" i="4"/>
  <c r="E124" i="4" s="1"/>
  <c r="D21" i="4"/>
  <c r="D124" i="4" s="1"/>
  <c r="C21" i="4"/>
  <c r="C124" i="4" s="1"/>
  <c r="G14" i="4"/>
  <c r="G14" i="5" s="1"/>
  <c r="G13" i="4"/>
  <c r="G133" i="4" s="1"/>
  <c r="H133" i="4" s="1"/>
  <c r="H13" i="4" s="1"/>
  <c r="H13" i="5" s="1"/>
  <c r="F13" i="4"/>
  <c r="F133" i="4" s="1"/>
  <c r="E13" i="4"/>
  <c r="E133" i="4" s="1"/>
  <c r="D13" i="4"/>
  <c r="D133" i="4" s="1"/>
  <c r="G12" i="4"/>
  <c r="G12" i="5" s="1"/>
  <c r="F12" i="4"/>
  <c r="F12" i="5" s="1"/>
  <c r="E12" i="4"/>
  <c r="E12" i="5" s="1"/>
  <c r="D12" i="4"/>
  <c r="D12" i="5" s="1"/>
  <c r="C12" i="4"/>
  <c r="C118" i="4" s="1"/>
  <c r="G7" i="4"/>
  <c r="G7" i="5" s="1"/>
  <c r="F7" i="4"/>
  <c r="F7" i="5" s="1"/>
  <c r="E7" i="4"/>
  <c r="D7" i="4"/>
  <c r="D7" i="5" s="1"/>
  <c r="C7" i="4"/>
  <c r="C7" i="5" s="1"/>
  <c r="I26" i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H28" i="1"/>
  <c r="H27" i="1"/>
  <c r="H26" i="1"/>
  <c r="H23" i="1"/>
  <c r="I13" i="1"/>
  <c r="J13" i="1"/>
  <c r="K13" i="1"/>
  <c r="L13" i="1"/>
  <c r="M13" i="1"/>
  <c r="I14" i="1"/>
  <c r="K14" i="1"/>
  <c r="I16" i="1"/>
  <c r="J16" i="1"/>
  <c r="K16" i="1"/>
  <c r="L16" i="1"/>
  <c r="M16" i="1"/>
  <c r="H16" i="1"/>
  <c r="H13" i="1"/>
  <c r="H12" i="1"/>
  <c r="H15" i="1"/>
  <c r="I137" i="1"/>
  <c r="I131" i="1"/>
  <c r="I15" i="1" s="1"/>
  <c r="J131" i="1"/>
  <c r="J15" i="1" s="1"/>
  <c r="J14" i="1"/>
  <c r="L14" i="1"/>
  <c r="M14" i="1"/>
  <c r="H14" i="1"/>
  <c r="H135" i="1"/>
  <c r="K15" i="1"/>
  <c r="L15" i="1"/>
  <c r="M15" i="1"/>
  <c r="H131" i="1"/>
  <c r="I124" i="1"/>
  <c r="J157" i="1"/>
  <c r="K157" i="1"/>
  <c r="L157" i="1"/>
  <c r="M157" i="1"/>
  <c r="H157" i="1"/>
  <c r="I157" i="1"/>
  <c r="H58" i="1"/>
  <c r="I58" i="1" s="1"/>
  <c r="J58" i="1" s="1"/>
  <c r="K58" i="1" s="1"/>
  <c r="L58" i="1" s="1"/>
  <c r="M58" i="1" s="1"/>
  <c r="E149" i="1"/>
  <c r="F149" i="1"/>
  <c r="G149" i="1"/>
  <c r="D149" i="1"/>
  <c r="M164" i="1"/>
  <c r="M45" i="1"/>
  <c r="M64" i="1"/>
  <c r="M77" i="1"/>
  <c r="M102" i="1"/>
  <c r="M175" i="1" s="1"/>
  <c r="M152" i="1"/>
  <c r="M163" i="1"/>
  <c r="L152" i="1"/>
  <c r="K152" i="1"/>
  <c r="J152" i="1"/>
  <c r="I152" i="1"/>
  <c r="C25" i="3"/>
  <c r="C21" i="3"/>
  <c r="F12" i="3"/>
  <c r="G12" i="3" s="1"/>
  <c r="H12" i="3" s="1"/>
  <c r="E12" i="3"/>
  <c r="E7" i="3"/>
  <c r="F7" i="3"/>
  <c r="G7" i="3"/>
  <c r="D7" i="3"/>
  <c r="E6" i="3"/>
  <c r="F6" i="3"/>
  <c r="G6" i="3"/>
  <c r="D6" i="3"/>
  <c r="E55" i="4" l="1"/>
  <c r="E55" i="5" s="1"/>
  <c r="C98" i="5"/>
  <c r="C55" i="4"/>
  <c r="C55" i="5" s="1"/>
  <c r="H36" i="4"/>
  <c r="H36" i="5" s="1"/>
  <c r="L36" i="4"/>
  <c r="L36" i="5" s="1"/>
  <c r="K36" i="4"/>
  <c r="K36" i="5" s="1"/>
  <c r="M36" i="4"/>
  <c r="M36" i="5" s="1"/>
  <c r="L164" i="4"/>
  <c r="K164" i="4"/>
  <c r="I164" i="4"/>
  <c r="M164" i="4"/>
  <c r="F28" i="5"/>
  <c r="D22" i="5"/>
  <c r="G192" i="4"/>
  <c r="F55" i="4"/>
  <c r="F55" i="5" s="1"/>
  <c r="I36" i="4"/>
  <c r="I36" i="5" s="1"/>
  <c r="H154" i="4"/>
  <c r="M154" i="4" s="1"/>
  <c r="G54" i="5"/>
  <c r="E23" i="4"/>
  <c r="E23" i="5" s="1"/>
  <c r="L59" i="5"/>
  <c r="E183" i="4"/>
  <c r="E26" i="5"/>
  <c r="G21" i="5"/>
  <c r="K59" i="5"/>
  <c r="C23" i="4"/>
  <c r="C23" i="5" s="1"/>
  <c r="D25" i="4"/>
  <c r="D25" i="5" s="1"/>
  <c r="C192" i="4"/>
  <c r="D83" i="4"/>
  <c r="D83" i="5" s="1"/>
  <c r="G122" i="4"/>
  <c r="H115" i="4"/>
  <c r="H123" i="4" s="1"/>
  <c r="F21" i="5"/>
  <c r="D13" i="5"/>
  <c r="E83" i="4"/>
  <c r="E83" i="5" s="1"/>
  <c r="D95" i="4"/>
  <c r="D95" i="5" s="1"/>
  <c r="H58" i="5"/>
  <c r="J36" i="4"/>
  <c r="J36" i="5" s="1"/>
  <c r="H28" i="4"/>
  <c r="H28" i="5" s="1"/>
  <c r="F191" i="4"/>
  <c r="J58" i="4"/>
  <c r="J58" i="5" s="1"/>
  <c r="I58" i="5"/>
  <c r="I126" i="4"/>
  <c r="H9" i="4"/>
  <c r="H9" i="5" s="1"/>
  <c r="K21" i="4"/>
  <c r="K21" i="5" s="1"/>
  <c r="I89" i="4"/>
  <c r="I89" i="5" s="1"/>
  <c r="G191" i="4"/>
  <c r="C26" i="5"/>
  <c r="E21" i="5"/>
  <c r="J59" i="5"/>
  <c r="L21" i="4"/>
  <c r="L21" i="5" s="1"/>
  <c r="I51" i="4"/>
  <c r="I81" i="4" s="1"/>
  <c r="I81" i="5" s="1"/>
  <c r="C98" i="4"/>
  <c r="D28" i="5"/>
  <c r="G27" i="5"/>
  <c r="D21" i="5"/>
  <c r="I59" i="5"/>
  <c r="D26" i="5"/>
  <c r="F54" i="5"/>
  <c r="F27" i="5"/>
  <c r="C21" i="5"/>
  <c r="C54" i="5"/>
  <c r="H51" i="5"/>
  <c r="F49" i="5"/>
  <c r="G69" i="5"/>
  <c r="H59" i="5"/>
  <c r="F83" i="4"/>
  <c r="F83" i="5" s="1"/>
  <c r="D71" i="4"/>
  <c r="D71" i="5" s="1"/>
  <c r="E27" i="5"/>
  <c r="G22" i="5"/>
  <c r="G13" i="5"/>
  <c r="E49" i="5"/>
  <c r="C70" i="5"/>
  <c r="F69" i="5"/>
  <c r="I64" i="5"/>
  <c r="G183" i="4"/>
  <c r="F25" i="4"/>
  <c r="F25" i="5" s="1"/>
  <c r="D86" i="4"/>
  <c r="D86" i="5" s="1"/>
  <c r="D191" i="4"/>
  <c r="E7" i="5"/>
  <c r="D27" i="5"/>
  <c r="F13" i="5"/>
  <c r="D49" i="5"/>
  <c r="E69" i="5"/>
  <c r="I21" i="4"/>
  <c r="I21" i="5" s="1"/>
  <c r="D192" i="4"/>
  <c r="C27" i="5"/>
  <c r="E13" i="5"/>
  <c r="C12" i="5"/>
  <c r="C49" i="5"/>
  <c r="D69" i="5"/>
  <c r="M12" i="1"/>
  <c r="L12" i="1"/>
  <c r="J12" i="1"/>
  <c r="I12" i="1"/>
  <c r="K12" i="1"/>
  <c r="G141" i="4"/>
  <c r="G119" i="4"/>
  <c r="G55" i="4"/>
  <c r="G55" i="5" s="1"/>
  <c r="H153" i="4"/>
  <c r="H47" i="4" s="1"/>
  <c r="G86" i="4"/>
  <c r="G86" i="5" s="1"/>
  <c r="J145" i="4"/>
  <c r="F183" i="4"/>
  <c r="D118" i="4"/>
  <c r="D131" i="4"/>
  <c r="D117" i="4"/>
  <c r="F23" i="4"/>
  <c r="F23" i="5" s="1"/>
  <c r="C25" i="4"/>
  <c r="C25" i="5" s="1"/>
  <c r="E128" i="4"/>
  <c r="E118" i="4"/>
  <c r="E131" i="4"/>
  <c r="E117" i="4"/>
  <c r="C16" i="4"/>
  <c r="C11" i="4" s="1"/>
  <c r="J21" i="4"/>
  <c r="J21" i="5" s="1"/>
  <c r="G23" i="4"/>
  <c r="G23" i="5" s="1"/>
  <c r="E86" i="4"/>
  <c r="E86" i="5" s="1"/>
  <c r="C117" i="4"/>
  <c r="F118" i="4"/>
  <c r="F131" i="4"/>
  <c r="F117" i="4"/>
  <c r="D16" i="4"/>
  <c r="D16" i="5" s="1"/>
  <c r="E25" i="4"/>
  <c r="E25" i="5" s="1"/>
  <c r="G118" i="4"/>
  <c r="G131" i="4"/>
  <c r="G117" i="4"/>
  <c r="H117" i="4" s="1"/>
  <c r="E16" i="4"/>
  <c r="E11" i="4" s="1"/>
  <c r="C119" i="4"/>
  <c r="G135" i="4"/>
  <c r="G114" i="4"/>
  <c r="H114" i="4" s="1"/>
  <c r="F16" i="4"/>
  <c r="F16" i="5" s="1"/>
  <c r="G25" i="4"/>
  <c r="G25" i="5" s="1"/>
  <c r="D119" i="4"/>
  <c r="D141" i="4"/>
  <c r="I28" i="4"/>
  <c r="I28" i="5" s="1"/>
  <c r="E119" i="4"/>
  <c r="I133" i="4"/>
  <c r="I134" i="4" s="1"/>
  <c r="G16" i="4"/>
  <c r="E191" i="4"/>
  <c r="E192" i="4"/>
  <c r="L154" i="4"/>
  <c r="K154" i="4"/>
  <c r="J154" i="4"/>
  <c r="I154" i="4"/>
  <c r="D183" i="4"/>
  <c r="D23" i="4"/>
  <c r="D23" i="5" s="1"/>
  <c r="F141" i="4"/>
  <c r="F119" i="4"/>
  <c r="H143" i="4"/>
  <c r="G83" i="4"/>
  <c r="G83" i="5" s="1"/>
  <c r="G71" i="4"/>
  <c r="G71" i="5" s="1"/>
  <c r="H69" i="4"/>
  <c r="H69" i="5" s="1"/>
  <c r="C131" i="4"/>
  <c r="E71" i="4"/>
  <c r="E71" i="5" s="1"/>
  <c r="F86" i="4"/>
  <c r="F86" i="5" s="1"/>
  <c r="J89" i="4"/>
  <c r="J89" i="5" s="1"/>
  <c r="D55" i="4"/>
  <c r="D55" i="5" s="1"/>
  <c r="F71" i="4"/>
  <c r="F71" i="5" s="1"/>
  <c r="K89" i="4"/>
  <c r="K89" i="5" s="1"/>
  <c r="F192" i="4"/>
  <c r="H81" i="4"/>
  <c r="H81" i="5" s="1"/>
  <c r="L89" i="4"/>
  <c r="L89" i="5" s="1"/>
  <c r="M89" i="4"/>
  <c r="M89" i="5" s="1"/>
  <c r="C191" i="4"/>
  <c r="K116" i="4"/>
  <c r="H89" i="4"/>
  <c r="H89" i="5" s="1"/>
  <c r="M36" i="1"/>
  <c r="H164" i="1"/>
  <c r="L64" i="1"/>
  <c r="M89" i="1" s="1"/>
  <c r="K64" i="1"/>
  <c r="J64" i="1"/>
  <c r="H51" i="1"/>
  <c r="I51" i="1" s="1"/>
  <c r="H125" i="1"/>
  <c r="H22" i="1" s="1"/>
  <c r="E125" i="1"/>
  <c r="F125" i="1"/>
  <c r="C125" i="1"/>
  <c r="B125" i="1"/>
  <c r="C21" i="1"/>
  <c r="C23" i="1" s="1"/>
  <c r="D22" i="1"/>
  <c r="D125" i="1" s="1"/>
  <c r="D21" i="1"/>
  <c r="E21" i="1"/>
  <c r="E23" i="1" s="1"/>
  <c r="F21" i="1"/>
  <c r="F23" i="1" s="1"/>
  <c r="G21" i="1"/>
  <c r="G22" i="1"/>
  <c r="G125" i="1" s="1"/>
  <c r="I64" i="1"/>
  <c r="H64" i="1"/>
  <c r="H59" i="1"/>
  <c r="I59" i="1" s="1"/>
  <c r="J59" i="1" s="1"/>
  <c r="K59" i="1" s="1"/>
  <c r="L59" i="1" s="1"/>
  <c r="M59" i="1" s="1"/>
  <c r="H152" i="1"/>
  <c r="L164" i="1"/>
  <c r="K164" i="1"/>
  <c r="J164" i="1"/>
  <c r="I164" i="1"/>
  <c r="I163" i="1"/>
  <c r="J163" i="1"/>
  <c r="K163" i="1"/>
  <c r="L163" i="1"/>
  <c r="H163" i="1"/>
  <c r="D153" i="1"/>
  <c r="E153" i="1"/>
  <c r="F153" i="1"/>
  <c r="G153" i="1"/>
  <c r="J116" i="1"/>
  <c r="K116" i="1" s="1"/>
  <c r="L116" i="1" s="1"/>
  <c r="M116" i="1" s="1"/>
  <c r="E145" i="1"/>
  <c r="G145" i="1"/>
  <c r="H145" i="1" s="1"/>
  <c r="C145" i="1"/>
  <c r="B143" i="1"/>
  <c r="B145" i="1"/>
  <c r="B141" i="1"/>
  <c r="D114" i="1"/>
  <c r="E114" i="1"/>
  <c r="F114" i="1"/>
  <c r="C114" i="1"/>
  <c r="C133" i="1"/>
  <c r="C135" i="1"/>
  <c r="D135" i="1"/>
  <c r="E135" i="1"/>
  <c r="F135" i="1"/>
  <c r="C137" i="1"/>
  <c r="D137" i="1"/>
  <c r="E137" i="1"/>
  <c r="F137" i="1"/>
  <c r="G137" i="1"/>
  <c r="B133" i="1"/>
  <c r="B135" i="1"/>
  <c r="B137" i="1"/>
  <c r="B139" i="1"/>
  <c r="B131" i="1"/>
  <c r="B128" i="1"/>
  <c r="B126" i="1"/>
  <c r="B124" i="1"/>
  <c r="B122" i="1"/>
  <c r="H21" i="1"/>
  <c r="I21" i="1"/>
  <c r="E20" i="4" l="1"/>
  <c r="E20" i="5" s="1"/>
  <c r="D87" i="4"/>
  <c r="D87" i="5" s="1"/>
  <c r="D152" i="4"/>
  <c r="C128" i="4"/>
  <c r="C20" i="4"/>
  <c r="C20" i="5" s="1"/>
  <c r="I127" i="4"/>
  <c r="I9" i="4" s="1"/>
  <c r="I9" i="5" s="1"/>
  <c r="H48" i="4"/>
  <c r="J126" i="4"/>
  <c r="H32" i="4"/>
  <c r="D20" i="4"/>
  <c r="D20" i="5" s="1"/>
  <c r="F20" i="4"/>
  <c r="F20" i="5" s="1"/>
  <c r="K58" i="4"/>
  <c r="K58" i="5" s="1"/>
  <c r="C18" i="4"/>
  <c r="C18" i="5" s="1"/>
  <c r="C11" i="5"/>
  <c r="H122" i="4"/>
  <c r="H8" i="4" s="1"/>
  <c r="I115" i="4"/>
  <c r="I123" i="4" s="1"/>
  <c r="E18" i="4"/>
  <c r="E18" i="5" s="1"/>
  <c r="E11" i="5"/>
  <c r="J51" i="4"/>
  <c r="I51" i="5"/>
  <c r="C201" i="4"/>
  <c r="E139" i="4"/>
  <c r="E16" i="5"/>
  <c r="J118" i="4"/>
  <c r="G139" i="4"/>
  <c r="G16" i="5"/>
  <c r="L118" i="4"/>
  <c r="C139" i="4"/>
  <c r="C16" i="5"/>
  <c r="K118" i="4"/>
  <c r="I125" i="4"/>
  <c r="I22" i="4" s="1"/>
  <c r="F152" i="4"/>
  <c r="F87" i="4"/>
  <c r="F87" i="5" s="1"/>
  <c r="G152" i="4"/>
  <c r="G87" i="4"/>
  <c r="G87" i="5" s="1"/>
  <c r="D128" i="4"/>
  <c r="H136" i="4"/>
  <c r="I114" i="4"/>
  <c r="H135" i="4"/>
  <c r="F139" i="4"/>
  <c r="F11" i="4"/>
  <c r="L119" i="4"/>
  <c r="K119" i="4"/>
  <c r="J119" i="4"/>
  <c r="I119" i="4"/>
  <c r="H119" i="4"/>
  <c r="H141" i="4" s="1"/>
  <c r="H26" i="4" s="1"/>
  <c r="M119" i="4"/>
  <c r="H47" i="5"/>
  <c r="I118" i="4"/>
  <c r="I153" i="4"/>
  <c r="I32" i="4" s="1"/>
  <c r="I143" i="4"/>
  <c r="H27" i="4"/>
  <c r="H27" i="5" s="1"/>
  <c r="M118" i="4"/>
  <c r="I117" i="4"/>
  <c r="D139" i="4"/>
  <c r="D11" i="4"/>
  <c r="E152" i="4"/>
  <c r="E87" i="4"/>
  <c r="E87" i="5" s="1"/>
  <c r="F128" i="4"/>
  <c r="J28" i="4"/>
  <c r="J28" i="5" s="1"/>
  <c r="K145" i="4"/>
  <c r="L116" i="4"/>
  <c r="J133" i="4"/>
  <c r="I13" i="4"/>
  <c r="I13" i="5" s="1"/>
  <c r="H118" i="4"/>
  <c r="H131" i="4" s="1"/>
  <c r="G128" i="4"/>
  <c r="G20" i="4"/>
  <c r="G20" i="5" s="1"/>
  <c r="G11" i="4"/>
  <c r="L154" i="1"/>
  <c r="K154" i="1"/>
  <c r="J154" i="1"/>
  <c r="I154" i="1"/>
  <c r="H154" i="1"/>
  <c r="M154" i="1" s="1"/>
  <c r="G23" i="1"/>
  <c r="D23" i="1"/>
  <c r="I89" i="1"/>
  <c r="K89" i="1"/>
  <c r="J51" i="1"/>
  <c r="K51" i="1" s="1"/>
  <c r="L51" i="1" s="1"/>
  <c r="M51" i="1" s="1"/>
  <c r="M81" i="1" s="1"/>
  <c r="I81" i="1"/>
  <c r="L89" i="1"/>
  <c r="J89" i="1"/>
  <c r="I36" i="1"/>
  <c r="H36" i="1"/>
  <c r="L36" i="1"/>
  <c r="K36" i="1"/>
  <c r="J36" i="1"/>
  <c r="I145" i="1"/>
  <c r="J145" i="1" s="1"/>
  <c r="K145" i="1" s="1"/>
  <c r="L145" i="1" s="1"/>
  <c r="D126" i="1"/>
  <c r="E126" i="1"/>
  <c r="F126" i="1"/>
  <c r="G126" i="1"/>
  <c r="H126" i="1" s="1"/>
  <c r="H9" i="1" s="1"/>
  <c r="C126" i="1"/>
  <c r="J124" i="1"/>
  <c r="F124" i="1"/>
  <c r="G124" i="1"/>
  <c r="H107" i="1"/>
  <c r="I107" i="1" s="1"/>
  <c r="J107" i="1" s="1"/>
  <c r="K107" i="1" s="1"/>
  <c r="L107" i="1" s="1"/>
  <c r="M107" i="1" s="1"/>
  <c r="D115" i="1"/>
  <c r="D122" i="1" s="1"/>
  <c r="E115" i="1"/>
  <c r="E122" i="1" s="1"/>
  <c r="F115" i="1"/>
  <c r="F122" i="1" s="1"/>
  <c r="G115" i="1"/>
  <c r="H115" i="1" s="1"/>
  <c r="C115" i="1"/>
  <c r="C122" i="1" s="1"/>
  <c r="D102" i="1"/>
  <c r="D175" i="1" s="1"/>
  <c r="E102" i="1"/>
  <c r="E175" i="1" s="1"/>
  <c r="F102" i="1"/>
  <c r="F175" i="1" s="1"/>
  <c r="G102" i="1"/>
  <c r="G175" i="1" s="1"/>
  <c r="H102" i="1"/>
  <c r="H175" i="1" s="1"/>
  <c r="I102" i="1"/>
  <c r="I175" i="1" s="1"/>
  <c r="J102" i="1"/>
  <c r="J175" i="1" s="1"/>
  <c r="K102" i="1"/>
  <c r="K175" i="1" s="1"/>
  <c r="L102" i="1"/>
  <c r="L175" i="1" s="1"/>
  <c r="E89" i="1"/>
  <c r="F89" i="1"/>
  <c r="G89" i="1"/>
  <c r="H89" i="1"/>
  <c r="D89" i="1"/>
  <c r="E82" i="1"/>
  <c r="F82" i="1"/>
  <c r="G82" i="1"/>
  <c r="D82" i="1"/>
  <c r="E81" i="1"/>
  <c r="F81" i="1"/>
  <c r="G81" i="1"/>
  <c r="D81" i="1"/>
  <c r="E80" i="1"/>
  <c r="F80" i="1"/>
  <c r="G80" i="1"/>
  <c r="D80" i="1"/>
  <c r="D77" i="1"/>
  <c r="E77" i="1"/>
  <c r="F77" i="1"/>
  <c r="G77" i="1"/>
  <c r="H77" i="1"/>
  <c r="I77" i="1"/>
  <c r="J77" i="1"/>
  <c r="K77" i="1"/>
  <c r="L77" i="1"/>
  <c r="C96" i="1"/>
  <c r="D95" i="1" s="1"/>
  <c r="G69" i="1"/>
  <c r="F69" i="1"/>
  <c r="F71" i="1" s="1"/>
  <c r="G60" i="1"/>
  <c r="F54" i="1"/>
  <c r="G54" i="1"/>
  <c r="F49" i="1"/>
  <c r="G49" i="1"/>
  <c r="F45" i="1"/>
  <c r="G45" i="1"/>
  <c r="H45" i="1"/>
  <c r="I45" i="1"/>
  <c r="J45" i="1"/>
  <c r="K45" i="1"/>
  <c r="L45" i="1"/>
  <c r="E69" i="1"/>
  <c r="D69" i="1"/>
  <c r="D70" i="1"/>
  <c r="E60" i="1"/>
  <c r="C70" i="1"/>
  <c r="C71" i="1" s="1"/>
  <c r="C59" i="1"/>
  <c r="C27" i="1"/>
  <c r="C143" i="1" s="1"/>
  <c r="C26" i="1"/>
  <c r="C128" i="1"/>
  <c r="C12" i="1"/>
  <c r="D54" i="1"/>
  <c r="D49" i="1"/>
  <c r="D45" i="1"/>
  <c r="D28" i="1"/>
  <c r="D145" i="1" s="1"/>
  <c r="D27" i="1"/>
  <c r="D143" i="1" s="1"/>
  <c r="D26" i="1"/>
  <c r="D124" i="1"/>
  <c r="D13" i="1"/>
  <c r="D133" i="1" s="1"/>
  <c r="D12" i="1"/>
  <c r="D7" i="1"/>
  <c r="E27" i="1"/>
  <c r="E143" i="1" s="1"/>
  <c r="E26" i="1"/>
  <c r="E13" i="1"/>
  <c r="E133" i="1" s="1"/>
  <c r="E12" i="1"/>
  <c r="F27" i="1"/>
  <c r="F143" i="1" s="1"/>
  <c r="F26" i="1"/>
  <c r="F141" i="1" s="1"/>
  <c r="G27" i="1"/>
  <c r="G26" i="1"/>
  <c r="C23" i="3" s="1"/>
  <c r="F7" i="1"/>
  <c r="F28" i="1"/>
  <c r="F145" i="1" s="1"/>
  <c r="F13" i="1"/>
  <c r="F133" i="1" s="1"/>
  <c r="F12" i="1"/>
  <c r="G7" i="1"/>
  <c r="G12" i="1"/>
  <c r="C18" i="3" s="1"/>
  <c r="G14" i="1"/>
  <c r="C20" i="3" s="1"/>
  <c r="G13" i="1"/>
  <c r="C19" i="3" s="1"/>
  <c r="E201" i="4" l="1"/>
  <c r="D201" i="4"/>
  <c r="F201" i="4"/>
  <c r="I48" i="4"/>
  <c r="I48" i="5" s="1"/>
  <c r="J9" i="4"/>
  <c r="J9" i="5" s="1"/>
  <c r="K126" i="4"/>
  <c r="I69" i="4"/>
  <c r="I69" i="5" s="1"/>
  <c r="C184" i="4"/>
  <c r="H139" i="4"/>
  <c r="H16" i="4" s="1"/>
  <c r="H16" i="5" s="1"/>
  <c r="G201" i="4"/>
  <c r="C30" i="4"/>
  <c r="C30" i="5" s="1"/>
  <c r="L58" i="4"/>
  <c r="L58" i="5" s="1"/>
  <c r="H8" i="5"/>
  <c r="H65" i="4"/>
  <c r="H65" i="5" s="1"/>
  <c r="H7" i="4"/>
  <c r="H7" i="5" s="1"/>
  <c r="H128" i="4"/>
  <c r="I128" i="4" s="1"/>
  <c r="I80" i="4"/>
  <c r="I80" i="5" s="1"/>
  <c r="I32" i="5"/>
  <c r="I141" i="4"/>
  <c r="I26" i="4" s="1"/>
  <c r="D18" i="4"/>
  <c r="D18" i="5" s="1"/>
  <c r="D11" i="5"/>
  <c r="H48" i="5"/>
  <c r="G18" i="4"/>
  <c r="G18" i="5" s="1"/>
  <c r="G11" i="5"/>
  <c r="H80" i="4"/>
  <c r="H80" i="5" s="1"/>
  <c r="H32" i="5"/>
  <c r="F18" i="4"/>
  <c r="F18" i="5" s="1"/>
  <c r="F11" i="5"/>
  <c r="E30" i="4"/>
  <c r="E30" i="5" s="1"/>
  <c r="I122" i="4"/>
  <c r="J115" i="4"/>
  <c r="H25" i="4"/>
  <c r="H26" i="5"/>
  <c r="I22" i="5"/>
  <c r="E184" i="4"/>
  <c r="J51" i="5"/>
  <c r="K51" i="4"/>
  <c r="K81" i="4" s="1"/>
  <c r="K81" i="5" s="1"/>
  <c r="J81" i="4"/>
  <c r="J81" i="5" s="1"/>
  <c r="H12" i="4"/>
  <c r="H12" i="5" s="1"/>
  <c r="H137" i="4"/>
  <c r="H138" i="4" s="1"/>
  <c r="H14" i="4"/>
  <c r="H14" i="5" s="1"/>
  <c r="J143" i="4"/>
  <c r="J144" i="4" s="1"/>
  <c r="I27" i="4"/>
  <c r="I27" i="5" s="1"/>
  <c r="J114" i="4"/>
  <c r="I135" i="4"/>
  <c r="M116" i="4"/>
  <c r="I47" i="4"/>
  <c r="I47" i="5" s="1"/>
  <c r="H49" i="4"/>
  <c r="H49" i="5" s="1"/>
  <c r="E194" i="4"/>
  <c r="E196" i="4"/>
  <c r="K28" i="4"/>
  <c r="K28" i="5" s="1"/>
  <c r="L145" i="4"/>
  <c r="K133" i="4"/>
  <c r="J13" i="4"/>
  <c r="J13" i="5" s="1"/>
  <c r="J117" i="4"/>
  <c r="I131" i="4"/>
  <c r="I132" i="4" s="1"/>
  <c r="L126" i="4"/>
  <c r="K9" i="4"/>
  <c r="K9" i="5" s="1"/>
  <c r="H122" i="1"/>
  <c r="D184" i="1"/>
  <c r="M145" i="1"/>
  <c r="F184" i="1"/>
  <c r="G184" i="1"/>
  <c r="D20" i="1"/>
  <c r="D194" i="1" s="1"/>
  <c r="G143" i="1"/>
  <c r="H143" i="1" s="1"/>
  <c r="C24" i="3"/>
  <c r="G185" i="1"/>
  <c r="F185" i="1"/>
  <c r="D185" i="1"/>
  <c r="G176" i="1"/>
  <c r="K81" i="1"/>
  <c r="L81" i="1"/>
  <c r="J81" i="1"/>
  <c r="H153" i="1"/>
  <c r="D141" i="1"/>
  <c r="D25" i="1"/>
  <c r="G71" i="1"/>
  <c r="H69" i="1"/>
  <c r="C141" i="1"/>
  <c r="C25" i="1"/>
  <c r="G128" i="1"/>
  <c r="E119" i="1"/>
  <c r="E141" i="1"/>
  <c r="G135" i="1"/>
  <c r="G114" i="1"/>
  <c r="H114" i="1" s="1"/>
  <c r="I114" i="1" s="1"/>
  <c r="G119" i="1"/>
  <c r="G141" i="1"/>
  <c r="F118" i="1"/>
  <c r="F131" i="1"/>
  <c r="C119" i="1"/>
  <c r="F119" i="1"/>
  <c r="D117" i="1"/>
  <c r="D118" i="1"/>
  <c r="D131" i="1"/>
  <c r="G133" i="1"/>
  <c r="H133" i="1" s="1"/>
  <c r="E117" i="1"/>
  <c r="E118" i="1"/>
  <c r="E131" i="1"/>
  <c r="G131" i="1"/>
  <c r="G118" i="1"/>
  <c r="D119" i="1"/>
  <c r="C16" i="1"/>
  <c r="C139" i="1" s="1"/>
  <c r="C131" i="1"/>
  <c r="C118" i="1"/>
  <c r="C117" i="1"/>
  <c r="C124" i="1"/>
  <c r="G117" i="1"/>
  <c r="H117" i="1" s="1"/>
  <c r="F117" i="1"/>
  <c r="G20" i="1"/>
  <c r="G194" i="1" s="1"/>
  <c r="E124" i="1"/>
  <c r="I126" i="1"/>
  <c r="E20" i="1"/>
  <c r="E128" i="1"/>
  <c r="K124" i="1"/>
  <c r="J21" i="1"/>
  <c r="G122" i="1"/>
  <c r="G55" i="1"/>
  <c r="D83" i="1"/>
  <c r="E83" i="1"/>
  <c r="C98" i="1"/>
  <c r="F55" i="1"/>
  <c r="G83" i="1"/>
  <c r="F83" i="1"/>
  <c r="G86" i="1"/>
  <c r="D71" i="1"/>
  <c r="E16" i="1"/>
  <c r="E139" i="1" s="1"/>
  <c r="D16" i="1"/>
  <c r="D55" i="1"/>
  <c r="G16" i="1"/>
  <c r="C22" i="3" s="1"/>
  <c r="G25" i="1"/>
  <c r="C20" i="1"/>
  <c r="F25" i="1"/>
  <c r="F16" i="1"/>
  <c r="I139" i="4" l="1"/>
  <c r="I140" i="4" s="1"/>
  <c r="J125" i="4"/>
  <c r="J69" i="4" s="1"/>
  <c r="J69" i="5" s="1"/>
  <c r="C185" i="4"/>
  <c r="G30" i="4"/>
  <c r="G30" i="5" s="1"/>
  <c r="C195" i="4"/>
  <c r="C194" i="4"/>
  <c r="E195" i="4"/>
  <c r="C196" i="4"/>
  <c r="H52" i="4"/>
  <c r="H52" i="5" s="1"/>
  <c r="E34" i="4"/>
  <c r="E34" i="5" s="1"/>
  <c r="C34" i="4"/>
  <c r="C34" i="5" s="1"/>
  <c r="E185" i="4"/>
  <c r="I14" i="4"/>
  <c r="I14" i="5" s="1"/>
  <c r="M58" i="4"/>
  <c r="M58" i="5" s="1"/>
  <c r="I8" i="4"/>
  <c r="I65" i="4" s="1"/>
  <c r="I65" i="5" s="1"/>
  <c r="I25" i="4"/>
  <c r="I26" i="5"/>
  <c r="D30" i="4"/>
  <c r="D30" i="5" s="1"/>
  <c r="G184" i="4"/>
  <c r="D184" i="4"/>
  <c r="H204" i="4"/>
  <c r="H25" i="5"/>
  <c r="F30" i="4"/>
  <c r="F30" i="5" s="1"/>
  <c r="J122" i="4"/>
  <c r="K115" i="4"/>
  <c r="F184" i="4"/>
  <c r="H183" i="4"/>
  <c r="K51" i="5"/>
  <c r="L51" i="4"/>
  <c r="H23" i="4"/>
  <c r="I16" i="4"/>
  <c r="I16" i="5" s="1"/>
  <c r="H68" i="4"/>
  <c r="H68" i="5" s="1"/>
  <c r="H67" i="4"/>
  <c r="H67" i="5" s="1"/>
  <c r="M126" i="4"/>
  <c r="L9" i="4"/>
  <c r="L9" i="5" s="1"/>
  <c r="I49" i="4"/>
  <c r="I49" i="5" s="1"/>
  <c r="K117" i="4"/>
  <c r="J131" i="4"/>
  <c r="J141" i="4"/>
  <c r="J26" i="4" s="1"/>
  <c r="J26" i="5" s="1"/>
  <c r="K114" i="4"/>
  <c r="J135" i="4"/>
  <c r="I137" i="4"/>
  <c r="I138" i="4" s="1"/>
  <c r="H15" i="4"/>
  <c r="K143" i="4"/>
  <c r="K144" i="4" s="1"/>
  <c r="J27" i="4"/>
  <c r="J27" i="5" s="1"/>
  <c r="L28" i="4"/>
  <c r="L28" i="5" s="1"/>
  <c r="M145" i="4"/>
  <c r="K13" i="4"/>
  <c r="K13" i="5" s="1"/>
  <c r="L133" i="4"/>
  <c r="H86" i="4"/>
  <c r="H8" i="1"/>
  <c r="H65" i="1" s="1"/>
  <c r="J126" i="1"/>
  <c r="H32" i="1"/>
  <c r="H80" i="1" s="1"/>
  <c r="H48" i="1"/>
  <c r="I115" i="1"/>
  <c r="I153" i="1"/>
  <c r="I32" i="1" s="1"/>
  <c r="H128" i="1"/>
  <c r="I128" i="1" s="1"/>
  <c r="M119" i="1"/>
  <c r="M118" i="1"/>
  <c r="I125" i="1"/>
  <c r="I22" i="1" s="1"/>
  <c r="H47" i="1"/>
  <c r="G87" i="1"/>
  <c r="G152" i="1"/>
  <c r="I133" i="1"/>
  <c r="I143" i="1"/>
  <c r="F11" i="1"/>
  <c r="F139" i="1"/>
  <c r="G11" i="1"/>
  <c r="G139" i="1"/>
  <c r="C11" i="1"/>
  <c r="D11" i="1"/>
  <c r="D18" i="1" s="1"/>
  <c r="D177" i="1" s="1"/>
  <c r="D139" i="1"/>
  <c r="K118" i="1"/>
  <c r="I118" i="1"/>
  <c r="H118" i="1"/>
  <c r="L118" i="1"/>
  <c r="J118" i="1"/>
  <c r="I119" i="1"/>
  <c r="H119" i="1"/>
  <c r="J119" i="1"/>
  <c r="K119" i="1"/>
  <c r="L119" i="1"/>
  <c r="D128" i="1"/>
  <c r="L124" i="1"/>
  <c r="K21" i="1"/>
  <c r="F20" i="1"/>
  <c r="F194" i="1" s="1"/>
  <c r="F128" i="1"/>
  <c r="H81" i="1"/>
  <c r="J139" i="4" l="1"/>
  <c r="J153" i="4"/>
  <c r="J32" i="4" s="1"/>
  <c r="J22" i="4"/>
  <c r="J22" i="5" s="1"/>
  <c r="D185" i="4"/>
  <c r="D195" i="4"/>
  <c r="C38" i="4"/>
  <c r="C38" i="5" s="1"/>
  <c r="G195" i="4"/>
  <c r="H82" i="4"/>
  <c r="H82" i="5" s="1"/>
  <c r="G185" i="4"/>
  <c r="G34" i="4"/>
  <c r="G34" i="5" s="1"/>
  <c r="G196" i="4"/>
  <c r="D34" i="4"/>
  <c r="D38" i="4" s="1"/>
  <c r="G194" i="4"/>
  <c r="F34" i="4"/>
  <c r="F38" i="4" s="1"/>
  <c r="F185" i="4"/>
  <c r="F195" i="4"/>
  <c r="F194" i="4"/>
  <c r="E38" i="4"/>
  <c r="E42" i="4" s="1"/>
  <c r="F196" i="4"/>
  <c r="D196" i="4"/>
  <c r="D194" i="4"/>
  <c r="I7" i="4"/>
  <c r="I52" i="4" s="1"/>
  <c r="I8" i="5"/>
  <c r="H87" i="4"/>
  <c r="H87" i="5" s="1"/>
  <c r="H86" i="5"/>
  <c r="J128" i="4"/>
  <c r="I23" i="4"/>
  <c r="H11" i="4"/>
  <c r="H11" i="5" s="1"/>
  <c r="H15" i="5"/>
  <c r="H23" i="5"/>
  <c r="H20" i="4"/>
  <c r="H20" i="5" s="1"/>
  <c r="L115" i="4"/>
  <c r="K123" i="4"/>
  <c r="K122" i="4"/>
  <c r="H66" i="4"/>
  <c r="H66" i="5" s="1"/>
  <c r="L51" i="5"/>
  <c r="M51" i="4"/>
  <c r="M51" i="5" s="1"/>
  <c r="L81" i="4"/>
  <c r="L81" i="5" s="1"/>
  <c r="J8" i="4"/>
  <c r="I204" i="4"/>
  <c r="I25" i="5"/>
  <c r="K125" i="4"/>
  <c r="K69" i="4"/>
  <c r="K69" i="5" s="1"/>
  <c r="J14" i="4"/>
  <c r="J14" i="5" s="1"/>
  <c r="J12" i="4"/>
  <c r="J12" i="5" s="1"/>
  <c r="M9" i="4"/>
  <c r="M9" i="5" s="1"/>
  <c r="M28" i="4"/>
  <c r="M28" i="5" s="1"/>
  <c r="L114" i="4"/>
  <c r="K135" i="4"/>
  <c r="L117" i="4"/>
  <c r="K141" i="4"/>
  <c r="K26" i="4" s="1"/>
  <c r="K26" i="5" s="1"/>
  <c r="K131" i="4"/>
  <c r="K139" i="4"/>
  <c r="L143" i="4"/>
  <c r="L144" i="4" s="1"/>
  <c r="K27" i="4"/>
  <c r="K27" i="5" s="1"/>
  <c r="I12" i="4"/>
  <c r="I12" i="5" s="1"/>
  <c r="I86" i="4"/>
  <c r="J25" i="4"/>
  <c r="M133" i="4"/>
  <c r="L13" i="4"/>
  <c r="L13" i="5" s="1"/>
  <c r="J137" i="4"/>
  <c r="I15" i="4"/>
  <c r="J115" i="1"/>
  <c r="K115" i="1" s="1"/>
  <c r="I122" i="1"/>
  <c r="J9" i="1"/>
  <c r="I48" i="1"/>
  <c r="H20" i="1"/>
  <c r="I69" i="1"/>
  <c r="L21" i="1"/>
  <c r="M124" i="1"/>
  <c r="M21" i="1" s="1"/>
  <c r="H139" i="1"/>
  <c r="I139" i="1" s="1"/>
  <c r="J139" i="1" s="1"/>
  <c r="K139" i="1" s="1"/>
  <c r="L139" i="1" s="1"/>
  <c r="M139" i="1" s="1"/>
  <c r="I47" i="1"/>
  <c r="I80" i="1"/>
  <c r="G18" i="1"/>
  <c r="F18" i="1"/>
  <c r="H137" i="1"/>
  <c r="J143" i="1"/>
  <c r="D30" i="1"/>
  <c r="I117" i="1"/>
  <c r="J133" i="1"/>
  <c r="H141" i="1"/>
  <c r="H25" i="1" s="1"/>
  <c r="H197" i="1" s="1"/>
  <c r="J114" i="1"/>
  <c r="I135" i="1"/>
  <c r="J128" i="1"/>
  <c r="I23" i="1"/>
  <c r="I20" i="1" s="1"/>
  <c r="K126" i="1"/>
  <c r="J16" i="4" l="1"/>
  <c r="J16" i="5" s="1"/>
  <c r="C42" i="4"/>
  <c r="C186" i="4" s="1"/>
  <c r="J47" i="4"/>
  <c r="J47" i="5" s="1"/>
  <c r="J48" i="4"/>
  <c r="J48" i="5" s="1"/>
  <c r="F34" i="5"/>
  <c r="G38" i="4"/>
  <c r="G42" i="4" s="1"/>
  <c r="D34" i="5"/>
  <c r="H18" i="4"/>
  <c r="H18" i="5" s="1"/>
  <c r="E38" i="5"/>
  <c r="H70" i="4"/>
  <c r="H71" i="4" s="1"/>
  <c r="H71" i="5" s="1"/>
  <c r="I183" i="4"/>
  <c r="I7" i="5"/>
  <c r="K8" i="4"/>
  <c r="K8" i="5" s="1"/>
  <c r="D42" i="4"/>
  <c r="D38" i="5"/>
  <c r="F42" i="4"/>
  <c r="F38" i="5"/>
  <c r="J80" i="4"/>
  <c r="J80" i="5" s="1"/>
  <c r="J32" i="5"/>
  <c r="M81" i="4"/>
  <c r="M81" i="5" s="1"/>
  <c r="E42" i="5"/>
  <c r="E199" i="4"/>
  <c r="E186" i="4"/>
  <c r="E78" i="4"/>
  <c r="E61" i="4"/>
  <c r="L122" i="4"/>
  <c r="M115" i="4"/>
  <c r="L123" i="4"/>
  <c r="I23" i="5"/>
  <c r="I20" i="4"/>
  <c r="I20" i="5" s="1"/>
  <c r="J204" i="4"/>
  <c r="J25" i="5"/>
  <c r="I87" i="4"/>
  <c r="I87" i="5" s="1"/>
  <c r="I86" i="5"/>
  <c r="H201" i="4"/>
  <c r="K128" i="4"/>
  <c r="J23" i="4"/>
  <c r="J8" i="5"/>
  <c r="J65" i="4"/>
  <c r="J65" i="5" s="1"/>
  <c r="J7" i="4"/>
  <c r="G38" i="5"/>
  <c r="C42" i="5"/>
  <c r="I52" i="5"/>
  <c r="I82" i="4"/>
  <c r="I82" i="5" s="1"/>
  <c r="I66" i="4"/>
  <c r="I66" i="5" s="1"/>
  <c r="I15" i="5"/>
  <c r="K22" i="4"/>
  <c r="K153" i="4"/>
  <c r="K32" i="4" s="1"/>
  <c r="L139" i="4"/>
  <c r="K16" i="4"/>
  <c r="K16" i="5" s="1"/>
  <c r="L135" i="4"/>
  <c r="M114" i="4"/>
  <c r="K137" i="4"/>
  <c r="J15" i="4"/>
  <c r="J15" i="5" s="1"/>
  <c r="K25" i="4"/>
  <c r="I67" i="4"/>
  <c r="I67" i="5" s="1"/>
  <c r="I68" i="4"/>
  <c r="I68" i="5" s="1"/>
  <c r="I11" i="4"/>
  <c r="I11" i="5" s="1"/>
  <c r="M117" i="4"/>
  <c r="L141" i="4"/>
  <c r="L26" i="4" s="1"/>
  <c r="L131" i="4"/>
  <c r="L125" i="4"/>
  <c r="L69" i="4" s="1"/>
  <c r="L69" i="5" s="1"/>
  <c r="J67" i="4"/>
  <c r="J67" i="5" s="1"/>
  <c r="J68" i="4"/>
  <c r="J68" i="5" s="1"/>
  <c r="M13" i="4"/>
  <c r="M13" i="5" s="1"/>
  <c r="M143" i="4"/>
  <c r="L27" i="4"/>
  <c r="L27" i="5" s="1"/>
  <c r="K14" i="4"/>
  <c r="K14" i="5" s="1"/>
  <c r="H184" i="4"/>
  <c r="H30" i="4"/>
  <c r="H30" i="5" s="1"/>
  <c r="K122" i="1"/>
  <c r="K9" i="1"/>
  <c r="I8" i="1"/>
  <c r="I65" i="1" s="1"/>
  <c r="J122" i="1"/>
  <c r="I141" i="1"/>
  <c r="I25" i="1" s="1"/>
  <c r="I197" i="1" s="1"/>
  <c r="L115" i="1"/>
  <c r="J125" i="1"/>
  <c r="F30" i="1"/>
  <c r="F177" i="1"/>
  <c r="D34" i="1"/>
  <c r="D38" i="1" s="1"/>
  <c r="D42" i="1" s="1"/>
  <c r="D189" i="1"/>
  <c r="D188" i="1"/>
  <c r="D187" i="1"/>
  <c r="D178" i="1"/>
  <c r="G30" i="1"/>
  <c r="G177" i="1"/>
  <c r="J117" i="1"/>
  <c r="J141" i="1" s="1"/>
  <c r="H68" i="1"/>
  <c r="K133" i="1"/>
  <c r="K114" i="1"/>
  <c r="J135" i="1"/>
  <c r="K143" i="1"/>
  <c r="L126" i="1"/>
  <c r="K128" i="1"/>
  <c r="J23" i="1"/>
  <c r="C61" i="4" l="1"/>
  <c r="C61" i="5" s="1"/>
  <c r="J49" i="4"/>
  <c r="J49" i="5" s="1"/>
  <c r="H70" i="5"/>
  <c r="H83" i="4"/>
  <c r="H83" i="5" s="1"/>
  <c r="K48" i="4"/>
  <c r="L14" i="4"/>
  <c r="L14" i="5" s="1"/>
  <c r="M144" i="4"/>
  <c r="M27" i="4" s="1"/>
  <c r="M27" i="5" s="1"/>
  <c r="L8" i="4"/>
  <c r="L65" i="4" s="1"/>
  <c r="L65" i="5" s="1"/>
  <c r="K7" i="4"/>
  <c r="K7" i="5" s="1"/>
  <c r="K65" i="4"/>
  <c r="K65" i="5" s="1"/>
  <c r="K22" i="5"/>
  <c r="L25" i="4"/>
  <c r="L25" i="5" s="1"/>
  <c r="L26" i="5"/>
  <c r="K204" i="4"/>
  <c r="K25" i="5"/>
  <c r="C62" i="4"/>
  <c r="D90" i="4"/>
  <c r="J23" i="5"/>
  <c r="J20" i="4"/>
  <c r="J20" i="5" s="1"/>
  <c r="E84" i="4"/>
  <c r="E84" i="5" s="1"/>
  <c r="E78" i="5"/>
  <c r="F42" i="5"/>
  <c r="F78" i="4"/>
  <c r="F61" i="4"/>
  <c r="F186" i="4"/>
  <c r="F199" i="4"/>
  <c r="E61" i="5"/>
  <c r="F90" i="4"/>
  <c r="E62" i="4"/>
  <c r="L128" i="4"/>
  <c r="K23" i="4"/>
  <c r="K23" i="5" s="1"/>
  <c r="I201" i="4"/>
  <c r="G42" i="5"/>
  <c r="G186" i="4"/>
  <c r="G78" i="4"/>
  <c r="G61" i="4"/>
  <c r="G199" i="4"/>
  <c r="J7" i="5"/>
  <c r="J52" i="4"/>
  <c r="J183" i="4"/>
  <c r="M122" i="4"/>
  <c r="M123" i="4"/>
  <c r="D42" i="5"/>
  <c r="D61" i="4"/>
  <c r="D199" i="4"/>
  <c r="D186" i="4"/>
  <c r="D78" i="4"/>
  <c r="J11" i="4"/>
  <c r="J11" i="5" s="1"/>
  <c r="J66" i="4"/>
  <c r="J66" i="5" s="1"/>
  <c r="M125" i="4"/>
  <c r="M139" i="4"/>
  <c r="L16" i="4"/>
  <c r="L16" i="5" s="1"/>
  <c r="L22" i="4"/>
  <c r="L153" i="4"/>
  <c r="L32" i="4" s="1"/>
  <c r="I70" i="4"/>
  <c r="I18" i="4"/>
  <c r="I18" i="5" s="1"/>
  <c r="L137" i="4"/>
  <c r="K15" i="4"/>
  <c r="K15" i="5" s="1"/>
  <c r="K12" i="4"/>
  <c r="K12" i="5" s="1"/>
  <c r="M135" i="4"/>
  <c r="K47" i="4"/>
  <c r="K47" i="5" s="1"/>
  <c r="H196" i="4"/>
  <c r="H185" i="4"/>
  <c r="H195" i="4"/>
  <c r="H34" i="4"/>
  <c r="H194" i="4"/>
  <c r="M141" i="4"/>
  <c r="M26" i="4" s="1"/>
  <c r="M131" i="4"/>
  <c r="J8" i="1"/>
  <c r="J65" i="1" s="1"/>
  <c r="I68" i="1"/>
  <c r="L122" i="1"/>
  <c r="L9" i="1"/>
  <c r="K8" i="1"/>
  <c r="K65" i="1" s="1"/>
  <c r="M115" i="1"/>
  <c r="J69" i="1"/>
  <c r="K125" i="1" s="1"/>
  <c r="K69" i="1" s="1"/>
  <c r="J153" i="1"/>
  <c r="M126" i="1"/>
  <c r="J22" i="1"/>
  <c r="J20" i="1" s="1"/>
  <c r="D78" i="1"/>
  <c r="D84" i="1" s="1"/>
  <c r="G189" i="1"/>
  <c r="G187" i="1"/>
  <c r="G178" i="1"/>
  <c r="G188" i="1"/>
  <c r="D61" i="1"/>
  <c r="D179" i="1"/>
  <c r="F189" i="1"/>
  <c r="F188" i="1"/>
  <c r="F187" i="1"/>
  <c r="F178" i="1"/>
  <c r="H66" i="1"/>
  <c r="I67" i="1"/>
  <c r="H67" i="1"/>
  <c r="J25" i="1"/>
  <c r="J197" i="1" s="1"/>
  <c r="J68" i="1"/>
  <c r="K117" i="1"/>
  <c r="K141" i="1" s="1"/>
  <c r="L133" i="1"/>
  <c r="L143" i="1"/>
  <c r="K135" i="1"/>
  <c r="L114" i="1"/>
  <c r="L128" i="1"/>
  <c r="K23" i="1"/>
  <c r="J86" i="4" l="1"/>
  <c r="J87" i="4" s="1"/>
  <c r="J87" i="5" s="1"/>
  <c r="L48" i="4"/>
  <c r="L48" i="5" s="1"/>
  <c r="L8" i="5"/>
  <c r="K20" i="4"/>
  <c r="K20" i="5" s="1"/>
  <c r="M14" i="4"/>
  <c r="M14" i="5" s="1"/>
  <c r="K48" i="5"/>
  <c r="L7" i="4"/>
  <c r="L7" i="5" s="1"/>
  <c r="K52" i="4"/>
  <c r="K52" i="5" s="1"/>
  <c r="K183" i="4"/>
  <c r="K80" i="4"/>
  <c r="K80" i="5" s="1"/>
  <c r="K32" i="5"/>
  <c r="J52" i="5"/>
  <c r="J82" i="4"/>
  <c r="J82" i="5" s="1"/>
  <c r="D91" i="4"/>
  <c r="D91" i="5" s="1"/>
  <c r="D90" i="5"/>
  <c r="F61" i="5"/>
  <c r="F62" i="4"/>
  <c r="G90" i="4"/>
  <c r="K201" i="4"/>
  <c r="D61" i="5"/>
  <c r="D62" i="4"/>
  <c r="E90" i="4"/>
  <c r="G61" i="5"/>
  <c r="G62" i="4"/>
  <c r="H60" i="4"/>
  <c r="F84" i="4"/>
  <c r="F78" i="5"/>
  <c r="J201" i="4"/>
  <c r="G84" i="4"/>
  <c r="G84" i="5" s="1"/>
  <c r="G78" i="5"/>
  <c r="M128" i="4"/>
  <c r="M23" i="4" s="1"/>
  <c r="M23" i="5" s="1"/>
  <c r="L23" i="4"/>
  <c r="L23" i="5" s="1"/>
  <c r="L22" i="5"/>
  <c r="D84" i="4"/>
  <c r="D78" i="5"/>
  <c r="M25" i="4"/>
  <c r="M26" i="5"/>
  <c r="C62" i="5"/>
  <c r="C72" i="4"/>
  <c r="C189" i="4"/>
  <c r="C188" i="4"/>
  <c r="J86" i="5"/>
  <c r="E62" i="5"/>
  <c r="E72" i="4"/>
  <c r="E189" i="4"/>
  <c r="E188" i="4"/>
  <c r="L204" i="4"/>
  <c r="L80" i="4"/>
  <c r="L80" i="5" s="1"/>
  <c r="L32" i="5"/>
  <c r="M8" i="4"/>
  <c r="F91" i="4"/>
  <c r="F91" i="5" s="1"/>
  <c r="F90" i="5"/>
  <c r="J18" i="4"/>
  <c r="J18" i="5" s="1"/>
  <c r="H38" i="4"/>
  <c r="H34" i="5"/>
  <c r="J70" i="4"/>
  <c r="J70" i="5" s="1"/>
  <c r="K66" i="4"/>
  <c r="K66" i="5" s="1"/>
  <c r="I83" i="4"/>
  <c r="I83" i="5" s="1"/>
  <c r="I70" i="5"/>
  <c r="I71" i="4"/>
  <c r="I71" i="5" s="1"/>
  <c r="M12" i="4"/>
  <c r="M12" i="5" s="1"/>
  <c r="K49" i="4"/>
  <c r="K49" i="5" s="1"/>
  <c r="L47" i="4"/>
  <c r="L47" i="5" s="1"/>
  <c r="K67" i="4"/>
  <c r="K67" i="5" s="1"/>
  <c r="K68" i="4"/>
  <c r="K68" i="5" s="1"/>
  <c r="K11" i="4"/>
  <c r="K11" i="5" s="1"/>
  <c r="M137" i="4"/>
  <c r="L15" i="4"/>
  <c r="M16" i="4"/>
  <c r="M16" i="5" s="1"/>
  <c r="L12" i="4"/>
  <c r="L12" i="5" s="1"/>
  <c r="M22" i="4"/>
  <c r="M153" i="4"/>
  <c r="M32" i="4" s="1"/>
  <c r="I184" i="4"/>
  <c r="I30" i="4"/>
  <c r="I30" i="5" s="1"/>
  <c r="M69" i="4"/>
  <c r="M69" i="5" s="1"/>
  <c r="M122" i="1"/>
  <c r="L8" i="1"/>
  <c r="L65" i="1" s="1"/>
  <c r="M9" i="1"/>
  <c r="J32" i="1"/>
  <c r="J80" i="1" s="1"/>
  <c r="J48" i="1"/>
  <c r="L125" i="1"/>
  <c r="L22" i="1" s="1"/>
  <c r="J47" i="1"/>
  <c r="L23" i="1"/>
  <c r="M128" i="1"/>
  <c r="M23" i="1" s="1"/>
  <c r="M143" i="1"/>
  <c r="M133" i="1"/>
  <c r="L135" i="1"/>
  <c r="M114" i="1"/>
  <c r="M135" i="1" s="1"/>
  <c r="K22" i="1"/>
  <c r="K20" i="1" s="1"/>
  <c r="K153" i="1"/>
  <c r="K32" i="1" s="1"/>
  <c r="D62" i="1"/>
  <c r="E90" i="1"/>
  <c r="E91" i="1" s="1"/>
  <c r="J67" i="1"/>
  <c r="L117" i="1"/>
  <c r="K25" i="1"/>
  <c r="K197" i="1" s="1"/>
  <c r="K131" i="1"/>
  <c r="K68" i="1" s="1"/>
  <c r="J137" i="1"/>
  <c r="J66" i="1" s="1"/>
  <c r="I66" i="1"/>
  <c r="F26" i="2"/>
  <c r="G26" i="2"/>
  <c r="H26" i="2"/>
  <c r="I26" i="2"/>
  <c r="J26" i="2"/>
  <c r="E26" i="2"/>
  <c r="L20" i="4" l="1"/>
  <c r="L20" i="5" s="1"/>
  <c r="M48" i="4"/>
  <c r="M48" i="5" s="1"/>
  <c r="L183" i="4"/>
  <c r="L52" i="4"/>
  <c r="L52" i="5" s="1"/>
  <c r="K82" i="4"/>
  <c r="K82" i="5" s="1"/>
  <c r="L201" i="4"/>
  <c r="M204" i="4"/>
  <c r="M25" i="5"/>
  <c r="E91" i="4"/>
  <c r="E90" i="5"/>
  <c r="G91" i="4"/>
  <c r="G90" i="5"/>
  <c r="F84" i="5"/>
  <c r="F93" i="4"/>
  <c r="F93" i="5" s="1"/>
  <c r="G62" i="5"/>
  <c r="G189" i="4"/>
  <c r="G188" i="4"/>
  <c r="G72" i="4"/>
  <c r="M80" i="4"/>
  <c r="M80" i="5" s="1"/>
  <c r="M32" i="5"/>
  <c r="D62" i="5"/>
  <c r="D72" i="4"/>
  <c r="D189" i="4"/>
  <c r="E198" i="4"/>
  <c r="D188" i="4"/>
  <c r="M20" i="4"/>
  <c r="M22" i="5"/>
  <c r="D198" i="4"/>
  <c r="D84" i="5"/>
  <c r="D93" i="4"/>
  <c r="E74" i="4"/>
  <c r="E72" i="5"/>
  <c r="E74" i="5" s="1"/>
  <c r="M8" i="5"/>
  <c r="M7" i="4"/>
  <c r="M201" i="4" s="1"/>
  <c r="M65" i="4"/>
  <c r="M65" i="5" s="1"/>
  <c r="C74" i="4"/>
  <c r="C72" i="5"/>
  <c r="C74" i="5" s="1"/>
  <c r="H60" i="5"/>
  <c r="H90" i="4"/>
  <c r="F62" i="5"/>
  <c r="F72" i="4"/>
  <c r="F189" i="4"/>
  <c r="F188" i="4"/>
  <c r="G198" i="4"/>
  <c r="F198" i="4"/>
  <c r="J30" i="4"/>
  <c r="J30" i="5" s="1"/>
  <c r="J71" i="4"/>
  <c r="J71" i="5" s="1"/>
  <c r="J83" i="4"/>
  <c r="J83" i="5" s="1"/>
  <c r="J184" i="4"/>
  <c r="M20" i="5"/>
  <c r="H42" i="4"/>
  <c r="H38" i="5"/>
  <c r="L66" i="4"/>
  <c r="L66" i="5" s="1"/>
  <c r="L15" i="5"/>
  <c r="L49" i="4"/>
  <c r="L49" i="5" s="1"/>
  <c r="M47" i="4"/>
  <c r="M47" i="5" s="1"/>
  <c r="K86" i="4"/>
  <c r="M67" i="4"/>
  <c r="M67" i="5" s="1"/>
  <c r="M68" i="4"/>
  <c r="M68" i="5" s="1"/>
  <c r="K70" i="4"/>
  <c r="K18" i="4"/>
  <c r="K18" i="5" s="1"/>
  <c r="I196" i="4"/>
  <c r="I185" i="4"/>
  <c r="I195" i="4"/>
  <c r="I34" i="4"/>
  <c r="I194" i="4"/>
  <c r="L67" i="4"/>
  <c r="L67" i="5" s="1"/>
  <c r="L68" i="4"/>
  <c r="L68" i="5" s="1"/>
  <c r="L11" i="4"/>
  <c r="L11" i="5" s="1"/>
  <c r="M15" i="4"/>
  <c r="M8" i="1"/>
  <c r="M7" i="1" s="1"/>
  <c r="M52" i="1" s="1"/>
  <c r="K48" i="1"/>
  <c r="L69" i="1"/>
  <c r="M125" i="1" s="1"/>
  <c r="M22" i="1" s="1"/>
  <c r="M20" i="1" s="1"/>
  <c r="J49" i="1"/>
  <c r="K47" i="1"/>
  <c r="L20" i="1"/>
  <c r="L141" i="1"/>
  <c r="L25" i="1" s="1"/>
  <c r="L197" i="1" s="1"/>
  <c r="M117" i="1"/>
  <c r="L153" i="1"/>
  <c r="K80" i="1"/>
  <c r="D72" i="1"/>
  <c r="D74" i="1" s="1"/>
  <c r="D182" i="1"/>
  <c r="D181" i="1"/>
  <c r="K67" i="1"/>
  <c r="L131" i="1"/>
  <c r="K137" i="1"/>
  <c r="E30" i="2"/>
  <c r="L82" i="4" l="1"/>
  <c r="L82" i="5" s="1"/>
  <c r="K87" i="4"/>
  <c r="K87" i="5" s="1"/>
  <c r="K86" i="5"/>
  <c r="M7" i="5"/>
  <c r="M52" i="4"/>
  <c r="M183" i="4"/>
  <c r="G74" i="4"/>
  <c r="G72" i="5"/>
  <c r="G74" i="5" s="1"/>
  <c r="G93" i="4"/>
  <c r="G93" i="5" s="1"/>
  <c r="G91" i="5"/>
  <c r="F74" i="4"/>
  <c r="F72" i="5"/>
  <c r="F74" i="5" s="1"/>
  <c r="E93" i="4"/>
  <c r="E93" i="5" s="1"/>
  <c r="E91" i="5"/>
  <c r="D96" i="4"/>
  <c r="D93" i="5"/>
  <c r="D74" i="4"/>
  <c r="D72" i="5"/>
  <c r="D74" i="5" s="1"/>
  <c r="H91" i="4"/>
  <c r="H91" i="5" s="1"/>
  <c r="H90" i="5"/>
  <c r="J34" i="4"/>
  <c r="J38" i="4" s="1"/>
  <c r="J194" i="4"/>
  <c r="J195" i="4"/>
  <c r="J185" i="4"/>
  <c r="J196" i="4"/>
  <c r="H42" i="5"/>
  <c r="H61" i="4"/>
  <c r="H186" i="4"/>
  <c r="H78" i="4"/>
  <c r="M66" i="4"/>
  <c r="M66" i="5" s="1"/>
  <c r="M15" i="5"/>
  <c r="K71" i="4"/>
  <c r="K71" i="5" s="1"/>
  <c r="K70" i="5"/>
  <c r="I38" i="4"/>
  <c r="I34" i="5"/>
  <c r="K184" i="4"/>
  <c r="K30" i="4"/>
  <c r="K30" i="5" s="1"/>
  <c r="L70" i="4"/>
  <c r="L18" i="4"/>
  <c r="L18" i="5" s="1"/>
  <c r="M11" i="4"/>
  <c r="M11" i="5" s="1"/>
  <c r="M49" i="4"/>
  <c r="M49" i="5" s="1"/>
  <c r="K83" i="4"/>
  <c r="K83" i="5" s="1"/>
  <c r="L86" i="4"/>
  <c r="M65" i="1"/>
  <c r="M194" i="1"/>
  <c r="M69" i="1"/>
  <c r="L32" i="1"/>
  <c r="L80" i="1" s="1"/>
  <c r="L48" i="1"/>
  <c r="M153" i="1"/>
  <c r="L68" i="1"/>
  <c r="M141" i="1"/>
  <c r="M25" i="1" s="1"/>
  <c r="M197" i="1" s="1"/>
  <c r="M131" i="1"/>
  <c r="L47" i="1"/>
  <c r="K49" i="1"/>
  <c r="L67" i="1"/>
  <c r="L137" i="1"/>
  <c r="K66" i="1"/>
  <c r="G30" i="2"/>
  <c r="H30" i="2"/>
  <c r="I30" i="2"/>
  <c r="J30" i="2"/>
  <c r="F30" i="2"/>
  <c r="L87" i="4" l="1"/>
  <c r="L87" i="5" s="1"/>
  <c r="L86" i="5"/>
  <c r="M52" i="5"/>
  <c r="M82" i="4"/>
  <c r="M82" i="5" s="1"/>
  <c r="D96" i="5"/>
  <c r="D98" i="5" s="1"/>
  <c r="E95" i="4"/>
  <c r="D98" i="4"/>
  <c r="J34" i="5"/>
  <c r="H84" i="4"/>
  <c r="H78" i="5"/>
  <c r="H61" i="5"/>
  <c r="I60" i="4"/>
  <c r="H62" i="4"/>
  <c r="L83" i="4"/>
  <c r="L83" i="5" s="1"/>
  <c r="L70" i="5"/>
  <c r="L71" i="4"/>
  <c r="L71" i="5" s="1"/>
  <c r="J42" i="4"/>
  <c r="J38" i="5"/>
  <c r="I42" i="4"/>
  <c r="I38" i="5"/>
  <c r="M70" i="4"/>
  <c r="M70" i="5" s="1"/>
  <c r="M18" i="4"/>
  <c r="M18" i="5" s="1"/>
  <c r="K195" i="4"/>
  <c r="K196" i="4"/>
  <c r="K34" i="4"/>
  <c r="K185" i="4"/>
  <c r="K194" i="4"/>
  <c r="L184" i="4"/>
  <c r="L30" i="4"/>
  <c r="L30" i="5" s="1"/>
  <c r="M86" i="4"/>
  <c r="M32" i="1"/>
  <c r="M80" i="1" s="1"/>
  <c r="M48" i="1"/>
  <c r="M47" i="1"/>
  <c r="L49" i="1"/>
  <c r="L66" i="1"/>
  <c r="M137" i="1"/>
  <c r="M66" i="1" s="1"/>
  <c r="M67" i="1"/>
  <c r="M68" i="1"/>
  <c r="C77" i="1"/>
  <c r="D30" i="2"/>
  <c r="D15" i="2"/>
  <c r="C15" i="2"/>
  <c r="C102" i="1"/>
  <c r="C175" i="1" s="1"/>
  <c r="E71" i="1"/>
  <c r="E54" i="1"/>
  <c r="E184" i="1" s="1"/>
  <c r="C54" i="1"/>
  <c r="C184" i="1" s="1"/>
  <c r="E49" i="1"/>
  <c r="C49" i="1"/>
  <c r="D86" i="1" s="1"/>
  <c r="E45" i="1"/>
  <c r="C45" i="1"/>
  <c r="C30" i="2"/>
  <c r="E7" i="1"/>
  <c r="E194" i="1" s="1"/>
  <c r="M87" i="4" l="1"/>
  <c r="M87" i="5" s="1"/>
  <c r="M86" i="5"/>
  <c r="E96" i="4"/>
  <c r="E95" i="5"/>
  <c r="H62" i="5"/>
  <c r="H198" i="4"/>
  <c r="H72" i="4"/>
  <c r="H72" i="5" s="1"/>
  <c r="H188" i="4"/>
  <c r="I60" i="5"/>
  <c r="I90" i="4"/>
  <c r="H93" i="4"/>
  <c r="H84" i="5"/>
  <c r="K38" i="4"/>
  <c r="K34" i="5"/>
  <c r="J42" i="5"/>
  <c r="J61" i="4"/>
  <c r="J61" i="5" s="1"/>
  <c r="J78" i="4"/>
  <c r="J186" i="4"/>
  <c r="I42" i="5"/>
  <c r="I186" i="4"/>
  <c r="I61" i="4"/>
  <c r="I78" i="4"/>
  <c r="L195" i="4"/>
  <c r="L196" i="4"/>
  <c r="L185" i="4"/>
  <c r="L34" i="4"/>
  <c r="L194" i="4"/>
  <c r="M184" i="4"/>
  <c r="M30" i="4"/>
  <c r="M30" i="5" s="1"/>
  <c r="M71" i="4"/>
  <c r="M71" i="5" s="1"/>
  <c r="M83" i="4"/>
  <c r="M83" i="5" s="1"/>
  <c r="M11" i="1"/>
  <c r="M70" i="1" s="1"/>
  <c r="M71" i="1" s="1"/>
  <c r="M49" i="1"/>
  <c r="M86" i="1" s="1"/>
  <c r="M87" i="1" s="1"/>
  <c r="C185" i="1"/>
  <c r="E185" i="1"/>
  <c r="E176" i="1"/>
  <c r="F176" i="1"/>
  <c r="D87" i="1"/>
  <c r="D152" i="1"/>
  <c r="E86" i="1"/>
  <c r="F86" i="1"/>
  <c r="D9" i="2"/>
  <c r="C7" i="1"/>
  <c r="C194" i="1" s="1"/>
  <c r="E25" i="1"/>
  <c r="D17" i="2"/>
  <c r="D23" i="2"/>
  <c r="E22" i="2"/>
  <c r="E55" i="1"/>
  <c r="C55" i="1"/>
  <c r="D192" i="1" s="1"/>
  <c r="E11" i="1"/>
  <c r="E96" i="5" l="1"/>
  <c r="E98" i="5" s="1"/>
  <c r="E98" i="4"/>
  <c r="F95" i="4"/>
  <c r="I91" i="4"/>
  <c r="I91" i="5" s="1"/>
  <c r="I90" i="5"/>
  <c r="H93" i="5"/>
  <c r="L38" i="4"/>
  <c r="L34" i="5"/>
  <c r="K42" i="4"/>
  <c r="K38" i="5"/>
  <c r="J84" i="4"/>
  <c r="J84" i="5" s="1"/>
  <c r="J78" i="5"/>
  <c r="I84" i="4"/>
  <c r="I78" i="5"/>
  <c r="I61" i="5"/>
  <c r="I62" i="4"/>
  <c r="J60" i="4"/>
  <c r="M195" i="4"/>
  <c r="M196" i="4"/>
  <c r="M185" i="4"/>
  <c r="M34" i="4"/>
  <c r="M194" i="4"/>
  <c r="M18" i="1"/>
  <c r="M177" i="1" s="1"/>
  <c r="C9" i="2"/>
  <c r="D176" i="1"/>
  <c r="E18" i="1"/>
  <c r="F87" i="1"/>
  <c r="F152" i="1"/>
  <c r="E87" i="1"/>
  <c r="E152" i="1"/>
  <c r="C18" i="1"/>
  <c r="C17" i="2"/>
  <c r="C23" i="2"/>
  <c r="E9" i="2"/>
  <c r="H11" i="1"/>
  <c r="H70" i="1" s="1"/>
  <c r="H7" i="1"/>
  <c r="H194" i="1" s="1"/>
  <c r="F96" i="4" l="1"/>
  <c r="F95" i="5"/>
  <c r="L42" i="4"/>
  <c r="L38" i="5"/>
  <c r="K42" i="5"/>
  <c r="K61" i="4"/>
  <c r="K61" i="5" s="1"/>
  <c r="K186" i="4"/>
  <c r="K78" i="4"/>
  <c r="M38" i="4"/>
  <c r="M34" i="5"/>
  <c r="J60" i="5"/>
  <c r="K60" i="4"/>
  <c r="J90" i="4"/>
  <c r="J62" i="4"/>
  <c r="I62" i="5"/>
  <c r="I72" i="4"/>
  <c r="I72" i="5" s="1"/>
  <c r="I188" i="4"/>
  <c r="I198" i="4"/>
  <c r="I84" i="5"/>
  <c r="I93" i="4"/>
  <c r="M30" i="1"/>
  <c r="M187" i="1" s="1"/>
  <c r="C30" i="1"/>
  <c r="C177" i="1"/>
  <c r="H52" i="1"/>
  <c r="H82" i="1" s="1"/>
  <c r="H176" i="1"/>
  <c r="E30" i="1"/>
  <c r="D12" i="2" s="1"/>
  <c r="E177" i="1"/>
  <c r="D11" i="2"/>
  <c r="H83" i="1"/>
  <c r="H71" i="1"/>
  <c r="C11" i="2"/>
  <c r="I11" i="1"/>
  <c r="I70" i="1" s="1"/>
  <c r="I83" i="1" s="1"/>
  <c r="I7" i="1"/>
  <c r="F9" i="2"/>
  <c r="H18" i="1"/>
  <c r="H177" i="1" s="1"/>
  <c r="F96" i="5" l="1"/>
  <c r="F98" i="5" s="1"/>
  <c r="G95" i="4"/>
  <c r="F98" i="4"/>
  <c r="M42" i="4"/>
  <c r="M38" i="5"/>
  <c r="L42" i="5"/>
  <c r="L186" i="4"/>
  <c r="L78" i="4"/>
  <c r="L61" i="4"/>
  <c r="L61" i="5" s="1"/>
  <c r="K84" i="4"/>
  <c r="K84" i="5" s="1"/>
  <c r="K78" i="5"/>
  <c r="I93" i="5"/>
  <c r="J198" i="4"/>
  <c r="J62" i="5"/>
  <c r="J72" i="4"/>
  <c r="J72" i="5" s="1"/>
  <c r="J188" i="4"/>
  <c r="J91" i="4"/>
  <c r="J90" i="5"/>
  <c r="K60" i="5"/>
  <c r="K90" i="4"/>
  <c r="L60" i="4"/>
  <c r="K62" i="4"/>
  <c r="M178" i="1"/>
  <c r="M189" i="1"/>
  <c r="M188" i="1"/>
  <c r="M34" i="1"/>
  <c r="M38" i="1" s="1"/>
  <c r="M42" i="1" s="1"/>
  <c r="M78" i="1" s="1"/>
  <c r="C34" i="1"/>
  <c r="C38" i="1" s="1"/>
  <c r="C42" i="1" s="1"/>
  <c r="C187" i="1"/>
  <c r="C178" i="1"/>
  <c r="C188" i="1"/>
  <c r="C189" i="1"/>
  <c r="I176" i="1"/>
  <c r="I194" i="1"/>
  <c r="C12" i="2"/>
  <c r="E34" i="1"/>
  <c r="E38" i="1" s="1"/>
  <c r="E42" i="1" s="1"/>
  <c r="E189" i="1"/>
  <c r="E188" i="1"/>
  <c r="E178" i="1"/>
  <c r="E187" i="1"/>
  <c r="G9" i="2"/>
  <c r="I52" i="1"/>
  <c r="F11" i="2"/>
  <c r="H30" i="1"/>
  <c r="H189" i="1" s="1"/>
  <c r="J11" i="1"/>
  <c r="J70" i="1" s="1"/>
  <c r="J7" i="1"/>
  <c r="I18" i="1"/>
  <c r="I177" i="1" s="1"/>
  <c r="G34" i="1"/>
  <c r="E11" i="2"/>
  <c r="G96" i="4" l="1"/>
  <c r="G95" i="5"/>
  <c r="L84" i="4"/>
  <c r="L84" i="5" s="1"/>
  <c r="L78" i="5"/>
  <c r="M42" i="5"/>
  <c r="M186" i="4"/>
  <c r="M61" i="4"/>
  <c r="M61" i="5" s="1"/>
  <c r="M78" i="4"/>
  <c r="J93" i="4"/>
  <c r="J93" i="5" s="1"/>
  <c r="J91" i="5"/>
  <c r="K62" i="5"/>
  <c r="K188" i="4"/>
  <c r="K72" i="4"/>
  <c r="K72" i="5" s="1"/>
  <c r="K198" i="4"/>
  <c r="K91" i="4"/>
  <c r="K90" i="5"/>
  <c r="L60" i="5"/>
  <c r="L90" i="4"/>
  <c r="M60" i="4"/>
  <c r="L62" i="4"/>
  <c r="M61" i="1"/>
  <c r="M179" i="1"/>
  <c r="C61" i="1"/>
  <c r="C179" i="1"/>
  <c r="C21" i="2"/>
  <c r="J176" i="1"/>
  <c r="J194" i="1"/>
  <c r="E192" i="1"/>
  <c r="D13" i="2"/>
  <c r="E179" i="1"/>
  <c r="E61" i="1"/>
  <c r="E78" i="1"/>
  <c r="E84" i="1" s="1"/>
  <c r="E93" i="1" s="1"/>
  <c r="H178" i="1"/>
  <c r="H188" i="1"/>
  <c r="H187" i="1"/>
  <c r="J52" i="1"/>
  <c r="J82" i="1" s="1"/>
  <c r="I82" i="1"/>
  <c r="J83" i="1"/>
  <c r="J71" i="1"/>
  <c r="G11" i="2"/>
  <c r="I30" i="1"/>
  <c r="C14" i="2"/>
  <c r="C13" i="2"/>
  <c r="J18" i="1"/>
  <c r="J177" i="1" s="1"/>
  <c r="K11" i="1"/>
  <c r="K70" i="1" s="1"/>
  <c r="H9" i="2"/>
  <c r="K7" i="1"/>
  <c r="E12" i="2"/>
  <c r="E13" i="2"/>
  <c r="D14" i="2"/>
  <c r="D21" i="2"/>
  <c r="G96" i="5" l="1"/>
  <c r="G98" i="5" s="1"/>
  <c r="H95" i="4"/>
  <c r="G98" i="4"/>
  <c r="M84" i="4"/>
  <c r="M84" i="5" s="1"/>
  <c r="M78" i="5"/>
  <c r="L62" i="5"/>
  <c r="L72" i="4"/>
  <c r="L72" i="5" s="1"/>
  <c r="L198" i="4"/>
  <c r="L188" i="4"/>
  <c r="M60" i="5"/>
  <c r="M90" i="4"/>
  <c r="M62" i="4"/>
  <c r="K91" i="5"/>
  <c r="K93" i="4"/>
  <c r="K93" i="5" s="1"/>
  <c r="L91" i="4"/>
  <c r="L90" i="5"/>
  <c r="K176" i="1"/>
  <c r="K194" i="1"/>
  <c r="C62" i="1"/>
  <c r="D90" i="1"/>
  <c r="D91" i="1" s="1"/>
  <c r="D93" i="1" s="1"/>
  <c r="D96" i="1" s="1"/>
  <c r="I189" i="1"/>
  <c r="I178" i="1"/>
  <c r="I188" i="1"/>
  <c r="I187" i="1"/>
  <c r="E62" i="1"/>
  <c r="E191" i="1" s="1"/>
  <c r="F90" i="1"/>
  <c r="F91" i="1" s="1"/>
  <c r="K52" i="1"/>
  <c r="K71" i="1"/>
  <c r="K83" i="1"/>
  <c r="J30" i="1"/>
  <c r="H11" i="2"/>
  <c r="L11" i="1"/>
  <c r="L70" i="1" s="1"/>
  <c r="M83" i="1" s="1"/>
  <c r="K18" i="1"/>
  <c r="K177" i="1" s="1"/>
  <c r="I9" i="2"/>
  <c r="I71" i="1"/>
  <c r="H95" i="5" l="1"/>
  <c r="H96" i="4"/>
  <c r="M91" i="4"/>
  <c r="M90" i="5"/>
  <c r="M62" i="5"/>
  <c r="M72" i="4"/>
  <c r="M72" i="5" s="1"/>
  <c r="M188" i="4"/>
  <c r="L91" i="5"/>
  <c r="L93" i="4"/>
  <c r="L93" i="5" s="1"/>
  <c r="M198" i="4"/>
  <c r="C182" i="1"/>
  <c r="C181" i="1"/>
  <c r="D191" i="1"/>
  <c r="C72" i="1"/>
  <c r="C74" i="1" s="1"/>
  <c r="C25" i="2"/>
  <c r="C16" i="2"/>
  <c r="C19" i="2"/>
  <c r="E95" i="1"/>
  <c r="E96" i="1" s="1"/>
  <c r="D98" i="1"/>
  <c r="E72" i="1"/>
  <c r="E74" i="1" s="1"/>
  <c r="E182" i="1"/>
  <c r="E181" i="1"/>
  <c r="D19" i="2"/>
  <c r="D25" i="2"/>
  <c r="D16" i="2"/>
  <c r="J178" i="1"/>
  <c r="J189" i="1"/>
  <c r="J188" i="1"/>
  <c r="J187" i="1"/>
  <c r="K82" i="1"/>
  <c r="L71" i="1"/>
  <c r="L83" i="1"/>
  <c r="I11" i="2"/>
  <c r="K30" i="1"/>
  <c r="L7" i="1"/>
  <c r="H96" i="5" l="1"/>
  <c r="H53" i="4"/>
  <c r="H98" i="4" s="1"/>
  <c r="I95" i="4"/>
  <c r="M91" i="5"/>
  <c r="M93" i="4"/>
  <c r="M93" i="5" s="1"/>
  <c r="L194" i="1"/>
  <c r="M176" i="1"/>
  <c r="F95" i="1"/>
  <c r="E98" i="1"/>
  <c r="L52" i="1"/>
  <c r="L176" i="1"/>
  <c r="K188" i="1"/>
  <c r="K178" i="1"/>
  <c r="K189" i="1"/>
  <c r="K187" i="1"/>
  <c r="J9" i="2"/>
  <c r="L18" i="1"/>
  <c r="I95" i="5" l="1"/>
  <c r="I96" i="4"/>
  <c r="H54" i="4"/>
  <c r="H53" i="5"/>
  <c r="H98" i="5" s="1"/>
  <c r="L82" i="1"/>
  <c r="M82" i="1"/>
  <c r="M84" i="1" s="1"/>
  <c r="L30" i="1"/>
  <c r="L177" i="1"/>
  <c r="J11" i="2"/>
  <c r="H54" i="5" l="1"/>
  <c r="H192" i="4"/>
  <c r="H55" i="4"/>
  <c r="H191" i="4"/>
  <c r="I96" i="5"/>
  <c r="J95" i="4"/>
  <c r="I53" i="4"/>
  <c r="L188" i="1"/>
  <c r="L178" i="1"/>
  <c r="L189" i="1"/>
  <c r="L187" i="1"/>
  <c r="E15" i="2"/>
  <c r="J95" i="5" l="1"/>
  <c r="J96" i="4"/>
  <c r="H199" i="4"/>
  <c r="H55" i="5"/>
  <c r="H74" i="5" s="1"/>
  <c r="H74" i="4"/>
  <c r="H189" i="4"/>
  <c r="I98" i="4"/>
  <c r="I53" i="5"/>
  <c r="I98" i="5" s="1"/>
  <c r="I54" i="4"/>
  <c r="F15" i="2"/>
  <c r="I192" i="4" l="1"/>
  <c r="I54" i="5"/>
  <c r="I55" i="4"/>
  <c r="I191" i="4"/>
  <c r="J53" i="4"/>
  <c r="J96" i="5"/>
  <c r="K95" i="4"/>
  <c r="G15" i="2"/>
  <c r="J98" i="4" l="1"/>
  <c r="J54" i="4"/>
  <c r="J53" i="5"/>
  <c r="J98" i="5" s="1"/>
  <c r="I74" i="4"/>
  <c r="I55" i="5"/>
  <c r="I74" i="5" s="1"/>
  <c r="I189" i="4"/>
  <c r="I199" i="4"/>
  <c r="K96" i="4"/>
  <c r="K95" i="5"/>
  <c r="I15" i="2"/>
  <c r="H15" i="2"/>
  <c r="J192" i="4" l="1"/>
  <c r="J54" i="5"/>
  <c r="J191" i="4"/>
  <c r="J55" i="4"/>
  <c r="K96" i="5"/>
  <c r="L95" i="4"/>
  <c r="K53" i="4"/>
  <c r="J15" i="2"/>
  <c r="K98" i="4" l="1"/>
  <c r="K53" i="5"/>
  <c r="K98" i="5" s="1"/>
  <c r="K54" i="4"/>
  <c r="J189" i="4"/>
  <c r="J55" i="5"/>
  <c r="J74" i="5" s="1"/>
  <c r="J74" i="4"/>
  <c r="J199" i="4"/>
  <c r="L96" i="4"/>
  <c r="L95" i="5"/>
  <c r="G38" i="1"/>
  <c r="K191" i="4" l="1"/>
  <c r="K54" i="5"/>
  <c r="K55" i="4"/>
  <c r="K192" i="4"/>
  <c r="M95" i="4"/>
  <c r="L96" i="5"/>
  <c r="L53" i="4"/>
  <c r="G42" i="1"/>
  <c r="E17" i="2"/>
  <c r="E23" i="2"/>
  <c r="L98" i="4" l="1"/>
  <c r="L53" i="5"/>
  <c r="L98" i="5" s="1"/>
  <c r="L54" i="4"/>
  <c r="K74" i="4"/>
  <c r="K189" i="4"/>
  <c r="K55" i="5"/>
  <c r="K74" i="5" s="1"/>
  <c r="K199" i="4"/>
  <c r="M96" i="4"/>
  <c r="M95" i="5"/>
  <c r="G179" i="1"/>
  <c r="G192" i="1"/>
  <c r="G61" i="1"/>
  <c r="H60" i="1" s="1"/>
  <c r="G78" i="1"/>
  <c r="G84" i="1" s="1"/>
  <c r="H34" i="1"/>
  <c r="H38" i="1" s="1"/>
  <c r="E27" i="2"/>
  <c r="L55" i="4" l="1"/>
  <c r="L54" i="5"/>
  <c r="L192" i="4"/>
  <c r="L191" i="4"/>
  <c r="M53" i="4"/>
  <c r="M98" i="4" s="1"/>
  <c r="M96" i="5"/>
  <c r="G62" i="1"/>
  <c r="H90" i="1"/>
  <c r="H91" i="1" s="1"/>
  <c r="H49" i="1"/>
  <c r="H86" i="1" s="1"/>
  <c r="H87" i="1" s="1"/>
  <c r="E21" i="2"/>
  <c r="F12" i="2"/>
  <c r="E14" i="2"/>
  <c r="L74" i="4" l="1"/>
  <c r="L189" i="4"/>
  <c r="L55" i="5"/>
  <c r="L74" i="5" s="1"/>
  <c r="L199" i="4"/>
  <c r="M53" i="5"/>
  <c r="M98" i="5" s="1"/>
  <c r="M54" i="4"/>
  <c r="E19" i="2"/>
  <c r="G182" i="1"/>
  <c r="G181" i="1"/>
  <c r="G72" i="1"/>
  <c r="G74" i="1" s="1"/>
  <c r="E16" i="2"/>
  <c r="E25" i="2"/>
  <c r="F13" i="2"/>
  <c r="M54" i="5" l="1"/>
  <c r="M55" i="4"/>
  <c r="M192" i="4"/>
  <c r="M191" i="4"/>
  <c r="I49" i="1"/>
  <c r="I86" i="1" s="1"/>
  <c r="I34" i="1"/>
  <c r="H42" i="1"/>
  <c r="M74" i="4" l="1"/>
  <c r="M189" i="4"/>
  <c r="M55" i="5"/>
  <c r="M74" i="5" s="1"/>
  <c r="M199" i="4"/>
  <c r="H179" i="1"/>
  <c r="I87" i="1"/>
  <c r="J86" i="1"/>
  <c r="J87" i="1" s="1"/>
  <c r="F27" i="2"/>
  <c r="H78" i="1"/>
  <c r="H84" i="1" s="1"/>
  <c r="H93" i="1" s="1"/>
  <c r="G12" i="2"/>
  <c r="F14" i="2"/>
  <c r="H61" i="1"/>
  <c r="I38" i="1"/>
  <c r="G13" i="2"/>
  <c r="J34" i="1"/>
  <c r="I60" i="1" l="1"/>
  <c r="I42" i="1"/>
  <c r="H62" i="1"/>
  <c r="H191" i="1" s="1"/>
  <c r="H12" i="2"/>
  <c r="I78" i="1" l="1"/>
  <c r="I84" i="1" s="1"/>
  <c r="H181" i="1"/>
  <c r="I90" i="1"/>
  <c r="I91" i="1" s="1"/>
  <c r="F16" i="2"/>
  <c r="H72" i="1"/>
  <c r="G27" i="2"/>
  <c r="F19" i="2"/>
  <c r="I179" i="1"/>
  <c r="G14" i="2"/>
  <c r="I61" i="1"/>
  <c r="I62" i="1" s="1"/>
  <c r="I191" i="1" s="1"/>
  <c r="F25" i="2"/>
  <c r="J38" i="1"/>
  <c r="H13" i="2"/>
  <c r="I93" i="1" l="1"/>
  <c r="G25" i="2"/>
  <c r="J60" i="1"/>
  <c r="J42" i="1"/>
  <c r="F17" i="2"/>
  <c r="G19" i="2"/>
  <c r="I72" i="1"/>
  <c r="G16" i="2"/>
  <c r="I181" i="1"/>
  <c r="J78" i="1" l="1"/>
  <c r="J84" i="1" s="1"/>
  <c r="J61" i="1"/>
  <c r="J62" i="1" s="1"/>
  <c r="J191" i="1" s="1"/>
  <c r="J90" i="1"/>
  <c r="J91" i="1" s="1"/>
  <c r="K34" i="1"/>
  <c r="I12" i="2"/>
  <c r="H27" i="2"/>
  <c r="H14" i="2"/>
  <c r="J179" i="1"/>
  <c r="G17" i="2"/>
  <c r="J72" i="1" l="1"/>
  <c r="K60" i="1"/>
  <c r="K90" i="1" s="1"/>
  <c r="K91" i="1" s="1"/>
  <c r="J93" i="1"/>
  <c r="J181" i="1"/>
  <c r="I13" i="2"/>
  <c r="K38" i="1"/>
  <c r="K42" i="1" s="1"/>
  <c r="K61" i="1" l="1"/>
  <c r="K78" i="1"/>
  <c r="K84" i="1" s="1"/>
  <c r="H19" i="2"/>
  <c r="H25" i="2"/>
  <c r="H16" i="2"/>
  <c r="I27" i="2"/>
  <c r="I14" i="2"/>
  <c r="K179" i="1"/>
  <c r="L60" i="1" l="1"/>
  <c r="L90" i="1" s="1"/>
  <c r="L91" i="1" s="1"/>
  <c r="K62" i="1"/>
  <c r="K191" i="1" s="1"/>
  <c r="H17" i="2"/>
  <c r="J12" i="2"/>
  <c r="L34" i="1"/>
  <c r="J13" i="2" s="1"/>
  <c r="K86" i="1"/>
  <c r="K87" i="1" s="1"/>
  <c r="K93" i="1" s="1"/>
  <c r="L86" i="1"/>
  <c r="L87" i="1" s="1"/>
  <c r="I16" i="2" l="1"/>
  <c r="I19" i="2"/>
  <c r="I25" i="2"/>
  <c r="K72" i="1"/>
  <c r="K181" i="1"/>
  <c r="L38" i="1"/>
  <c r="L42" i="1" s="1"/>
  <c r="I17" i="2" l="1"/>
  <c r="L78" i="1"/>
  <c r="L84" i="1" s="1"/>
  <c r="L93" i="1" s="1"/>
  <c r="L61" i="1"/>
  <c r="J27" i="2"/>
  <c r="L179" i="1"/>
  <c r="J14" i="2"/>
  <c r="L62" i="1" l="1"/>
  <c r="L191" i="1" s="1"/>
  <c r="M60" i="1"/>
  <c r="F34" i="1"/>
  <c r="F38" i="1" s="1"/>
  <c r="F42" i="1" s="1"/>
  <c r="J19" i="2" l="1"/>
  <c r="J25" i="2"/>
  <c r="J16" i="2"/>
  <c r="L181" i="1"/>
  <c r="L72" i="1"/>
  <c r="J17" i="2" s="1"/>
  <c r="M90" i="1"/>
  <c r="M91" i="1" s="1"/>
  <c r="M93" i="1" s="1"/>
  <c r="M62" i="1"/>
  <c r="F179" i="1"/>
  <c r="F192" i="1"/>
  <c r="F78" i="1"/>
  <c r="F84" i="1" s="1"/>
  <c r="F93" i="1" s="1"/>
  <c r="F96" i="1" s="1"/>
  <c r="F61" i="1"/>
  <c r="M191" i="1" l="1"/>
  <c r="M72" i="1"/>
  <c r="M181" i="1"/>
  <c r="F62" i="1"/>
  <c r="G90" i="1"/>
  <c r="G91" i="1" s="1"/>
  <c r="G93" i="1" s="1"/>
  <c r="F98" i="1"/>
  <c r="G95" i="1"/>
  <c r="G191" i="1" l="1"/>
  <c r="F191" i="1"/>
  <c r="F72" i="1"/>
  <c r="F74" i="1" s="1"/>
  <c r="F182" i="1"/>
  <c r="F181" i="1"/>
  <c r="G96" i="1"/>
  <c r="G98" i="1" l="1"/>
  <c r="H95" i="1"/>
  <c r="H96" i="1" s="1"/>
  <c r="I95" i="1" l="1"/>
  <c r="I96" i="1" s="1"/>
  <c r="H53" i="1"/>
  <c r="H54" i="1" s="1"/>
  <c r="H184" i="1" s="1"/>
  <c r="H185" i="1" l="1"/>
  <c r="J95" i="1"/>
  <c r="J96" i="1" s="1"/>
  <c r="I53" i="1"/>
  <c r="I98" i="1" s="1"/>
  <c r="H98" i="1"/>
  <c r="H55" i="1"/>
  <c r="F23" i="2"/>
  <c r="F22" i="2"/>
  <c r="H192" i="1" l="1"/>
  <c r="H74" i="1"/>
  <c r="H182" i="1"/>
  <c r="J53" i="1"/>
  <c r="J54" i="1" s="1"/>
  <c r="K95" i="1"/>
  <c r="K96" i="1" s="1"/>
  <c r="F21" i="2"/>
  <c r="I54" i="1"/>
  <c r="I184" i="1" l="1"/>
  <c r="J184" i="1"/>
  <c r="I185" i="1"/>
  <c r="J55" i="1"/>
  <c r="J185" i="1"/>
  <c r="L95" i="1"/>
  <c r="L96" i="1" s="1"/>
  <c r="K53" i="1"/>
  <c r="K54" i="1" s="1"/>
  <c r="J98" i="1"/>
  <c r="G23" i="2"/>
  <c r="G22" i="2"/>
  <c r="I55" i="1"/>
  <c r="H22" i="2"/>
  <c r="L53" i="1" l="1"/>
  <c r="L54" i="1" s="1"/>
  <c r="L184" i="1" s="1"/>
  <c r="M95" i="1"/>
  <c r="M96" i="1" s="1"/>
  <c r="K184" i="1"/>
  <c r="J192" i="1"/>
  <c r="I192" i="1"/>
  <c r="I74" i="1"/>
  <c r="I182" i="1"/>
  <c r="J74" i="1"/>
  <c r="J182" i="1"/>
  <c r="K55" i="1"/>
  <c r="K185" i="1"/>
  <c r="K98" i="1"/>
  <c r="H23" i="2"/>
  <c r="G21" i="2"/>
  <c r="H21" i="2"/>
  <c r="I23" i="2"/>
  <c r="I22" i="2"/>
  <c r="L55" i="1" l="1"/>
  <c r="L74" i="1" s="1"/>
  <c r="L185" i="1"/>
  <c r="M53" i="1"/>
  <c r="M54" i="1" s="1"/>
  <c r="K192" i="1"/>
  <c r="K74" i="1"/>
  <c r="K182" i="1"/>
  <c r="L98" i="1"/>
  <c r="I21" i="2"/>
  <c r="L192" i="1" l="1"/>
  <c r="L182" i="1"/>
  <c r="M98" i="1"/>
  <c r="M184" i="1"/>
  <c r="M185" i="1"/>
  <c r="M55" i="1"/>
  <c r="J22" i="2"/>
  <c r="J23" i="2"/>
  <c r="M74" i="1" l="1"/>
  <c r="M182" i="1"/>
  <c r="M192" i="1"/>
  <c r="J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F2" authorId="0" shapeId="0" xr:uid="{489E12F8-C74D-4528-8D77-C64A86D9BE91}">
      <text>
        <r>
          <rPr>
            <sz val="9"/>
            <color rgb="FF000000"/>
            <rFont val="Tahoma"/>
            <family val="2"/>
          </rPr>
          <t xml:space="preserve">2020. gadā digitālajā vidē izrādītas 40 izrādes, kopējais apmeklētāju skaits digitālajā vidē 440 712.
</t>
        </r>
      </text>
    </comment>
    <comment ref="G2" authorId="0" shapeId="0" xr:uid="{CA89410B-B582-4CB4-BC9C-9CE9D5E23834}">
      <text>
        <r>
          <rPr>
            <sz val="9"/>
            <color rgb="FF000000"/>
            <rFont val="Tahoma"/>
            <family val="2"/>
          </rPr>
          <t xml:space="preserve">Kopējais koncertu apmeklētāju skaits digitālajā vidē 735 756.
</t>
        </r>
      </text>
    </comment>
  </commentList>
</comments>
</file>

<file path=xl/sharedStrings.xml><?xml version="1.0" encoding="utf-8"?>
<sst xmlns="http://schemas.openxmlformats.org/spreadsheetml/2006/main" count="473" uniqueCount="221">
  <si>
    <t>VSIA DAILES TEĀTRIS</t>
  </si>
  <si>
    <t>PEĻŅAS UN ZAUDĒJUMU APRĒĶINS (EUR)</t>
  </si>
  <si>
    <t>Neto apgrozījums</t>
  </si>
  <si>
    <t>Biļešu pārdošana</t>
  </si>
  <si>
    <t>Ieņēmumi par telpu nomu</t>
  </si>
  <si>
    <t>Ražošanas izmaksas</t>
  </si>
  <si>
    <t>Mākslinieciskā personāla izmaksas</t>
  </si>
  <si>
    <t>Komunālie maksājumi</t>
  </si>
  <si>
    <t>Izrāžu uzturēšanas izmaksas</t>
  </si>
  <si>
    <t>Autoratlīdzības izmaksas</t>
  </si>
  <si>
    <t>Citas  izmaksas</t>
  </si>
  <si>
    <t>Bruto peļņa</t>
  </si>
  <si>
    <t>Pārējās izmaksas</t>
  </si>
  <si>
    <t>Administrācijas un reklāmas personāla izmaksas</t>
  </si>
  <si>
    <t>Citas netiešās izmaksas</t>
  </si>
  <si>
    <t>Reklāmas izmaksas</t>
  </si>
  <si>
    <t>Peļņa pirms nolietojuma (EBITDA)</t>
  </si>
  <si>
    <t>Nolietojums</t>
  </si>
  <si>
    <t>Peļņa pēc nolietojuma (EBIT)</t>
  </si>
  <si>
    <t>Procentu maksājumi</t>
  </si>
  <si>
    <t>Peļņa pirms nodokļiem (EBT)</t>
  </si>
  <si>
    <t>Uzņēmuma ienākuma nodoklis</t>
  </si>
  <si>
    <t>BILANCE (EUR)</t>
  </si>
  <si>
    <t>AKTĪVI</t>
  </si>
  <si>
    <t>Nemateriālie aktīvi</t>
  </si>
  <si>
    <t>Ilgtermiņa aktīvi kopā</t>
  </si>
  <si>
    <t>Krājumi</t>
  </si>
  <si>
    <t xml:space="preserve">Nauda </t>
  </si>
  <si>
    <t>Īstermiņa aktīvi kopā</t>
  </si>
  <si>
    <t>AKTĪVI KOPĀ</t>
  </si>
  <si>
    <t>PAŠU KAPITĀLS UN SAISTĪBAS</t>
  </si>
  <si>
    <t>Pamatkapitāls</t>
  </si>
  <si>
    <t>Rezeves</t>
  </si>
  <si>
    <t>Iepriekšējo gadu uzkrātā peļņa</t>
  </si>
  <si>
    <t>Perioda peļņa</t>
  </si>
  <si>
    <t>Pašu kapitāls kopā</t>
  </si>
  <si>
    <t>Nodokļi</t>
  </si>
  <si>
    <t>Parādi piegādātājiem un darbuzņēmējiem</t>
  </si>
  <si>
    <t>Saistības kopā</t>
  </si>
  <si>
    <t>PAŠU KAPITĀLS UN SAISTĪBAS KOPĀ</t>
  </si>
  <si>
    <t>NAUDAS PLŪSMAS APRĒĶINS (EUR)</t>
  </si>
  <si>
    <t>Neto peļņa</t>
  </si>
  <si>
    <t xml:space="preserve">  Korekcijas:</t>
  </si>
  <si>
    <t xml:space="preserve">    Nolietojums</t>
  </si>
  <si>
    <t xml:space="preserve">    Izmaiņas krājumos</t>
  </si>
  <si>
    <t xml:space="preserve">    Izmaiņas debitoros</t>
  </si>
  <si>
    <t xml:space="preserve">    Izmaiņas kreditoros</t>
  </si>
  <si>
    <t>Naudas plūsmas no pamatdarbības</t>
  </si>
  <si>
    <t>Pamatlīdzekļu iegāde</t>
  </si>
  <si>
    <t>Naudas plūsma no ieguldījumu darbības</t>
  </si>
  <si>
    <t>Naudas plūsma no finanšu darbības</t>
  </si>
  <si>
    <t>Neto naudas plūsma</t>
  </si>
  <si>
    <t>Nauda perioda sākumā</t>
  </si>
  <si>
    <t>Nauda perioda beigās</t>
  </si>
  <si>
    <t>PIEŅĒMUMI</t>
  </si>
  <si>
    <t>Pamatlīdzekļi un nolietojums</t>
  </si>
  <si>
    <t>Procentu maksājums</t>
  </si>
  <si>
    <t>Apgrozāmais kapitāls</t>
  </si>
  <si>
    <t>Apgrozījuma izaugsme</t>
  </si>
  <si>
    <t>-</t>
  </si>
  <si>
    <t>Bruto marža</t>
  </si>
  <si>
    <t>EBITDA marža</t>
  </si>
  <si>
    <t>Neto marža</t>
  </si>
  <si>
    <t>Vispārējais saistību rādītājs (D/E)</t>
  </si>
  <si>
    <t>Likviditāte</t>
  </si>
  <si>
    <t xml:space="preserve">Tekošā likviditāte </t>
  </si>
  <si>
    <t>Aizņēmumi no kredītiestādēm / EBITDA</t>
  </si>
  <si>
    <t>Procentu segums</t>
  </si>
  <si>
    <t>DSCR</t>
  </si>
  <si>
    <t>Rādītāji</t>
  </si>
  <si>
    <t>Fakts</t>
  </si>
  <si>
    <t>Plāns</t>
  </si>
  <si>
    <t>2014. gads</t>
  </si>
  <si>
    <t>2015. gads</t>
  </si>
  <si>
    <t>Apgrozījums, EUR</t>
  </si>
  <si>
    <t>Kultūras iestāžu darbība</t>
  </si>
  <si>
    <t>Bruto peļņa, EUR</t>
  </si>
  <si>
    <t>Peļņa pirms procentu maksājumiem, nodokļiem, nolietojuma EBITDA, EUR</t>
  </si>
  <si>
    <t>Peļņa pirms procentu maksājumiem, nodokļiem EBIT, EUR</t>
  </si>
  <si>
    <t>Peļņa vai zaudējumi, EUR</t>
  </si>
  <si>
    <t>Pamatkapitāls, EUR</t>
  </si>
  <si>
    <t>Pašu kapitāls, EUR</t>
  </si>
  <si>
    <t>Kopējo saistību kopsumma, EUR</t>
  </si>
  <si>
    <t>Finanšu saistību kopsumma, EUR</t>
  </si>
  <si>
    <t>Pašu kapitāla atdeve, ROE</t>
  </si>
  <si>
    <t>Neto peļņa/ pašu kapitāls</t>
  </si>
  <si>
    <t xml:space="preserve">Tekošās likviditātes </t>
  </si>
  <si>
    <t>Saistību pret pašu kapitālu attiecība</t>
  </si>
  <si>
    <t>Ilgtermiņa ieguldījumi (investīcijas)</t>
  </si>
  <si>
    <t>Valsts budžetā prognozējamās dividendes, EUR</t>
  </si>
  <si>
    <t>Plānotās valsts dotācijas, EUR</t>
  </si>
  <si>
    <t>Kapitālsabiedrības finanšu mērķi un finanšu rādītāji</t>
  </si>
  <si>
    <t>Aktīvu atdeve, ROA- neto peļņa/ aktīvu kopsumma</t>
  </si>
  <si>
    <t>Kopējais likviditātes rādītājs – apgr. līdz./īst. saistības</t>
  </si>
  <si>
    <t>rādītājs – apgr. līdz.- krājumi /īst. saist.</t>
  </si>
  <si>
    <t>Pārējie ieņēmumi</t>
  </si>
  <si>
    <t>2026.gads</t>
  </si>
  <si>
    <t>2024. gads</t>
  </si>
  <si>
    <t>2023.gads</t>
  </si>
  <si>
    <t>2025. gads</t>
  </si>
  <si>
    <t>2027.gads</t>
  </si>
  <si>
    <t>2022. gads</t>
  </si>
  <si>
    <t xml:space="preserve"> F 2019</t>
  </si>
  <si>
    <t xml:space="preserve"> F 2020</t>
  </si>
  <si>
    <t xml:space="preserve"> F 2021</t>
  </si>
  <si>
    <t xml:space="preserve"> F 2022</t>
  </si>
  <si>
    <t xml:space="preserve"> P 2023</t>
  </si>
  <si>
    <t xml:space="preserve"> P 2024</t>
  </si>
  <si>
    <t xml:space="preserve"> P 2025</t>
  </si>
  <si>
    <t xml:space="preserve"> P 2026</t>
  </si>
  <si>
    <t xml:space="preserve"> P 2027</t>
  </si>
  <si>
    <t>Citi ieņēmumi</t>
  </si>
  <si>
    <t xml:space="preserve"> F 2018</t>
  </si>
  <si>
    <t>Debitori</t>
  </si>
  <si>
    <t>Aizņēmumi no kredītiestādēm</t>
  </si>
  <si>
    <t>No pircējiem saņemtie avansi</t>
  </si>
  <si>
    <t>Uzkrātās saistības</t>
  </si>
  <si>
    <t>Nākamo periodu ieņēmumi</t>
  </si>
  <si>
    <t>Pārējie kreditori</t>
  </si>
  <si>
    <t>Pārbaude</t>
  </si>
  <si>
    <t>Izmaiņas aizņēmumos no kredītiestādēm</t>
  </si>
  <si>
    <t>Izmaiņas pašu kapitālā</t>
  </si>
  <si>
    <t>Ekonomiskie rādītāji</t>
  </si>
  <si>
    <t>Patēriņa cenu indekss, izmaiņas %</t>
  </si>
  <si>
    <t>Bruto darba samaksa, izmaiņas %</t>
  </si>
  <si>
    <t>https://www.fm.gov.lv/lv/ikmenesa-makroekonomikas-un-kopbudzeta-apskats</t>
  </si>
  <si>
    <t>Dailes Teātra vispārīgie dati</t>
  </si>
  <si>
    <t>Skatītāju skaits</t>
  </si>
  <si>
    <t>Izrāžu skaits</t>
  </si>
  <si>
    <t>Ieņēmumi</t>
  </si>
  <si>
    <t>Skatītāju skaits x vidējie ieņēmumi no apmeklētāja</t>
  </si>
  <si>
    <t>Tiek piemērota FM prognozētā patēriņa cenu izmaiņa</t>
  </si>
  <si>
    <t>Vidējais darbinieku skaits</t>
  </si>
  <si>
    <t>Vidējais bruto atalgojums, EUR/mēn</t>
  </si>
  <si>
    <t>Darba devēja VSAOI</t>
  </si>
  <si>
    <t>2023.g. - apstiprinātā summa; no 2024.g - pieaugums patēriņa cenu izmainas apmērā</t>
  </si>
  <si>
    <t>Tiek piemērota FM prognozētā patēriņa cenu izmaiņa; no 2024.g. papildus EUR 50 000 apskaņošanas tehnikas iegādes rezultātā</t>
  </si>
  <si>
    <t>Izmaksas</t>
  </si>
  <si>
    <t>Darbinieku skaits x vidējā bruto darba samaksa + DD VSAOI</t>
  </si>
  <si>
    <t>Vienas izrādes vidējās uzturēšanas izmaksas, EUR</t>
  </si>
  <si>
    <t>Izrāžu skaits x vidējās uzturēšanas izmaksas</t>
  </si>
  <si>
    <t>2023.g. - vidējās izmaksas pēdējo 5 gadu laikā un papildus tiek piemērota FM prognozētā patēriņa cenu izmaiņa</t>
  </si>
  <si>
    <t>Proporcionāls pieaugums darbaspēka izmaksu pieaugumam</t>
  </si>
  <si>
    <t>Vidējās izmaksas pēdējo 5 gadu laikā un papildus tiek piemērota FM prognozētā patēriņa cenu izmaiņa</t>
  </si>
  <si>
    <t>Esošo PL nolietojums</t>
  </si>
  <si>
    <t>Jauno PL nolietojums</t>
  </si>
  <si>
    <t>Kredīta summa</t>
  </si>
  <si>
    <t>Kredīta komisija</t>
  </si>
  <si>
    <t>Pamatsummas maksājums</t>
  </si>
  <si>
    <t>Saņemtie avansi, % no biļešu ieņēmumiem</t>
  </si>
  <si>
    <t>Piegādātāju aprites dienas</t>
  </si>
  <si>
    <t>Piešķirtā finansējuma pamatlīdzekļiem atzīšana ieņēmumos</t>
  </si>
  <si>
    <t>Pamatlīdzekļi</t>
  </si>
  <si>
    <t>Tiek piemērota FM prognozētā darba samaksas izmaiņa.</t>
  </si>
  <si>
    <t>Krājumu pieaugums, %</t>
  </si>
  <si>
    <t>Debitoru aprites dienas</t>
  </si>
  <si>
    <t>2023.g. - balstoties uz apstiprinātajiem fin mērķiem (kopējie pašu ieņēmumi), turpmāk tiek piemērota FM prognozētā patēriņa cenu izmaiņa</t>
  </si>
  <si>
    <t>KM dotācijas</t>
  </si>
  <si>
    <t>2018</t>
  </si>
  <si>
    <t>2019</t>
  </si>
  <si>
    <t>2020</t>
  </si>
  <si>
    <t>2021</t>
  </si>
  <si>
    <t>Valsts teātri</t>
  </si>
  <si>
    <t>Apmeklējumu skaits</t>
  </si>
  <si>
    <t>DT daļa - izrādes</t>
  </si>
  <si>
    <t>DT daļa - apmeklētāji</t>
  </si>
  <si>
    <t>Pašu kapitāla rādītājs (E/A)</t>
  </si>
  <si>
    <t>ROE</t>
  </si>
  <si>
    <t>ROA</t>
  </si>
  <si>
    <t>Pašu ieņēmumi/kopējie ieņēmumi, %</t>
  </si>
  <si>
    <t>Vidējā biļešu cena, EUR</t>
  </si>
  <si>
    <t>Finanšu ministrijas prognozes</t>
  </si>
  <si>
    <t>FINANŠU RĀDĪTĀJI</t>
  </si>
  <si>
    <t>Izmaksas 2022</t>
  </si>
  <si>
    <t>Vidējie neto ieņēmumi no apmeklētāja, EUR</t>
  </si>
  <si>
    <t>Mākslinieciskā personāla izmaksu īpatsvars, %</t>
  </si>
  <si>
    <t>Administrācijas un reklāmas personāla izmaksu īpatsvars, %</t>
  </si>
  <si>
    <t xml:space="preserve"> P 2028</t>
  </si>
  <si>
    <t>Ieguldījumi pamatkapitālā</t>
  </si>
  <si>
    <t>Pamatkapitāla palielinājums</t>
  </si>
  <si>
    <t>Plānotie ieguldījumi</t>
  </si>
  <si>
    <t>Nolietojuma periods plānotajiem ieguldījumiem, gadi</t>
  </si>
  <si>
    <t>Ieguldījums Mazās zāles renovācijā</t>
  </si>
  <si>
    <t>Nolietojuma periods mazās zāles renovācijai, gadi</t>
  </si>
  <si>
    <t>Mazās zāles renovācijas nolietojums</t>
  </si>
  <si>
    <t>0</t>
  </si>
  <si>
    <t>Skatītāju skaita izmaiņa Mazās zāles renovācijas rezultātā</t>
  </si>
  <si>
    <t>Izrāžu skaita izmaiņa Mazās zāles renovācijas rezultātā</t>
  </si>
  <si>
    <t>Telpu nomas ieņēmumu izmaiņa Mazās zāles renovācijas rezultātā</t>
  </si>
  <si>
    <t>Biļešu pārdošanas ieņēmumu izmaiņa Mazās zāles renovācijas rezultātā</t>
  </si>
  <si>
    <t>Mākslinieciskā personāla izmaksu izmaiņa Mazās zāles renovācijas rezultātā</t>
  </si>
  <si>
    <t>Komunālo maksājumu izmaiņa Mazās zāles renovācijas rezultātā</t>
  </si>
  <si>
    <t>Izrāžu uzturēšanas izmaksu izmaiņa Mazās zāles renovācijas rezultātā</t>
  </si>
  <si>
    <t>Autoratlīdzību izmaksu izmaiņa Mazās zāles renovācijas rezultātā</t>
  </si>
  <si>
    <t>Citu izmaksu izmaiņa Mazās zāles renovācijas rezultātā</t>
  </si>
  <si>
    <t>Administrācijas un reklāmas personāla izmaksu izmaiņa Mazās zāles renovācijas rezultātā</t>
  </si>
  <si>
    <t>Citu netiešo izmaksu izmaiņa Mazās zāles renovācijas rezultātā</t>
  </si>
  <si>
    <t>Reklāmas izmaksu izmaiņa Mazās zāles renovācijas rezultātā</t>
  </si>
  <si>
    <t>Ieguldījums DT ēkas iegādē</t>
  </si>
  <si>
    <t>DT ēkas nolietojums</t>
  </si>
  <si>
    <t>Nolietojuma periods DT ēkai, gadi</t>
  </si>
  <si>
    <t>Potenciālā skatītāju skaita izmaiņa</t>
  </si>
  <si>
    <t>Potenciālā izrāžu skaita izmaiņa</t>
  </si>
  <si>
    <t>Potenciālā biļešu pārdošanas ieņēmumu izmaiņa</t>
  </si>
  <si>
    <t>Potenciālā telpu nomas ieņēmumu izmaiņa</t>
  </si>
  <si>
    <t>Potenciālā mākslinieciskā personāla izmaksu izmaiņa</t>
  </si>
  <si>
    <t>Potenciālā komunālo maksājumu izmaiņa</t>
  </si>
  <si>
    <t>Potenciālā izrāžu uzturēšanas izmaksu izmaiņa</t>
  </si>
  <si>
    <t>Potanciālā autoratlīdzību izmaksu izmaiņa</t>
  </si>
  <si>
    <t>Potenciālā citu izmaksu izmaiņa</t>
  </si>
  <si>
    <t>Potenciālā administrācijas un reklāmas personāla izmaksu izmaiņa</t>
  </si>
  <si>
    <t>Potenciālā citu netiešo izmaksu izmaiņa</t>
  </si>
  <si>
    <t>Potenciālā reklāmas izmaksu izmaiņa</t>
  </si>
  <si>
    <t>Kapitālieguldījumi DT ēkas uzturēšanai</t>
  </si>
  <si>
    <t>Kapitālieguldījumu nolietojums</t>
  </si>
  <si>
    <t>Nolietojuma periods, gadi</t>
  </si>
  <si>
    <t>VSIA DAILES TEĀTRIS FINANŠU RĀDĪTĀJU IZMAIŅA</t>
  </si>
  <si>
    <t>Ieguldījums zemes iegādē</t>
  </si>
  <si>
    <t>Skatītāju samazinājums salīdzinot ar 2018./2019. gadu, jo tika samazināts Lielās zāles sēdvietu skaits (900-&gt;600 sēdvietas) un 3. zālē vairs nenotiek teātra izrādes, tikai mēģinājumi.</t>
  </si>
  <si>
    <t>VSIA DAILES TEĀTRIS FINANŠU RĀDĪTĀJI PĒC ĒKAS PĀRŅEMŠANAS UN MAZĀS ZĀLES RENOVĀCIJAS</t>
  </si>
  <si>
    <t>VSIA DAILES TEĀTRIS FINANŠU RĀDĪTĀJI PIRMS ĒKAS PĀRŅEMŠANAS UN MAZĀS ZĀLES RENOVĀCIJAS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</si>
</sst>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#,##0_ ;\-#,##0\ "/>
    <numFmt numFmtId="167" formatCode="#,##0.0_ ;\-#,##0.0\ "/>
    <numFmt numFmtId="168" formatCode="#,##0.0"/>
    <numFmt numFmtId="169" formatCode="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0"/>
      <name val="Arial Narrow"/>
      <family val="2"/>
      <charset val="186"/>
    </font>
    <font>
      <b/>
      <sz val="12"/>
      <color theme="3" tint="-0.249977111117893"/>
      <name val="Calibri"/>
      <family val="2"/>
      <charset val="186"/>
      <scheme val="minor"/>
    </font>
    <font>
      <sz val="10"/>
      <color theme="3" tint="-0.249977111117893"/>
      <name val="Arial Narrow"/>
      <family val="2"/>
      <charset val="186"/>
    </font>
    <font>
      <b/>
      <sz val="10"/>
      <name val="Times New Roman"/>
      <family val="1"/>
      <charset val="186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10"/>
      <color indexed="22"/>
      <name val="Arial Narrow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0"/>
      <name val="Calibri"/>
      <family val="2"/>
      <charset val="186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color indexed="2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9"/>
      <color rgb="FF000000"/>
      <name val="Tahoma"/>
      <family val="2"/>
    </font>
    <font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60B0"/>
      </bottom>
      <diagonal/>
    </border>
    <border>
      <left/>
      <right/>
      <top/>
      <bottom style="thin">
        <color rgb="FF0060B0"/>
      </bottom>
      <diagonal/>
    </border>
    <border>
      <left/>
      <right style="thin">
        <color indexed="64"/>
      </right>
      <top/>
      <bottom style="thin">
        <color rgb="FF0060B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60B0"/>
      </top>
      <bottom/>
      <diagonal/>
    </border>
    <border>
      <left/>
      <right/>
      <top style="thin">
        <color rgb="FF0060B0"/>
      </top>
      <bottom/>
      <diagonal/>
    </border>
    <border>
      <left/>
      <right style="thin">
        <color indexed="64"/>
      </right>
      <top style="thin">
        <color rgb="FF0060B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9" fontId="9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247">
    <xf numFmtId="0" fontId="0" fillId="0" borderId="0" xfId="0"/>
    <xf numFmtId="0" fontId="4" fillId="3" borderId="0" xfId="0" applyFont="1" applyFill="1"/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4" fontId="6" fillId="3" borderId="0" xfId="0" applyNumberFormat="1" applyFont="1" applyFill="1"/>
    <xf numFmtId="0" fontId="6" fillId="3" borderId="0" xfId="0" applyFont="1" applyFill="1"/>
    <xf numFmtId="0" fontId="2" fillId="4" borderId="5" xfId="3" applyFill="1" applyBorder="1" applyAlignment="1" applyProtection="1">
      <alignment horizontal="left" vertical="center"/>
      <protection locked="0"/>
    </xf>
    <xf numFmtId="3" fontId="2" fillId="4" borderId="0" xfId="3" applyNumberFormat="1" applyFill="1" applyBorder="1" applyAlignment="1" applyProtection="1">
      <alignment horizontal="right" vertical="center"/>
      <protection locked="0"/>
    </xf>
    <xf numFmtId="3" fontId="2" fillId="4" borderId="6" xfId="3" applyNumberFormat="1" applyFill="1" applyBorder="1" applyAlignment="1" applyProtection="1">
      <alignment horizontal="right" vertical="center"/>
      <protection locked="0"/>
    </xf>
    <xf numFmtId="0" fontId="2" fillId="5" borderId="5" xfId="3" applyFill="1" applyBorder="1" applyAlignment="1" applyProtection="1">
      <alignment horizontal="left" vertical="center"/>
      <protection locked="0"/>
    </xf>
    <xf numFmtId="3" fontId="2" fillId="5" borderId="0" xfId="3" applyNumberFormat="1" applyFill="1" applyBorder="1" applyAlignment="1" applyProtection="1">
      <alignment horizontal="right" vertical="center"/>
      <protection locked="0"/>
    </xf>
    <xf numFmtId="3" fontId="2" fillId="5" borderId="6" xfId="3" applyNumberFormat="1" applyFill="1" applyBorder="1" applyAlignment="1" applyProtection="1">
      <alignment horizontal="right" vertical="center"/>
      <protection locked="0"/>
    </xf>
    <xf numFmtId="3" fontId="2" fillId="5" borderId="0" xfId="3" applyNumberFormat="1" applyFill="1" applyBorder="1" applyAlignment="1" applyProtection="1">
      <alignment horizontal="right" vertical="center" wrapText="1"/>
      <protection locked="0"/>
    </xf>
    <xf numFmtId="3" fontId="2" fillId="5" borderId="6" xfId="3" applyNumberFormat="1" applyFill="1" applyBorder="1" applyAlignment="1" applyProtection="1">
      <alignment horizontal="right" vertical="center" wrapText="1"/>
      <protection locked="0"/>
    </xf>
    <xf numFmtId="0" fontId="2" fillId="4" borderId="7" xfId="3" applyFill="1" applyBorder="1" applyAlignment="1" applyProtection="1">
      <alignment horizontal="left" vertical="center" wrapText="1"/>
      <protection locked="0"/>
    </xf>
    <xf numFmtId="3" fontId="2" fillId="4" borderId="8" xfId="3" applyNumberFormat="1" applyFill="1" applyBorder="1" applyAlignment="1" applyProtection="1">
      <alignment horizontal="right" vertical="center" wrapText="1"/>
      <protection locked="0"/>
    </xf>
    <xf numFmtId="3" fontId="2" fillId="4" borderId="9" xfId="3" applyNumberFormat="1" applyFill="1" applyBorder="1" applyAlignment="1" applyProtection="1">
      <alignment horizontal="right" vertical="center" wrapText="1"/>
      <protection locked="0"/>
    </xf>
    <xf numFmtId="0" fontId="2" fillId="3" borderId="5" xfId="3" applyFill="1" applyBorder="1" applyAlignment="1" applyProtection="1">
      <alignment horizontal="left" vertical="center" wrapText="1"/>
      <protection locked="0"/>
    </xf>
    <xf numFmtId="3" fontId="2" fillId="3" borderId="0" xfId="3" applyNumberFormat="1" applyFill="1" applyBorder="1" applyAlignment="1" applyProtection="1">
      <alignment horizontal="right" vertical="center" wrapText="1"/>
      <protection locked="0"/>
    </xf>
    <xf numFmtId="3" fontId="2" fillId="3" borderId="6" xfId="3" applyNumberFormat="1" applyFill="1" applyBorder="1" applyAlignment="1" applyProtection="1">
      <alignment horizontal="right" vertical="center" wrapText="1"/>
      <protection locked="0"/>
    </xf>
    <xf numFmtId="0" fontId="2" fillId="4" borderId="5" xfId="3" applyFill="1" applyBorder="1" applyAlignment="1" applyProtection="1">
      <alignment horizontal="left" vertical="center" wrapText="1"/>
      <protection locked="0"/>
    </xf>
    <xf numFmtId="3" fontId="2" fillId="4" borderId="0" xfId="3" applyNumberFormat="1" applyFill="1" applyBorder="1" applyAlignment="1" applyProtection="1">
      <alignment horizontal="right" vertical="center" wrapText="1"/>
      <protection locked="0"/>
    </xf>
    <xf numFmtId="3" fontId="2" fillId="4" borderId="6" xfId="3" applyNumberFormat="1" applyFill="1" applyBorder="1" applyAlignment="1" applyProtection="1">
      <alignment horizontal="right" vertical="center" wrapText="1"/>
      <protection locked="0"/>
    </xf>
    <xf numFmtId="0" fontId="2" fillId="5" borderId="5" xfId="3" applyFill="1" applyBorder="1" applyAlignment="1" applyProtection="1">
      <alignment vertical="center"/>
      <protection locked="0"/>
    </xf>
    <xf numFmtId="0" fontId="2" fillId="5" borderId="5" xfId="3" applyFill="1" applyBorder="1" applyAlignment="1" applyProtection="1">
      <alignment horizontal="left" vertical="center" wrapText="1"/>
      <protection locked="0"/>
    </xf>
    <xf numFmtId="0" fontId="2" fillId="4" borderId="10" xfId="3" applyFill="1" applyBorder="1" applyAlignment="1" applyProtection="1">
      <alignment horizontal="left" vertical="center" wrapText="1"/>
      <protection locked="0"/>
    </xf>
    <xf numFmtId="3" fontId="2" fillId="4" borderId="11" xfId="3" applyNumberFormat="1" applyFill="1" applyBorder="1" applyAlignment="1" applyProtection="1">
      <alignment horizontal="right" vertical="center" wrapText="1"/>
      <protection locked="0"/>
    </xf>
    <xf numFmtId="3" fontId="2" fillId="4" borderId="12" xfId="3" applyNumberForma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3" fontId="7" fillId="0" borderId="0" xfId="0" applyNumberFormat="1" applyFont="1" applyAlignment="1" applyProtection="1">
      <alignment horizontal="right" vertical="center" wrapText="1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4" fillId="3" borderId="0" xfId="0" applyFont="1" applyFill="1" applyProtection="1">
      <protection locked="0"/>
    </xf>
    <xf numFmtId="0" fontId="2" fillId="5" borderId="13" xfId="3" applyFill="1" applyBorder="1" applyAlignment="1" applyProtection="1">
      <alignment horizontal="left" vertical="center"/>
      <protection locked="0"/>
    </xf>
    <xf numFmtId="0" fontId="2" fillId="5" borderId="14" xfId="3" applyFill="1" applyBorder="1" applyAlignment="1" applyProtection="1">
      <alignment horizontal="left" vertical="center"/>
      <protection locked="0"/>
    </xf>
    <xf numFmtId="3" fontId="2" fillId="5" borderId="14" xfId="3" applyNumberFormat="1" applyFill="1" applyBorder="1" applyAlignment="1" applyProtection="1">
      <alignment horizontal="right" vertical="center"/>
      <protection locked="0"/>
    </xf>
    <xf numFmtId="3" fontId="2" fillId="0" borderId="0" xfId="3" applyNumberFormat="1" applyFill="1" applyBorder="1" applyAlignment="1" applyProtection="1">
      <alignment horizontal="right" vertical="center" wrapText="1"/>
      <protection locked="0"/>
    </xf>
    <xf numFmtId="0" fontId="2" fillId="5" borderId="5" xfId="3" applyFill="1" applyBorder="1" applyAlignment="1" applyProtection="1">
      <alignment horizontal="right" vertical="center" wrapText="1"/>
      <protection locked="0"/>
    </xf>
    <xf numFmtId="0" fontId="2" fillId="5" borderId="0" xfId="3" applyFill="1" applyBorder="1" applyAlignment="1" applyProtection="1">
      <alignment horizontal="right" vertical="center" wrapText="1"/>
      <protection locked="0"/>
    </xf>
    <xf numFmtId="0" fontId="2" fillId="3" borderId="0" xfId="3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3" fontId="8" fillId="0" borderId="0" xfId="0" applyNumberFormat="1" applyFont="1" applyAlignment="1" applyProtection="1">
      <alignment horizontal="right" vertical="center" wrapText="1"/>
      <protection locked="0"/>
    </xf>
    <xf numFmtId="0" fontId="8" fillId="3" borderId="0" xfId="0" applyFont="1" applyFill="1" applyProtection="1">
      <protection locked="0"/>
    </xf>
    <xf numFmtId="168" fontId="10" fillId="3" borderId="0" xfId="0" applyNumberFormat="1" applyFont="1" applyFill="1" applyProtection="1">
      <protection locked="0"/>
    </xf>
    <xf numFmtId="168" fontId="4" fillId="3" borderId="0" xfId="1" applyNumberFormat="1" applyFont="1" applyFill="1" applyBorder="1" applyAlignment="1" applyProtection="1">
      <alignment vertical="center"/>
      <protection locked="0"/>
    </xf>
    <xf numFmtId="168" fontId="4" fillId="6" borderId="0" xfId="0" applyNumberFormat="1" applyFont="1" applyFill="1" applyAlignment="1" applyProtection="1">
      <alignment horizontal="right" vertical="top"/>
      <protection locked="0"/>
    </xf>
    <xf numFmtId="0" fontId="12" fillId="0" borderId="0" xfId="0" applyFont="1"/>
    <xf numFmtId="0" fontId="13" fillId="0" borderId="0" xfId="0" applyFont="1"/>
    <xf numFmtId="0" fontId="14" fillId="0" borderId="0" xfId="0" applyFont="1"/>
    <xf numFmtId="3" fontId="2" fillId="6" borderId="14" xfId="3" applyNumberFormat="1" applyFill="1" applyBorder="1" applyAlignment="1" applyProtection="1">
      <alignment horizontal="right"/>
      <protection locked="0"/>
    </xf>
    <xf numFmtId="3" fontId="2" fillId="6" borderId="0" xfId="3" applyNumberFormat="1" applyFill="1" applyBorder="1" applyAlignment="1" applyProtection="1">
      <alignment horizontal="right"/>
      <protection locked="0"/>
    </xf>
    <xf numFmtId="3" fontId="2" fillId="6" borderId="0" xfId="3" applyNumberFormat="1" applyFill="1" applyBorder="1" applyAlignment="1" applyProtection="1">
      <alignment horizontal="right" vertical="top"/>
      <protection locked="0"/>
    </xf>
    <xf numFmtId="0" fontId="2" fillId="0" borderId="0" xfId="3" applyFill="1" applyBorder="1" applyAlignment="1" applyProtection="1">
      <alignment horizontal="left" vertical="center" wrapText="1"/>
      <protection locked="0"/>
    </xf>
    <xf numFmtId="0" fontId="11" fillId="0" borderId="1" xfId="4" applyFont="1" applyFill="1" applyAlignment="1">
      <alignment horizontal="center" vertical="center" wrapText="1"/>
    </xf>
    <xf numFmtId="0" fontId="11" fillId="0" borderId="19" xfId="4" applyFont="1" applyFill="1" applyBorder="1" applyAlignment="1">
      <alignment horizontal="center" vertical="center" wrapText="1"/>
    </xf>
    <xf numFmtId="0" fontId="11" fillId="0" borderId="17" xfId="4" applyFont="1" applyFill="1" applyBorder="1" applyAlignment="1">
      <alignment horizontal="center" vertical="center" wrapText="1"/>
    </xf>
    <xf numFmtId="0" fontId="11" fillId="0" borderId="1" xfId="4" applyFont="1" applyFill="1" applyAlignment="1">
      <alignment vertical="center" wrapText="1"/>
    </xf>
    <xf numFmtId="3" fontId="11" fillId="0" borderId="1" xfId="4" applyNumberFormat="1" applyFont="1" applyFill="1" applyAlignment="1">
      <alignment horizontal="right" vertical="center" wrapText="1"/>
    </xf>
    <xf numFmtId="3" fontId="11" fillId="0" borderId="1" xfId="4" applyNumberFormat="1" applyFont="1" applyFill="1" applyAlignment="1">
      <alignment vertical="center" wrapText="1"/>
    </xf>
    <xf numFmtId="0" fontId="11" fillId="0" borderId="16" xfId="4" applyFont="1" applyFill="1" applyBorder="1" applyAlignment="1">
      <alignment vertical="center" wrapText="1"/>
    </xf>
    <xf numFmtId="9" fontId="11" fillId="0" borderId="1" xfId="5" applyFont="1" applyFill="1" applyBorder="1" applyAlignment="1">
      <alignment horizontal="right" vertical="center" wrapText="1"/>
    </xf>
    <xf numFmtId="0" fontId="11" fillId="0" borderId="18" xfId="4" applyFont="1" applyFill="1" applyBorder="1" applyAlignment="1">
      <alignment vertical="center" wrapText="1"/>
    </xf>
    <xf numFmtId="0" fontId="11" fillId="0" borderId="20" xfId="4" applyFont="1" applyFill="1" applyBorder="1" applyAlignment="1">
      <alignment vertical="center" wrapText="1"/>
    </xf>
    <xf numFmtId="0" fontId="11" fillId="0" borderId="1" xfId="4" applyFont="1" applyFill="1" applyAlignment="1">
      <alignment horizontal="right" vertical="center" wrapText="1"/>
    </xf>
    <xf numFmtId="169" fontId="11" fillId="0" borderId="1" xfId="4" applyNumberFormat="1" applyFont="1" applyFill="1" applyAlignment="1">
      <alignment horizontal="right" vertical="center" wrapText="1"/>
    </xf>
    <xf numFmtId="0" fontId="11" fillId="0" borderId="22" xfId="4" applyFont="1" applyFill="1" applyBorder="1" applyAlignment="1">
      <alignment vertical="center" wrapText="1"/>
    </xf>
    <xf numFmtId="0" fontId="11" fillId="0" borderId="21" xfId="4" applyFont="1" applyFill="1" applyBorder="1" applyAlignment="1">
      <alignment vertical="center" wrapText="1"/>
    </xf>
    <xf numFmtId="0" fontId="11" fillId="0" borderId="17" xfId="4" applyFont="1" applyFill="1" applyBorder="1" applyAlignment="1">
      <alignment vertical="center" wrapText="1"/>
    </xf>
    <xf numFmtId="1" fontId="11" fillId="0" borderId="1" xfId="4" applyNumberFormat="1" applyFont="1" applyFill="1" applyAlignment="1">
      <alignment horizontal="right" vertical="center" wrapText="1"/>
    </xf>
    <xf numFmtId="3" fontId="0" fillId="0" borderId="0" xfId="0" applyNumberFormat="1"/>
    <xf numFmtId="0" fontId="2" fillId="0" borderId="5" xfId="3" applyFill="1" applyBorder="1" applyAlignment="1" applyProtection="1">
      <alignment horizontal="left" vertical="center" wrapText="1"/>
      <protection locked="0"/>
    </xf>
    <xf numFmtId="3" fontId="2" fillId="0" borderId="0" xfId="3" applyNumberFormat="1" applyFill="1" applyBorder="1" applyAlignment="1" applyProtection="1">
      <alignment horizontal="right" vertical="center"/>
      <protection locked="0"/>
    </xf>
    <xf numFmtId="3" fontId="2" fillId="0" borderId="6" xfId="3" applyNumberFormat="1" applyFill="1" applyBorder="1" applyAlignment="1" applyProtection="1">
      <alignment horizontal="right" vertical="center" wrapText="1"/>
      <protection locked="0"/>
    </xf>
    <xf numFmtId="3" fontId="11" fillId="0" borderId="16" xfId="4" applyNumberFormat="1" applyFont="1" applyFill="1" applyBorder="1" applyAlignment="1">
      <alignment vertical="center" wrapText="1"/>
    </xf>
    <xf numFmtId="3" fontId="11" fillId="0" borderId="17" xfId="4" applyNumberFormat="1" applyFont="1" applyFill="1" applyBorder="1" applyAlignment="1">
      <alignment vertical="center" wrapText="1"/>
    </xf>
    <xf numFmtId="169" fontId="11" fillId="0" borderId="1" xfId="4" applyNumberFormat="1" applyFont="1" applyFill="1" applyAlignment="1">
      <alignment vertical="center" wrapText="1"/>
    </xf>
    <xf numFmtId="9" fontId="11" fillId="0" borderId="1" xfId="2" applyFont="1" applyFill="1" applyBorder="1" applyAlignment="1">
      <alignment vertical="center" wrapText="1"/>
    </xf>
    <xf numFmtId="10" fontId="11" fillId="0" borderId="1" xfId="2" applyNumberFormat="1" applyFont="1" applyFill="1" applyBorder="1" applyAlignment="1">
      <alignment horizontal="right" vertical="center" wrapText="1"/>
    </xf>
    <xf numFmtId="0" fontId="17" fillId="3" borderId="0" xfId="0" applyFont="1" applyFill="1" applyProtection="1"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8" fillId="0" borderId="0" xfId="0" applyFont="1"/>
    <xf numFmtId="0" fontId="17" fillId="5" borderId="0" xfId="0" applyFont="1" applyFill="1" applyProtection="1">
      <protection locked="0"/>
    </xf>
    <xf numFmtId="0" fontId="5" fillId="7" borderId="3" xfId="0" applyFont="1" applyFill="1" applyBorder="1" applyAlignment="1">
      <alignment horizontal="centerContinuous" vertical="center"/>
    </xf>
    <xf numFmtId="0" fontId="10" fillId="7" borderId="3" xfId="0" applyFont="1" applyFill="1" applyBorder="1" applyAlignment="1">
      <alignment horizontal="centerContinuous"/>
    </xf>
    <xf numFmtId="0" fontId="2" fillId="3" borderId="5" xfId="3" applyFill="1" applyBorder="1" applyAlignment="1" applyProtection="1">
      <alignment vertical="center"/>
      <protection locked="0"/>
    </xf>
    <xf numFmtId="1" fontId="2" fillId="3" borderId="0" xfId="3" applyNumberFormat="1" applyFill="1" applyBorder="1" applyAlignment="1" applyProtection="1">
      <alignment horizontal="center" vertical="center"/>
      <protection locked="0"/>
    </xf>
    <xf numFmtId="0" fontId="19" fillId="8" borderId="2" xfId="3" applyFont="1" applyFill="1" applyBorder="1" applyAlignment="1" applyProtection="1">
      <alignment vertical="center"/>
      <protection locked="0"/>
    </xf>
    <xf numFmtId="1" fontId="19" fillId="8" borderId="3" xfId="3" applyNumberFormat="1" applyFont="1" applyFill="1" applyBorder="1" applyAlignment="1" applyProtection="1">
      <alignment horizontal="center" vertical="center"/>
      <protection locked="0"/>
    </xf>
    <xf numFmtId="1" fontId="19" fillId="8" borderId="4" xfId="3" applyNumberFormat="1" applyFont="1" applyFill="1" applyBorder="1" applyAlignment="1" applyProtection="1">
      <alignment horizontal="center" vertical="center"/>
      <protection locked="0"/>
    </xf>
    <xf numFmtId="0" fontId="20" fillId="0" borderId="0" xfId="6"/>
    <xf numFmtId="0" fontId="16" fillId="3" borderId="0" xfId="0" applyFont="1" applyFill="1" applyProtection="1">
      <protection locked="0"/>
    </xf>
    <xf numFmtId="0" fontId="22" fillId="3" borderId="0" xfId="0" applyFont="1" applyFill="1" applyAlignment="1" applyProtection="1">
      <alignment vertical="center"/>
      <protection locked="0"/>
    </xf>
    <xf numFmtId="165" fontId="22" fillId="3" borderId="0" xfId="2" applyNumberFormat="1" applyFont="1" applyFill="1" applyBorder="1" applyAlignment="1" applyProtection="1">
      <alignment horizontal="right" vertical="center"/>
      <protection locked="0"/>
    </xf>
    <xf numFmtId="165" fontId="22" fillId="9" borderId="0" xfId="2" applyNumberFormat="1" applyFont="1" applyFill="1" applyBorder="1" applyAlignment="1" applyProtection="1">
      <alignment horizontal="right" vertical="center"/>
      <protection locked="0"/>
    </xf>
    <xf numFmtId="0" fontId="22" fillId="3" borderId="0" xfId="0" applyFont="1" applyFill="1" applyProtection="1">
      <protection locked="0"/>
    </xf>
    <xf numFmtId="3" fontId="22" fillId="5" borderId="0" xfId="0" applyNumberFormat="1" applyFont="1" applyFill="1" applyAlignment="1" applyProtection="1">
      <alignment horizontal="right" vertical="center" wrapText="1"/>
      <protection locked="0"/>
    </xf>
    <xf numFmtId="164" fontId="16" fillId="3" borderId="0" xfId="1" applyNumberFormat="1" applyFont="1" applyFill="1" applyProtection="1">
      <protection locked="0"/>
    </xf>
    <xf numFmtId="164" fontId="22" fillId="5" borderId="0" xfId="1" applyNumberFormat="1" applyFont="1" applyFill="1" applyBorder="1" applyAlignment="1" applyProtection="1">
      <alignment vertical="center"/>
      <protection locked="0"/>
    </xf>
    <xf numFmtId="164" fontId="22" fillId="5" borderId="0" xfId="1" applyNumberFormat="1" applyFont="1" applyFill="1" applyBorder="1" applyProtection="1">
      <protection locked="0"/>
    </xf>
    <xf numFmtId="9" fontId="23" fillId="5" borderId="0" xfId="2" applyFont="1" applyFill="1" applyBorder="1" applyAlignment="1" applyProtection="1">
      <alignment horizontal="right" vertical="center" wrapText="1"/>
      <protection locked="0"/>
    </xf>
    <xf numFmtId="9" fontId="22" fillId="3" borderId="0" xfId="2" applyFont="1" applyFill="1" applyBorder="1" applyProtection="1">
      <protection locked="0"/>
    </xf>
    <xf numFmtId="9" fontId="22" fillId="3" borderId="0" xfId="2" applyFont="1" applyFill="1" applyBorder="1" applyAlignment="1" applyProtection="1">
      <alignment horizontal="right" vertical="center" wrapText="1"/>
      <protection locked="0"/>
    </xf>
    <xf numFmtId="167" fontId="22" fillId="5" borderId="0" xfId="1" applyNumberFormat="1" applyFont="1" applyFill="1" applyBorder="1" applyAlignment="1" applyProtection="1">
      <alignment horizontal="right" vertical="center" wrapText="1"/>
      <protection locked="0"/>
    </xf>
    <xf numFmtId="168" fontId="16" fillId="3" borderId="0" xfId="1" applyNumberFormat="1" applyFont="1" applyFill="1" applyProtection="1">
      <protection locked="0"/>
    </xf>
    <xf numFmtId="168" fontId="22" fillId="5" borderId="0" xfId="1" applyNumberFormat="1" applyFont="1" applyFill="1" applyBorder="1" applyAlignment="1" applyProtection="1">
      <alignment horizontal="right"/>
      <protection locked="0"/>
    </xf>
    <xf numFmtId="168" fontId="24" fillId="3" borderId="0" xfId="0" applyNumberFormat="1" applyFont="1" applyFill="1" applyProtection="1">
      <protection locked="0"/>
    </xf>
    <xf numFmtId="3" fontId="16" fillId="3" borderId="0" xfId="0" applyNumberFormat="1" applyFont="1" applyFill="1" applyProtection="1">
      <protection locked="0"/>
    </xf>
    <xf numFmtId="3" fontId="25" fillId="0" borderId="0" xfId="0" applyNumberFormat="1" applyFont="1"/>
    <xf numFmtId="9" fontId="25" fillId="0" borderId="0" xfId="0" applyNumberFormat="1" applyFont="1"/>
    <xf numFmtId="0" fontId="25" fillId="0" borderId="0" xfId="0" applyFont="1"/>
    <xf numFmtId="9" fontId="22" fillId="3" borderId="0" xfId="2" applyFont="1" applyFill="1" applyBorder="1" applyAlignment="1" applyProtection="1">
      <alignment horizontal="right" vertical="center"/>
      <protection locked="0"/>
    </xf>
    <xf numFmtId="9" fontId="22" fillId="9" borderId="0" xfId="2" applyFont="1" applyFill="1" applyBorder="1" applyAlignment="1" applyProtection="1">
      <alignment horizontal="right" vertical="center"/>
      <protection locked="0"/>
    </xf>
    <xf numFmtId="4" fontId="17" fillId="5" borderId="0" xfId="0" applyNumberFormat="1" applyFont="1" applyFill="1" applyProtection="1">
      <protection locked="0"/>
    </xf>
    <xf numFmtId="1" fontId="22" fillId="9" borderId="0" xfId="2" applyNumberFormat="1" applyFont="1" applyFill="1" applyBorder="1" applyProtection="1">
      <protection locked="0"/>
    </xf>
    <xf numFmtId="166" fontId="22" fillId="9" borderId="0" xfId="1" applyNumberFormat="1" applyFont="1" applyFill="1" applyBorder="1" applyProtection="1">
      <protection locked="0"/>
    </xf>
    <xf numFmtId="10" fontId="22" fillId="9" borderId="0" xfId="2" applyNumberFormat="1" applyFont="1" applyFill="1" applyBorder="1" applyProtection="1">
      <protection locked="0"/>
    </xf>
    <xf numFmtId="9" fontId="22" fillId="9" borderId="0" xfId="2" applyFont="1" applyFill="1" applyBorder="1" applyProtection="1">
      <protection locked="0"/>
    </xf>
    <xf numFmtId="10" fontId="8" fillId="0" borderId="0" xfId="2" applyNumberFormat="1" applyFont="1" applyAlignment="1" applyProtection="1">
      <alignment horizontal="right" vertical="center" wrapText="1"/>
      <protection locked="0"/>
    </xf>
    <xf numFmtId="0" fontId="10" fillId="0" borderId="0" xfId="0" applyFont="1"/>
    <xf numFmtId="0" fontId="21" fillId="3" borderId="5" xfId="0" applyFont="1" applyFill="1" applyBorder="1" applyAlignment="1" applyProtection="1">
      <alignment vertical="center"/>
      <protection locked="0"/>
    </xf>
    <xf numFmtId="1" fontId="21" fillId="3" borderId="0" xfId="0" applyNumberFormat="1" applyFont="1" applyFill="1" applyAlignment="1" applyProtection="1">
      <alignment horizontal="right" vertical="center"/>
      <protection locked="0"/>
    </xf>
    <xf numFmtId="1" fontId="21" fillId="3" borderId="6" xfId="0" applyNumberFormat="1" applyFont="1" applyFill="1" applyBorder="1" applyAlignment="1" applyProtection="1">
      <alignment horizontal="right" vertical="center"/>
      <protection locked="0"/>
    </xf>
    <xf numFmtId="0" fontId="22" fillId="3" borderId="5" xfId="0" applyFont="1" applyFill="1" applyBorder="1" applyAlignment="1" applyProtection="1">
      <alignment vertical="center"/>
      <protection locked="0"/>
    </xf>
    <xf numFmtId="165" fontId="22" fillId="9" borderId="6" xfId="2" applyNumberFormat="1" applyFont="1" applyFill="1" applyBorder="1" applyAlignment="1" applyProtection="1">
      <alignment horizontal="right" vertical="center"/>
      <protection locked="0"/>
    </xf>
    <xf numFmtId="3" fontId="22" fillId="3" borderId="5" xfId="0" applyNumberFormat="1" applyFont="1" applyFill="1" applyBorder="1" applyAlignment="1" applyProtection="1">
      <alignment vertical="center"/>
      <protection locked="0"/>
    </xf>
    <xf numFmtId="3" fontId="22" fillId="3" borderId="0" xfId="0" applyNumberFormat="1" applyFont="1" applyFill="1" applyAlignment="1" applyProtection="1">
      <alignment horizontal="right" vertical="center"/>
      <protection locked="0"/>
    </xf>
    <xf numFmtId="3" fontId="22" fillId="9" borderId="0" xfId="0" applyNumberFormat="1" applyFont="1" applyFill="1" applyAlignment="1" applyProtection="1">
      <alignment horizontal="right" vertical="center"/>
      <protection locked="0"/>
    </xf>
    <xf numFmtId="3" fontId="22" fillId="9" borderId="6" xfId="0" applyNumberFormat="1" applyFont="1" applyFill="1" applyBorder="1" applyAlignment="1" applyProtection="1">
      <alignment horizontal="right" vertical="center"/>
      <protection locked="0"/>
    </xf>
    <xf numFmtId="4" fontId="22" fillId="3" borderId="0" xfId="0" applyNumberFormat="1" applyFont="1" applyFill="1" applyAlignment="1" applyProtection="1">
      <alignment horizontal="right" vertical="center"/>
      <protection locked="0"/>
    </xf>
    <xf numFmtId="4" fontId="22" fillId="9" borderId="0" xfId="0" applyNumberFormat="1" applyFont="1" applyFill="1" applyAlignment="1" applyProtection="1">
      <alignment horizontal="right" vertical="center"/>
      <protection locked="0"/>
    </xf>
    <xf numFmtId="4" fontId="22" fillId="9" borderId="6" xfId="0" applyNumberFormat="1" applyFont="1" applyFill="1" applyBorder="1" applyAlignment="1" applyProtection="1">
      <alignment horizontal="right" vertical="center"/>
      <protection locked="0"/>
    </xf>
    <xf numFmtId="9" fontId="22" fillId="9" borderId="6" xfId="2" applyFont="1" applyFill="1" applyBorder="1" applyAlignment="1" applyProtection="1">
      <alignment horizontal="right" vertical="center"/>
      <protection locked="0"/>
    </xf>
    <xf numFmtId="0" fontId="23" fillId="5" borderId="5" xfId="0" applyFont="1" applyFill="1" applyBorder="1" applyAlignment="1" applyProtection="1">
      <alignment horizontal="left" vertical="center"/>
      <protection locked="0"/>
    </xf>
    <xf numFmtId="3" fontId="22" fillId="5" borderId="0" xfId="0" applyNumberFormat="1" applyFont="1" applyFill="1" applyAlignment="1" applyProtection="1">
      <alignment horizontal="right" vertical="top" wrapText="1"/>
      <protection locked="0"/>
    </xf>
    <xf numFmtId="3" fontId="22" fillId="9" borderId="0" xfId="0" applyNumberFormat="1" applyFont="1" applyFill="1" applyAlignment="1" applyProtection="1">
      <alignment horizontal="right" vertical="top" wrapText="1"/>
      <protection locked="0"/>
    </xf>
    <xf numFmtId="3" fontId="22" fillId="9" borderId="6" xfId="0" applyNumberFormat="1" applyFont="1" applyFill="1" applyBorder="1" applyAlignment="1" applyProtection="1">
      <alignment horizontal="right" vertical="top" wrapText="1"/>
      <protection locked="0"/>
    </xf>
    <xf numFmtId="3" fontId="22" fillId="9" borderId="0" xfId="0" applyNumberFormat="1" applyFont="1" applyFill="1" applyAlignment="1" applyProtection="1">
      <alignment horizontal="right" vertical="center" wrapText="1"/>
      <protection locked="0"/>
    </xf>
    <xf numFmtId="3" fontId="22" fillId="9" borderId="6" xfId="0" applyNumberFormat="1" applyFont="1" applyFill="1" applyBorder="1" applyAlignment="1" applyProtection="1">
      <alignment horizontal="right" vertical="center" wrapText="1"/>
      <protection locked="0"/>
    </xf>
    <xf numFmtId="164" fontId="22" fillId="5" borderId="5" xfId="1" applyNumberFormat="1" applyFont="1" applyFill="1" applyBorder="1" applyAlignment="1" applyProtection="1">
      <alignment vertical="center"/>
      <protection locked="0"/>
    </xf>
    <xf numFmtId="164" fontId="22" fillId="5" borderId="6" xfId="1" applyNumberFormat="1" applyFont="1" applyFill="1" applyBorder="1" applyProtection="1">
      <protection locked="0"/>
    </xf>
    <xf numFmtId="0" fontId="21" fillId="5" borderId="5" xfId="0" applyFont="1" applyFill="1" applyBorder="1" applyAlignment="1" applyProtection="1">
      <alignment horizontal="left" vertical="center" wrapText="1"/>
      <protection locked="0"/>
    </xf>
    <xf numFmtId="0" fontId="21" fillId="5" borderId="0" xfId="0" applyFont="1" applyFill="1" applyAlignment="1" applyProtection="1">
      <alignment horizontal="left" vertical="center" wrapText="1"/>
      <protection locked="0"/>
    </xf>
    <xf numFmtId="3" fontId="21" fillId="5" borderId="0" xfId="0" applyNumberFormat="1" applyFont="1" applyFill="1" applyAlignment="1" applyProtection="1">
      <alignment horizontal="right" vertical="center" wrapText="1"/>
      <protection locked="0"/>
    </xf>
    <xf numFmtId="3" fontId="21" fillId="5" borderId="6" xfId="0" applyNumberFormat="1" applyFont="1" applyFill="1" applyBorder="1" applyAlignment="1" applyProtection="1">
      <alignment horizontal="right" vertical="center" wrapText="1"/>
      <protection locked="0"/>
    </xf>
    <xf numFmtId="0" fontId="22" fillId="5" borderId="5" xfId="0" applyFont="1" applyFill="1" applyBorder="1" applyAlignment="1" applyProtection="1">
      <alignment horizontal="left" vertical="center" wrapText="1"/>
      <protection locked="0"/>
    </xf>
    <xf numFmtId="9" fontId="23" fillId="5" borderId="6" xfId="2" applyFont="1" applyFill="1" applyBorder="1" applyAlignment="1" applyProtection="1">
      <alignment horizontal="right" vertical="center" wrapText="1"/>
      <protection locked="0"/>
    </xf>
    <xf numFmtId="9" fontId="22" fillId="3" borderId="6" xfId="2" applyFont="1" applyFill="1" applyBorder="1" applyProtection="1">
      <protection locked="0"/>
    </xf>
    <xf numFmtId="3" fontId="22" fillId="3" borderId="0" xfId="0" applyNumberFormat="1" applyFont="1" applyFill="1" applyAlignment="1" applyProtection="1">
      <alignment horizontal="right" vertical="center" wrapText="1"/>
      <protection locked="0"/>
    </xf>
    <xf numFmtId="3" fontId="22" fillId="3" borderId="0" xfId="0" applyNumberFormat="1" applyFont="1" applyFill="1" applyAlignment="1" applyProtection="1">
      <alignment vertical="center"/>
      <protection locked="0"/>
    </xf>
    <xf numFmtId="0" fontId="22" fillId="3" borderId="5" xfId="0" applyFont="1" applyFill="1" applyBorder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166" fontId="22" fillId="9" borderId="6" xfId="1" applyNumberFormat="1" applyFont="1" applyFill="1" applyBorder="1" applyProtection="1">
      <protection locked="0"/>
    </xf>
    <xf numFmtId="9" fontId="22" fillId="9" borderId="6" xfId="2" applyFont="1" applyFill="1" applyBorder="1" applyProtection="1">
      <protection locked="0"/>
    </xf>
    <xf numFmtId="0" fontId="22" fillId="3" borderId="10" xfId="0" applyFont="1" applyFill="1" applyBorder="1" applyAlignment="1" applyProtection="1">
      <alignment vertical="center"/>
      <protection locked="0"/>
    </xf>
    <xf numFmtId="0" fontId="22" fillId="3" borderId="11" xfId="0" applyFont="1" applyFill="1" applyBorder="1" applyAlignment="1" applyProtection="1">
      <alignment vertical="center"/>
      <protection locked="0"/>
    </xf>
    <xf numFmtId="0" fontId="22" fillId="3" borderId="11" xfId="0" applyFont="1" applyFill="1" applyBorder="1" applyProtection="1">
      <protection locked="0"/>
    </xf>
    <xf numFmtId="0" fontId="22" fillId="3" borderId="12" xfId="0" applyFont="1" applyFill="1" applyBorder="1" applyProtection="1">
      <protection locked="0"/>
    </xf>
    <xf numFmtId="0" fontId="26" fillId="0" borderId="0" xfId="0" applyFont="1"/>
    <xf numFmtId="9" fontId="0" fillId="0" borderId="0" xfId="2" applyFont="1"/>
    <xf numFmtId="9" fontId="22" fillId="3" borderId="6" xfId="2" applyFont="1" applyFill="1" applyBorder="1" applyAlignment="1" applyProtection="1">
      <alignment horizontal="right" vertical="center" wrapText="1"/>
      <protection locked="0"/>
    </xf>
    <xf numFmtId="3" fontId="22" fillId="5" borderId="6" xfId="0" applyNumberFormat="1" applyFont="1" applyFill="1" applyBorder="1" applyAlignment="1" applyProtection="1">
      <alignment horizontal="right" vertical="center" wrapText="1"/>
      <protection locked="0"/>
    </xf>
    <xf numFmtId="167" fontId="22" fillId="5" borderId="6" xfId="1" applyNumberFormat="1" applyFont="1" applyFill="1" applyBorder="1" applyAlignment="1" applyProtection="1">
      <alignment horizontal="right" vertical="center" wrapText="1"/>
      <protection locked="0"/>
    </xf>
    <xf numFmtId="2" fontId="22" fillId="5" borderId="5" xfId="0" applyNumberFormat="1" applyFont="1" applyFill="1" applyBorder="1" applyAlignment="1" applyProtection="1">
      <alignment vertical="center"/>
      <protection locked="0"/>
    </xf>
    <xf numFmtId="0" fontId="22" fillId="3" borderId="6" xfId="0" applyFont="1" applyFill="1" applyBorder="1" applyProtection="1">
      <protection locked="0"/>
    </xf>
    <xf numFmtId="168" fontId="22" fillId="3" borderId="5" xfId="1" applyNumberFormat="1" applyFont="1" applyFill="1" applyBorder="1" applyAlignment="1" applyProtection="1">
      <alignment vertical="center"/>
      <protection locked="0"/>
    </xf>
    <xf numFmtId="168" fontId="22" fillId="5" borderId="6" xfId="1" applyNumberFormat="1" applyFont="1" applyFill="1" applyBorder="1" applyAlignment="1" applyProtection="1">
      <alignment horizontal="right"/>
      <protection locked="0"/>
    </xf>
    <xf numFmtId="168" fontId="22" fillId="3" borderId="10" xfId="1" applyNumberFormat="1" applyFont="1" applyFill="1" applyBorder="1" applyAlignment="1" applyProtection="1">
      <alignment vertical="center"/>
      <protection locked="0"/>
    </xf>
    <xf numFmtId="168" fontId="22" fillId="3" borderId="0" xfId="1" applyNumberFormat="1" applyFont="1" applyFill="1" applyBorder="1" applyAlignment="1" applyProtection="1">
      <alignment vertical="center"/>
      <protection locked="0"/>
    </xf>
    <xf numFmtId="168" fontId="22" fillId="6" borderId="0" xfId="0" applyNumberFormat="1" applyFont="1" applyFill="1" applyAlignment="1" applyProtection="1">
      <alignment horizontal="right" vertical="top"/>
      <protection locked="0"/>
    </xf>
    <xf numFmtId="168" fontId="22" fillId="6" borderId="6" xfId="0" applyNumberFormat="1" applyFont="1" applyFill="1" applyBorder="1" applyAlignment="1" applyProtection="1">
      <alignment horizontal="right" vertical="top"/>
      <protection locked="0"/>
    </xf>
    <xf numFmtId="168" fontId="22" fillId="5" borderId="11" xfId="1" applyNumberFormat="1" applyFont="1" applyFill="1" applyBorder="1" applyAlignment="1" applyProtection="1">
      <alignment horizontal="right"/>
      <protection locked="0"/>
    </xf>
    <xf numFmtId="168" fontId="22" fillId="5" borderId="12" xfId="1" applyNumberFormat="1" applyFont="1" applyFill="1" applyBorder="1" applyAlignment="1" applyProtection="1">
      <alignment horizontal="right"/>
      <protection locked="0"/>
    </xf>
    <xf numFmtId="9" fontId="22" fillId="5" borderId="0" xfId="2" applyFont="1" applyFill="1" applyBorder="1" applyAlignment="1" applyProtection="1">
      <alignment horizontal="right"/>
      <protection locked="0"/>
    </xf>
    <xf numFmtId="165" fontId="22" fillId="5" borderId="0" xfId="2" applyNumberFormat="1" applyFont="1" applyFill="1" applyBorder="1" applyAlignment="1" applyProtection="1">
      <alignment horizontal="right"/>
      <protection locked="0"/>
    </xf>
    <xf numFmtId="165" fontId="22" fillId="5" borderId="6" xfId="2" applyNumberFormat="1" applyFont="1" applyFill="1" applyBorder="1" applyAlignment="1" applyProtection="1">
      <alignment horizontal="right"/>
      <protection locked="0"/>
    </xf>
    <xf numFmtId="9" fontId="22" fillId="5" borderId="6" xfId="2" applyFont="1" applyFill="1" applyBorder="1" applyAlignment="1" applyProtection="1">
      <alignment horizontal="right"/>
      <protection locked="0"/>
    </xf>
    <xf numFmtId="165" fontId="22" fillId="3" borderId="0" xfId="2" applyNumberFormat="1" applyFont="1" applyFill="1" applyBorder="1" applyAlignment="1" applyProtection="1">
      <alignment horizontal="right" vertical="center" wrapText="1"/>
      <protection locked="0"/>
    </xf>
    <xf numFmtId="165" fontId="22" fillId="3" borderId="6" xfId="2" applyNumberFormat="1" applyFont="1" applyFill="1" applyBorder="1" applyAlignment="1" applyProtection="1">
      <alignment horizontal="right" vertical="center" wrapText="1"/>
      <protection locked="0"/>
    </xf>
    <xf numFmtId="0" fontId="2" fillId="4" borderId="2" xfId="3" applyFill="1" applyBorder="1" applyAlignment="1" applyProtection="1">
      <alignment horizontal="left" vertical="center" wrapText="1"/>
      <protection locked="0"/>
    </xf>
    <xf numFmtId="3" fontId="2" fillId="4" borderId="3" xfId="3" applyNumberFormat="1" applyFill="1" applyBorder="1" applyAlignment="1" applyProtection="1">
      <alignment horizontal="right" vertical="center" wrapText="1"/>
      <protection locked="0"/>
    </xf>
    <xf numFmtId="3" fontId="2" fillId="4" borderId="4" xfId="3" applyNumberFormat="1" applyFill="1" applyBorder="1" applyAlignment="1" applyProtection="1">
      <alignment horizontal="right" vertical="center" wrapText="1"/>
      <protection locked="0"/>
    </xf>
    <xf numFmtId="165" fontId="22" fillId="5" borderId="0" xfId="2" applyNumberFormat="1" applyFont="1" applyFill="1" applyBorder="1" applyAlignment="1" applyProtection="1">
      <alignment horizontal="right" vertical="center" wrapText="1"/>
      <protection locked="0"/>
    </xf>
    <xf numFmtId="165" fontId="22" fillId="5" borderId="6" xfId="2" applyNumberFormat="1" applyFont="1" applyFill="1" applyBorder="1" applyAlignment="1" applyProtection="1">
      <alignment horizontal="right" vertical="center" wrapText="1"/>
      <protection locked="0"/>
    </xf>
    <xf numFmtId="0" fontId="2" fillId="6" borderId="13" xfId="3" applyFill="1" applyBorder="1" applyAlignment="1" applyProtection="1">
      <protection locked="0"/>
    </xf>
    <xf numFmtId="3" fontId="2" fillId="6" borderId="15" xfId="3" applyNumberFormat="1" applyFill="1" applyBorder="1" applyAlignment="1" applyProtection="1">
      <alignment horizontal="right"/>
      <protection locked="0"/>
    </xf>
    <xf numFmtId="0" fontId="2" fillId="6" borderId="5" xfId="3" applyFill="1" applyBorder="1" applyAlignment="1" applyProtection="1">
      <protection locked="0"/>
    </xf>
    <xf numFmtId="0" fontId="2" fillId="6" borderId="5" xfId="3" applyFill="1" applyBorder="1" applyAlignment="1" applyProtection="1">
      <alignment horizontal="left"/>
      <protection locked="0"/>
    </xf>
    <xf numFmtId="3" fontId="2" fillId="6" borderId="6" xfId="3" applyNumberFormat="1" applyFill="1" applyBorder="1" applyAlignment="1" applyProtection="1">
      <alignment horizontal="right"/>
      <protection locked="0"/>
    </xf>
    <xf numFmtId="0" fontId="2" fillId="6" borderId="5" xfId="3" applyFill="1" applyBorder="1" applyAlignment="1" applyProtection="1">
      <alignment vertical="top"/>
      <protection locked="0"/>
    </xf>
    <xf numFmtId="3" fontId="2" fillId="6" borderId="6" xfId="3" applyNumberFormat="1" applyFill="1" applyBorder="1" applyAlignment="1" applyProtection="1">
      <alignment horizontal="right" vertical="top"/>
      <protection locked="0"/>
    </xf>
    <xf numFmtId="1" fontId="19" fillId="8" borderId="2" xfId="3" applyNumberFormat="1" applyFont="1" applyFill="1" applyBorder="1" applyAlignment="1" applyProtection="1">
      <alignment horizontal="center" vertical="center"/>
      <protection locked="0"/>
    </xf>
    <xf numFmtId="3" fontId="2" fillId="5" borderId="5" xfId="3" applyNumberFormat="1" applyFill="1" applyBorder="1" applyAlignment="1" applyProtection="1">
      <alignment horizontal="right" vertical="center"/>
      <protection locked="0"/>
    </xf>
    <xf numFmtId="3" fontId="2" fillId="5" borderId="5" xfId="3" applyNumberFormat="1" applyFill="1" applyBorder="1" applyAlignment="1" applyProtection="1">
      <alignment horizontal="right" vertical="center" wrapText="1"/>
      <protection locked="0"/>
    </xf>
    <xf numFmtId="3" fontId="2" fillId="4" borderId="7" xfId="3" applyNumberFormat="1" applyFill="1" applyBorder="1" applyAlignment="1" applyProtection="1">
      <alignment horizontal="right" vertical="center" wrapText="1"/>
      <protection locked="0"/>
    </xf>
    <xf numFmtId="3" fontId="2" fillId="4" borderId="5" xfId="3" applyNumberFormat="1" applyFill="1" applyBorder="1" applyAlignment="1" applyProtection="1">
      <alignment horizontal="right" vertical="center" wrapText="1"/>
      <protection locked="0"/>
    </xf>
    <xf numFmtId="3" fontId="2" fillId="4" borderId="2" xfId="3" applyNumberFormat="1" applyFill="1" applyBorder="1" applyAlignment="1" applyProtection="1">
      <alignment horizontal="right" vertical="center" wrapText="1"/>
      <protection locked="0"/>
    </xf>
    <xf numFmtId="3" fontId="2" fillId="6" borderId="13" xfId="3" applyNumberFormat="1" applyFill="1" applyBorder="1" applyAlignment="1" applyProtection="1">
      <alignment horizontal="right"/>
      <protection locked="0"/>
    </xf>
    <xf numFmtId="3" fontId="2" fillId="6" borderId="5" xfId="3" applyNumberFormat="1" applyFill="1" applyBorder="1" applyAlignment="1" applyProtection="1">
      <alignment horizontal="right"/>
      <protection locked="0"/>
    </xf>
    <xf numFmtId="3" fontId="2" fillId="6" borderId="5" xfId="3" applyNumberFormat="1" applyFill="1" applyBorder="1" applyAlignment="1" applyProtection="1">
      <alignment horizontal="right" vertical="top"/>
      <protection locked="0"/>
    </xf>
    <xf numFmtId="10" fontId="22" fillId="3" borderId="0" xfId="2" applyNumberFormat="1" applyFont="1" applyFill="1" applyBorder="1" applyAlignment="1" applyProtection="1">
      <alignment horizontal="right" vertical="center"/>
      <protection locked="0"/>
    </xf>
    <xf numFmtId="10" fontId="22" fillId="9" borderId="0" xfId="2" applyNumberFormat="1" applyFont="1" applyFill="1" applyBorder="1" applyAlignment="1" applyProtection="1">
      <alignment horizontal="right" vertical="center"/>
      <protection locked="0"/>
    </xf>
    <xf numFmtId="10" fontId="22" fillId="9" borderId="6" xfId="2" applyNumberFormat="1" applyFont="1" applyFill="1" applyBorder="1" applyAlignment="1" applyProtection="1">
      <alignment horizontal="right" vertical="center"/>
      <protection locked="0"/>
    </xf>
    <xf numFmtId="0" fontId="21" fillId="3" borderId="23" xfId="0" applyFont="1" applyFill="1" applyBorder="1" applyAlignment="1" applyProtection="1">
      <alignment vertical="center"/>
      <protection locked="0"/>
    </xf>
    <xf numFmtId="2" fontId="21" fillId="3" borderId="24" xfId="0" applyNumberFormat="1" applyFont="1" applyFill="1" applyBorder="1" applyAlignment="1" applyProtection="1">
      <alignment horizontal="right" vertical="center"/>
      <protection locked="0"/>
    </xf>
    <xf numFmtId="2" fontId="21" fillId="3" borderId="25" xfId="0" applyNumberFormat="1" applyFont="1" applyFill="1" applyBorder="1" applyAlignment="1" applyProtection="1">
      <alignment horizontal="right" vertical="center"/>
      <protection locked="0"/>
    </xf>
    <xf numFmtId="9" fontId="22" fillId="6" borderId="0" xfId="2" applyFont="1" applyFill="1" applyAlignment="1" applyProtection="1">
      <alignment horizontal="right" vertical="top"/>
      <protection locked="0"/>
    </xf>
    <xf numFmtId="9" fontId="22" fillId="6" borderId="0" xfId="2" applyFont="1" applyFill="1" applyBorder="1" applyAlignment="1" applyProtection="1">
      <alignment horizontal="right" vertical="top"/>
      <protection locked="0"/>
    </xf>
    <xf numFmtId="0" fontId="22" fillId="3" borderId="26" xfId="0" applyFont="1" applyFill="1" applyBorder="1" applyAlignment="1" applyProtection="1">
      <alignment vertical="center"/>
      <protection locked="0"/>
    </xf>
    <xf numFmtId="3" fontId="22" fillId="3" borderId="27" xfId="0" applyNumberFormat="1" applyFont="1" applyFill="1" applyBorder="1" applyAlignment="1" applyProtection="1">
      <alignment horizontal="right" vertical="center" wrapText="1"/>
      <protection locked="0"/>
    </xf>
    <xf numFmtId="3" fontId="22" fillId="9" borderId="27" xfId="0" applyNumberFormat="1" applyFont="1" applyFill="1" applyBorder="1" applyAlignment="1" applyProtection="1">
      <alignment horizontal="right" vertical="center" wrapText="1"/>
      <protection locked="0"/>
    </xf>
    <xf numFmtId="3" fontId="22" fillId="9" borderId="28" xfId="0" applyNumberFormat="1" applyFont="1" applyFill="1" applyBorder="1" applyAlignment="1" applyProtection="1">
      <alignment horizontal="right" vertical="center" wrapText="1"/>
      <protection locked="0"/>
    </xf>
    <xf numFmtId="0" fontId="22" fillId="3" borderId="29" xfId="0" applyFont="1" applyFill="1" applyBorder="1" applyAlignment="1" applyProtection="1">
      <alignment vertical="center"/>
      <protection locked="0"/>
    </xf>
    <xf numFmtId="1" fontId="22" fillId="9" borderId="30" xfId="2" applyNumberFormat="1" applyFont="1" applyFill="1" applyBorder="1" applyProtection="1">
      <protection locked="0"/>
    </xf>
    <xf numFmtId="9" fontId="22" fillId="3" borderId="30" xfId="2" applyFont="1" applyFill="1" applyBorder="1" applyProtection="1">
      <protection locked="0"/>
    </xf>
    <xf numFmtId="9" fontId="22" fillId="3" borderId="31" xfId="2" applyFont="1" applyFill="1" applyBorder="1" applyProtection="1">
      <protection locked="0"/>
    </xf>
    <xf numFmtId="3" fontId="28" fillId="3" borderId="0" xfId="0" applyNumberFormat="1" applyFont="1" applyFill="1" applyProtection="1">
      <protection locked="0"/>
    </xf>
    <xf numFmtId="3" fontId="23" fillId="3" borderId="5" xfId="0" applyNumberFormat="1" applyFont="1" applyFill="1" applyBorder="1" applyAlignment="1" applyProtection="1">
      <alignment vertical="center"/>
      <protection locked="0"/>
    </xf>
    <xf numFmtId="3" fontId="23" fillId="3" borderId="0" xfId="0" applyNumberFormat="1" applyFont="1" applyFill="1" applyAlignment="1" applyProtection="1">
      <alignment horizontal="right" vertical="center"/>
      <protection locked="0"/>
    </xf>
    <xf numFmtId="3" fontId="23" fillId="9" borderId="0" xfId="0" applyNumberFormat="1" applyFont="1" applyFill="1" applyAlignment="1" applyProtection="1">
      <alignment horizontal="right" vertical="center"/>
      <protection locked="0"/>
    </xf>
    <xf numFmtId="3" fontId="23" fillId="9" borderId="6" xfId="0" applyNumberFormat="1" applyFont="1" applyFill="1" applyBorder="1" applyAlignment="1" applyProtection="1">
      <alignment horizontal="right" vertical="center"/>
      <protection locked="0"/>
    </xf>
    <xf numFmtId="3" fontId="23" fillId="9" borderId="0" xfId="0" quotePrefix="1" applyNumberFormat="1" applyFont="1" applyFill="1" applyAlignment="1" applyProtection="1">
      <alignment horizontal="right" vertical="center"/>
      <protection locked="0"/>
    </xf>
    <xf numFmtId="0" fontId="28" fillId="3" borderId="0" xfId="0" applyFont="1" applyFill="1" applyProtection="1">
      <protection locked="0"/>
    </xf>
    <xf numFmtId="3" fontId="23" fillId="5" borderId="0" xfId="0" applyNumberFormat="1" applyFont="1" applyFill="1" applyAlignment="1" applyProtection="1">
      <alignment horizontal="right" vertical="top" wrapText="1"/>
      <protection locked="0"/>
    </xf>
    <xf numFmtId="3" fontId="23" fillId="9" borderId="0" xfId="0" applyNumberFormat="1" applyFont="1" applyFill="1" applyAlignment="1" applyProtection="1">
      <alignment horizontal="right" vertical="center" wrapText="1"/>
      <protection locked="0"/>
    </xf>
    <xf numFmtId="3" fontId="23" fillId="9" borderId="6" xfId="0" applyNumberFormat="1" applyFont="1" applyFill="1" applyBorder="1" applyAlignment="1" applyProtection="1">
      <alignment horizontal="right" vertical="center" wrapText="1"/>
      <protection locked="0"/>
    </xf>
    <xf numFmtId="3" fontId="23" fillId="9" borderId="0" xfId="0" applyNumberFormat="1" applyFont="1" applyFill="1" applyAlignment="1" applyProtection="1">
      <alignment horizontal="right" vertical="top" wrapText="1"/>
      <protection locked="0"/>
    </xf>
    <xf numFmtId="0" fontId="23" fillId="5" borderId="5" xfId="0" applyFont="1" applyFill="1" applyBorder="1" applyAlignment="1" applyProtection="1">
      <alignment horizontal="left" vertical="center" wrapText="1"/>
      <protection locked="0"/>
    </xf>
    <xf numFmtId="3" fontId="23" fillId="5" borderId="0" xfId="0" applyNumberFormat="1" applyFont="1" applyFill="1" applyAlignment="1" applyProtection="1">
      <alignment horizontal="right" vertical="center" wrapText="1"/>
      <protection locked="0"/>
    </xf>
    <xf numFmtId="1" fontId="2" fillId="3" borderId="25" xfId="3" applyNumberFormat="1" applyFill="1" applyBorder="1" applyAlignment="1" applyProtection="1">
      <alignment horizontal="center" vertical="center"/>
      <protection locked="0"/>
    </xf>
    <xf numFmtId="3" fontId="2" fillId="5" borderId="23" xfId="3" applyNumberFormat="1" applyFill="1" applyBorder="1" applyAlignment="1" applyProtection="1">
      <alignment horizontal="right" vertical="center"/>
      <protection locked="0"/>
    </xf>
    <xf numFmtId="3" fontId="2" fillId="5" borderId="24" xfId="3" applyNumberFormat="1" applyFill="1" applyBorder="1" applyAlignment="1" applyProtection="1">
      <alignment horizontal="right" vertical="center"/>
      <protection locked="0"/>
    </xf>
    <xf numFmtId="3" fontId="2" fillId="5" borderId="25" xfId="3" applyNumberFormat="1" applyFill="1" applyBorder="1" applyAlignment="1" applyProtection="1">
      <alignment horizontal="right" vertical="center"/>
      <protection locked="0"/>
    </xf>
    <xf numFmtId="3" fontId="23" fillId="9" borderId="6" xfId="0" applyNumberFormat="1" applyFont="1" applyFill="1" applyBorder="1" applyAlignment="1" applyProtection="1">
      <alignment horizontal="right" vertical="top" wrapText="1"/>
      <protection locked="0"/>
    </xf>
    <xf numFmtId="3" fontId="23" fillId="9" borderId="6" xfId="0" quotePrefix="1" applyNumberFormat="1" applyFont="1" applyFill="1" applyBorder="1" applyAlignment="1" applyProtection="1">
      <alignment horizontal="right" vertical="center"/>
      <protection locked="0"/>
    </xf>
    <xf numFmtId="9" fontId="22" fillId="9" borderId="12" xfId="2" applyFont="1" applyFill="1" applyBorder="1" applyAlignment="1" applyProtection="1">
      <alignment horizontal="right" vertical="center"/>
      <protection locked="0"/>
    </xf>
    <xf numFmtId="164" fontId="11" fillId="0" borderId="1" xfId="1" applyNumberFormat="1" applyFont="1" applyFill="1" applyBorder="1" applyAlignment="1">
      <alignment horizontal="center" vertical="center" wrapText="1"/>
    </xf>
    <xf numFmtId="3" fontId="11" fillId="0" borderId="16" xfId="4" applyNumberFormat="1" applyFont="1" applyFill="1" applyBorder="1" applyAlignment="1">
      <alignment horizontal="center" vertical="center" wrapText="1"/>
    </xf>
    <xf numFmtId="3" fontId="11" fillId="0" borderId="17" xfId="4" applyNumberFormat="1" applyFont="1" applyFill="1" applyBorder="1" applyAlignment="1">
      <alignment horizontal="center" vertical="center" wrapText="1"/>
    </xf>
    <xf numFmtId="10" fontId="11" fillId="0" borderId="1" xfId="2" applyNumberFormat="1" applyFont="1" applyFill="1" applyBorder="1" applyAlignment="1">
      <alignment horizontal="right" vertical="center" wrapText="1"/>
    </xf>
    <xf numFmtId="169" fontId="11" fillId="0" borderId="1" xfId="4" applyNumberFormat="1" applyFont="1" applyFill="1" applyAlignment="1">
      <alignment horizontal="right" vertical="center" wrapText="1"/>
    </xf>
    <xf numFmtId="0" fontId="11" fillId="0" borderId="1" xfId="4" applyFont="1" applyFill="1" applyAlignment="1">
      <alignment vertical="center" wrapText="1"/>
    </xf>
    <xf numFmtId="0" fontId="11" fillId="0" borderId="1" xfId="4" applyFont="1" applyFill="1" applyAlignment="1">
      <alignment horizontal="center" vertical="center" wrapText="1"/>
    </xf>
    <xf numFmtId="0" fontId="11" fillId="0" borderId="20" xfId="4" applyFont="1" applyFill="1" applyBorder="1" applyAlignment="1">
      <alignment vertical="center" wrapText="1"/>
    </xf>
    <xf numFmtId="0" fontId="12" fillId="0" borderId="1" xfId="4" applyFont="1" applyFill="1" applyAlignment="1">
      <alignment horizontal="center" vertical="center" wrapText="1"/>
    </xf>
    <xf numFmtId="0" fontId="11" fillId="0" borderId="2" xfId="4" applyFont="1" applyFill="1" applyBorder="1" applyAlignment="1">
      <alignment horizontal="center" vertical="center" wrapText="1"/>
    </xf>
    <xf numFmtId="0" fontId="11" fillId="0" borderId="3" xfId="4" applyFont="1" applyFill="1" applyBorder="1" applyAlignment="1">
      <alignment horizontal="center" vertical="center" wrapText="1"/>
    </xf>
    <xf numFmtId="0" fontId="11" fillId="0" borderId="4" xfId="4" applyFont="1" applyFill="1" applyBorder="1" applyAlignment="1">
      <alignment horizontal="center" vertical="center" wrapText="1"/>
    </xf>
    <xf numFmtId="9" fontId="11" fillId="0" borderId="1" xfId="2" applyFont="1" applyFill="1" applyBorder="1" applyAlignment="1">
      <alignment horizontal="right" vertical="center" wrapText="1"/>
    </xf>
  </cellXfs>
  <cellStyles count="7">
    <cellStyle name="Calculation" xfId="4" builtinId="22"/>
    <cellStyle name="Comma" xfId="1" builtinId="3"/>
    <cellStyle name="Heading 4" xfId="3" builtinId="19"/>
    <cellStyle name="Hyperlink" xfId="6" builtinId="8"/>
    <cellStyle name="Normal" xfId="0" builtinId="0"/>
    <cellStyle name="Per cent" xfId="2" builtinId="5"/>
    <cellStyle name="Percent 2" xfId="5" xr:uid="{00000000-0005-0000-0000-000005000000}"/>
  </cellStyles>
  <dxfs count="12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tirgus!$C$3</c:f>
              <c:strCache>
                <c:ptCount val="1"/>
                <c:pt idx="0">
                  <c:v>Izrāžu skaits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tirgus!$D$2:$G$2</c:f>
              <c:strCach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strCache>
            </c:strRef>
          </c:cat>
          <c:val>
            <c:numRef>
              <c:f>tirgus!$D$3:$G$3</c:f>
              <c:numCache>
                <c:formatCode>#,##0</c:formatCode>
                <c:ptCount val="4"/>
                <c:pt idx="0">
                  <c:v>2989</c:v>
                </c:pt>
                <c:pt idx="1">
                  <c:v>3003</c:v>
                </c:pt>
                <c:pt idx="2">
                  <c:v>1522</c:v>
                </c:pt>
                <c:pt idx="3">
                  <c:v>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48-49F6-9CE6-2527807D5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49009647"/>
        <c:axId val="1748986607"/>
      </c:barChart>
      <c:lineChart>
        <c:grouping val="standard"/>
        <c:varyColors val="0"/>
        <c:ser>
          <c:idx val="1"/>
          <c:order val="1"/>
          <c:tx>
            <c:strRef>
              <c:f>tirgus!$C$4</c:f>
              <c:strCache>
                <c:ptCount val="1"/>
                <c:pt idx="0">
                  <c:v>Apmeklējumu skaits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tirgus!$D$2:$G$2</c:f>
              <c:strCach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strCache>
            </c:strRef>
          </c:cat>
          <c:val>
            <c:numRef>
              <c:f>tirgus!$D$4:$G$4</c:f>
              <c:numCache>
                <c:formatCode>#,##0</c:formatCode>
                <c:ptCount val="4"/>
                <c:pt idx="0">
                  <c:v>682962</c:v>
                </c:pt>
                <c:pt idx="1">
                  <c:v>730065</c:v>
                </c:pt>
                <c:pt idx="2">
                  <c:v>289087</c:v>
                </c:pt>
                <c:pt idx="3">
                  <c:v>176614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48-49F6-9CE6-2527807D5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8408607"/>
        <c:axId val="1128407167"/>
      </c:lineChart>
      <c:catAx>
        <c:axId val="17490096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LV"/>
          </a:p>
        </c:txPr>
        <c:crossAx val="1748986607"/>
        <c:crosses val="autoZero"/>
        <c:auto val="1"/>
        <c:lblAlgn val="ctr"/>
        <c:lblOffset val="100"/>
        <c:noMultiLvlLbl val="0"/>
      </c:catAx>
      <c:valAx>
        <c:axId val="1748986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LV"/>
          </a:p>
        </c:txPr>
        <c:crossAx val="1749009647"/>
        <c:crosses val="autoZero"/>
        <c:crossBetween val="between"/>
      </c:valAx>
      <c:valAx>
        <c:axId val="1128407167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LV"/>
          </a:p>
        </c:txPr>
        <c:crossAx val="1128408607"/>
        <c:crosses val="max"/>
        <c:crossBetween val="between"/>
      </c:valAx>
      <c:catAx>
        <c:axId val="112840860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2840716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LV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LV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tirgus!$C$13</c:f>
              <c:strCache>
                <c:ptCount val="1"/>
                <c:pt idx="0">
                  <c:v>Vidējā biļešu cena, 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LV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tirgus!$D$12:$H$12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tirgus!$D$13:$H$13</c:f>
              <c:numCache>
                <c:formatCode>General</c:formatCode>
                <c:ptCount val="5"/>
                <c:pt idx="0">
                  <c:v>12.45</c:v>
                </c:pt>
                <c:pt idx="1">
                  <c:v>12.45</c:v>
                </c:pt>
                <c:pt idx="2">
                  <c:v>15.79</c:v>
                </c:pt>
                <c:pt idx="3">
                  <c:v>20.5</c:v>
                </c:pt>
                <c:pt idx="4">
                  <c:v>26.74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48-4EC6-989A-462B28FD008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532246112"/>
        <c:axId val="1532253792"/>
      </c:barChart>
      <c:catAx>
        <c:axId val="1532246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LV"/>
          </a:p>
        </c:txPr>
        <c:crossAx val="1532253792"/>
        <c:crosses val="autoZero"/>
        <c:auto val="1"/>
        <c:lblAlgn val="ctr"/>
        <c:lblOffset val="100"/>
        <c:noMultiLvlLbl val="0"/>
      </c:catAx>
      <c:valAx>
        <c:axId val="1532253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LV"/>
          </a:p>
        </c:txPr>
        <c:crossAx val="1532246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LV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548-4B44-A89B-D5BFEE843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548-4B44-A89B-D5BFEE843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548-4B44-A89B-D5BFEE843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A548-4B44-A89B-D5BFEE843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A548-4B44-A89B-D5BFEE843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A548-4B44-A89B-D5BFEE843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A548-4B44-A89B-D5BFEE843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A548-4B44-A89B-D5BFEE843C5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LV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tirgus!$B$18:$B$25</c:f>
              <c:strCache>
                <c:ptCount val="8"/>
                <c:pt idx="0">
                  <c:v>Mākslinieciskā personāla izmaksas</c:v>
                </c:pt>
                <c:pt idx="1">
                  <c:v>Komunālie maksājumi</c:v>
                </c:pt>
                <c:pt idx="2">
                  <c:v>Izrāžu uzturēšanas izmaksas</c:v>
                </c:pt>
                <c:pt idx="3">
                  <c:v>Autoratlīdzības izmaksas</c:v>
                </c:pt>
                <c:pt idx="4">
                  <c:v>Citas  izmaksas</c:v>
                </c:pt>
                <c:pt idx="5">
                  <c:v>Administrācijas un reklāmas personāla izmaksas</c:v>
                </c:pt>
                <c:pt idx="6">
                  <c:v>Citas netiešās izmaksas</c:v>
                </c:pt>
                <c:pt idx="7">
                  <c:v>Reklāmas izmaksas</c:v>
                </c:pt>
              </c:strCache>
            </c:strRef>
          </c:cat>
          <c:val>
            <c:numRef>
              <c:f>tirgus!$C$18:$C$25</c:f>
              <c:numCache>
                <c:formatCode>#,##0</c:formatCode>
                <c:ptCount val="8"/>
                <c:pt idx="0">
                  <c:v>3537784</c:v>
                </c:pt>
                <c:pt idx="1">
                  <c:v>430703</c:v>
                </c:pt>
                <c:pt idx="2">
                  <c:v>666569</c:v>
                </c:pt>
                <c:pt idx="3">
                  <c:v>510677</c:v>
                </c:pt>
                <c:pt idx="4">
                  <c:v>319102</c:v>
                </c:pt>
                <c:pt idx="5">
                  <c:v>512447</c:v>
                </c:pt>
                <c:pt idx="6">
                  <c:v>281643</c:v>
                </c:pt>
                <c:pt idx="7">
                  <c:v>178285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7B-4DC2-A20C-C99531BA6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LV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</xdr:colOff>
      <xdr:row>0</xdr:row>
      <xdr:rowOff>178117</xdr:rowOff>
    </xdr:from>
    <xdr:to>
      <xdr:col>16</xdr:col>
      <xdr:colOff>312420</xdr:colOff>
      <xdr:row>16</xdr:row>
      <xdr:rowOff>25717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FC3DA4-5B15-5FDE-54F0-C8ECB3D7C9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607695</xdr:colOff>
      <xdr:row>0</xdr:row>
      <xdr:rowOff>111442</xdr:rowOff>
    </xdr:from>
    <xdr:to>
      <xdr:col>24</xdr:col>
      <xdr:colOff>302895</xdr:colOff>
      <xdr:row>15</xdr:row>
      <xdr:rowOff>140017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79064FC-D5F1-ABA8-00E7-1601331C09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335280</xdr:colOff>
      <xdr:row>16</xdr:row>
      <xdr:rowOff>140970</xdr:rowOff>
    </xdr:from>
    <xdr:to>
      <xdr:col>13</xdr:col>
      <xdr:colOff>30480</xdr:colOff>
      <xdr:row>31</xdr:row>
      <xdr:rowOff>140970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DBFEEB3-2EAC-698B-E5E5-474A19B041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m.gov.lv/lv/ikmenesa-makroekonomikas-un-kopbudzeta-apskat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fm.gov.lv/lv/ikmenesa-makroekonomikas-un-kopbudzeta-apskat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1"/>
  <sheetViews>
    <sheetView showGridLines="0" workbookViewId="0">
      <selection activeCell="I11" sqref="I11"/>
    </sheetView>
  </sheetViews>
  <sheetFormatPr baseColWidth="10" defaultColWidth="8.83203125" defaultRowHeight="15" outlineLevelCol="1" x14ac:dyDescent="0.2"/>
  <cols>
    <col min="1" max="1" width="4.6640625" style="117" customWidth="1"/>
    <col min="2" max="2" width="57.5" style="117" customWidth="1"/>
    <col min="3" max="4" width="10.5" style="117" customWidth="1" outlineLevel="1"/>
    <col min="5" max="7" width="10.33203125" style="117" customWidth="1" outlineLevel="1"/>
    <col min="8" max="8" width="11" style="117" customWidth="1"/>
    <col min="9" max="10" width="10.1640625" style="117" customWidth="1"/>
    <col min="11" max="11" width="10" style="117" customWidth="1"/>
    <col min="12" max="13" width="10.5" style="117" customWidth="1"/>
    <col min="14" max="14" width="8.33203125" customWidth="1"/>
  </cols>
  <sheetData>
    <row r="1" spans="1:20" x14ac:dyDescent="0.2">
      <c r="A1"/>
      <c r="B1"/>
      <c r="C1"/>
      <c r="D1"/>
      <c r="E1"/>
      <c r="F1"/>
      <c r="G1"/>
      <c r="H1"/>
      <c r="I1"/>
      <c r="J1"/>
      <c r="K1"/>
      <c r="L1"/>
      <c r="M1"/>
    </row>
    <row r="2" spans="1:20" ht="16" x14ac:dyDescent="0.2">
      <c r="A2" s="1"/>
      <c r="B2" s="81" t="s">
        <v>220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20" ht="16" x14ac:dyDescent="0.2">
      <c r="A3" s="1"/>
      <c r="B3"/>
      <c r="C3" s="2"/>
      <c r="D3" s="2"/>
      <c r="E3" s="3"/>
      <c r="F3" s="3"/>
      <c r="G3" s="4"/>
      <c r="H3" s="5"/>
      <c r="I3" s="1"/>
      <c r="J3" s="1"/>
      <c r="K3" s="1"/>
      <c r="L3" s="1"/>
      <c r="M3" s="1"/>
    </row>
    <row r="4" spans="1:20" ht="16" x14ac:dyDescent="0.2">
      <c r="A4" s="1"/>
      <c r="B4"/>
      <c r="C4" s="2"/>
      <c r="D4" s="2"/>
      <c r="E4" s="3"/>
      <c r="F4" s="3"/>
      <c r="G4" s="4"/>
      <c r="H4" s="5"/>
      <c r="I4" s="1"/>
      <c r="J4" s="1"/>
      <c r="K4" s="1"/>
      <c r="L4" s="1"/>
      <c r="M4" s="1"/>
    </row>
    <row r="5" spans="1:20" x14ac:dyDescent="0.2">
      <c r="A5" s="31"/>
      <c r="B5" s="85" t="s">
        <v>1</v>
      </c>
      <c r="C5" s="86" t="s">
        <v>112</v>
      </c>
      <c r="D5" s="86" t="s">
        <v>102</v>
      </c>
      <c r="E5" s="86" t="s">
        <v>103</v>
      </c>
      <c r="F5" s="86" t="s">
        <v>104</v>
      </c>
      <c r="G5" s="86" t="s">
        <v>105</v>
      </c>
      <c r="H5" s="86" t="s">
        <v>106</v>
      </c>
      <c r="I5" s="86" t="s">
        <v>107</v>
      </c>
      <c r="J5" s="86" t="s">
        <v>108</v>
      </c>
      <c r="K5" s="86" t="s">
        <v>109</v>
      </c>
      <c r="L5" s="86" t="s">
        <v>110</v>
      </c>
      <c r="M5" s="87" t="s">
        <v>177</v>
      </c>
    </row>
    <row r="6" spans="1:20" x14ac:dyDescent="0.2">
      <c r="A6" s="31"/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227"/>
    </row>
    <row r="7" spans="1:20" x14ac:dyDescent="0.2">
      <c r="A7" s="41"/>
      <c r="B7" s="6" t="s">
        <v>2</v>
      </c>
      <c r="C7" s="7">
        <f t="shared" ref="C7:L7" si="0">SUM(C8:C10)</f>
        <v>2538446</v>
      </c>
      <c r="D7" s="7">
        <f t="shared" si="0"/>
        <v>2633524</v>
      </c>
      <c r="E7" s="7">
        <f t="shared" si="0"/>
        <v>1260208</v>
      </c>
      <c r="F7" s="7">
        <f t="shared" si="0"/>
        <v>808521</v>
      </c>
      <c r="G7" s="7">
        <f t="shared" si="0"/>
        <v>3051699</v>
      </c>
      <c r="H7" s="7">
        <f t="shared" si="0"/>
        <v>3300319.2932138201</v>
      </c>
      <c r="I7" s="7">
        <f t="shared" si="0"/>
        <v>4066014.9346742635</v>
      </c>
      <c r="J7" s="7">
        <f t="shared" si="0"/>
        <v>4305863.1737489048</v>
      </c>
      <c r="K7" s="7">
        <f t="shared" si="0"/>
        <v>4504182.9083153466</v>
      </c>
      <c r="L7" s="7">
        <f t="shared" si="0"/>
        <v>4711566.6483893115</v>
      </c>
      <c r="M7" s="8">
        <f t="shared" ref="M7" si="1">SUM(M8:M10)</f>
        <v>4945697.0429217704</v>
      </c>
    </row>
    <row r="8" spans="1:20" x14ac:dyDescent="0.2">
      <c r="A8" s="31"/>
      <c r="B8" s="9" t="s">
        <v>3</v>
      </c>
      <c r="C8" s="10">
        <v>2276672</v>
      </c>
      <c r="D8" s="10">
        <v>2389712</v>
      </c>
      <c r="E8" s="10">
        <v>1153780</v>
      </c>
      <c r="F8" s="10">
        <v>638502</v>
      </c>
      <c r="G8" s="10">
        <v>2757500</v>
      </c>
      <c r="H8" s="10">
        <f>H122+H123</f>
        <v>2976700.3932138202</v>
      </c>
      <c r="I8" s="10">
        <f t="shared" ref="I8:M8" si="2">I122+I123</f>
        <v>3685276.4188742633</v>
      </c>
      <c r="J8" s="10">
        <f t="shared" si="2"/>
        <v>3915606.1950539048</v>
      </c>
      <c r="K8" s="10">
        <f t="shared" si="2"/>
        <v>4104169.5051529715</v>
      </c>
      <c r="L8" s="10">
        <f t="shared" si="2"/>
        <v>4301552.9101478774</v>
      </c>
      <c r="M8" s="11">
        <f t="shared" si="2"/>
        <v>4525432.9612242999</v>
      </c>
      <c r="N8" s="68"/>
      <c r="O8" s="68"/>
      <c r="P8" s="68"/>
    </row>
    <row r="9" spans="1:20" x14ac:dyDescent="0.2">
      <c r="A9" s="31"/>
      <c r="B9" s="9" t="s">
        <v>4</v>
      </c>
      <c r="C9" s="10">
        <v>261774</v>
      </c>
      <c r="D9" s="10">
        <v>243812</v>
      </c>
      <c r="E9" s="10">
        <v>106428</v>
      </c>
      <c r="F9" s="10">
        <v>170019</v>
      </c>
      <c r="G9" s="10">
        <v>294199</v>
      </c>
      <c r="H9" s="10">
        <f>H126+H127</f>
        <v>323618.90000000002</v>
      </c>
      <c r="I9" s="10">
        <f>I126+I127</f>
        <v>380738.51580000005</v>
      </c>
      <c r="J9" s="10">
        <f t="shared" ref="J9:M9" si="3">J126+J127</f>
        <v>390256.978695</v>
      </c>
      <c r="K9" s="10">
        <f t="shared" si="3"/>
        <v>400013.40316237498</v>
      </c>
      <c r="L9" s="10">
        <f t="shared" si="3"/>
        <v>410013.73824143433</v>
      </c>
      <c r="M9" s="11">
        <f t="shared" si="3"/>
        <v>420264.08169747016</v>
      </c>
    </row>
    <row r="10" spans="1:20" x14ac:dyDescent="0.2">
      <c r="A10" s="31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1"/>
      <c r="O10" s="68"/>
    </row>
    <row r="11" spans="1:20" x14ac:dyDescent="0.2">
      <c r="A11" s="41"/>
      <c r="B11" s="6" t="s">
        <v>5</v>
      </c>
      <c r="C11" s="7">
        <f>SUM(C12:C16)</f>
        <v>3932411</v>
      </c>
      <c r="D11" s="7">
        <f>SUM(D12:D16)</f>
        <v>3959004</v>
      </c>
      <c r="E11" s="7">
        <f>SUM(E12:E16)</f>
        <v>4159822</v>
      </c>
      <c r="F11" s="7">
        <f>SUM(F12:F16)</f>
        <v>3289055</v>
      </c>
      <c r="G11" s="7">
        <f>SUM(G12:G16)</f>
        <v>5464835</v>
      </c>
      <c r="H11" s="7">
        <f t="shared" ref="H11:L11" si="4">SUM(H12:H16)</f>
        <v>5836228.5847118618</v>
      </c>
      <c r="I11" s="7">
        <f t="shared" si="4"/>
        <v>6380684.3582439497</v>
      </c>
      <c r="J11" s="7">
        <f t="shared" si="4"/>
        <v>6695606.7454756144</v>
      </c>
      <c r="K11" s="7">
        <f t="shared" si="4"/>
        <v>6969869.9386890316</v>
      </c>
      <c r="L11" s="7">
        <f t="shared" si="4"/>
        <v>7244064.6327158436</v>
      </c>
      <c r="M11" s="8">
        <f t="shared" ref="M11" si="5">SUM(M12:M16)</f>
        <v>7508312.1119157104</v>
      </c>
    </row>
    <row r="12" spans="1:20" x14ac:dyDescent="0.2">
      <c r="A12" s="31"/>
      <c r="B12" s="9" t="s">
        <v>6</v>
      </c>
      <c r="C12" s="10">
        <f>1734815+421321+304012+69558-6341</f>
        <v>2523365</v>
      </c>
      <c r="D12" s="10">
        <f>2110860+505721-7941</f>
        <v>2608640</v>
      </c>
      <c r="E12" s="10">
        <f>2143177+504217+26888</f>
        <v>2674282</v>
      </c>
      <c r="F12" s="10">
        <f>2055261+472374+3468</f>
        <v>2531103</v>
      </c>
      <c r="G12" s="10">
        <f>2847929+662812+27043</f>
        <v>3537784</v>
      </c>
      <c r="H12" s="10">
        <f>H131+H132</f>
        <v>3824622.0801758715</v>
      </c>
      <c r="I12" s="10">
        <f t="shared" ref="I12:M12" si="6">I131+I132</f>
        <v>4265154.4663741384</v>
      </c>
      <c r="J12" s="10">
        <f t="shared" si="6"/>
        <v>4478412.1896928456</v>
      </c>
      <c r="K12" s="10">
        <f t="shared" si="6"/>
        <v>4657548.6772805601</v>
      </c>
      <c r="L12" s="10">
        <f t="shared" si="6"/>
        <v>4843850.6243717819</v>
      </c>
      <c r="M12" s="11">
        <f t="shared" si="6"/>
        <v>5037604.6493466534</v>
      </c>
      <c r="P12" s="68"/>
      <c r="Q12" s="68"/>
      <c r="R12" s="68"/>
      <c r="S12" s="68"/>
      <c r="T12" s="68"/>
    </row>
    <row r="13" spans="1:20" x14ac:dyDescent="0.2">
      <c r="A13" s="31"/>
      <c r="B13" s="9" t="s">
        <v>7</v>
      </c>
      <c r="C13" s="10">
        <v>223225</v>
      </c>
      <c r="D13" s="10">
        <f>204444+52734</f>
        <v>257178</v>
      </c>
      <c r="E13" s="10">
        <f>179290+72913</f>
        <v>252203</v>
      </c>
      <c r="F13" s="10">
        <f>183340+53958</f>
        <v>237298</v>
      </c>
      <c r="G13" s="10">
        <f>354321+76382</f>
        <v>430703</v>
      </c>
      <c r="H13" s="10">
        <f>H133+H134</f>
        <v>473773.30000000005</v>
      </c>
      <c r="I13" s="10">
        <f t="shared" ref="I13:M13" si="7">I133+I134</f>
        <v>484196.31260000006</v>
      </c>
      <c r="J13" s="10">
        <f t="shared" si="7"/>
        <v>496301.22041500005</v>
      </c>
      <c r="K13" s="10">
        <f t="shared" si="7"/>
        <v>508708.75092537503</v>
      </c>
      <c r="L13" s="10">
        <f t="shared" si="7"/>
        <v>521426.46969850938</v>
      </c>
      <c r="M13" s="11">
        <f t="shared" si="7"/>
        <v>534462.13144097209</v>
      </c>
    </row>
    <row r="14" spans="1:20" x14ac:dyDescent="0.2">
      <c r="A14" s="31"/>
      <c r="B14" s="9" t="s">
        <v>8</v>
      </c>
      <c r="C14" s="10">
        <v>642822</v>
      </c>
      <c r="D14" s="10">
        <v>530376</v>
      </c>
      <c r="E14" s="10">
        <v>690955</v>
      </c>
      <c r="F14" s="10">
        <v>298158</v>
      </c>
      <c r="G14" s="10">
        <f>666569</f>
        <v>666569</v>
      </c>
      <c r="H14" s="10">
        <f>H135+H136</f>
        <v>761512.49958137062</v>
      </c>
      <c r="I14" s="10">
        <f t="shared" ref="I14:M14" si="8">I135+I136</f>
        <v>783489.03480418876</v>
      </c>
      <c r="J14" s="10">
        <f t="shared" si="8"/>
        <v>816460.86501886486</v>
      </c>
      <c r="K14" s="10">
        <f t="shared" si="8"/>
        <v>836872.38664433639</v>
      </c>
      <c r="L14" s="10">
        <f t="shared" si="8"/>
        <v>857794.19631044473</v>
      </c>
      <c r="M14" s="11">
        <f t="shared" si="8"/>
        <v>879239.05121820583</v>
      </c>
    </row>
    <row r="15" spans="1:20" x14ac:dyDescent="0.2">
      <c r="A15" s="31"/>
      <c r="B15" s="9" t="s">
        <v>9</v>
      </c>
      <c r="C15" s="12">
        <v>371075</v>
      </c>
      <c r="D15" s="12">
        <v>408950</v>
      </c>
      <c r="E15" s="12">
        <v>222899</v>
      </c>
      <c r="F15" s="12">
        <v>62466</v>
      </c>
      <c r="G15" s="12">
        <v>510677</v>
      </c>
      <c r="H15" s="10">
        <f>H137+H138</f>
        <v>552081.90495461947</v>
      </c>
      <c r="I15" s="10">
        <f t="shared" ref="I15:M15" si="9">I137+I138</f>
        <v>615672.49086562253</v>
      </c>
      <c r="J15" s="10">
        <f t="shared" si="9"/>
        <v>646456.11540890369</v>
      </c>
      <c r="K15" s="10">
        <f t="shared" si="9"/>
        <v>672314.3600252599</v>
      </c>
      <c r="L15" s="10">
        <f t="shared" si="9"/>
        <v>699206.93442627019</v>
      </c>
      <c r="M15" s="11">
        <f t="shared" si="9"/>
        <v>727175.21180332103</v>
      </c>
    </row>
    <row r="16" spans="1:20" x14ac:dyDescent="0.2">
      <c r="A16" s="31"/>
      <c r="B16" s="9" t="s">
        <v>10</v>
      </c>
      <c r="C16" s="12">
        <f>4045064-SUM(C12:C15)-C32</f>
        <v>171924</v>
      </c>
      <c r="D16" s="12">
        <f>4088753-SUM(D12:D15)-D32</f>
        <v>153860</v>
      </c>
      <c r="E16" s="12">
        <f>4257512-SUM(E12:E15)-E32</f>
        <v>319483</v>
      </c>
      <c r="F16" s="12">
        <f>3389093-SUM(F12:F15)-F32</f>
        <v>160030</v>
      </c>
      <c r="G16" s="12">
        <f>5778305-SUM(G12:G15)-G32</f>
        <v>319102</v>
      </c>
      <c r="H16" s="10">
        <f>H139+H140</f>
        <v>224238.8</v>
      </c>
      <c r="I16" s="10">
        <f t="shared" ref="I16:M16" si="10">I139+I140</f>
        <v>232172.05359999998</v>
      </c>
      <c r="J16" s="10">
        <f t="shared" si="10"/>
        <v>257976.35493999996</v>
      </c>
      <c r="K16" s="10">
        <f t="shared" si="10"/>
        <v>294425.76381349994</v>
      </c>
      <c r="L16" s="10">
        <f t="shared" si="10"/>
        <v>321786.40790883743</v>
      </c>
      <c r="M16" s="11">
        <f t="shared" si="10"/>
        <v>329831.06810655835</v>
      </c>
    </row>
    <row r="17" spans="1:17" x14ac:dyDescent="0.2">
      <c r="A17" s="31"/>
      <c r="B17" s="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</row>
    <row r="18" spans="1:17" ht="16" x14ac:dyDescent="0.2">
      <c r="A18" s="31"/>
      <c r="B18" s="14" t="s">
        <v>11</v>
      </c>
      <c r="C18" s="15">
        <f t="shared" ref="C18:L18" si="11">C7-C11</f>
        <v>-1393965</v>
      </c>
      <c r="D18" s="15">
        <f t="shared" si="11"/>
        <v>-1325480</v>
      </c>
      <c r="E18" s="15">
        <f t="shared" si="11"/>
        <v>-2899614</v>
      </c>
      <c r="F18" s="15">
        <f t="shared" si="11"/>
        <v>-2480534</v>
      </c>
      <c r="G18" s="15">
        <f t="shared" si="11"/>
        <v>-2413136</v>
      </c>
      <c r="H18" s="15">
        <f t="shared" si="11"/>
        <v>-2535909.2914980417</v>
      </c>
      <c r="I18" s="15">
        <f t="shared" si="11"/>
        <v>-2314669.4235696862</v>
      </c>
      <c r="J18" s="15">
        <f t="shared" si="11"/>
        <v>-2389743.5717267096</v>
      </c>
      <c r="K18" s="15">
        <f t="shared" si="11"/>
        <v>-2465687.0303736851</v>
      </c>
      <c r="L18" s="15">
        <f t="shared" si="11"/>
        <v>-2532497.9843265321</v>
      </c>
      <c r="M18" s="16">
        <f t="shared" ref="M18" si="12">M7-M11</f>
        <v>-2562615.06899394</v>
      </c>
    </row>
    <row r="19" spans="1:17" x14ac:dyDescent="0.2">
      <c r="A19" s="31"/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9"/>
    </row>
    <row r="20" spans="1:17" ht="16" x14ac:dyDescent="0.2">
      <c r="A20" s="31"/>
      <c r="B20" s="20" t="s">
        <v>95</v>
      </c>
      <c r="C20" s="7">
        <f t="shared" ref="C20:G20" si="13">SUM(C21:C23)</f>
        <v>2090980</v>
      </c>
      <c r="D20" s="7">
        <f t="shared" si="13"/>
        <v>2048664</v>
      </c>
      <c r="E20" s="7">
        <f t="shared" si="13"/>
        <v>3775609</v>
      </c>
      <c r="F20" s="7">
        <f t="shared" si="13"/>
        <v>3266036</v>
      </c>
      <c r="G20" s="7">
        <f t="shared" si="13"/>
        <v>3713928</v>
      </c>
      <c r="H20" s="7">
        <f t="shared" ref="H20:M20" si="14">SUM(H21:H23)</f>
        <v>3887030.7067861799</v>
      </c>
      <c r="I20" s="7">
        <f t="shared" si="14"/>
        <v>3754195.9843354756</v>
      </c>
      <c r="J20" s="7">
        <f t="shared" si="14"/>
        <v>3841734.6714438619</v>
      </c>
      <c r="K20" s="7">
        <f t="shared" si="14"/>
        <v>3931461.8257299582</v>
      </c>
      <c r="L20" s="7">
        <f t="shared" si="14"/>
        <v>4023432.1588732069</v>
      </c>
      <c r="M20" s="8">
        <f t="shared" si="14"/>
        <v>3986111.2503450364</v>
      </c>
    </row>
    <row r="21" spans="1:17" x14ac:dyDescent="0.2">
      <c r="A21" s="31"/>
      <c r="B21" s="9" t="s">
        <v>157</v>
      </c>
      <c r="C21" s="10">
        <f>1909307+69274</f>
        <v>1978581</v>
      </c>
      <c r="D21" s="10">
        <f>1897972+46882</f>
        <v>1944854</v>
      </c>
      <c r="E21" s="10">
        <f>2501494+1005157</f>
        <v>3506651</v>
      </c>
      <c r="F21" s="10">
        <f>2944996</f>
        <v>2944996</v>
      </c>
      <c r="G21" s="10">
        <f>3172538+142505</f>
        <v>3315043</v>
      </c>
      <c r="H21" s="10">
        <f>H124</f>
        <v>3247258</v>
      </c>
      <c r="I21" s="10">
        <f t="shared" ref="I21:L21" si="15">I124</f>
        <v>3318697.676</v>
      </c>
      <c r="J21" s="10">
        <f t="shared" si="15"/>
        <v>3401665.1178999995</v>
      </c>
      <c r="K21" s="10">
        <f t="shared" si="15"/>
        <v>3486706.745847499</v>
      </c>
      <c r="L21" s="10">
        <f t="shared" si="15"/>
        <v>3573874.4144936861</v>
      </c>
      <c r="M21" s="11">
        <f t="shared" ref="M21" si="16">M124</f>
        <v>3663221.2748560277</v>
      </c>
      <c r="O21" s="68"/>
    </row>
    <row r="22" spans="1:17" x14ac:dyDescent="0.2">
      <c r="A22" s="31"/>
      <c r="B22" s="9" t="s">
        <v>151</v>
      </c>
      <c r="C22" s="10">
        <v>4167</v>
      </c>
      <c r="D22" s="10">
        <f>25896</f>
        <v>25896</v>
      </c>
      <c r="E22" s="10">
        <v>107860</v>
      </c>
      <c r="F22" s="10">
        <v>74593</v>
      </c>
      <c r="G22" s="10">
        <f>142505+84346</f>
        <v>226851</v>
      </c>
      <c r="H22" s="10">
        <f>H125</f>
        <v>460859</v>
      </c>
      <c r="I22" s="10">
        <f t="shared" ref="I22:L22" si="17">I125</f>
        <v>252648.5</v>
      </c>
      <c r="J22" s="10">
        <f t="shared" si="17"/>
        <v>252648.5</v>
      </c>
      <c r="K22" s="10">
        <f t="shared" si="17"/>
        <v>252648.5</v>
      </c>
      <c r="L22" s="10">
        <f t="shared" si="17"/>
        <v>252648.5</v>
      </c>
      <c r="M22" s="11">
        <f t="shared" ref="M22" si="18">M125</f>
        <v>121058</v>
      </c>
      <c r="O22" s="68"/>
    </row>
    <row r="23" spans="1:17" ht="16" x14ac:dyDescent="0.2">
      <c r="A23" s="31"/>
      <c r="B23" s="69" t="s">
        <v>111</v>
      </c>
      <c r="C23" s="70">
        <f>2090980-C21-C22</f>
        <v>108232</v>
      </c>
      <c r="D23" s="70">
        <f>2036678-D21-D22+11986</f>
        <v>77914</v>
      </c>
      <c r="E23" s="70">
        <f>3774270-E21-E22+1339</f>
        <v>161098</v>
      </c>
      <c r="F23" s="70">
        <f>3266036-F21-F22</f>
        <v>246447</v>
      </c>
      <c r="G23" s="70">
        <f>3713928-G21-G22</f>
        <v>172034</v>
      </c>
      <c r="H23" s="35">
        <f>H128</f>
        <v>178913.7067861798</v>
      </c>
      <c r="I23" s="35">
        <f t="shared" ref="I23:L23" si="19">I128</f>
        <v>182849.80833547577</v>
      </c>
      <c r="J23" s="35">
        <f t="shared" si="19"/>
        <v>187421.05354386265</v>
      </c>
      <c r="K23" s="35">
        <f t="shared" si="19"/>
        <v>192106.57988245919</v>
      </c>
      <c r="L23" s="35">
        <f t="shared" si="19"/>
        <v>196909.24437952065</v>
      </c>
      <c r="M23" s="71">
        <f t="shared" ref="M23" si="20">M128</f>
        <v>201831.97548900865</v>
      </c>
      <c r="N23" s="68"/>
      <c r="O23" s="68"/>
      <c r="P23" s="68"/>
      <c r="Q23" s="68"/>
    </row>
    <row r="24" spans="1:17" x14ac:dyDescent="0.2">
      <c r="A24" s="31"/>
      <c r="B24" s="69"/>
      <c r="C24" s="70"/>
      <c r="D24" s="70"/>
      <c r="E24" s="70"/>
      <c r="F24" s="70"/>
      <c r="G24" s="70"/>
      <c r="H24" s="35"/>
      <c r="I24" s="35"/>
      <c r="J24" s="35"/>
      <c r="K24" s="35"/>
      <c r="L24" s="35"/>
      <c r="M24" s="71"/>
      <c r="N24" s="68"/>
      <c r="O24" s="68"/>
      <c r="P24" s="68"/>
      <c r="Q24" s="68"/>
    </row>
    <row r="25" spans="1:17" x14ac:dyDescent="0.2">
      <c r="A25" s="31"/>
      <c r="B25" s="6" t="s">
        <v>12</v>
      </c>
      <c r="C25" s="7">
        <f>SUM(C26:C28)</f>
        <v>582294</v>
      </c>
      <c r="D25" s="7">
        <f>SUM(D26:D28)</f>
        <v>587761</v>
      </c>
      <c r="E25" s="7">
        <f>SUM(E26:E28)</f>
        <v>771230</v>
      </c>
      <c r="F25" s="7">
        <f>SUM(F26:F28)</f>
        <v>681511</v>
      </c>
      <c r="G25" s="7">
        <f t="shared" ref="G25:L25" si="21">SUM(G26:G28)</f>
        <v>972375</v>
      </c>
      <c r="H25" s="7">
        <f t="shared" si="21"/>
        <v>972590.97482412937</v>
      </c>
      <c r="I25" s="7">
        <f t="shared" si="21"/>
        <v>1047091.1098763326</v>
      </c>
      <c r="J25" s="7">
        <f t="shared" si="21"/>
        <v>1089156.3630391492</v>
      </c>
      <c r="K25" s="7">
        <f t="shared" si="21"/>
        <v>1126394.6966271505</v>
      </c>
      <c r="L25" s="7">
        <f t="shared" si="21"/>
        <v>1164964.3655353321</v>
      </c>
      <c r="M25" s="8">
        <f t="shared" ref="M25" si="22">SUM(M26:M28)</f>
        <v>1204914.6682259187</v>
      </c>
    </row>
    <row r="26" spans="1:17" x14ac:dyDescent="0.2">
      <c r="A26" s="31"/>
      <c r="B26" s="23" t="s">
        <v>13</v>
      </c>
      <c r="C26" s="10">
        <f>46274+12176+213972+49274</f>
        <v>321696</v>
      </c>
      <c r="D26" s="10">
        <f>29486+9602+212313+47955</f>
        <v>299356</v>
      </c>
      <c r="E26" s="10">
        <f>49854+11877+345324+81592</f>
        <v>488647</v>
      </c>
      <c r="F26" s="10">
        <f>268517+60659+98955+23344</f>
        <v>451475</v>
      </c>
      <c r="G26" s="10">
        <f>287182+65823+131454+27988</f>
        <v>512447</v>
      </c>
      <c r="H26" s="10">
        <f>H141+H142</f>
        <v>569878.55482412933</v>
      </c>
      <c r="I26" s="10">
        <f t="shared" ref="I26:M26" si="23">I141+I142</f>
        <v>635519.01663633261</v>
      </c>
      <c r="J26" s="10">
        <f t="shared" si="23"/>
        <v>667294.96746814926</v>
      </c>
      <c r="K26" s="10">
        <f t="shared" si="23"/>
        <v>693986.76616687537</v>
      </c>
      <c r="L26" s="10">
        <f t="shared" si="23"/>
        <v>721746.23681355023</v>
      </c>
      <c r="M26" s="11">
        <f t="shared" si="23"/>
        <v>750616.08628609229</v>
      </c>
    </row>
    <row r="27" spans="1:17" x14ac:dyDescent="0.2">
      <c r="A27" s="31"/>
      <c r="B27" s="23" t="s">
        <v>14</v>
      </c>
      <c r="C27" s="10">
        <f>127166+5502+294627-213972-49274+14493</f>
        <v>178542</v>
      </c>
      <c r="D27" s="10">
        <f>126926+4262+293569-212313-47955+23653</f>
        <v>188142</v>
      </c>
      <c r="E27" s="10">
        <f>58317+11085+492462-345324-81592+13284</f>
        <v>148232</v>
      </c>
      <c r="F27" s="10">
        <f>27895+3186+440622-268517-60659</f>
        <v>142527</v>
      </c>
      <c r="G27" s="10">
        <f>75081+86+49765+509716-287182-65823</f>
        <v>281643</v>
      </c>
      <c r="H27" s="10">
        <f>H143+H144</f>
        <v>206598.92000000004</v>
      </c>
      <c r="I27" s="10">
        <f t="shared" ref="I27:M27" si="24">I143+I144</f>
        <v>211144.09624000004</v>
      </c>
      <c r="J27" s="10">
        <f t="shared" si="24"/>
        <v>216422.69864600003</v>
      </c>
      <c r="K27" s="10">
        <f t="shared" si="24"/>
        <v>221833.26611215001</v>
      </c>
      <c r="L27" s="10">
        <f t="shared" si="24"/>
        <v>227379.09776495374</v>
      </c>
      <c r="M27" s="11">
        <f t="shared" si="24"/>
        <v>233063.57520907756</v>
      </c>
    </row>
    <row r="28" spans="1:17" ht="16" x14ac:dyDescent="0.2">
      <c r="A28" s="31"/>
      <c r="B28" s="24" t="s">
        <v>15</v>
      </c>
      <c r="C28" s="12">
        <v>82056</v>
      </c>
      <c r="D28" s="12">
        <f>100263</f>
        <v>100263</v>
      </c>
      <c r="E28" s="12">
        <v>134351</v>
      </c>
      <c r="F28" s="12">
        <f>87509</f>
        <v>87509</v>
      </c>
      <c r="G28" s="12">
        <v>178285</v>
      </c>
      <c r="H28" s="10">
        <f>H145+H146</f>
        <v>196113.50000000003</v>
      </c>
      <c r="I28" s="10">
        <f t="shared" ref="I28:M28" si="25">I145+I146</f>
        <v>200427.99700000003</v>
      </c>
      <c r="J28" s="10">
        <f t="shared" si="25"/>
        <v>205438.69692500003</v>
      </c>
      <c r="K28" s="10">
        <f t="shared" si="25"/>
        <v>210574.66434812502</v>
      </c>
      <c r="L28" s="10">
        <f t="shared" si="25"/>
        <v>215839.03095682812</v>
      </c>
      <c r="M28" s="11">
        <f t="shared" si="25"/>
        <v>221235.00673074881</v>
      </c>
    </row>
    <row r="29" spans="1:17" x14ac:dyDescent="0.2">
      <c r="A29" s="31"/>
      <c r="B29" s="2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  <row r="30" spans="1:17" ht="16" x14ac:dyDescent="0.2">
      <c r="A30" s="31"/>
      <c r="B30" s="20" t="s">
        <v>16</v>
      </c>
      <c r="C30" s="21">
        <f t="shared" ref="C30:L30" si="26">C18+C20-C25</f>
        <v>114721</v>
      </c>
      <c r="D30" s="21">
        <f t="shared" ref="D30" si="27">D18+D20-D25</f>
        <v>135423</v>
      </c>
      <c r="E30" s="21">
        <f t="shared" si="26"/>
        <v>104765</v>
      </c>
      <c r="F30" s="21">
        <f t="shared" si="26"/>
        <v>103991</v>
      </c>
      <c r="G30" s="21">
        <f t="shared" si="26"/>
        <v>328417</v>
      </c>
      <c r="H30" s="21">
        <f t="shared" si="26"/>
        <v>378530.44046400883</v>
      </c>
      <c r="I30" s="21">
        <f>I18+I20-I25</f>
        <v>392435.45088945678</v>
      </c>
      <c r="J30" s="21">
        <f t="shared" si="26"/>
        <v>362834.7366780031</v>
      </c>
      <c r="K30" s="21">
        <f t="shared" si="26"/>
        <v>339380.09872912266</v>
      </c>
      <c r="L30" s="21">
        <f t="shared" si="26"/>
        <v>325969.8090113427</v>
      </c>
      <c r="M30" s="22">
        <f t="shared" ref="M30" si="28">M18+M20-M25</f>
        <v>218581.51312517771</v>
      </c>
    </row>
    <row r="31" spans="1:17" x14ac:dyDescent="0.2">
      <c r="A31" s="31"/>
      <c r="B31" s="2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3"/>
    </row>
    <row r="32" spans="1:17" ht="16" x14ac:dyDescent="0.2">
      <c r="A32" s="31"/>
      <c r="B32" s="24" t="s">
        <v>17</v>
      </c>
      <c r="C32" s="12">
        <v>112653</v>
      </c>
      <c r="D32" s="12">
        <v>129749</v>
      </c>
      <c r="E32" s="12">
        <v>97690</v>
      </c>
      <c r="F32" s="12">
        <v>100038</v>
      </c>
      <c r="G32" s="12">
        <v>313470</v>
      </c>
      <c r="H32" s="35">
        <f>SUM(H153:H154)+H157</f>
        <v>365513.22699724516</v>
      </c>
      <c r="I32" s="35">
        <f t="shared" ref="I32:M32" si="29">SUM(I153:I154)+I157</f>
        <v>364272.06479338842</v>
      </c>
      <c r="J32" s="35">
        <f t="shared" si="29"/>
        <v>333967.83233057847</v>
      </c>
      <c r="K32" s="35">
        <f t="shared" si="29"/>
        <v>312765.76867438015</v>
      </c>
      <c r="L32" s="35">
        <f t="shared" si="29"/>
        <v>299771.05989818182</v>
      </c>
      <c r="M32" s="71">
        <f t="shared" si="29"/>
        <v>193711.96967858385</v>
      </c>
    </row>
    <row r="33" spans="1:13" x14ac:dyDescent="0.2">
      <c r="A33" s="31"/>
      <c r="B33" s="24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3"/>
    </row>
    <row r="34" spans="1:13" ht="16" x14ac:dyDescent="0.2">
      <c r="A34" s="31"/>
      <c r="B34" s="20" t="s">
        <v>18</v>
      </c>
      <c r="C34" s="21">
        <f t="shared" ref="C34:F34" si="30">C30-C32</f>
        <v>2068</v>
      </c>
      <c r="D34" s="21">
        <f t="shared" ref="D34" si="31">D30-D32</f>
        <v>5674</v>
      </c>
      <c r="E34" s="21">
        <f t="shared" si="30"/>
        <v>7075</v>
      </c>
      <c r="F34" s="21">
        <f t="shared" si="30"/>
        <v>3953</v>
      </c>
      <c r="G34" s="21">
        <f>G30-G32</f>
        <v>14947</v>
      </c>
      <c r="H34" s="21">
        <f t="shared" ref="H34:L34" si="32">H30-H32</f>
        <v>13017.213466763671</v>
      </c>
      <c r="I34" s="21">
        <f t="shared" si="32"/>
        <v>28163.386096068367</v>
      </c>
      <c r="J34" s="21">
        <f t="shared" si="32"/>
        <v>28866.904347424628</v>
      </c>
      <c r="K34" s="21">
        <f t="shared" si="32"/>
        <v>26614.330054742517</v>
      </c>
      <c r="L34" s="21">
        <f t="shared" si="32"/>
        <v>26198.749113160884</v>
      </c>
      <c r="M34" s="22">
        <f t="shared" ref="M34" si="33">M30-M32</f>
        <v>24869.54344659386</v>
      </c>
    </row>
    <row r="35" spans="1:13" x14ac:dyDescent="0.2">
      <c r="A35" s="31"/>
      <c r="B35" s="24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spans="1:13" ht="16" x14ac:dyDescent="0.2">
      <c r="A36" s="31"/>
      <c r="B36" s="24" t="s">
        <v>19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35">
        <f t="shared" ref="H36:M36" si="34">H163+H164</f>
        <v>11016.788140000001</v>
      </c>
      <c r="I36" s="35">
        <f t="shared" si="34"/>
        <v>23433.576880000001</v>
      </c>
      <c r="J36" s="35">
        <f t="shared" si="34"/>
        <v>20783.576880000001</v>
      </c>
      <c r="K36" s="35">
        <f t="shared" si="34"/>
        <v>18133.576880000001</v>
      </c>
      <c r="L36" s="35">
        <f t="shared" si="34"/>
        <v>15483.576880000001</v>
      </c>
      <c r="M36" s="71">
        <f t="shared" si="34"/>
        <v>12833.576880000001</v>
      </c>
    </row>
    <row r="37" spans="1:13" x14ac:dyDescent="0.2">
      <c r="A37" s="31"/>
      <c r="B37" s="24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</row>
    <row r="38" spans="1:13" ht="16" x14ac:dyDescent="0.2">
      <c r="A38" s="31"/>
      <c r="B38" s="20" t="s">
        <v>20</v>
      </c>
      <c r="C38" s="21">
        <f t="shared" ref="C38:F38" si="35">C34-C36</f>
        <v>2068</v>
      </c>
      <c r="D38" s="21">
        <f t="shared" ref="D38" si="36">D34-D36</f>
        <v>5674</v>
      </c>
      <c r="E38" s="21">
        <f t="shared" si="35"/>
        <v>7075</v>
      </c>
      <c r="F38" s="21">
        <f t="shared" si="35"/>
        <v>3953</v>
      </c>
      <c r="G38" s="21">
        <f>G34-G36</f>
        <v>14947</v>
      </c>
      <c r="H38" s="21">
        <f>H34-H36</f>
        <v>2000.4253267636705</v>
      </c>
      <c r="I38" s="21">
        <f t="shared" ref="I38:L38" si="37">I34-I36</f>
        <v>4729.8092160683664</v>
      </c>
      <c r="J38" s="21">
        <f t="shared" si="37"/>
        <v>8083.3274674246277</v>
      </c>
      <c r="K38" s="21">
        <f t="shared" si="37"/>
        <v>8480.7531747425164</v>
      </c>
      <c r="L38" s="21">
        <f t="shared" si="37"/>
        <v>10715.172233160883</v>
      </c>
      <c r="M38" s="22">
        <f t="shared" ref="M38" si="38">M34-M36</f>
        <v>12035.966566593859</v>
      </c>
    </row>
    <row r="39" spans="1:13" x14ac:dyDescent="0.2">
      <c r="A39" s="31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spans="1:13" ht="16" x14ac:dyDescent="0.2">
      <c r="A40" s="31"/>
      <c r="B40" s="24" t="s">
        <v>21</v>
      </c>
      <c r="C40" s="12">
        <v>406</v>
      </c>
      <c r="D40" s="12">
        <v>841</v>
      </c>
      <c r="E40" s="12">
        <v>2127</v>
      </c>
      <c r="F40" s="12">
        <v>0</v>
      </c>
      <c r="G40" s="12">
        <v>8957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71">
        <v>0</v>
      </c>
    </row>
    <row r="41" spans="1:13" x14ac:dyDescent="0.2">
      <c r="A41" s="31"/>
      <c r="B41" s="2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</row>
    <row r="42" spans="1:13" ht="16" x14ac:dyDescent="0.2">
      <c r="A42" s="31"/>
      <c r="B42" s="25" t="s">
        <v>41</v>
      </c>
      <c r="C42" s="26">
        <f t="shared" ref="C42:E42" si="39">C38-C40</f>
        <v>1662</v>
      </c>
      <c r="D42" s="26">
        <f t="shared" ref="D42" si="40">D38-D40</f>
        <v>4833</v>
      </c>
      <c r="E42" s="26">
        <f t="shared" si="39"/>
        <v>4948</v>
      </c>
      <c r="F42" s="26">
        <f t="shared" ref="F42:L42" si="41">F38-F40</f>
        <v>3953</v>
      </c>
      <c r="G42" s="26">
        <f t="shared" si="41"/>
        <v>5990</v>
      </c>
      <c r="H42" s="26">
        <f t="shared" si="41"/>
        <v>2000.4253267636705</v>
      </c>
      <c r="I42" s="26">
        <f t="shared" si="41"/>
        <v>4729.8092160683664</v>
      </c>
      <c r="J42" s="26">
        <f t="shared" si="41"/>
        <v>8083.3274674246277</v>
      </c>
      <c r="K42" s="26">
        <f t="shared" si="41"/>
        <v>8480.7531747425164</v>
      </c>
      <c r="L42" s="26">
        <f t="shared" si="41"/>
        <v>10715.172233160883</v>
      </c>
      <c r="M42" s="27">
        <f t="shared" ref="M42" si="42">M38-M40</f>
        <v>12035.966566593859</v>
      </c>
    </row>
    <row r="43" spans="1:13" x14ac:dyDescent="0.2">
      <c r="A43" s="31"/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</row>
    <row r="44" spans="1:13" x14ac:dyDescent="0.2">
      <c r="A44" s="31"/>
      <c r="B44" s="30"/>
      <c r="C44" s="30"/>
      <c r="D44" s="30"/>
      <c r="E44" s="30"/>
      <c r="F44" s="30"/>
      <c r="G44" s="31"/>
      <c r="H44" s="31"/>
      <c r="I44" s="31"/>
      <c r="J44" s="31"/>
      <c r="K44" s="31"/>
      <c r="L44" s="31"/>
      <c r="M44" s="31"/>
    </row>
    <row r="45" spans="1:13" x14ac:dyDescent="0.2">
      <c r="A45" s="31"/>
      <c r="B45" s="85" t="s">
        <v>22</v>
      </c>
      <c r="C45" s="86" t="str">
        <f>C5</f>
        <v xml:space="preserve"> F 2018</v>
      </c>
      <c r="D45" s="86" t="str">
        <f>D5</f>
        <v xml:space="preserve"> F 2019</v>
      </c>
      <c r="E45" s="86" t="str">
        <f>E5</f>
        <v xml:space="preserve"> F 2020</v>
      </c>
      <c r="F45" s="86" t="str">
        <f t="shared" ref="F45:L45" si="43">F5</f>
        <v xml:space="preserve"> F 2021</v>
      </c>
      <c r="G45" s="86" t="str">
        <f t="shared" si="43"/>
        <v xml:space="preserve"> F 2022</v>
      </c>
      <c r="H45" s="189" t="str">
        <f t="shared" si="43"/>
        <v xml:space="preserve"> P 2023</v>
      </c>
      <c r="I45" s="86" t="str">
        <f t="shared" si="43"/>
        <v xml:space="preserve"> P 2024</v>
      </c>
      <c r="J45" s="86" t="str">
        <f t="shared" si="43"/>
        <v xml:space="preserve"> P 2025</v>
      </c>
      <c r="K45" s="86" t="str">
        <f t="shared" si="43"/>
        <v xml:space="preserve"> P 2026</v>
      </c>
      <c r="L45" s="86" t="str">
        <f t="shared" si="43"/>
        <v xml:space="preserve"> P 2027</v>
      </c>
      <c r="M45" s="87" t="str">
        <f t="shared" ref="M45" si="44">M5</f>
        <v xml:space="preserve"> P 2028</v>
      </c>
    </row>
    <row r="46" spans="1:13" x14ac:dyDescent="0.2">
      <c r="A46" s="31"/>
      <c r="B46" s="32" t="s">
        <v>23</v>
      </c>
      <c r="C46" s="33"/>
      <c r="D46" s="33"/>
      <c r="E46" s="33"/>
      <c r="F46" s="33"/>
      <c r="G46" s="34"/>
      <c r="H46" s="228"/>
      <c r="I46" s="229"/>
      <c r="J46" s="229"/>
      <c r="K46" s="229"/>
      <c r="L46" s="229"/>
      <c r="M46" s="230"/>
    </row>
    <row r="47" spans="1:13" x14ac:dyDescent="0.2">
      <c r="A47" s="31"/>
      <c r="B47" s="9" t="s">
        <v>24</v>
      </c>
      <c r="C47" s="35">
        <v>7891</v>
      </c>
      <c r="D47" s="35">
        <v>5331</v>
      </c>
      <c r="E47" s="35">
        <v>2772</v>
      </c>
      <c r="F47" s="35">
        <v>213</v>
      </c>
      <c r="G47" s="10">
        <v>5958</v>
      </c>
      <c r="H47" s="190">
        <f t="shared" ref="H47:M47" si="45">G47-SUM(H153)*0.5%</f>
        <v>4355.0010000000002</v>
      </c>
      <c r="I47" s="10">
        <f t="shared" si="45"/>
        <v>3072.6018000000004</v>
      </c>
      <c r="J47" s="10">
        <f t="shared" si="45"/>
        <v>2046.6824400000003</v>
      </c>
      <c r="K47" s="10">
        <f t="shared" si="45"/>
        <v>1225.9469520000002</v>
      </c>
      <c r="L47" s="10">
        <f t="shared" si="45"/>
        <v>569.35856160000014</v>
      </c>
      <c r="M47" s="11">
        <f t="shared" si="45"/>
        <v>317.67204103077233</v>
      </c>
    </row>
    <row r="48" spans="1:13" x14ac:dyDescent="0.2">
      <c r="A48" s="31"/>
      <c r="B48" s="9" t="s">
        <v>152</v>
      </c>
      <c r="C48" s="18">
        <v>292520</v>
      </c>
      <c r="D48" s="18">
        <v>220608</v>
      </c>
      <c r="E48" s="18">
        <v>518358</v>
      </c>
      <c r="F48" s="18">
        <v>1153720</v>
      </c>
      <c r="G48" s="10">
        <v>1597041</v>
      </c>
      <c r="H48" s="190">
        <f>G48+H152-H153*99.5%-H154+H156-H157</f>
        <v>1772091.8959696968</v>
      </c>
      <c r="I48" s="10">
        <f t="shared" ref="I48:M48" si="46">H48+I152-I153*99.5%-I154+I156-I157</f>
        <v>1514060.9080622587</v>
      </c>
      <c r="J48" s="10">
        <f t="shared" si="46"/>
        <v>1280292.5488106885</v>
      </c>
      <c r="K48" s="10">
        <f t="shared" si="46"/>
        <v>1067521.0693433168</v>
      </c>
      <c r="L48" s="10">
        <f t="shared" si="46"/>
        <v>867580.15155454329</v>
      </c>
      <c r="M48" s="11">
        <f t="shared" si="46"/>
        <v>773293.42211553687</v>
      </c>
    </row>
    <row r="49" spans="1:13" ht="16" x14ac:dyDescent="0.2">
      <c r="A49" s="31"/>
      <c r="B49" s="20" t="s">
        <v>25</v>
      </c>
      <c r="C49" s="21">
        <f>SUM(C47:C48)</f>
        <v>300411</v>
      </c>
      <c r="D49" s="21">
        <f>SUM(D47:D48)</f>
        <v>225939</v>
      </c>
      <c r="E49" s="21">
        <f>SUM(E47:E48)</f>
        <v>521130</v>
      </c>
      <c r="F49" s="21">
        <f t="shared" ref="F49:G49" si="47">SUM(F47:F48)</f>
        <v>1153933</v>
      </c>
      <c r="G49" s="21">
        <f t="shared" si="47"/>
        <v>1602999</v>
      </c>
      <c r="H49" s="193">
        <f t="shared" ref="H49:M49" si="48">SUM(H47:H48)</f>
        <v>1776446.8969696967</v>
      </c>
      <c r="I49" s="21">
        <f t="shared" si="48"/>
        <v>1517133.5098622588</v>
      </c>
      <c r="J49" s="21">
        <f t="shared" si="48"/>
        <v>1282339.2312506884</v>
      </c>
      <c r="K49" s="21">
        <f t="shared" si="48"/>
        <v>1068747.0162953169</v>
      </c>
      <c r="L49" s="21">
        <f t="shared" si="48"/>
        <v>868149.51011614327</v>
      </c>
      <c r="M49" s="22">
        <f t="shared" si="48"/>
        <v>773611.09415656759</v>
      </c>
    </row>
    <row r="50" spans="1:13" x14ac:dyDescent="0.2">
      <c r="A50" s="31"/>
      <c r="B50" s="36"/>
      <c r="C50" s="37"/>
      <c r="D50" s="37"/>
      <c r="E50" s="37"/>
      <c r="F50" s="37"/>
      <c r="G50" s="12"/>
      <c r="H50" s="191"/>
      <c r="I50" s="12"/>
      <c r="J50" s="12"/>
      <c r="K50" s="12"/>
      <c r="L50" s="12"/>
      <c r="M50" s="13"/>
    </row>
    <row r="51" spans="1:13" ht="16" x14ac:dyDescent="0.2">
      <c r="A51" s="31"/>
      <c r="B51" s="24" t="s">
        <v>26</v>
      </c>
      <c r="C51" s="35">
        <v>530297</v>
      </c>
      <c r="D51" s="35">
        <v>545816</v>
      </c>
      <c r="E51" s="35">
        <v>213767</v>
      </c>
      <c r="F51" s="35">
        <v>471448</v>
      </c>
      <c r="G51" s="12">
        <v>772162</v>
      </c>
      <c r="H51" s="190">
        <f t="shared" ref="H51:M51" si="49">G51*(1+H170)</f>
        <v>795326.86</v>
      </c>
      <c r="I51" s="10">
        <f t="shared" si="49"/>
        <v>819186.66579999996</v>
      </c>
      <c r="J51" s="10">
        <f t="shared" si="49"/>
        <v>843762.26577399997</v>
      </c>
      <c r="K51" s="10">
        <f t="shared" si="49"/>
        <v>869075.13374722004</v>
      </c>
      <c r="L51" s="10">
        <f t="shared" si="49"/>
        <v>895147.38775963662</v>
      </c>
      <c r="M51" s="11">
        <f t="shared" si="49"/>
        <v>922001.8093924257</v>
      </c>
    </row>
    <row r="52" spans="1:13" x14ac:dyDescent="0.2">
      <c r="A52" s="31"/>
      <c r="B52" s="9" t="s">
        <v>113</v>
      </c>
      <c r="C52" s="35">
        <v>55881</v>
      </c>
      <c r="D52" s="35">
        <v>27657</v>
      </c>
      <c r="E52" s="35">
        <v>32733</v>
      </c>
      <c r="F52" s="35">
        <v>49880</v>
      </c>
      <c r="G52" s="10">
        <v>34655</v>
      </c>
      <c r="H52" s="190">
        <f t="shared" ref="H52:M52" si="50">H7/360*H169</f>
        <v>45837.767961303049</v>
      </c>
      <c r="I52" s="10">
        <f t="shared" si="50"/>
        <v>56472.429648253659</v>
      </c>
      <c r="J52" s="10">
        <f t="shared" si="50"/>
        <v>59803.655190957012</v>
      </c>
      <c r="K52" s="10">
        <f t="shared" si="50"/>
        <v>62558.095948824259</v>
      </c>
      <c r="L52" s="10">
        <f t="shared" si="50"/>
        <v>65438.425672073776</v>
      </c>
      <c r="M52" s="11">
        <f t="shared" si="50"/>
        <v>68690.236707246819</v>
      </c>
    </row>
    <row r="53" spans="1:13" x14ac:dyDescent="0.2">
      <c r="A53" s="31"/>
      <c r="B53" s="9" t="s">
        <v>27</v>
      </c>
      <c r="C53" s="35">
        <v>18990</v>
      </c>
      <c r="D53" s="35">
        <v>285324</v>
      </c>
      <c r="E53" s="35">
        <v>568906</v>
      </c>
      <c r="F53" s="35">
        <v>266776</v>
      </c>
      <c r="G53" s="10">
        <v>697171</v>
      </c>
      <c r="H53" s="190">
        <f t="shared" ref="H53:M53" si="51">H96</f>
        <v>599411.69094886701</v>
      </c>
      <c r="I53" s="10">
        <f t="shared" si="51"/>
        <v>772722.55784260668</v>
      </c>
      <c r="J53" s="10">
        <f t="shared" si="51"/>
        <v>781352.5980439058</v>
      </c>
      <c r="K53" s="10">
        <f t="shared" si="51"/>
        <v>753433.18403664045</v>
      </c>
      <c r="L53" s="10">
        <f t="shared" si="51"/>
        <v>716402.56206874945</v>
      </c>
      <c r="M53" s="11">
        <f t="shared" si="51"/>
        <v>711142.48055560247</v>
      </c>
    </row>
    <row r="54" spans="1:13" ht="16" x14ac:dyDescent="0.2">
      <c r="A54" s="31"/>
      <c r="B54" s="20" t="s">
        <v>28</v>
      </c>
      <c r="C54" s="21">
        <f>SUM(C51:C53)</f>
        <v>605168</v>
      </c>
      <c r="D54" s="21">
        <f>SUM(D51:D53)</f>
        <v>858797</v>
      </c>
      <c r="E54" s="21">
        <f t="shared" ref="E54:I54" si="52">SUM(E51:E53)</f>
        <v>815406</v>
      </c>
      <c r="F54" s="21">
        <f t="shared" si="52"/>
        <v>788104</v>
      </c>
      <c r="G54" s="21">
        <f t="shared" si="52"/>
        <v>1503988</v>
      </c>
      <c r="H54" s="193">
        <f>SUM(H51:H53)</f>
        <v>1440576.3189101699</v>
      </c>
      <c r="I54" s="21">
        <f t="shared" si="52"/>
        <v>1648381.6532908604</v>
      </c>
      <c r="J54" s="21">
        <f t="shared" ref="J54:L54" si="53">SUM(J51:J53)</f>
        <v>1684918.5190088628</v>
      </c>
      <c r="K54" s="21">
        <f t="shared" si="53"/>
        <v>1685066.4137326847</v>
      </c>
      <c r="L54" s="21">
        <f t="shared" si="53"/>
        <v>1676988.3755004597</v>
      </c>
      <c r="M54" s="22">
        <f t="shared" ref="M54" si="54">SUM(M51:M53)</f>
        <v>1701834.5266552749</v>
      </c>
    </row>
    <row r="55" spans="1:13" ht="16" x14ac:dyDescent="0.2">
      <c r="A55" s="31"/>
      <c r="B55" s="177" t="s">
        <v>29</v>
      </c>
      <c r="C55" s="178">
        <f>C49+C54</f>
        <v>905579</v>
      </c>
      <c r="D55" s="178">
        <f>D49+D54</f>
        <v>1084736</v>
      </c>
      <c r="E55" s="178">
        <f>E49+E54</f>
        <v>1336536</v>
      </c>
      <c r="F55" s="178">
        <f t="shared" ref="F55:G55" si="55">F49+F54</f>
        <v>1942037</v>
      </c>
      <c r="G55" s="178">
        <f t="shared" si="55"/>
        <v>3106987</v>
      </c>
      <c r="H55" s="194">
        <f>H49+H54</f>
        <v>3217023.2158798669</v>
      </c>
      <c r="I55" s="178">
        <f t="shared" ref="I55:J55" si="56">I49+I54</f>
        <v>3165515.1631531194</v>
      </c>
      <c r="J55" s="178">
        <f t="shared" si="56"/>
        <v>2967257.7502595512</v>
      </c>
      <c r="K55" s="178">
        <f t="shared" ref="K55:L55" si="57">K49+K54</f>
        <v>2753813.4300280018</v>
      </c>
      <c r="L55" s="178">
        <f t="shared" si="57"/>
        <v>2545137.8856166028</v>
      </c>
      <c r="M55" s="179">
        <f t="shared" ref="M55" si="58">M49+M54</f>
        <v>2475445.6208118424</v>
      </c>
    </row>
    <row r="56" spans="1:13" x14ac:dyDescent="0.2">
      <c r="A56" s="31"/>
      <c r="B56" s="24"/>
      <c r="C56" s="12"/>
      <c r="D56" s="12"/>
      <c r="E56" s="12"/>
      <c r="F56" s="12"/>
      <c r="G56" s="12"/>
      <c r="H56" s="191"/>
      <c r="I56" s="12"/>
      <c r="J56" s="12"/>
      <c r="K56" s="12"/>
      <c r="L56" s="12"/>
      <c r="M56" s="13"/>
    </row>
    <row r="57" spans="1:13" x14ac:dyDescent="0.2">
      <c r="A57" s="31"/>
      <c r="B57" s="9" t="s">
        <v>30</v>
      </c>
      <c r="C57" s="38"/>
      <c r="D57" s="38"/>
      <c r="E57" s="38"/>
      <c r="F57" s="38"/>
      <c r="G57" s="10"/>
      <c r="H57" s="190"/>
      <c r="I57" s="10"/>
      <c r="J57" s="10"/>
      <c r="K57" s="10"/>
      <c r="L57" s="10"/>
      <c r="M57" s="11"/>
    </row>
    <row r="58" spans="1:13" x14ac:dyDescent="0.2">
      <c r="A58" s="31"/>
      <c r="B58" s="9" t="s">
        <v>31</v>
      </c>
      <c r="C58" s="35">
        <v>54228</v>
      </c>
      <c r="D58" s="35">
        <v>54228</v>
      </c>
      <c r="E58" s="35">
        <v>54228</v>
      </c>
      <c r="F58" s="35">
        <v>151318</v>
      </c>
      <c r="G58" s="10">
        <v>151318</v>
      </c>
      <c r="H58" s="190">
        <f>G58+H149</f>
        <v>151318</v>
      </c>
      <c r="I58" s="10">
        <f t="shared" ref="I58:M58" si="59">H58+I149</f>
        <v>151318</v>
      </c>
      <c r="J58" s="10">
        <f t="shared" si="59"/>
        <v>151318</v>
      </c>
      <c r="K58" s="10">
        <f t="shared" si="59"/>
        <v>151318</v>
      </c>
      <c r="L58" s="10">
        <f t="shared" si="59"/>
        <v>151318</v>
      </c>
      <c r="M58" s="11">
        <f t="shared" si="59"/>
        <v>151318</v>
      </c>
    </row>
    <row r="59" spans="1:13" x14ac:dyDescent="0.2">
      <c r="A59" s="31"/>
      <c r="B59" s="9" t="s">
        <v>32</v>
      </c>
      <c r="C59" s="35">
        <f>71</f>
        <v>71</v>
      </c>
      <c r="D59" s="35">
        <v>1</v>
      </c>
      <c r="E59" s="35">
        <v>1</v>
      </c>
      <c r="F59" s="35">
        <v>1</v>
      </c>
      <c r="G59" s="10">
        <v>1</v>
      </c>
      <c r="H59" s="190">
        <f>G59</f>
        <v>1</v>
      </c>
      <c r="I59" s="10">
        <f t="shared" ref="I59" si="60">H59</f>
        <v>1</v>
      </c>
      <c r="J59" s="10">
        <f t="shared" ref="J59:M59" si="61">I59</f>
        <v>1</v>
      </c>
      <c r="K59" s="10">
        <f t="shared" si="61"/>
        <v>1</v>
      </c>
      <c r="L59" s="10">
        <f t="shared" si="61"/>
        <v>1</v>
      </c>
      <c r="M59" s="11">
        <f t="shared" si="61"/>
        <v>1</v>
      </c>
    </row>
    <row r="60" spans="1:13" x14ac:dyDescent="0.2">
      <c r="A60" s="31"/>
      <c r="B60" s="9" t="s">
        <v>33</v>
      </c>
      <c r="C60" s="35">
        <v>-29445</v>
      </c>
      <c r="D60" s="35">
        <v>-27783</v>
      </c>
      <c r="E60" s="35">
        <f>-22950</f>
        <v>-22950</v>
      </c>
      <c r="F60" s="35">
        <v>-18001</v>
      </c>
      <c r="G60" s="10">
        <f>-16578</f>
        <v>-16578</v>
      </c>
      <c r="H60" s="190">
        <f>G60+G61</f>
        <v>-10588</v>
      </c>
      <c r="I60" s="10">
        <f>SUM(H60:H61)</f>
        <v>-8587.5746732363295</v>
      </c>
      <c r="J60" s="10">
        <f>SUM(I60:I61)</f>
        <v>-3857.7654571679632</v>
      </c>
      <c r="K60" s="10">
        <f>SUM(J60:J61)</f>
        <v>4225.5620102566645</v>
      </c>
      <c r="L60" s="10">
        <f>SUM(K60:K61)</f>
        <v>12706.315184999181</v>
      </c>
      <c r="M60" s="11">
        <f>SUM(L60:L61)</f>
        <v>23421.487418160064</v>
      </c>
    </row>
    <row r="61" spans="1:13" x14ac:dyDescent="0.2">
      <c r="A61" s="31"/>
      <c r="B61" s="9" t="s">
        <v>34</v>
      </c>
      <c r="C61" s="18">
        <f>C42</f>
        <v>1662</v>
      </c>
      <c r="D61" s="18">
        <f>D42</f>
        <v>4833</v>
      </c>
      <c r="E61" s="18">
        <f>E42</f>
        <v>4948</v>
      </c>
      <c r="F61" s="18">
        <f t="shared" ref="F61:G61" si="62">F42</f>
        <v>3953</v>
      </c>
      <c r="G61" s="18">
        <f t="shared" si="62"/>
        <v>5990</v>
      </c>
      <c r="H61" s="190">
        <f t="shared" ref="H61:M61" si="63">H42</f>
        <v>2000.4253267636705</v>
      </c>
      <c r="I61" s="10">
        <f t="shared" si="63"/>
        <v>4729.8092160683664</v>
      </c>
      <c r="J61" s="10">
        <f t="shared" si="63"/>
        <v>8083.3274674246277</v>
      </c>
      <c r="K61" s="10">
        <f t="shared" si="63"/>
        <v>8480.7531747425164</v>
      </c>
      <c r="L61" s="10">
        <f t="shared" si="63"/>
        <v>10715.172233160883</v>
      </c>
      <c r="M61" s="11">
        <f t="shared" si="63"/>
        <v>12035.966566593859</v>
      </c>
    </row>
    <row r="62" spans="1:13" ht="16" x14ac:dyDescent="0.2">
      <c r="A62" s="31"/>
      <c r="B62" s="20" t="s">
        <v>35</v>
      </c>
      <c r="C62" s="21">
        <f>SUM(C58:C61)</f>
        <v>26516</v>
      </c>
      <c r="D62" s="21">
        <f>SUM(D58:D61)</f>
        <v>31279</v>
      </c>
      <c r="E62" s="21">
        <f t="shared" ref="E62:G62" si="64">SUM(E58:E61)</f>
        <v>36227</v>
      </c>
      <c r="F62" s="21">
        <f t="shared" si="64"/>
        <v>137271</v>
      </c>
      <c r="G62" s="21">
        <f t="shared" si="64"/>
        <v>140731</v>
      </c>
      <c r="H62" s="193">
        <f t="shared" ref="H62:I62" si="65">SUM(H58:H61)</f>
        <v>142731.42532676368</v>
      </c>
      <c r="I62" s="21">
        <f t="shared" si="65"/>
        <v>147461.23454283204</v>
      </c>
      <c r="J62" s="21">
        <f t="shared" ref="J62:L62" si="66">SUM(J58:J61)</f>
        <v>155544.56201025666</v>
      </c>
      <c r="K62" s="21">
        <f t="shared" si="66"/>
        <v>164025.31518499917</v>
      </c>
      <c r="L62" s="21">
        <f t="shared" si="66"/>
        <v>174740.48741816005</v>
      </c>
      <c r="M62" s="22">
        <f t="shared" ref="M62" si="67">SUM(M58:M61)</f>
        <v>186776.45398475393</v>
      </c>
    </row>
    <row r="63" spans="1:13" x14ac:dyDescent="0.2">
      <c r="A63" s="31"/>
      <c r="B63" s="9"/>
      <c r="C63" s="18"/>
      <c r="D63" s="18"/>
      <c r="E63" s="18"/>
      <c r="F63" s="18"/>
      <c r="G63" s="10"/>
      <c r="H63" s="190"/>
      <c r="I63" s="10"/>
      <c r="J63" s="10"/>
      <c r="K63" s="10"/>
      <c r="L63" s="10"/>
      <c r="M63" s="11"/>
    </row>
    <row r="64" spans="1:13" x14ac:dyDescent="0.2">
      <c r="A64" s="31"/>
      <c r="B64" s="9" t="s">
        <v>114</v>
      </c>
      <c r="C64" s="18">
        <v>0</v>
      </c>
      <c r="D64" s="18">
        <v>0</v>
      </c>
      <c r="E64" s="18">
        <v>0</v>
      </c>
      <c r="F64" s="18">
        <v>0</v>
      </c>
      <c r="G64" s="10">
        <v>0</v>
      </c>
      <c r="H64" s="190">
        <f>SUM($H161:H161)-SUM($H162:H162)</f>
        <v>467142.96</v>
      </c>
      <c r="I64" s="10">
        <f>SUM($H161:I161)-SUM($H162:I162)</f>
        <v>417142.96</v>
      </c>
      <c r="J64" s="10">
        <f>SUM($H161:J161)-SUM($H162:J162)</f>
        <v>367142.96</v>
      </c>
      <c r="K64" s="10">
        <f>SUM($H161:K161)-SUM($H162:K162)</f>
        <v>317142.96000000002</v>
      </c>
      <c r="L64" s="10">
        <f>SUM($H161:L161)-SUM($H162:L162)</f>
        <v>267142.96000000002</v>
      </c>
      <c r="M64" s="11">
        <f>SUM($H161:M161)-SUM($H162:M162)</f>
        <v>217142.96000000002</v>
      </c>
    </row>
    <row r="65" spans="1:13" x14ac:dyDescent="0.2">
      <c r="A65" s="31"/>
      <c r="B65" s="9" t="s">
        <v>115</v>
      </c>
      <c r="C65" s="18">
        <v>388782</v>
      </c>
      <c r="D65" s="18">
        <v>490872</v>
      </c>
      <c r="E65" s="18">
        <v>39708</v>
      </c>
      <c r="F65" s="18">
        <v>263132</v>
      </c>
      <c r="G65" s="10">
        <v>725717</v>
      </c>
      <c r="H65" s="190">
        <f t="shared" ref="H65:M65" si="68">H167*H8</f>
        <v>744175.09830345504</v>
      </c>
      <c r="I65" s="10">
        <f t="shared" si="68"/>
        <v>921319.10471856582</v>
      </c>
      <c r="J65" s="10">
        <f t="shared" si="68"/>
        <v>978901.5487634762</v>
      </c>
      <c r="K65" s="10">
        <f t="shared" si="68"/>
        <v>1026042.3762882429</v>
      </c>
      <c r="L65" s="10">
        <f t="shared" si="68"/>
        <v>1075388.2275369694</v>
      </c>
      <c r="M65" s="11">
        <f t="shared" si="68"/>
        <v>1131358.240306075</v>
      </c>
    </row>
    <row r="66" spans="1:13" x14ac:dyDescent="0.2">
      <c r="A66" s="31"/>
      <c r="B66" s="9" t="s">
        <v>37</v>
      </c>
      <c r="C66" s="35">
        <v>96568</v>
      </c>
      <c r="D66" s="35">
        <v>46164</v>
      </c>
      <c r="E66" s="35">
        <v>42047</v>
      </c>
      <c r="F66" s="35">
        <v>55228</v>
      </c>
      <c r="G66" s="10">
        <v>113556</v>
      </c>
      <c r="H66" s="190">
        <f t="shared" ref="H66:M66" si="69">(H13+H14+H15+H16+H27+H28)/360*H168</f>
        <v>134128.82914088835</v>
      </c>
      <c r="I66" s="10">
        <f t="shared" si="69"/>
        <v>140394.55472832284</v>
      </c>
      <c r="J66" s="10">
        <f t="shared" si="69"/>
        <v>146614.21951965379</v>
      </c>
      <c r="K66" s="10">
        <f t="shared" si="69"/>
        <v>152484.95510381926</v>
      </c>
      <c r="L66" s="10">
        <f t="shared" si="69"/>
        <v>157968.45205921354</v>
      </c>
      <c r="M66" s="11">
        <f t="shared" si="69"/>
        <v>162500.33580604909</v>
      </c>
    </row>
    <row r="67" spans="1:13" x14ac:dyDescent="0.2">
      <c r="A67" s="31"/>
      <c r="B67" s="9" t="s">
        <v>36</v>
      </c>
      <c r="C67" s="35">
        <v>156739</v>
      </c>
      <c r="D67" s="35">
        <v>123218</v>
      </c>
      <c r="E67" s="35">
        <v>108470</v>
      </c>
      <c r="F67" s="35">
        <v>125371</v>
      </c>
      <c r="G67" s="10">
        <v>177598</v>
      </c>
      <c r="H67" s="190">
        <f>(H12+H26)/12*50%</f>
        <v>183104.19312500002</v>
      </c>
      <c r="I67" s="10">
        <f t="shared" ref="I67" si="70">(I12+I26)/12*50%</f>
        <v>204194.72845876962</v>
      </c>
      <c r="J67" s="10">
        <f t="shared" ref="J67:L67" si="71">(J12+J26)/12*50%</f>
        <v>214404.46488170812</v>
      </c>
      <c r="K67" s="10">
        <f t="shared" si="71"/>
        <v>222980.64347697646</v>
      </c>
      <c r="L67" s="10">
        <f t="shared" si="71"/>
        <v>231899.86921605549</v>
      </c>
      <c r="M67" s="11">
        <f t="shared" ref="M67" si="72">(M12+M26)/12*50%</f>
        <v>241175.86398469773</v>
      </c>
    </row>
    <row r="68" spans="1:13" x14ac:dyDescent="0.2">
      <c r="A68" s="31"/>
      <c r="B68" s="9" t="s">
        <v>116</v>
      </c>
      <c r="C68" s="35">
        <v>96057</v>
      </c>
      <c r="D68" s="35">
        <v>88477</v>
      </c>
      <c r="E68" s="35">
        <v>130328</v>
      </c>
      <c r="F68" s="35">
        <v>130836</v>
      </c>
      <c r="G68" s="10">
        <v>149827</v>
      </c>
      <c r="H68" s="190">
        <f>4%*(H12+H26)</f>
        <v>175780.02540000004</v>
      </c>
      <c r="I68" s="10">
        <f t="shared" ref="I68:L68" si="73">4%*(I12+I26)</f>
        <v>196026.93932041884</v>
      </c>
      <c r="J68" s="10">
        <f t="shared" si="73"/>
        <v>205828.28628643978</v>
      </c>
      <c r="K68" s="10">
        <f t="shared" si="73"/>
        <v>214061.41773789743</v>
      </c>
      <c r="L68" s="10">
        <f t="shared" si="73"/>
        <v>222623.87444741328</v>
      </c>
      <c r="M68" s="11">
        <f t="shared" ref="M68" si="74">4%*(M12+M26)</f>
        <v>231528.82942530981</v>
      </c>
    </row>
    <row r="69" spans="1:13" x14ac:dyDescent="0.2">
      <c r="A69" s="31"/>
      <c r="B69" s="9" t="s">
        <v>117</v>
      </c>
      <c r="C69" s="35">
        <v>110833</v>
      </c>
      <c r="D69" s="35">
        <f>86679+66677</f>
        <v>153356</v>
      </c>
      <c r="E69" s="35">
        <f>66179+789802</f>
        <v>855981</v>
      </c>
      <c r="F69" s="35">
        <f>221178+863361</f>
        <v>1084539</v>
      </c>
      <c r="G69" s="10">
        <f>869258+723253</f>
        <v>1592511</v>
      </c>
      <c r="H69" s="190">
        <f t="shared" ref="H69:M69" si="75">G69-H125</f>
        <v>1131652</v>
      </c>
      <c r="I69" s="10">
        <f t="shared" si="75"/>
        <v>879003.5</v>
      </c>
      <c r="J69" s="10">
        <f t="shared" si="75"/>
        <v>626355</v>
      </c>
      <c r="K69" s="10">
        <f t="shared" si="75"/>
        <v>373706.5</v>
      </c>
      <c r="L69" s="10">
        <f t="shared" si="75"/>
        <v>121058</v>
      </c>
      <c r="M69" s="11">
        <f t="shared" si="75"/>
        <v>0</v>
      </c>
    </row>
    <row r="70" spans="1:13" x14ac:dyDescent="0.2">
      <c r="A70" s="31"/>
      <c r="B70" s="9" t="s">
        <v>118</v>
      </c>
      <c r="C70" s="35">
        <f>30084</f>
        <v>30084</v>
      </c>
      <c r="D70" s="35">
        <f>151370</f>
        <v>151370</v>
      </c>
      <c r="E70" s="35">
        <v>123775</v>
      </c>
      <c r="F70" s="35">
        <v>145660</v>
      </c>
      <c r="G70" s="10">
        <v>207047</v>
      </c>
      <c r="H70" s="190">
        <f>3.5%*(H11+H25)</f>
        <v>238308.68458375972</v>
      </c>
      <c r="I70" s="10">
        <f t="shared" ref="I70" si="76">3.5%*(I11+I25)</f>
        <v>259972.14138420991</v>
      </c>
      <c r="J70" s="10">
        <f t="shared" ref="J70:L70" si="77">3.5%*(J11+J25)</f>
        <v>272466.70879801677</v>
      </c>
      <c r="K70" s="10">
        <f t="shared" si="77"/>
        <v>283369.2622360664</v>
      </c>
      <c r="L70" s="10">
        <f t="shared" si="77"/>
        <v>294316.01493879117</v>
      </c>
      <c r="M70" s="11">
        <f t="shared" ref="M70" si="78">3.5%*(M11+M25)</f>
        <v>304962.93730495707</v>
      </c>
    </row>
    <row r="71" spans="1:13" ht="16" x14ac:dyDescent="0.2">
      <c r="A71" s="31"/>
      <c r="B71" s="20" t="s">
        <v>38</v>
      </c>
      <c r="C71" s="21">
        <f>SUM(C63:C70)</f>
        <v>879063</v>
      </c>
      <c r="D71" s="21">
        <f>SUM(D63:D70)</f>
        <v>1053457</v>
      </c>
      <c r="E71" s="21">
        <f>SUM(E63:E70)</f>
        <v>1300309</v>
      </c>
      <c r="F71" s="21">
        <f t="shared" ref="F71:G71" si="79">SUM(F63:F70)</f>
        <v>1804766</v>
      </c>
      <c r="G71" s="21">
        <f t="shared" si="79"/>
        <v>2966256</v>
      </c>
      <c r="H71" s="193">
        <f t="shared" ref="H71:M71" si="80">SUM(H63:H70)</f>
        <v>3074291.7905531032</v>
      </c>
      <c r="I71" s="21">
        <f t="shared" si="80"/>
        <v>3018053.9286102871</v>
      </c>
      <c r="J71" s="21">
        <f t="shared" si="80"/>
        <v>2811713.1882492951</v>
      </c>
      <c r="K71" s="21">
        <f t="shared" si="80"/>
        <v>2589788.1148430025</v>
      </c>
      <c r="L71" s="21">
        <f t="shared" si="80"/>
        <v>2370397.398198443</v>
      </c>
      <c r="M71" s="22">
        <f t="shared" si="80"/>
        <v>2288669.1668270887</v>
      </c>
    </row>
    <row r="72" spans="1:13" ht="16" x14ac:dyDescent="0.2">
      <c r="A72" s="31"/>
      <c r="B72" s="177" t="s">
        <v>39</v>
      </c>
      <c r="C72" s="178">
        <f>C62+C71</f>
        <v>905579</v>
      </c>
      <c r="D72" s="178">
        <f>D62+D71</f>
        <v>1084736</v>
      </c>
      <c r="E72" s="178">
        <f>E62+E71</f>
        <v>1336536</v>
      </c>
      <c r="F72" s="178">
        <f t="shared" ref="F72:G72" si="81">F62+F71</f>
        <v>1942037</v>
      </c>
      <c r="G72" s="178">
        <f t="shared" si="81"/>
        <v>3106987</v>
      </c>
      <c r="H72" s="194">
        <f t="shared" ref="H72:M72" si="82">H62+H71</f>
        <v>3217023.2158798669</v>
      </c>
      <c r="I72" s="178">
        <f t="shared" si="82"/>
        <v>3165515.1631531194</v>
      </c>
      <c r="J72" s="178">
        <f t="shared" si="82"/>
        <v>2967257.7502595517</v>
      </c>
      <c r="K72" s="178">
        <f t="shared" si="82"/>
        <v>2753813.4300280018</v>
      </c>
      <c r="L72" s="178">
        <f t="shared" si="82"/>
        <v>2545137.8856166028</v>
      </c>
      <c r="M72" s="179">
        <f t="shared" si="82"/>
        <v>2475445.6208118424</v>
      </c>
    </row>
    <row r="73" spans="1:13" x14ac:dyDescent="0.2">
      <c r="A73" s="31"/>
      <c r="B73" s="39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</row>
    <row r="74" spans="1:13" s="79" customFormat="1" x14ac:dyDescent="0.2">
      <c r="A74" s="77"/>
      <c r="B74" s="78" t="s">
        <v>119</v>
      </c>
      <c r="C74" s="111">
        <f>ROUND(C55-C72,2)</f>
        <v>0</v>
      </c>
      <c r="D74" s="111">
        <f t="shared" ref="D74:I74" si="83">ROUND(D55-D72,2)</f>
        <v>0</v>
      </c>
      <c r="E74" s="111">
        <f t="shared" si="83"/>
        <v>0</v>
      </c>
      <c r="F74" s="111">
        <f t="shared" si="83"/>
        <v>0</v>
      </c>
      <c r="G74" s="111">
        <f t="shared" si="83"/>
        <v>0</v>
      </c>
      <c r="H74" s="111">
        <f t="shared" si="83"/>
        <v>0</v>
      </c>
      <c r="I74" s="111">
        <f t="shared" si="83"/>
        <v>0</v>
      </c>
      <c r="J74" s="111">
        <f t="shared" ref="J74:L74" si="84">ROUND(J55-J72,2)</f>
        <v>0</v>
      </c>
      <c r="K74" s="111">
        <f t="shared" si="84"/>
        <v>0</v>
      </c>
      <c r="L74" s="111">
        <f t="shared" si="84"/>
        <v>0</v>
      </c>
      <c r="M74" s="111">
        <f t="shared" ref="M74" si="85">ROUND(M55-M72,2)</f>
        <v>0</v>
      </c>
    </row>
    <row r="75" spans="1:13" x14ac:dyDescent="0.2">
      <c r="A75" s="31"/>
      <c r="B75" s="39"/>
      <c r="C75" s="40"/>
      <c r="D75" s="40"/>
      <c r="E75" s="116"/>
      <c r="F75" s="116"/>
      <c r="G75" s="116"/>
      <c r="H75" s="40"/>
      <c r="I75" s="40"/>
      <c r="J75" s="40"/>
      <c r="K75" s="40"/>
      <c r="L75" s="40"/>
      <c r="M75" s="40"/>
    </row>
    <row r="76" spans="1:13" x14ac:dyDescent="0.2">
      <c r="A76" s="31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</row>
    <row r="77" spans="1:13" x14ac:dyDescent="0.2">
      <c r="A77" s="31"/>
      <c r="B77" s="85" t="s">
        <v>40</v>
      </c>
      <c r="C77" s="86" t="str">
        <f>C5</f>
        <v xml:space="preserve"> F 2018</v>
      </c>
      <c r="D77" s="86" t="str">
        <f t="shared" ref="D77:L77" si="86">D5</f>
        <v xml:space="preserve"> F 2019</v>
      </c>
      <c r="E77" s="86" t="str">
        <f t="shared" si="86"/>
        <v xml:space="preserve"> F 2020</v>
      </c>
      <c r="F77" s="86" t="str">
        <f t="shared" si="86"/>
        <v xml:space="preserve"> F 2021</v>
      </c>
      <c r="G77" s="86" t="str">
        <f t="shared" si="86"/>
        <v xml:space="preserve"> F 2022</v>
      </c>
      <c r="H77" s="189" t="str">
        <f t="shared" si="86"/>
        <v xml:space="preserve"> P 2023</v>
      </c>
      <c r="I77" s="86" t="str">
        <f t="shared" si="86"/>
        <v xml:space="preserve"> P 2024</v>
      </c>
      <c r="J77" s="86" t="str">
        <f t="shared" si="86"/>
        <v xml:space="preserve"> P 2025</v>
      </c>
      <c r="K77" s="86" t="str">
        <f t="shared" si="86"/>
        <v xml:space="preserve"> P 2026</v>
      </c>
      <c r="L77" s="86" t="str">
        <f t="shared" si="86"/>
        <v xml:space="preserve"> P 2027</v>
      </c>
      <c r="M77" s="87" t="str">
        <f t="shared" ref="M77" si="87">M5</f>
        <v xml:space="preserve"> P 2028</v>
      </c>
    </row>
    <row r="78" spans="1:13" x14ac:dyDescent="0.2">
      <c r="A78" s="31"/>
      <c r="B78" s="182" t="s">
        <v>41</v>
      </c>
      <c r="C78" s="48"/>
      <c r="D78" s="48">
        <f>D42</f>
        <v>4833</v>
      </c>
      <c r="E78" s="48">
        <f t="shared" ref="E78:H78" si="88">E42</f>
        <v>4948</v>
      </c>
      <c r="F78" s="48">
        <f t="shared" si="88"/>
        <v>3953</v>
      </c>
      <c r="G78" s="48">
        <f t="shared" si="88"/>
        <v>5990</v>
      </c>
      <c r="H78" s="195">
        <f t="shared" si="88"/>
        <v>2000.4253267636705</v>
      </c>
      <c r="I78" s="48">
        <f t="shared" ref="I78:L78" si="89">I42</f>
        <v>4729.8092160683664</v>
      </c>
      <c r="J78" s="48">
        <f t="shared" si="89"/>
        <v>8083.3274674246277</v>
      </c>
      <c r="K78" s="48">
        <f t="shared" si="89"/>
        <v>8480.7531747425164</v>
      </c>
      <c r="L78" s="48">
        <f t="shared" si="89"/>
        <v>10715.172233160883</v>
      </c>
      <c r="M78" s="183">
        <f t="shared" ref="M78" si="90">M42</f>
        <v>12035.966566593859</v>
      </c>
    </row>
    <row r="79" spans="1:13" x14ac:dyDescent="0.2">
      <c r="A79" s="31"/>
      <c r="B79" s="184" t="s">
        <v>42</v>
      </c>
      <c r="C79" s="49"/>
      <c r="D79" s="49"/>
      <c r="E79" s="49"/>
      <c r="F79" s="49"/>
      <c r="G79" s="12"/>
      <c r="H79" s="191"/>
      <c r="I79" s="12"/>
      <c r="J79" s="12"/>
      <c r="K79" s="12"/>
      <c r="L79" s="12"/>
      <c r="M79" s="13"/>
    </row>
    <row r="80" spans="1:13" x14ac:dyDescent="0.2">
      <c r="A80" s="31"/>
      <c r="B80" s="185" t="s">
        <v>43</v>
      </c>
      <c r="C80" s="49"/>
      <c r="D80" s="49">
        <f>D32</f>
        <v>129749</v>
      </c>
      <c r="E80" s="49">
        <f t="shared" ref="E80:H80" si="91">E32</f>
        <v>97690</v>
      </c>
      <c r="F80" s="49">
        <f t="shared" si="91"/>
        <v>100038</v>
      </c>
      <c r="G80" s="49">
        <f t="shared" si="91"/>
        <v>313470</v>
      </c>
      <c r="H80" s="196">
        <f t="shared" si="91"/>
        <v>365513.22699724516</v>
      </c>
      <c r="I80" s="49">
        <f t="shared" ref="I80:L80" si="92">I32</f>
        <v>364272.06479338842</v>
      </c>
      <c r="J80" s="49">
        <f t="shared" si="92"/>
        <v>333967.83233057847</v>
      </c>
      <c r="K80" s="49">
        <f t="shared" si="92"/>
        <v>312765.76867438015</v>
      </c>
      <c r="L80" s="49">
        <f t="shared" si="92"/>
        <v>299771.05989818182</v>
      </c>
      <c r="M80" s="186">
        <f t="shared" ref="M80" si="93">M32</f>
        <v>193711.96967858385</v>
      </c>
    </row>
    <row r="81" spans="1:13" x14ac:dyDescent="0.2">
      <c r="A81" s="31"/>
      <c r="B81" s="185" t="s">
        <v>44</v>
      </c>
      <c r="C81" s="49"/>
      <c r="D81" s="49">
        <f>C51-D51</f>
        <v>-15519</v>
      </c>
      <c r="E81" s="49">
        <f t="shared" ref="E81:H81" si="94">D51-E51</f>
        <v>332049</v>
      </c>
      <c r="F81" s="49">
        <f t="shared" si="94"/>
        <v>-257681</v>
      </c>
      <c r="G81" s="49">
        <f t="shared" si="94"/>
        <v>-300714</v>
      </c>
      <c r="H81" s="196">
        <f t="shared" si="94"/>
        <v>-23164.859999999986</v>
      </c>
      <c r="I81" s="49">
        <f t="shared" ref="I81:I82" si="95">H51-I51</f>
        <v>-23859.805799999973</v>
      </c>
      <c r="J81" s="49">
        <f t="shared" ref="J81:J82" si="96">I51-J51</f>
        <v>-24575.599974000012</v>
      </c>
      <c r="K81" s="49">
        <f t="shared" ref="K81:K82" si="97">J51-K51</f>
        <v>-25312.867973220069</v>
      </c>
      <c r="L81" s="49">
        <f t="shared" ref="L81:M82" si="98">K51-L51</f>
        <v>-26072.254012416583</v>
      </c>
      <c r="M81" s="186">
        <f t="shared" si="98"/>
        <v>-26854.421632789075</v>
      </c>
    </row>
    <row r="82" spans="1:13" x14ac:dyDescent="0.2">
      <c r="A82" s="31"/>
      <c r="B82" s="185" t="s">
        <v>45</v>
      </c>
      <c r="C82" s="49"/>
      <c r="D82" s="49">
        <f>C52-D52</f>
        <v>28224</v>
      </c>
      <c r="E82" s="49">
        <f t="shared" ref="E82:H82" si="99">D52-E52</f>
        <v>-5076</v>
      </c>
      <c r="F82" s="49">
        <f t="shared" si="99"/>
        <v>-17147</v>
      </c>
      <c r="G82" s="49">
        <f t="shared" si="99"/>
        <v>15225</v>
      </c>
      <c r="H82" s="196">
        <f t="shared" si="99"/>
        <v>-11182.767961303049</v>
      </c>
      <c r="I82" s="49">
        <f t="shared" si="95"/>
        <v>-10634.661686950611</v>
      </c>
      <c r="J82" s="49">
        <f t="shared" si="96"/>
        <v>-3331.2255427033524</v>
      </c>
      <c r="K82" s="49">
        <f t="shared" si="97"/>
        <v>-2754.4407578672472</v>
      </c>
      <c r="L82" s="49">
        <f t="shared" si="98"/>
        <v>-2880.329723249517</v>
      </c>
      <c r="M82" s="186">
        <f t="shared" si="98"/>
        <v>-3251.8110351730429</v>
      </c>
    </row>
    <row r="83" spans="1:13" x14ac:dyDescent="0.2">
      <c r="A83" s="31"/>
      <c r="B83" s="185" t="s">
        <v>46</v>
      </c>
      <c r="C83" s="49"/>
      <c r="D83" s="49">
        <f>SUM(D65:D70)-SUM(C65:C70)</f>
        <v>174394</v>
      </c>
      <c r="E83" s="49">
        <f t="shared" ref="E83:H83" si="100">SUM(E65:E70)-SUM(D65:D70)</f>
        <v>246852</v>
      </c>
      <c r="F83" s="49">
        <f t="shared" si="100"/>
        <v>504457</v>
      </c>
      <c r="G83" s="49">
        <f t="shared" si="100"/>
        <v>1161490</v>
      </c>
      <c r="H83" s="196">
        <f t="shared" si="100"/>
        <v>-359107.16944689676</v>
      </c>
      <c r="I83" s="49">
        <f t="shared" ref="I83" si="101">SUM(I65:I70)-SUM(H65:H70)</f>
        <v>-6237.86194281606</v>
      </c>
      <c r="J83" s="49">
        <f t="shared" ref="J83" si="102">SUM(J65:J70)-SUM(I65:I70)</f>
        <v>-156340.74036099249</v>
      </c>
      <c r="K83" s="49">
        <f t="shared" ref="K83" si="103">SUM(K65:K70)-SUM(J65:J70)</f>
        <v>-171925.07340629213</v>
      </c>
      <c r="L83" s="49">
        <f t="shared" ref="L83:M83" si="104">SUM(L65:L70)-SUM(K65:K70)</f>
        <v>-169390.71664455952</v>
      </c>
      <c r="M83" s="186">
        <f t="shared" si="104"/>
        <v>-31728.231371354312</v>
      </c>
    </row>
    <row r="84" spans="1:13" ht="16" x14ac:dyDescent="0.2">
      <c r="A84" s="31"/>
      <c r="B84" s="20" t="s">
        <v>47</v>
      </c>
      <c r="C84" s="21"/>
      <c r="D84" s="21">
        <f>SUM(D78:D83)</f>
        <v>321681</v>
      </c>
      <c r="E84" s="21">
        <f t="shared" ref="E84:H84" si="105">SUM(E78:E83)</f>
        <v>676463</v>
      </c>
      <c r="F84" s="21">
        <f t="shared" si="105"/>
        <v>333620</v>
      </c>
      <c r="G84" s="21">
        <f t="shared" si="105"/>
        <v>1195461</v>
      </c>
      <c r="H84" s="193">
        <f t="shared" si="105"/>
        <v>-25941.145084190997</v>
      </c>
      <c r="I84" s="21">
        <f t="shared" ref="I84:L84" si="106">SUM(I78:I83)</f>
        <v>328269.54457969015</v>
      </c>
      <c r="J84" s="21">
        <f t="shared" si="106"/>
        <v>157803.59392030723</v>
      </c>
      <c r="K84" s="21">
        <f t="shared" si="106"/>
        <v>121254.13971174322</v>
      </c>
      <c r="L84" s="21">
        <f t="shared" si="106"/>
        <v>112142.93175111705</v>
      </c>
      <c r="M84" s="22">
        <f t="shared" ref="M84" si="107">SUM(M78:M83)</f>
        <v>143913.47220586127</v>
      </c>
    </row>
    <row r="85" spans="1:13" x14ac:dyDescent="0.2">
      <c r="A85" s="31"/>
      <c r="B85" s="187"/>
      <c r="C85" s="50"/>
      <c r="D85" s="50"/>
      <c r="E85" s="50"/>
      <c r="F85" s="50"/>
      <c r="G85" s="12"/>
      <c r="H85" s="191"/>
      <c r="I85" s="12"/>
      <c r="J85" s="12"/>
      <c r="K85" s="12"/>
      <c r="L85" s="12"/>
      <c r="M85" s="13"/>
    </row>
    <row r="86" spans="1:13" x14ac:dyDescent="0.2">
      <c r="A86" s="31"/>
      <c r="B86" s="187" t="s">
        <v>48</v>
      </c>
      <c r="C86" s="50"/>
      <c r="D86" s="50">
        <f>-(D49+D32-C49)</f>
        <v>-55277</v>
      </c>
      <c r="E86" s="50">
        <f t="shared" ref="E86:H86" si="108">-(E49+E32-D49)</f>
        <v>-392881</v>
      </c>
      <c r="F86" s="50">
        <f t="shared" si="108"/>
        <v>-732841</v>
      </c>
      <c r="G86" s="50">
        <f t="shared" si="108"/>
        <v>-762536</v>
      </c>
      <c r="H86" s="197">
        <f t="shared" si="108"/>
        <v>-538961.12396694208</v>
      </c>
      <c r="I86" s="50">
        <f>-(I49+I32-H49)</f>
        <v>-104958.67768595042</v>
      </c>
      <c r="J86" s="50">
        <f t="shared" ref="J86" si="109">-(J49+J32-I49)</f>
        <v>-99173.553719008109</v>
      </c>
      <c r="K86" s="50">
        <f t="shared" ref="K86" si="110">-(K49+K32-J49)</f>
        <v>-99173.553719008574</v>
      </c>
      <c r="L86" s="50">
        <f t="shared" ref="L86:M86" si="111">-(L49+L32-K49)</f>
        <v>-99173.553719008109</v>
      </c>
      <c r="M86" s="188">
        <f t="shared" si="111"/>
        <v>-99173.553719008225</v>
      </c>
    </row>
    <row r="87" spans="1:13" ht="16" x14ac:dyDescent="0.2">
      <c r="A87" s="31"/>
      <c r="B87" s="20" t="s">
        <v>49</v>
      </c>
      <c r="C87" s="21"/>
      <c r="D87" s="21">
        <f>SUM(D86:D86)</f>
        <v>-55277</v>
      </c>
      <c r="E87" s="21">
        <f t="shared" ref="E87:H87" si="112">SUM(E86:E86)</f>
        <v>-392881</v>
      </c>
      <c r="F87" s="21">
        <f t="shared" si="112"/>
        <v>-732841</v>
      </c>
      <c r="G87" s="21">
        <f t="shared" si="112"/>
        <v>-762536</v>
      </c>
      <c r="H87" s="193">
        <f t="shared" si="112"/>
        <v>-538961.12396694208</v>
      </c>
      <c r="I87" s="21">
        <f t="shared" ref="I87:L87" si="113">SUM(I86:I86)</f>
        <v>-104958.67768595042</v>
      </c>
      <c r="J87" s="21">
        <f t="shared" si="113"/>
        <v>-99173.553719008109</v>
      </c>
      <c r="K87" s="21">
        <f t="shared" si="113"/>
        <v>-99173.553719008574</v>
      </c>
      <c r="L87" s="21">
        <f t="shared" si="113"/>
        <v>-99173.553719008109</v>
      </c>
      <c r="M87" s="22">
        <f t="shared" ref="M87" si="114">SUM(M86:M86)</f>
        <v>-99173.553719008225</v>
      </c>
    </row>
    <row r="88" spans="1:13" x14ac:dyDescent="0.2">
      <c r="A88" s="31"/>
      <c r="B88" s="187"/>
      <c r="C88" s="50"/>
      <c r="D88" s="50"/>
      <c r="E88" s="50"/>
      <c r="F88" s="50"/>
      <c r="G88" s="12"/>
      <c r="H88" s="191"/>
      <c r="I88" s="12"/>
      <c r="J88" s="12"/>
      <c r="K88" s="12"/>
      <c r="L88" s="12"/>
      <c r="M88" s="13"/>
    </row>
    <row r="89" spans="1:13" x14ac:dyDescent="0.2">
      <c r="A89" s="31"/>
      <c r="B89" s="187" t="s">
        <v>120</v>
      </c>
      <c r="C89" s="50"/>
      <c r="D89" s="50">
        <f>D64-C64</f>
        <v>0</v>
      </c>
      <c r="E89" s="50">
        <f t="shared" ref="E89:H89" si="115">E64-D64</f>
        <v>0</v>
      </c>
      <c r="F89" s="50">
        <f t="shared" si="115"/>
        <v>0</v>
      </c>
      <c r="G89" s="50">
        <f t="shared" si="115"/>
        <v>0</v>
      </c>
      <c r="H89" s="197">
        <f t="shared" si="115"/>
        <v>467142.96</v>
      </c>
      <c r="I89" s="50">
        <f t="shared" ref="I89" si="116">I64-H64</f>
        <v>-50000</v>
      </c>
      <c r="J89" s="50">
        <f t="shared" ref="J89" si="117">J64-I64</f>
        <v>-50000</v>
      </c>
      <c r="K89" s="50">
        <f t="shared" ref="K89" si="118">K64-J64</f>
        <v>-50000</v>
      </c>
      <c r="L89" s="50">
        <f t="shared" ref="L89:M89" si="119">L64-K64</f>
        <v>-50000</v>
      </c>
      <c r="M89" s="188">
        <f t="shared" si="119"/>
        <v>-50000</v>
      </c>
    </row>
    <row r="90" spans="1:13" x14ac:dyDescent="0.2">
      <c r="A90" s="31"/>
      <c r="B90" s="187" t="s">
        <v>121</v>
      </c>
      <c r="C90" s="50"/>
      <c r="D90" s="50">
        <f>SUM(D58:D60)-SUM(C58:C61)</f>
        <v>-70</v>
      </c>
      <c r="E90" s="50">
        <f t="shared" ref="E90:H90" si="120">SUM(E58:E60)-SUM(D58:D61)</f>
        <v>0</v>
      </c>
      <c r="F90" s="50">
        <f t="shared" si="120"/>
        <v>97091</v>
      </c>
      <c r="G90" s="50">
        <f t="shared" si="120"/>
        <v>-2530</v>
      </c>
      <c r="H90" s="197">
        <f t="shared" si="120"/>
        <v>0</v>
      </c>
      <c r="I90" s="50">
        <f t="shared" ref="I90" si="121">SUM(I58:I60)-SUM(H58:H61)</f>
        <v>0</v>
      </c>
      <c r="J90" s="50">
        <f t="shared" ref="J90" si="122">SUM(J58:J60)-SUM(I58:I61)</f>
        <v>0</v>
      </c>
      <c r="K90" s="50">
        <f t="shared" ref="K90" si="123">SUM(K58:K60)-SUM(J58:J61)</f>
        <v>0</v>
      </c>
      <c r="L90" s="50">
        <f t="shared" ref="L90:M90" si="124">SUM(L58:L60)-SUM(K58:K61)</f>
        <v>0</v>
      </c>
      <c r="M90" s="188">
        <f t="shared" si="124"/>
        <v>0</v>
      </c>
    </row>
    <row r="91" spans="1:13" ht="16" x14ac:dyDescent="0.2">
      <c r="A91" s="31"/>
      <c r="B91" s="20" t="s">
        <v>50</v>
      </c>
      <c r="C91" s="21"/>
      <c r="D91" s="21">
        <f>SUM(D89:D90)</f>
        <v>-70</v>
      </c>
      <c r="E91" s="21">
        <f t="shared" ref="E91:H91" si="125">SUM(E89:E90)</f>
        <v>0</v>
      </c>
      <c r="F91" s="21">
        <f t="shared" si="125"/>
        <v>97091</v>
      </c>
      <c r="G91" s="21">
        <f t="shared" si="125"/>
        <v>-2530</v>
      </c>
      <c r="H91" s="193">
        <f t="shared" si="125"/>
        <v>467142.96</v>
      </c>
      <c r="I91" s="21">
        <f t="shared" ref="I91:L91" si="126">SUM(I89:I90)</f>
        <v>-50000</v>
      </c>
      <c r="J91" s="21">
        <f t="shared" si="126"/>
        <v>-50000</v>
      </c>
      <c r="K91" s="21">
        <f t="shared" si="126"/>
        <v>-50000</v>
      </c>
      <c r="L91" s="21">
        <f t="shared" si="126"/>
        <v>-50000</v>
      </c>
      <c r="M91" s="22">
        <f t="shared" ref="M91" si="127">SUM(M89:M90)</f>
        <v>-50000</v>
      </c>
    </row>
    <row r="92" spans="1:13" x14ac:dyDescent="0.2">
      <c r="A92" s="31"/>
      <c r="B92" s="184"/>
      <c r="C92" s="49"/>
      <c r="D92" s="49"/>
      <c r="E92" s="49"/>
      <c r="F92" s="49"/>
      <c r="G92" s="12"/>
      <c r="H92" s="191"/>
      <c r="I92" s="12"/>
      <c r="J92" s="12"/>
      <c r="K92" s="12"/>
      <c r="L92" s="12"/>
      <c r="M92" s="13"/>
    </row>
    <row r="93" spans="1:13" ht="16" x14ac:dyDescent="0.2">
      <c r="A93" s="31"/>
      <c r="B93" s="20" t="s">
        <v>51</v>
      </c>
      <c r="C93" s="21"/>
      <c r="D93" s="21">
        <f>D84+D87+D91</f>
        <v>266334</v>
      </c>
      <c r="E93" s="21">
        <f t="shared" ref="E93:H93" si="128">E84+E87+E91</f>
        <v>283582</v>
      </c>
      <c r="F93" s="21">
        <f t="shared" si="128"/>
        <v>-302130</v>
      </c>
      <c r="G93" s="21">
        <f t="shared" si="128"/>
        <v>430395</v>
      </c>
      <c r="H93" s="193">
        <f t="shared" si="128"/>
        <v>-97759.309051133052</v>
      </c>
      <c r="I93" s="21">
        <f t="shared" ref="I93:L93" si="129">I84+I87+I91</f>
        <v>173310.86689373973</v>
      </c>
      <c r="J93" s="21">
        <f t="shared" si="129"/>
        <v>8630.0402012991253</v>
      </c>
      <c r="K93" s="21">
        <f t="shared" si="129"/>
        <v>-27919.414007265354</v>
      </c>
      <c r="L93" s="21">
        <f t="shared" si="129"/>
        <v>-37030.621967891057</v>
      </c>
      <c r="M93" s="22">
        <f t="shared" ref="M93" si="130">M84+M87+M91</f>
        <v>-5260.0815131469571</v>
      </c>
    </row>
    <row r="94" spans="1:13" x14ac:dyDescent="0.2">
      <c r="A94" s="31"/>
      <c r="B94" s="187"/>
      <c r="C94" s="50"/>
      <c r="D94" s="50"/>
      <c r="E94" s="50"/>
      <c r="F94" s="50"/>
      <c r="G94" s="12"/>
      <c r="H94" s="191"/>
      <c r="I94" s="12"/>
      <c r="J94" s="12"/>
      <c r="K94" s="12"/>
      <c r="L94" s="12"/>
      <c r="M94" s="13"/>
    </row>
    <row r="95" spans="1:13" ht="16" x14ac:dyDescent="0.2">
      <c r="A95" s="31"/>
      <c r="B95" s="20" t="s">
        <v>52</v>
      </c>
      <c r="C95" s="21"/>
      <c r="D95" s="21">
        <f>C96</f>
        <v>18990</v>
      </c>
      <c r="E95" s="21">
        <f t="shared" ref="E95:H95" si="131">D96</f>
        <v>285324</v>
      </c>
      <c r="F95" s="21">
        <f t="shared" si="131"/>
        <v>568906</v>
      </c>
      <c r="G95" s="21">
        <f t="shared" si="131"/>
        <v>266776</v>
      </c>
      <c r="H95" s="193">
        <f t="shared" si="131"/>
        <v>697171</v>
      </c>
      <c r="I95" s="21">
        <f t="shared" ref="I95" si="132">H96</f>
        <v>599411.69094886701</v>
      </c>
      <c r="J95" s="21">
        <f t="shared" ref="J95" si="133">I96</f>
        <v>772722.55784260668</v>
      </c>
      <c r="K95" s="21">
        <f t="shared" ref="K95" si="134">J96</f>
        <v>781352.5980439058</v>
      </c>
      <c r="L95" s="21">
        <f t="shared" ref="L95:M95" si="135">K96</f>
        <v>753433.18403664045</v>
      </c>
      <c r="M95" s="22">
        <f t="shared" si="135"/>
        <v>716402.56206874945</v>
      </c>
    </row>
    <row r="96" spans="1:13" ht="16" x14ac:dyDescent="0.2">
      <c r="A96" s="31"/>
      <c r="B96" s="14" t="s">
        <v>53</v>
      </c>
      <c r="C96" s="15">
        <f>C53</f>
        <v>18990</v>
      </c>
      <c r="D96" s="15">
        <f>D95+D93</f>
        <v>285324</v>
      </c>
      <c r="E96" s="15">
        <f t="shared" ref="E96:H96" si="136">E95+E93</f>
        <v>568906</v>
      </c>
      <c r="F96" s="15">
        <f t="shared" si="136"/>
        <v>266776</v>
      </c>
      <c r="G96" s="15">
        <f t="shared" si="136"/>
        <v>697171</v>
      </c>
      <c r="H96" s="192">
        <f t="shared" si="136"/>
        <v>599411.69094886701</v>
      </c>
      <c r="I96" s="15">
        <f t="shared" ref="I96:L96" si="137">I95+I93</f>
        <v>772722.55784260668</v>
      </c>
      <c r="J96" s="15">
        <f t="shared" si="137"/>
        <v>781352.5980439058</v>
      </c>
      <c r="K96" s="15">
        <f t="shared" si="137"/>
        <v>753433.18403664045</v>
      </c>
      <c r="L96" s="15">
        <f t="shared" si="137"/>
        <v>716402.56206874945</v>
      </c>
      <c r="M96" s="16">
        <f t="shared" ref="M96" si="138">M95+M93</f>
        <v>711142.48055560247</v>
      </c>
    </row>
    <row r="97" spans="1:15" x14ac:dyDescent="0.2">
      <c r="A97" s="31"/>
      <c r="B97" s="51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</row>
    <row r="98" spans="1:15" x14ac:dyDescent="0.2">
      <c r="A98" s="31"/>
      <c r="B98" s="78" t="s">
        <v>119</v>
      </c>
      <c r="C98" s="80">
        <f>C96-C53</f>
        <v>0</v>
      </c>
      <c r="D98" s="80">
        <f t="shared" ref="D98:H98" si="139">D96-D53</f>
        <v>0</v>
      </c>
      <c r="E98" s="80">
        <f t="shared" si="139"/>
        <v>0</v>
      </c>
      <c r="F98" s="80">
        <f t="shared" si="139"/>
        <v>0</v>
      </c>
      <c r="G98" s="80">
        <f t="shared" si="139"/>
        <v>0</v>
      </c>
      <c r="H98" s="80">
        <f t="shared" si="139"/>
        <v>0</v>
      </c>
      <c r="I98" s="80">
        <f t="shared" ref="I98:L98" si="140">I96-I53</f>
        <v>0</v>
      </c>
      <c r="J98" s="80">
        <f t="shared" si="140"/>
        <v>0</v>
      </c>
      <c r="K98" s="80">
        <f t="shared" si="140"/>
        <v>0</v>
      </c>
      <c r="L98" s="80">
        <f t="shared" si="140"/>
        <v>0</v>
      </c>
      <c r="M98" s="80">
        <f t="shared" ref="M98" si="141">M96-M53</f>
        <v>0</v>
      </c>
    </row>
    <row r="99" spans="1:15" x14ac:dyDescent="0.2">
      <c r="A99" s="31"/>
      <c r="B99" s="51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</row>
    <row r="100" spans="1:15" x14ac:dyDescent="0.2">
      <c r="A100" s="31"/>
      <c r="B100" s="51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</row>
    <row r="101" spans="1:15" x14ac:dyDescent="0.2">
      <c r="A101" s="31"/>
      <c r="B101" s="30"/>
      <c r="C101" s="30"/>
      <c r="D101" s="30"/>
      <c r="E101" s="30"/>
      <c r="F101" s="30"/>
      <c r="G101" s="31"/>
      <c r="H101" s="31"/>
      <c r="I101" s="31"/>
      <c r="J101" s="31"/>
      <c r="K101" s="31"/>
      <c r="L101" s="31"/>
      <c r="M101" s="31"/>
    </row>
    <row r="102" spans="1:15" x14ac:dyDescent="0.2">
      <c r="A102" s="89"/>
      <c r="B102" s="85" t="s">
        <v>54</v>
      </c>
      <c r="C102" s="86" t="str">
        <f t="shared" ref="C102:L102" si="142">C5</f>
        <v xml:space="preserve"> F 2018</v>
      </c>
      <c r="D102" s="86" t="str">
        <f t="shared" si="142"/>
        <v xml:space="preserve"> F 2019</v>
      </c>
      <c r="E102" s="86" t="str">
        <f t="shared" si="142"/>
        <v xml:space="preserve"> F 2020</v>
      </c>
      <c r="F102" s="86" t="str">
        <f t="shared" si="142"/>
        <v xml:space="preserve"> F 2021</v>
      </c>
      <c r="G102" s="86" t="str">
        <f t="shared" si="142"/>
        <v xml:space="preserve"> F 2022</v>
      </c>
      <c r="H102" s="86" t="str">
        <f t="shared" si="142"/>
        <v xml:space="preserve"> P 2023</v>
      </c>
      <c r="I102" s="86" t="str">
        <f t="shared" si="142"/>
        <v xml:space="preserve"> P 2024</v>
      </c>
      <c r="J102" s="86" t="str">
        <f t="shared" si="142"/>
        <v xml:space="preserve"> P 2025</v>
      </c>
      <c r="K102" s="86" t="str">
        <f t="shared" si="142"/>
        <v xml:space="preserve"> P 2026</v>
      </c>
      <c r="L102" s="86" t="str">
        <f t="shared" si="142"/>
        <v xml:space="preserve"> P 2027</v>
      </c>
      <c r="M102" s="87" t="str">
        <f t="shared" ref="M102" si="143">M5</f>
        <v xml:space="preserve"> P 2028</v>
      </c>
    </row>
    <row r="103" spans="1:15" x14ac:dyDescent="0.2">
      <c r="A103" s="89"/>
      <c r="B103" s="118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20"/>
    </row>
    <row r="104" spans="1:15" x14ac:dyDescent="0.2">
      <c r="A104" s="89"/>
      <c r="B104" s="118" t="s">
        <v>122</v>
      </c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20"/>
      <c r="O104" t="s">
        <v>171</v>
      </c>
    </row>
    <row r="105" spans="1:15" x14ac:dyDescent="0.2">
      <c r="A105" s="89"/>
      <c r="B105" s="121" t="s">
        <v>123</v>
      </c>
      <c r="C105" s="91">
        <v>2.5000000000000001E-2</v>
      </c>
      <c r="D105" s="91">
        <v>2.8000000000000001E-2</v>
      </c>
      <c r="E105" s="91">
        <v>2E-3</v>
      </c>
      <c r="F105" s="91">
        <v>3.3000000000000002E-2</v>
      </c>
      <c r="G105" s="91">
        <v>0.17299999999999999</v>
      </c>
      <c r="H105" s="92">
        <v>0.1</v>
      </c>
      <c r="I105" s="92">
        <v>2.1999999999999999E-2</v>
      </c>
      <c r="J105" s="92">
        <v>2.5000000000000001E-2</v>
      </c>
      <c r="K105" s="92">
        <v>2.5000000000000001E-2</v>
      </c>
      <c r="L105" s="92">
        <v>2.5000000000000001E-2</v>
      </c>
      <c r="M105" s="122">
        <v>2.5000000000000001E-2</v>
      </c>
      <c r="O105" s="88" t="s">
        <v>125</v>
      </c>
    </row>
    <row r="106" spans="1:15" x14ac:dyDescent="0.2">
      <c r="A106" s="89"/>
      <c r="B106" s="121" t="s">
        <v>124</v>
      </c>
      <c r="C106" s="91">
        <v>8.4000000000000005E-2</v>
      </c>
      <c r="D106" s="91">
        <v>7.1999999999999995E-2</v>
      </c>
      <c r="E106" s="91">
        <v>6.2E-2</v>
      </c>
      <c r="F106" s="91">
        <v>0.11700000000000001</v>
      </c>
      <c r="G106" s="91">
        <v>7.4999999999999997E-2</v>
      </c>
      <c r="H106" s="92">
        <v>8.5000000000000006E-2</v>
      </c>
      <c r="I106" s="92">
        <v>6.5000000000000002E-2</v>
      </c>
      <c r="J106" s="92">
        <v>0.05</v>
      </c>
      <c r="K106" s="92">
        <v>0.04</v>
      </c>
      <c r="L106" s="92">
        <v>0.04</v>
      </c>
      <c r="M106" s="122">
        <v>0.04</v>
      </c>
    </row>
    <row r="107" spans="1:15" x14ac:dyDescent="0.2">
      <c r="A107" s="89"/>
      <c r="B107" s="121" t="s">
        <v>134</v>
      </c>
      <c r="C107" s="198">
        <v>0.2409</v>
      </c>
      <c r="D107" s="198">
        <v>0.2409</v>
      </c>
      <c r="E107" s="198">
        <v>0.2409</v>
      </c>
      <c r="F107" s="198">
        <v>0.2359</v>
      </c>
      <c r="G107" s="198">
        <v>0.2359</v>
      </c>
      <c r="H107" s="199">
        <f>G107</f>
        <v>0.2359</v>
      </c>
      <c r="I107" s="199">
        <f t="shared" ref="I107:M107" si="144">H107</f>
        <v>0.2359</v>
      </c>
      <c r="J107" s="199">
        <f t="shared" si="144"/>
        <v>0.2359</v>
      </c>
      <c r="K107" s="199">
        <f t="shared" si="144"/>
        <v>0.2359</v>
      </c>
      <c r="L107" s="199">
        <f t="shared" si="144"/>
        <v>0.2359</v>
      </c>
      <c r="M107" s="200">
        <f t="shared" si="144"/>
        <v>0.2359</v>
      </c>
    </row>
    <row r="108" spans="1:15" x14ac:dyDescent="0.2">
      <c r="A108" s="89"/>
      <c r="B108" s="118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20"/>
    </row>
    <row r="109" spans="1:15" x14ac:dyDescent="0.2">
      <c r="A109" s="89"/>
      <c r="B109" s="118" t="s">
        <v>126</v>
      </c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20"/>
    </row>
    <row r="110" spans="1:15" s="68" customFormat="1" x14ac:dyDescent="0.2">
      <c r="A110" s="105"/>
      <c r="B110" s="123" t="s">
        <v>127</v>
      </c>
      <c r="C110" s="124">
        <v>194979</v>
      </c>
      <c r="D110" s="124">
        <v>191914</v>
      </c>
      <c r="E110" s="124">
        <v>73088</v>
      </c>
      <c r="F110" s="124">
        <v>30041</v>
      </c>
      <c r="G110" s="124">
        <v>108942</v>
      </c>
      <c r="H110" s="125">
        <v>108389</v>
      </c>
      <c r="I110" s="125">
        <v>126000</v>
      </c>
      <c r="J110" s="125">
        <v>127500</v>
      </c>
      <c r="K110" s="125">
        <v>128500</v>
      </c>
      <c r="L110" s="125">
        <v>129500</v>
      </c>
      <c r="M110" s="126">
        <v>131000</v>
      </c>
    </row>
    <row r="111" spans="1:15" s="106" customFormat="1" x14ac:dyDescent="0.2">
      <c r="A111" s="214"/>
      <c r="B111" s="215" t="s">
        <v>186</v>
      </c>
      <c r="C111" s="216"/>
      <c r="D111" s="216"/>
      <c r="E111" s="216"/>
      <c r="F111" s="216"/>
      <c r="G111" s="216"/>
      <c r="H111" s="219">
        <f>0</f>
        <v>0</v>
      </c>
      <c r="I111" s="219">
        <f>0</f>
        <v>0</v>
      </c>
      <c r="J111" s="219">
        <f>0</f>
        <v>0</v>
      </c>
      <c r="K111" s="219">
        <f>0</f>
        <v>0</v>
      </c>
      <c r="L111" s="219">
        <f>0</f>
        <v>0</v>
      </c>
      <c r="M111" s="232">
        <f>0</f>
        <v>0</v>
      </c>
    </row>
    <row r="112" spans="1:15" s="68" customFormat="1" x14ac:dyDescent="0.2">
      <c r="A112" s="105"/>
      <c r="B112" s="123" t="s">
        <v>128</v>
      </c>
      <c r="C112" s="124">
        <v>474</v>
      </c>
      <c r="D112" s="124">
        <v>482</v>
      </c>
      <c r="E112" s="124">
        <v>243</v>
      </c>
      <c r="F112" s="124">
        <v>86</v>
      </c>
      <c r="G112" s="124">
        <v>234</v>
      </c>
      <c r="H112" s="125">
        <v>298</v>
      </c>
      <c r="I112" s="125">
        <v>300</v>
      </c>
      <c r="J112" s="125">
        <v>305</v>
      </c>
      <c r="K112" s="125">
        <v>305</v>
      </c>
      <c r="L112" s="125">
        <v>305</v>
      </c>
      <c r="M112" s="126">
        <v>305</v>
      </c>
    </row>
    <row r="113" spans="1:15" s="106" customFormat="1" x14ac:dyDescent="0.2">
      <c r="A113" s="214"/>
      <c r="B113" s="215" t="s">
        <v>187</v>
      </c>
      <c r="C113" s="216"/>
      <c r="D113" s="216"/>
      <c r="E113" s="216"/>
      <c r="F113" s="216"/>
      <c r="G113" s="216"/>
      <c r="H113" s="219">
        <f>0</f>
        <v>0</v>
      </c>
      <c r="I113" s="219">
        <f>0</f>
        <v>0</v>
      </c>
      <c r="J113" s="219">
        <f>0</f>
        <v>0</v>
      </c>
      <c r="K113" s="219">
        <f>0</f>
        <v>0</v>
      </c>
      <c r="L113" s="219">
        <f>0</f>
        <v>0</v>
      </c>
      <c r="M113" s="232">
        <f>0</f>
        <v>0</v>
      </c>
    </row>
    <row r="114" spans="1:15" s="68" customFormat="1" x14ac:dyDescent="0.2">
      <c r="A114" s="105"/>
      <c r="B114" s="123" t="s">
        <v>139</v>
      </c>
      <c r="C114" s="124">
        <f>C14/C112</f>
        <v>1356.1645569620252</v>
      </c>
      <c r="D114" s="124">
        <f>D14/D112</f>
        <v>1100.3651452282159</v>
      </c>
      <c r="E114" s="124">
        <f>E14/E112</f>
        <v>2843.4362139917694</v>
      </c>
      <c r="F114" s="124">
        <f>F14/F112</f>
        <v>3466.953488372093</v>
      </c>
      <c r="G114" s="124">
        <f>G14/G112</f>
        <v>2848.5854700854702</v>
      </c>
      <c r="H114" s="125">
        <f>AVERAGE($C114:$G114)*(1+H105)</f>
        <v>2555.4110724207067</v>
      </c>
      <c r="I114" s="125">
        <f>H114*(1+I105)</f>
        <v>2611.6301160139624</v>
      </c>
      <c r="J114" s="125">
        <f t="shared" ref="J114:L114" si="145">I114*(1+J105)</f>
        <v>2676.9208689143111</v>
      </c>
      <c r="K114" s="125">
        <f t="shared" si="145"/>
        <v>2743.8438906371684</v>
      </c>
      <c r="L114" s="125">
        <f t="shared" si="145"/>
        <v>2812.4399879030975</v>
      </c>
      <c r="M114" s="126">
        <f>L114*(1+M105)</f>
        <v>2882.7509876006748</v>
      </c>
      <c r="O114" s="106" t="s">
        <v>141</v>
      </c>
    </row>
    <row r="115" spans="1:15" s="68" customFormat="1" x14ac:dyDescent="0.2">
      <c r="A115" s="105"/>
      <c r="B115" s="123" t="s">
        <v>174</v>
      </c>
      <c r="C115" s="127">
        <f>C8/C110</f>
        <v>11.676498494709687</v>
      </c>
      <c r="D115" s="127">
        <f>D8/D110</f>
        <v>12.45199412236731</v>
      </c>
      <c r="E115" s="127">
        <f>E8/E110</f>
        <v>15.786175569176883</v>
      </c>
      <c r="F115" s="127">
        <f>F8/F110</f>
        <v>21.254352385073734</v>
      </c>
      <c r="G115" s="127">
        <f>G8/G110</f>
        <v>25.311633713352059</v>
      </c>
      <c r="H115" s="128">
        <f>G115*(1+H106)</f>
        <v>27.463122578986983</v>
      </c>
      <c r="I115" s="128">
        <f t="shared" ref="I115:K115" si="146">H115*(1+I106)</f>
        <v>29.248225546621136</v>
      </c>
      <c r="J115" s="128">
        <f t="shared" si="146"/>
        <v>30.710636823952193</v>
      </c>
      <c r="K115" s="128">
        <f t="shared" si="146"/>
        <v>31.939062296910283</v>
      </c>
      <c r="L115" s="128">
        <f>K115*(1+L106)</f>
        <v>33.216624788786696</v>
      </c>
      <c r="M115" s="129">
        <f>L115*(1+M106)</f>
        <v>34.545289780338166</v>
      </c>
      <c r="O115" s="106"/>
    </row>
    <row r="116" spans="1:15" s="68" customFormat="1" x14ac:dyDescent="0.2">
      <c r="A116" s="105"/>
      <c r="B116" s="123" t="s">
        <v>132</v>
      </c>
      <c r="C116" s="124">
        <v>231</v>
      </c>
      <c r="D116" s="124">
        <v>231</v>
      </c>
      <c r="E116" s="124">
        <v>204</v>
      </c>
      <c r="F116" s="124">
        <v>179</v>
      </c>
      <c r="G116" s="124">
        <v>191</v>
      </c>
      <c r="H116" s="125">
        <v>191</v>
      </c>
      <c r="I116" s="125">
        <v>200</v>
      </c>
      <c r="J116" s="125">
        <f t="shared" ref="J116:M116" si="147">I116</f>
        <v>200</v>
      </c>
      <c r="K116" s="125">
        <f t="shared" si="147"/>
        <v>200</v>
      </c>
      <c r="L116" s="125">
        <f t="shared" si="147"/>
        <v>200</v>
      </c>
      <c r="M116" s="126">
        <f t="shared" si="147"/>
        <v>200</v>
      </c>
      <c r="O116" s="106"/>
    </row>
    <row r="117" spans="1:15" s="68" customFormat="1" x14ac:dyDescent="0.2">
      <c r="A117" s="105"/>
      <c r="B117" s="123" t="s">
        <v>133</v>
      </c>
      <c r="C117" s="124">
        <f>(C12+C26)/(1+C107)/12/C116</f>
        <v>827.10676291947959</v>
      </c>
      <c r="D117" s="124">
        <f>(D12+D26)/(1+D107)/12/D116</f>
        <v>845.40301882553479</v>
      </c>
      <c r="E117" s="124">
        <f>(E12+E26)/(1+E107)/12/E116</f>
        <v>1041.2169877755814</v>
      </c>
      <c r="F117" s="124">
        <f>(F12+F26)/(1+F107)/12/F116</f>
        <v>1123.5029079600765</v>
      </c>
      <c r="G117" s="124">
        <f>(G12+G26)/(1+G107)/12/G116</f>
        <v>1429.8215811526798</v>
      </c>
      <c r="H117" s="125">
        <f>G117*(1+H106)</f>
        <v>1551.3564155506574</v>
      </c>
      <c r="I117" s="125">
        <f t="shared" ref="I117:L117" si="148">H117*(1+I106)</f>
        <v>1652.19458256145</v>
      </c>
      <c r="J117" s="125">
        <f t="shared" si="148"/>
        <v>1734.8043116895226</v>
      </c>
      <c r="K117" s="125">
        <f t="shared" si="148"/>
        <v>1804.1964841571037</v>
      </c>
      <c r="L117" s="125">
        <f t="shared" si="148"/>
        <v>1876.3643435233878</v>
      </c>
      <c r="M117" s="126">
        <f>L117*(1+M106)</f>
        <v>1951.4189172643235</v>
      </c>
      <c r="O117" s="106" t="s">
        <v>153</v>
      </c>
    </row>
    <row r="118" spans="1:15" s="68" customFormat="1" x14ac:dyDescent="0.2">
      <c r="A118" s="105"/>
      <c r="B118" s="123" t="s">
        <v>175</v>
      </c>
      <c r="C118" s="109">
        <f>C12/(C12+C26)</f>
        <v>0.88692825918319507</v>
      </c>
      <c r="D118" s="109">
        <f>D12/(D12+D26)</f>
        <v>0.89705763006551587</v>
      </c>
      <c r="E118" s="109">
        <f>E12/(E12+E26)</f>
        <v>0.84550807179041954</v>
      </c>
      <c r="F118" s="109">
        <f>F12/(F12+F26)</f>
        <v>0.84862927306511349</v>
      </c>
      <c r="G118" s="109">
        <f>G12/(G12+G26)</f>
        <v>0.87347709303494048</v>
      </c>
      <c r="H118" s="110">
        <f>AVERAGE($C118:$G118)</f>
        <v>0.87032006542783691</v>
      </c>
      <c r="I118" s="110">
        <f t="shared" ref="I118:M119" si="149">AVERAGE($C118:$G118)</f>
        <v>0.87032006542783691</v>
      </c>
      <c r="J118" s="110">
        <f t="shared" si="149"/>
        <v>0.87032006542783691</v>
      </c>
      <c r="K118" s="110">
        <f t="shared" si="149"/>
        <v>0.87032006542783691</v>
      </c>
      <c r="L118" s="110">
        <f t="shared" si="149"/>
        <v>0.87032006542783691</v>
      </c>
      <c r="M118" s="130">
        <f>AVERAGE($C118:$G118)</f>
        <v>0.87032006542783691</v>
      </c>
      <c r="O118" s="106"/>
    </row>
    <row r="119" spans="1:15" s="68" customFormat="1" x14ac:dyDescent="0.2">
      <c r="A119" s="105"/>
      <c r="B119" s="123" t="s">
        <v>176</v>
      </c>
      <c r="C119" s="109">
        <f>C26/(C12+C26)</f>
        <v>0.11307174081680499</v>
      </c>
      <c r="D119" s="109">
        <f>D26/(D12+D26)</f>
        <v>0.10294236993448409</v>
      </c>
      <c r="E119" s="109">
        <f>E26/(E12+E26)</f>
        <v>0.15449192820958044</v>
      </c>
      <c r="F119" s="109">
        <f>F26/(F12+F26)</f>
        <v>0.15137072693488654</v>
      </c>
      <c r="G119" s="109">
        <f>G26/(G12+G26)</f>
        <v>0.12652290696505952</v>
      </c>
      <c r="H119" s="110">
        <f>AVERAGE($C119:$G119)</f>
        <v>0.12967993457216312</v>
      </c>
      <c r="I119" s="110">
        <f t="shared" si="149"/>
        <v>0.12967993457216312</v>
      </c>
      <c r="J119" s="110">
        <f t="shared" si="149"/>
        <v>0.12967993457216312</v>
      </c>
      <c r="K119" s="110">
        <f t="shared" si="149"/>
        <v>0.12967993457216312</v>
      </c>
      <c r="L119" s="110">
        <f t="shared" si="149"/>
        <v>0.12967993457216312</v>
      </c>
      <c r="M119" s="233">
        <f t="shared" si="149"/>
        <v>0.12967993457216312</v>
      </c>
      <c r="O119" s="106"/>
    </row>
    <row r="120" spans="1:15" x14ac:dyDescent="0.2">
      <c r="A120" s="89"/>
      <c r="B120" s="201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3"/>
    </row>
    <row r="121" spans="1:15" x14ac:dyDescent="0.2">
      <c r="A121" s="89"/>
      <c r="B121" s="118" t="s">
        <v>129</v>
      </c>
      <c r="C121" s="119"/>
      <c r="D121" s="119"/>
      <c r="E121" s="119"/>
      <c r="F121" s="119"/>
      <c r="G121" s="119"/>
      <c r="H121" s="119"/>
      <c r="I121" s="119"/>
      <c r="J121" s="119"/>
      <c r="K121" s="119"/>
      <c r="L121" s="119"/>
      <c r="M121" s="120"/>
    </row>
    <row r="122" spans="1:15" x14ac:dyDescent="0.2">
      <c r="A122" s="89"/>
      <c r="B122" s="131" t="str">
        <f>B8</f>
        <v>Biļešu pārdošana</v>
      </c>
      <c r="C122" s="132">
        <f>C110*C115</f>
        <v>2276672</v>
      </c>
      <c r="D122" s="132">
        <f t="shared" ref="D122:G122" si="150">D110*D115</f>
        <v>2389712</v>
      </c>
      <c r="E122" s="132">
        <f t="shared" si="150"/>
        <v>1153780</v>
      </c>
      <c r="F122" s="132">
        <f t="shared" si="150"/>
        <v>638502</v>
      </c>
      <c r="G122" s="132">
        <f t="shared" si="150"/>
        <v>2757500</v>
      </c>
      <c r="H122" s="133">
        <f>SUM(H110)*H115</f>
        <v>2976700.3932138202</v>
      </c>
      <c r="I122" s="133">
        <f t="shared" ref="I122:M122" si="151">SUM(I110)*I115</f>
        <v>3685276.4188742633</v>
      </c>
      <c r="J122" s="133">
        <f t="shared" si="151"/>
        <v>3915606.1950539048</v>
      </c>
      <c r="K122" s="133">
        <f t="shared" si="151"/>
        <v>4104169.5051529715</v>
      </c>
      <c r="L122" s="133">
        <f t="shared" si="151"/>
        <v>4301552.9101478774</v>
      </c>
      <c r="M122" s="134">
        <f t="shared" si="151"/>
        <v>4525432.9612242999</v>
      </c>
      <c r="O122" s="107" t="s">
        <v>130</v>
      </c>
    </row>
    <row r="123" spans="1:15" s="108" customFormat="1" x14ac:dyDescent="0.2">
      <c r="A123" s="220"/>
      <c r="B123" s="131" t="s">
        <v>189</v>
      </c>
      <c r="C123" s="221"/>
      <c r="D123" s="221"/>
      <c r="E123" s="221"/>
      <c r="F123" s="221"/>
      <c r="G123" s="221"/>
      <c r="H123" s="224">
        <v>0</v>
      </c>
      <c r="I123" s="224">
        <v>0</v>
      </c>
      <c r="J123" s="224">
        <v>0</v>
      </c>
      <c r="K123" s="224">
        <v>0</v>
      </c>
      <c r="L123" s="224">
        <v>0</v>
      </c>
      <c r="M123" s="231">
        <v>0</v>
      </c>
      <c r="O123" s="107"/>
    </row>
    <row r="124" spans="1:15" x14ac:dyDescent="0.2">
      <c r="A124" s="89"/>
      <c r="B124" s="131" t="str">
        <f t="shared" ref="B124:G125" si="152">B21</f>
        <v>KM dotācijas</v>
      </c>
      <c r="C124" s="132">
        <f t="shared" si="152"/>
        <v>1978581</v>
      </c>
      <c r="D124" s="132">
        <f t="shared" si="152"/>
        <v>1944854</v>
      </c>
      <c r="E124" s="132">
        <f t="shared" si="152"/>
        <v>3506651</v>
      </c>
      <c r="F124" s="132">
        <f t="shared" si="152"/>
        <v>2944996</v>
      </c>
      <c r="G124" s="132">
        <f t="shared" si="152"/>
        <v>3315043</v>
      </c>
      <c r="H124" s="135">
        <v>3247258</v>
      </c>
      <c r="I124" s="135">
        <f>H124*(1+I105)</f>
        <v>3318697.676</v>
      </c>
      <c r="J124" s="135">
        <f t="shared" ref="J124:L124" si="153">I124*(1+J105)</f>
        <v>3401665.1178999995</v>
      </c>
      <c r="K124" s="135">
        <f t="shared" si="153"/>
        <v>3486706.745847499</v>
      </c>
      <c r="L124" s="135">
        <f t="shared" si="153"/>
        <v>3573874.4144936861</v>
      </c>
      <c r="M124" s="136">
        <f>L124*(1+M105)</f>
        <v>3663221.2748560277</v>
      </c>
      <c r="O124" s="108" t="s">
        <v>135</v>
      </c>
    </row>
    <row r="125" spans="1:15" x14ac:dyDescent="0.2">
      <c r="A125" s="89"/>
      <c r="B125" s="131" t="str">
        <f t="shared" si="152"/>
        <v>Piešķirtā finansējuma pamatlīdzekļiem atzīšana ieņēmumos</v>
      </c>
      <c r="C125" s="132">
        <f t="shared" si="152"/>
        <v>4167</v>
      </c>
      <c r="D125" s="132">
        <f t="shared" si="152"/>
        <v>25896</v>
      </c>
      <c r="E125" s="132">
        <f t="shared" si="152"/>
        <v>107860</v>
      </c>
      <c r="F125" s="132">
        <f t="shared" si="152"/>
        <v>74593</v>
      </c>
      <c r="G125" s="132">
        <f t="shared" si="152"/>
        <v>226851</v>
      </c>
      <c r="H125" s="135">
        <f>460859</f>
        <v>460859</v>
      </c>
      <c r="I125" s="135">
        <f>MIN((723253+287341)/4,H69)</f>
        <v>252648.5</v>
      </c>
      <c r="J125" s="135">
        <f t="shared" ref="J125:M125" si="154">MIN((723253+287341)/4,I69)</f>
        <v>252648.5</v>
      </c>
      <c r="K125" s="135">
        <f t="shared" si="154"/>
        <v>252648.5</v>
      </c>
      <c r="L125" s="135">
        <f t="shared" si="154"/>
        <v>252648.5</v>
      </c>
      <c r="M125" s="136">
        <f t="shared" si="154"/>
        <v>121058</v>
      </c>
      <c r="O125" s="108"/>
    </row>
    <row r="126" spans="1:15" x14ac:dyDescent="0.2">
      <c r="A126" s="89"/>
      <c r="B126" s="131" t="str">
        <f t="shared" ref="B126:G126" si="155">B9</f>
        <v>Ieņēmumi par telpu nomu</v>
      </c>
      <c r="C126" s="132">
        <f t="shared" si="155"/>
        <v>261774</v>
      </c>
      <c r="D126" s="132">
        <f t="shared" si="155"/>
        <v>243812</v>
      </c>
      <c r="E126" s="132">
        <f t="shared" si="155"/>
        <v>106428</v>
      </c>
      <c r="F126" s="132">
        <f t="shared" si="155"/>
        <v>170019</v>
      </c>
      <c r="G126" s="132">
        <f t="shared" si="155"/>
        <v>294199</v>
      </c>
      <c r="H126" s="135">
        <f>G126*(1+H105)</f>
        <v>323618.90000000002</v>
      </c>
      <c r="I126" s="135">
        <f>H126*(1+I105)+50000</f>
        <v>380738.51580000005</v>
      </c>
      <c r="J126" s="135">
        <f>I126*(1+J105)</f>
        <v>390256.978695</v>
      </c>
      <c r="K126" s="135">
        <f t="shared" ref="K126:M126" si="156">J126*(1+K105)</f>
        <v>400013.40316237498</v>
      </c>
      <c r="L126" s="135">
        <f t="shared" si="156"/>
        <v>410013.73824143433</v>
      </c>
      <c r="M126" s="136">
        <f t="shared" si="156"/>
        <v>420264.08169747016</v>
      </c>
      <c r="O126" s="106" t="s">
        <v>136</v>
      </c>
    </row>
    <row r="127" spans="1:15" s="108" customFormat="1" x14ac:dyDescent="0.2">
      <c r="A127" s="220"/>
      <c r="B127" s="131" t="s">
        <v>188</v>
      </c>
      <c r="C127" s="221"/>
      <c r="D127" s="221"/>
      <c r="E127" s="221"/>
      <c r="F127" s="221"/>
      <c r="G127" s="221"/>
      <c r="H127" s="224">
        <v>0</v>
      </c>
      <c r="I127" s="224">
        <v>0</v>
      </c>
      <c r="J127" s="224">
        <v>0</v>
      </c>
      <c r="K127" s="224">
        <v>0</v>
      </c>
      <c r="L127" s="224">
        <v>0</v>
      </c>
      <c r="M127" s="231">
        <v>0</v>
      </c>
      <c r="O127" s="106"/>
    </row>
    <row r="128" spans="1:15" x14ac:dyDescent="0.2">
      <c r="A128" s="89"/>
      <c r="B128" s="131" t="str">
        <f t="shared" ref="B128:G128" si="157">B23</f>
        <v>Citi ieņēmumi</v>
      </c>
      <c r="C128" s="132">
        <f t="shared" si="157"/>
        <v>108232</v>
      </c>
      <c r="D128" s="132">
        <f t="shared" si="157"/>
        <v>77914</v>
      </c>
      <c r="E128" s="132">
        <f t="shared" si="157"/>
        <v>161098</v>
      </c>
      <c r="F128" s="132">
        <f t="shared" si="157"/>
        <v>246447</v>
      </c>
      <c r="G128" s="132">
        <f t="shared" si="157"/>
        <v>172034</v>
      </c>
      <c r="H128" s="135">
        <f>3479233-H122-H126</f>
        <v>178913.7067861798</v>
      </c>
      <c r="I128" s="135">
        <f t="shared" ref="I128:M128" si="158">H128*(1+I105)</f>
        <v>182849.80833547577</v>
      </c>
      <c r="J128" s="135">
        <f t="shared" si="158"/>
        <v>187421.05354386265</v>
      </c>
      <c r="K128" s="135">
        <f t="shared" si="158"/>
        <v>192106.57988245919</v>
      </c>
      <c r="L128" s="135">
        <f t="shared" si="158"/>
        <v>196909.24437952065</v>
      </c>
      <c r="M128" s="136">
        <f t="shared" si="158"/>
        <v>201831.97548900865</v>
      </c>
      <c r="O128" s="107" t="s">
        <v>156</v>
      </c>
    </row>
    <row r="129" spans="1:15" x14ac:dyDescent="0.2">
      <c r="A129" s="95"/>
      <c r="B129" s="137"/>
      <c r="C129" s="96"/>
      <c r="D129" s="96"/>
      <c r="E129" s="96"/>
      <c r="F129" s="96"/>
      <c r="G129" s="97"/>
      <c r="H129" s="97"/>
      <c r="I129" s="97"/>
      <c r="J129" s="97"/>
      <c r="K129" s="97"/>
      <c r="L129" s="97"/>
      <c r="M129" s="138"/>
    </row>
    <row r="130" spans="1:15" ht="16" x14ac:dyDescent="0.2">
      <c r="A130" s="89"/>
      <c r="B130" s="139" t="s">
        <v>137</v>
      </c>
      <c r="C130" s="140"/>
      <c r="D130" s="140"/>
      <c r="E130" s="140"/>
      <c r="F130" s="140"/>
      <c r="G130" s="141"/>
      <c r="H130" s="141"/>
      <c r="I130" s="141"/>
      <c r="J130" s="141"/>
      <c r="K130" s="141"/>
      <c r="L130" s="141"/>
      <c r="M130" s="142"/>
    </row>
    <row r="131" spans="1:15" ht="16" x14ac:dyDescent="0.2">
      <c r="A131" s="89"/>
      <c r="B131" s="143" t="str">
        <f t="shared" ref="B131:G131" si="159">B12</f>
        <v>Mākslinieciskā personāla izmaksas</v>
      </c>
      <c r="C131" s="94">
        <f t="shared" si="159"/>
        <v>2523365</v>
      </c>
      <c r="D131" s="94">
        <f t="shared" si="159"/>
        <v>2608640</v>
      </c>
      <c r="E131" s="94">
        <f t="shared" si="159"/>
        <v>2674282</v>
      </c>
      <c r="F131" s="94">
        <f t="shared" si="159"/>
        <v>2531103</v>
      </c>
      <c r="G131" s="94">
        <f t="shared" si="159"/>
        <v>3537784</v>
      </c>
      <c r="H131" s="135">
        <f t="shared" ref="H131:M131" si="160">H116*H117*12*(1+H107)*H118</f>
        <v>3824622.0801758715</v>
      </c>
      <c r="I131" s="135">
        <f t="shared" si="160"/>
        <v>4265154.4663741384</v>
      </c>
      <c r="J131" s="135">
        <f t="shared" si="160"/>
        <v>4478412.1896928456</v>
      </c>
      <c r="K131" s="135">
        <f t="shared" si="160"/>
        <v>4657548.6772805601</v>
      </c>
      <c r="L131" s="135">
        <f t="shared" si="160"/>
        <v>4843850.6243717819</v>
      </c>
      <c r="M131" s="136">
        <f t="shared" si="160"/>
        <v>5037604.6493466534</v>
      </c>
      <c r="O131" s="108" t="s">
        <v>138</v>
      </c>
    </row>
    <row r="132" spans="1:15" s="108" customFormat="1" ht="32" x14ac:dyDescent="0.2">
      <c r="A132" s="220"/>
      <c r="B132" s="225" t="s">
        <v>190</v>
      </c>
      <c r="C132" s="226"/>
      <c r="D132" s="226"/>
      <c r="E132" s="226"/>
      <c r="F132" s="226"/>
      <c r="G132" s="226"/>
      <c r="H132" s="222">
        <v>0</v>
      </c>
      <c r="I132" s="222">
        <v>0</v>
      </c>
      <c r="J132" s="222">
        <v>0</v>
      </c>
      <c r="K132" s="222">
        <v>0</v>
      </c>
      <c r="L132" s="222">
        <v>0</v>
      </c>
      <c r="M132" s="223">
        <v>0</v>
      </c>
    </row>
    <row r="133" spans="1:15" ht="16" x14ac:dyDescent="0.2">
      <c r="A133" s="89"/>
      <c r="B133" s="143" t="str">
        <f t="shared" ref="B133:G133" si="161">B13</f>
        <v>Komunālie maksājumi</v>
      </c>
      <c r="C133" s="94">
        <f t="shared" si="161"/>
        <v>223225</v>
      </c>
      <c r="D133" s="94">
        <f t="shared" si="161"/>
        <v>257178</v>
      </c>
      <c r="E133" s="94">
        <f t="shared" si="161"/>
        <v>252203</v>
      </c>
      <c r="F133" s="94">
        <f t="shared" si="161"/>
        <v>237298</v>
      </c>
      <c r="G133" s="94">
        <f t="shared" si="161"/>
        <v>430703</v>
      </c>
      <c r="H133" s="135">
        <f>G133*(1+H105)</f>
        <v>473773.30000000005</v>
      </c>
      <c r="I133" s="135">
        <f t="shared" ref="I133:M133" si="162">H133*(1+I105)</f>
        <v>484196.31260000006</v>
      </c>
      <c r="J133" s="135">
        <f t="shared" si="162"/>
        <v>496301.22041500005</v>
      </c>
      <c r="K133" s="135">
        <f t="shared" si="162"/>
        <v>508708.75092537503</v>
      </c>
      <c r="L133" s="135">
        <f t="shared" si="162"/>
        <v>521426.46969850938</v>
      </c>
      <c r="M133" s="136">
        <f t="shared" si="162"/>
        <v>534462.13144097209</v>
      </c>
      <c r="O133" s="107" t="s">
        <v>131</v>
      </c>
    </row>
    <row r="134" spans="1:15" ht="16" x14ac:dyDescent="0.2">
      <c r="A134" s="89"/>
      <c r="B134" s="225" t="s">
        <v>191</v>
      </c>
      <c r="C134" s="94"/>
      <c r="D134" s="94"/>
      <c r="E134" s="94"/>
      <c r="F134" s="94"/>
      <c r="G134" s="94"/>
      <c r="H134" s="222">
        <v>0</v>
      </c>
      <c r="I134" s="222">
        <v>0</v>
      </c>
      <c r="J134" s="222">
        <v>0</v>
      </c>
      <c r="K134" s="222">
        <v>0</v>
      </c>
      <c r="L134" s="222">
        <v>0</v>
      </c>
      <c r="M134" s="223">
        <v>0</v>
      </c>
      <c r="O134" s="107"/>
    </row>
    <row r="135" spans="1:15" ht="16" x14ac:dyDescent="0.2">
      <c r="A135" s="89"/>
      <c r="B135" s="143" t="str">
        <f t="shared" ref="B135:G135" si="163">B14</f>
        <v>Izrāžu uzturēšanas izmaksas</v>
      </c>
      <c r="C135" s="94">
        <f t="shared" si="163"/>
        <v>642822</v>
      </c>
      <c r="D135" s="94">
        <f t="shared" si="163"/>
        <v>530376</v>
      </c>
      <c r="E135" s="94">
        <f t="shared" si="163"/>
        <v>690955</v>
      </c>
      <c r="F135" s="94">
        <f t="shared" si="163"/>
        <v>298158</v>
      </c>
      <c r="G135" s="94">
        <f t="shared" si="163"/>
        <v>666569</v>
      </c>
      <c r="H135" s="135">
        <f>H112*H114</f>
        <v>761512.49958137062</v>
      </c>
      <c r="I135" s="135">
        <f t="shared" ref="I135:L135" si="164">I112*I114</f>
        <v>783489.03480418876</v>
      </c>
      <c r="J135" s="135">
        <f t="shared" si="164"/>
        <v>816460.86501886486</v>
      </c>
      <c r="K135" s="135">
        <f t="shared" si="164"/>
        <v>836872.38664433639</v>
      </c>
      <c r="L135" s="135">
        <f t="shared" si="164"/>
        <v>857794.19631044473</v>
      </c>
      <c r="M135" s="136">
        <f t="shared" ref="M135" si="165">M112*M114</f>
        <v>879239.05121820583</v>
      </c>
      <c r="O135" s="107" t="s">
        <v>140</v>
      </c>
    </row>
    <row r="136" spans="1:15" ht="16" x14ac:dyDescent="0.2">
      <c r="A136" s="89"/>
      <c r="B136" s="225" t="s">
        <v>192</v>
      </c>
      <c r="C136" s="94"/>
      <c r="D136" s="94"/>
      <c r="E136" s="94"/>
      <c r="F136" s="94"/>
      <c r="G136" s="94"/>
      <c r="H136" s="222">
        <v>0</v>
      </c>
      <c r="I136" s="222">
        <v>0</v>
      </c>
      <c r="J136" s="222">
        <v>0</v>
      </c>
      <c r="K136" s="222">
        <v>0</v>
      </c>
      <c r="L136" s="222">
        <v>0</v>
      </c>
      <c r="M136" s="223">
        <v>0</v>
      </c>
      <c r="O136" s="107"/>
    </row>
    <row r="137" spans="1:15" ht="16" x14ac:dyDescent="0.2">
      <c r="A137" s="89"/>
      <c r="B137" s="143" t="str">
        <f t="shared" ref="B137:G137" si="166">B15</f>
        <v>Autoratlīdzības izmaksas</v>
      </c>
      <c r="C137" s="94">
        <f t="shared" si="166"/>
        <v>371075</v>
      </c>
      <c r="D137" s="94">
        <f t="shared" si="166"/>
        <v>408950</v>
      </c>
      <c r="E137" s="94">
        <f t="shared" si="166"/>
        <v>222899</v>
      </c>
      <c r="F137" s="94">
        <f t="shared" si="166"/>
        <v>62466</v>
      </c>
      <c r="G137" s="94">
        <f t="shared" si="166"/>
        <v>510677</v>
      </c>
      <c r="H137" s="135">
        <f>G137*H131/G131</f>
        <v>552081.90495461947</v>
      </c>
      <c r="I137" s="135">
        <f>H137*I131/H131</f>
        <v>615672.49086562253</v>
      </c>
      <c r="J137" s="135">
        <f t="shared" ref="J137:M137" si="167">I137*J131/I131</f>
        <v>646456.11540890369</v>
      </c>
      <c r="K137" s="135">
        <f t="shared" si="167"/>
        <v>672314.3600252599</v>
      </c>
      <c r="L137" s="135">
        <f t="shared" si="167"/>
        <v>699206.93442627019</v>
      </c>
      <c r="M137" s="136">
        <f t="shared" si="167"/>
        <v>727175.21180332103</v>
      </c>
      <c r="O137" s="107" t="s">
        <v>142</v>
      </c>
    </row>
    <row r="138" spans="1:15" ht="16" x14ac:dyDescent="0.2">
      <c r="A138" s="89"/>
      <c r="B138" s="225" t="s">
        <v>193</v>
      </c>
      <c r="C138" s="94"/>
      <c r="D138" s="94"/>
      <c r="E138" s="94"/>
      <c r="F138" s="94"/>
      <c r="G138" s="94"/>
      <c r="H138" s="222">
        <v>0</v>
      </c>
      <c r="I138" s="222">
        <v>0</v>
      </c>
      <c r="J138" s="222">
        <v>0</v>
      </c>
      <c r="K138" s="222">
        <v>0</v>
      </c>
      <c r="L138" s="222">
        <v>0</v>
      </c>
      <c r="M138" s="223">
        <v>0</v>
      </c>
      <c r="O138" s="107"/>
    </row>
    <row r="139" spans="1:15" ht="16" x14ac:dyDescent="0.2">
      <c r="A139" s="89"/>
      <c r="B139" s="143" t="str">
        <f t="shared" ref="B139:G139" si="168">B16</f>
        <v>Citas  izmaksas</v>
      </c>
      <c r="C139" s="94">
        <f t="shared" si="168"/>
        <v>171924</v>
      </c>
      <c r="D139" s="94">
        <f t="shared" si="168"/>
        <v>153860</v>
      </c>
      <c r="E139" s="94">
        <f t="shared" si="168"/>
        <v>319483</v>
      </c>
      <c r="F139" s="94">
        <f t="shared" si="168"/>
        <v>160030</v>
      </c>
      <c r="G139" s="94">
        <f t="shared" si="168"/>
        <v>319102</v>
      </c>
      <c r="H139" s="135">
        <f>AVERAGE($C139:$G139)*(1+H103)-641</f>
        <v>224238.8</v>
      </c>
      <c r="I139" s="135">
        <f>H139*(1+I105)+3000</f>
        <v>232172.05359999998</v>
      </c>
      <c r="J139" s="135">
        <f>I139*(1+J105)+20000</f>
        <v>257976.35493999996</v>
      </c>
      <c r="K139" s="135">
        <f>J139*(1+K105)+30000</f>
        <v>294425.76381349994</v>
      </c>
      <c r="L139" s="135">
        <f>K139*(1+L105)+20000</f>
        <v>321786.40790883743</v>
      </c>
      <c r="M139" s="136">
        <f>L139*(1+M105)</f>
        <v>329831.06810655835</v>
      </c>
      <c r="O139" s="107" t="s">
        <v>143</v>
      </c>
    </row>
    <row r="140" spans="1:15" ht="16" x14ac:dyDescent="0.2">
      <c r="A140" s="89"/>
      <c r="B140" s="225" t="s">
        <v>194</v>
      </c>
      <c r="C140" s="94"/>
      <c r="D140" s="94"/>
      <c r="E140" s="94"/>
      <c r="F140" s="94"/>
      <c r="G140" s="94"/>
      <c r="H140" s="222">
        <v>0</v>
      </c>
      <c r="I140" s="222">
        <v>0</v>
      </c>
      <c r="J140" s="222">
        <v>0</v>
      </c>
      <c r="K140" s="222">
        <v>0</v>
      </c>
      <c r="L140" s="222">
        <v>0</v>
      </c>
      <c r="M140" s="223">
        <v>0</v>
      </c>
      <c r="O140" s="107"/>
    </row>
    <row r="141" spans="1:15" ht="16" x14ac:dyDescent="0.2">
      <c r="A141" s="89"/>
      <c r="B141" s="143" t="str">
        <f t="shared" ref="B141:G141" si="169">B26</f>
        <v>Administrācijas un reklāmas personāla izmaksas</v>
      </c>
      <c r="C141" s="94">
        <f t="shared" si="169"/>
        <v>321696</v>
      </c>
      <c r="D141" s="94">
        <f t="shared" si="169"/>
        <v>299356</v>
      </c>
      <c r="E141" s="94">
        <f t="shared" si="169"/>
        <v>488647</v>
      </c>
      <c r="F141" s="94">
        <f t="shared" si="169"/>
        <v>451475</v>
      </c>
      <c r="G141" s="94">
        <f t="shared" si="169"/>
        <v>512447</v>
      </c>
      <c r="H141" s="135">
        <f>H116*H117*12*(1+H107)*H119</f>
        <v>569878.55482412933</v>
      </c>
      <c r="I141" s="135">
        <f t="shared" ref="I141:L141" si="170">I116*I117*12*(1+I107)*I119</f>
        <v>635519.01663633261</v>
      </c>
      <c r="J141" s="135">
        <f t="shared" si="170"/>
        <v>667294.96746814926</v>
      </c>
      <c r="K141" s="135">
        <f t="shared" si="170"/>
        <v>693986.76616687537</v>
      </c>
      <c r="L141" s="135">
        <f t="shared" si="170"/>
        <v>721746.23681355023</v>
      </c>
      <c r="M141" s="136">
        <f t="shared" ref="M141" si="171">M116*M117*12*(1+M107)*M119</f>
        <v>750616.08628609229</v>
      </c>
      <c r="O141" s="108" t="s">
        <v>138</v>
      </c>
    </row>
    <row r="142" spans="1:15" ht="32" x14ac:dyDescent="0.2">
      <c r="A142" s="89"/>
      <c r="B142" s="225" t="s">
        <v>195</v>
      </c>
      <c r="C142" s="94"/>
      <c r="D142" s="94"/>
      <c r="E142" s="94"/>
      <c r="F142" s="94"/>
      <c r="G142" s="94"/>
      <c r="H142" s="222">
        <v>0</v>
      </c>
      <c r="I142" s="222">
        <v>0</v>
      </c>
      <c r="J142" s="222">
        <v>0</v>
      </c>
      <c r="K142" s="222">
        <v>0</v>
      </c>
      <c r="L142" s="222">
        <v>0</v>
      </c>
      <c r="M142" s="223">
        <v>0</v>
      </c>
      <c r="O142" s="108"/>
    </row>
    <row r="143" spans="1:15" ht="16" x14ac:dyDescent="0.2">
      <c r="A143" s="89"/>
      <c r="B143" s="143" t="str">
        <f t="shared" ref="B143:G143" si="172">B27</f>
        <v>Citas netiešās izmaksas</v>
      </c>
      <c r="C143" s="94">
        <f t="shared" si="172"/>
        <v>178542</v>
      </c>
      <c r="D143" s="94">
        <f t="shared" si="172"/>
        <v>188142</v>
      </c>
      <c r="E143" s="94">
        <f t="shared" si="172"/>
        <v>148232</v>
      </c>
      <c r="F143" s="94">
        <f t="shared" si="172"/>
        <v>142527</v>
      </c>
      <c r="G143" s="94">
        <f t="shared" si="172"/>
        <v>281643</v>
      </c>
      <c r="H143" s="135">
        <f>AVERAGE($C143:$G143)*(1+H105)</f>
        <v>206598.92000000004</v>
      </c>
      <c r="I143" s="135">
        <f t="shared" ref="I143:M143" si="173">H143*(1+I105)</f>
        <v>211144.09624000004</v>
      </c>
      <c r="J143" s="135">
        <f t="shared" si="173"/>
        <v>216422.69864600003</v>
      </c>
      <c r="K143" s="135">
        <f t="shared" si="173"/>
        <v>221833.26611215001</v>
      </c>
      <c r="L143" s="135">
        <f t="shared" si="173"/>
        <v>227379.09776495374</v>
      </c>
      <c r="M143" s="136">
        <f t="shared" si="173"/>
        <v>233063.57520907756</v>
      </c>
      <c r="O143" s="107" t="s">
        <v>143</v>
      </c>
    </row>
    <row r="144" spans="1:15" ht="16" x14ac:dyDescent="0.2">
      <c r="A144" s="89"/>
      <c r="B144" s="225" t="s">
        <v>196</v>
      </c>
      <c r="C144" s="94"/>
      <c r="D144" s="94"/>
      <c r="E144" s="94"/>
      <c r="F144" s="94"/>
      <c r="G144" s="94"/>
      <c r="H144" s="222">
        <v>0</v>
      </c>
      <c r="I144" s="222">
        <v>0</v>
      </c>
      <c r="J144" s="222">
        <v>0</v>
      </c>
      <c r="K144" s="222">
        <v>0</v>
      </c>
      <c r="L144" s="222">
        <v>0</v>
      </c>
      <c r="M144" s="223">
        <v>0</v>
      </c>
      <c r="O144" s="107"/>
    </row>
    <row r="145" spans="1:15" ht="16" x14ac:dyDescent="0.2">
      <c r="A145" s="89"/>
      <c r="B145" s="143" t="str">
        <f t="shared" ref="B145:G145" si="174">B28</f>
        <v>Reklāmas izmaksas</v>
      </c>
      <c r="C145" s="94">
        <f t="shared" si="174"/>
        <v>82056</v>
      </c>
      <c r="D145" s="94">
        <f t="shared" si="174"/>
        <v>100263</v>
      </c>
      <c r="E145" s="94">
        <f t="shared" si="174"/>
        <v>134351</v>
      </c>
      <c r="F145" s="94">
        <f t="shared" si="174"/>
        <v>87509</v>
      </c>
      <c r="G145" s="94">
        <f t="shared" si="174"/>
        <v>178285</v>
      </c>
      <c r="H145" s="135">
        <f>G145*(1+H105)</f>
        <v>196113.50000000003</v>
      </c>
      <c r="I145" s="135">
        <f t="shared" ref="I145:M145" si="175">H145*(1+I105)</f>
        <v>200427.99700000003</v>
      </c>
      <c r="J145" s="135">
        <f t="shared" si="175"/>
        <v>205438.69692500003</v>
      </c>
      <c r="K145" s="135">
        <f t="shared" si="175"/>
        <v>210574.66434812502</v>
      </c>
      <c r="L145" s="135">
        <f t="shared" si="175"/>
        <v>215839.03095682812</v>
      </c>
      <c r="M145" s="136">
        <f t="shared" si="175"/>
        <v>221235.00673074881</v>
      </c>
      <c r="O145" s="107" t="s">
        <v>131</v>
      </c>
    </row>
    <row r="146" spans="1:15" ht="16" x14ac:dyDescent="0.2">
      <c r="A146" s="89"/>
      <c r="B146" s="225" t="s">
        <v>197</v>
      </c>
      <c r="C146" s="94"/>
      <c r="D146" s="94"/>
      <c r="E146" s="94"/>
      <c r="F146" s="94"/>
      <c r="G146" s="94"/>
      <c r="H146" s="222">
        <v>0</v>
      </c>
      <c r="I146" s="222">
        <v>0</v>
      </c>
      <c r="J146" s="222">
        <v>0</v>
      </c>
      <c r="K146" s="222">
        <v>0</v>
      </c>
      <c r="L146" s="222">
        <v>0</v>
      </c>
      <c r="M146" s="223">
        <v>0</v>
      </c>
      <c r="O146" s="107"/>
    </row>
    <row r="147" spans="1:15" x14ac:dyDescent="0.2">
      <c r="A147" s="89"/>
      <c r="B147" s="121"/>
      <c r="C147" s="90"/>
      <c r="D147" s="90"/>
      <c r="E147" s="90"/>
      <c r="F147" s="90"/>
      <c r="G147" s="98"/>
      <c r="H147" s="99"/>
      <c r="I147" s="99"/>
      <c r="J147" s="99"/>
      <c r="K147" s="99"/>
      <c r="L147" s="98"/>
      <c r="M147" s="144"/>
    </row>
    <row r="148" spans="1:15" ht="16" x14ac:dyDescent="0.2">
      <c r="A148" s="89"/>
      <c r="B148" s="139" t="s">
        <v>178</v>
      </c>
      <c r="C148" s="140"/>
      <c r="D148" s="140"/>
      <c r="E148" s="140"/>
      <c r="F148" s="140"/>
      <c r="G148" s="99"/>
      <c r="H148" s="99"/>
      <c r="I148" s="99"/>
      <c r="J148" s="99"/>
      <c r="K148" s="99"/>
      <c r="L148" s="99"/>
      <c r="M148" s="145"/>
    </row>
    <row r="149" spans="1:15" x14ac:dyDescent="0.2">
      <c r="A149" s="89"/>
      <c r="B149" s="121" t="s">
        <v>179</v>
      </c>
      <c r="C149" s="146"/>
      <c r="D149" s="146">
        <f>D58-C58</f>
        <v>0</v>
      </c>
      <c r="E149" s="146">
        <f t="shared" ref="E149:G149" si="176">E58-D58</f>
        <v>0</v>
      </c>
      <c r="F149" s="146">
        <f t="shared" si="176"/>
        <v>97090</v>
      </c>
      <c r="G149" s="146">
        <f t="shared" si="176"/>
        <v>0</v>
      </c>
      <c r="H149" s="224">
        <v>0</v>
      </c>
      <c r="I149" s="224">
        <v>0</v>
      </c>
      <c r="J149" s="224">
        <v>0</v>
      </c>
      <c r="K149" s="224">
        <v>0</v>
      </c>
      <c r="L149" s="224">
        <v>0</v>
      </c>
      <c r="M149" s="231">
        <v>0</v>
      </c>
    </row>
    <row r="150" spans="1:15" x14ac:dyDescent="0.2">
      <c r="A150" s="89"/>
      <c r="B150" s="121"/>
      <c r="C150" s="90"/>
      <c r="D150" s="90"/>
      <c r="E150" s="90"/>
      <c r="F150" s="90"/>
      <c r="G150" s="98"/>
      <c r="H150" s="99"/>
      <c r="I150" s="99"/>
      <c r="J150" s="99"/>
      <c r="K150" s="99"/>
      <c r="L150" s="98"/>
      <c r="M150" s="144"/>
    </row>
    <row r="151" spans="1:15" ht="16" x14ac:dyDescent="0.2">
      <c r="A151" s="89"/>
      <c r="B151" s="139" t="s">
        <v>55</v>
      </c>
      <c r="C151" s="140"/>
      <c r="D151" s="140"/>
      <c r="E151" s="140"/>
      <c r="F151" s="140"/>
      <c r="G151" s="99"/>
      <c r="H151" s="99"/>
      <c r="I151" s="99"/>
      <c r="J151" s="99"/>
      <c r="K151" s="99"/>
      <c r="L151" s="99"/>
      <c r="M151" s="145"/>
    </row>
    <row r="152" spans="1:15" x14ac:dyDescent="0.2">
      <c r="A152" s="89"/>
      <c r="B152" s="121" t="s">
        <v>180</v>
      </c>
      <c r="C152" s="146"/>
      <c r="D152" s="146">
        <f>-D86</f>
        <v>55277</v>
      </c>
      <c r="E152" s="146">
        <f>-E86</f>
        <v>392881</v>
      </c>
      <c r="F152" s="146">
        <f>-F86</f>
        <v>732841</v>
      </c>
      <c r="G152" s="146">
        <f>-G86</f>
        <v>762536</v>
      </c>
      <c r="H152" s="135">
        <f>(60000+55000+537142.96)/1.21</f>
        <v>538961.12396694208</v>
      </c>
      <c r="I152" s="135">
        <f>(15000+12000+100000)/1.21</f>
        <v>104958.67768595042</v>
      </c>
      <c r="J152" s="135">
        <f>(20000+100000)/1.21</f>
        <v>99173.553719008269</v>
      </c>
      <c r="K152" s="135">
        <f>(20000+100000)/1.21</f>
        <v>99173.553719008269</v>
      </c>
      <c r="L152" s="135">
        <f>(20000+100000)/1.21</f>
        <v>99173.553719008269</v>
      </c>
      <c r="M152" s="136">
        <f>(20000+100000)/1.21</f>
        <v>99173.553719008269</v>
      </c>
    </row>
    <row r="153" spans="1:15" x14ac:dyDescent="0.2">
      <c r="A153" s="89"/>
      <c r="B153" s="121" t="s">
        <v>144</v>
      </c>
      <c r="C153" s="147"/>
      <c r="D153" s="147">
        <f>D32</f>
        <v>129749</v>
      </c>
      <c r="E153" s="147">
        <f>E32</f>
        <v>97690</v>
      </c>
      <c r="F153" s="147">
        <f>F32</f>
        <v>100038</v>
      </c>
      <c r="G153" s="147">
        <f>G32</f>
        <v>313470</v>
      </c>
      <c r="H153" s="135">
        <f>$G$49/$C$155</f>
        <v>320599.8</v>
      </c>
      <c r="I153" s="135">
        <f>($G$49-SUM($H153:H153))/$C$155</f>
        <v>256479.84</v>
      </c>
      <c r="J153" s="135">
        <f>($G$49-SUM($H153:I153))/$C$155*J125/I125</f>
        <v>205183.872</v>
      </c>
      <c r="K153" s="135">
        <f>($G$49-SUM($H153:J153))/$C$155*K125/J125</f>
        <v>164147.09760000001</v>
      </c>
      <c r="L153" s="135">
        <f>($G$49-SUM($H153:K153))/$C$155*L125/K125</f>
        <v>131317.67808000001</v>
      </c>
      <c r="M153" s="136">
        <f>($G$49-SUM($H153:L153))/$C$155*M125/L125</f>
        <v>50337.304113845559</v>
      </c>
    </row>
    <row r="154" spans="1:15" x14ac:dyDescent="0.2">
      <c r="A154" s="89"/>
      <c r="B154" s="121" t="s">
        <v>145</v>
      </c>
      <c r="C154" s="90"/>
      <c r="D154" s="90"/>
      <c r="E154" s="90"/>
      <c r="F154" s="90"/>
      <c r="G154" s="94"/>
      <c r="H154" s="135">
        <f>H152/C155/12*5</f>
        <v>44913.42699724518</v>
      </c>
      <c r="I154" s="135">
        <f>SUM($H152:H152)/$C$155</f>
        <v>107792.22479338842</v>
      </c>
      <c r="J154" s="135">
        <f>SUM($H152:I152)/$C$155</f>
        <v>128783.9603305785</v>
      </c>
      <c r="K154" s="135">
        <f>SUM($H152:J152)/$C$155</f>
        <v>148618.67107438014</v>
      </c>
      <c r="L154" s="135">
        <f>SUM($H152:K152)/$C$155</f>
        <v>168453.38181818178</v>
      </c>
      <c r="M154" s="136">
        <f>SUM($H152:L152)/$C$155-H154</f>
        <v>143374.66556473827</v>
      </c>
    </row>
    <row r="155" spans="1:15" x14ac:dyDescent="0.2">
      <c r="A155" s="89"/>
      <c r="B155" s="121" t="s">
        <v>181</v>
      </c>
      <c r="C155" s="112">
        <v>5</v>
      </c>
      <c r="D155" s="99"/>
      <c r="E155" s="99"/>
      <c r="F155" s="99"/>
      <c r="G155" s="99"/>
      <c r="H155" s="99"/>
      <c r="I155" s="99"/>
      <c r="J155" s="99"/>
      <c r="K155" s="99"/>
      <c r="L155" s="99"/>
      <c r="M155" s="145"/>
    </row>
    <row r="156" spans="1:15" x14ac:dyDescent="0.2">
      <c r="A156" s="89"/>
      <c r="B156" s="206" t="s">
        <v>182</v>
      </c>
      <c r="C156" s="207"/>
      <c r="D156" s="207"/>
      <c r="E156" s="207"/>
      <c r="F156" s="207"/>
      <c r="G156" s="207"/>
      <c r="H156" s="224">
        <v>0</v>
      </c>
      <c r="I156" s="224">
        <v>0</v>
      </c>
      <c r="J156" s="224">
        <v>0</v>
      </c>
      <c r="K156" s="224">
        <v>0</v>
      </c>
      <c r="L156" s="224">
        <v>0</v>
      </c>
      <c r="M156" s="231">
        <v>0</v>
      </c>
    </row>
    <row r="157" spans="1:15" x14ac:dyDescent="0.2">
      <c r="A157" s="89"/>
      <c r="B157" s="121" t="s">
        <v>184</v>
      </c>
      <c r="C157" s="146"/>
      <c r="D157" s="146"/>
      <c r="E157" s="146"/>
      <c r="F157" s="146"/>
      <c r="G157" s="146"/>
      <c r="H157" s="135">
        <f>SUM(G156:$H156)/$C$158</f>
        <v>0</v>
      </c>
      <c r="I157" s="135">
        <f>SUM($H156:H156)/$C$158</f>
        <v>0</v>
      </c>
      <c r="J157" s="135">
        <f>SUM($H156:I156)/$C$158</f>
        <v>0</v>
      </c>
      <c r="K157" s="135">
        <f>SUM($H156:J156)/$C$158</f>
        <v>0</v>
      </c>
      <c r="L157" s="135">
        <f>SUM($H156:K156)/$C$158</f>
        <v>0</v>
      </c>
      <c r="M157" s="136">
        <f>SUM($H156:L156)/$C$158</f>
        <v>0</v>
      </c>
    </row>
    <row r="158" spans="1:15" x14ac:dyDescent="0.2">
      <c r="A158" s="89"/>
      <c r="B158" s="210" t="s">
        <v>183</v>
      </c>
      <c r="C158" s="211">
        <v>20</v>
      </c>
      <c r="D158" s="212"/>
      <c r="E158" s="212"/>
      <c r="F158" s="212"/>
      <c r="G158" s="212"/>
      <c r="H158" s="212"/>
      <c r="I158" s="212"/>
      <c r="J158" s="212"/>
      <c r="K158" s="212"/>
      <c r="L158" s="212"/>
      <c r="M158" s="213"/>
    </row>
    <row r="159" spans="1:15" x14ac:dyDescent="0.2">
      <c r="A159" s="89"/>
      <c r="B159" s="121"/>
      <c r="C159" s="90"/>
      <c r="D159" s="90"/>
      <c r="E159" s="90"/>
      <c r="F159" s="90"/>
      <c r="G159" s="99"/>
      <c r="H159" s="99"/>
      <c r="I159" s="99"/>
      <c r="J159" s="99"/>
      <c r="K159" s="99"/>
      <c r="L159" s="99"/>
      <c r="M159" s="145"/>
    </row>
    <row r="160" spans="1:15" ht="16" x14ac:dyDescent="0.2">
      <c r="A160" s="89"/>
      <c r="B160" s="139" t="s">
        <v>114</v>
      </c>
      <c r="C160" s="140"/>
      <c r="D160" s="140"/>
      <c r="E160" s="140"/>
      <c r="F160" s="140"/>
      <c r="G160" s="99"/>
      <c r="H160" s="99"/>
      <c r="I160" s="99"/>
      <c r="J160" s="99"/>
      <c r="K160" s="99"/>
      <c r="L160" s="99"/>
      <c r="M160" s="145"/>
    </row>
    <row r="161" spans="1:13" ht="16" x14ac:dyDescent="0.2">
      <c r="A161" s="89"/>
      <c r="B161" s="148" t="s">
        <v>146</v>
      </c>
      <c r="C161" s="149"/>
      <c r="D161" s="149"/>
      <c r="E161" s="149"/>
      <c r="F161" s="149"/>
      <c r="G161" s="99"/>
      <c r="H161" s="113">
        <v>467142.96</v>
      </c>
      <c r="I161" s="113">
        <v>0</v>
      </c>
      <c r="J161" s="113">
        <v>0</v>
      </c>
      <c r="K161" s="113">
        <v>0</v>
      </c>
      <c r="L161" s="113">
        <v>0</v>
      </c>
      <c r="M161" s="150">
        <v>0</v>
      </c>
    </row>
    <row r="162" spans="1:13" x14ac:dyDescent="0.2">
      <c r="A162" s="89"/>
      <c r="B162" s="121" t="s">
        <v>148</v>
      </c>
      <c r="C162" s="90"/>
      <c r="D162" s="90"/>
      <c r="E162" s="90"/>
      <c r="F162" s="90"/>
      <c r="G162" s="99"/>
      <c r="H162" s="113">
        <v>0</v>
      </c>
      <c r="I162" s="113">
        <v>50000</v>
      </c>
      <c r="J162" s="113">
        <v>50000</v>
      </c>
      <c r="K162" s="113">
        <v>50000</v>
      </c>
      <c r="L162" s="113">
        <v>50000</v>
      </c>
      <c r="M162" s="150">
        <v>50000</v>
      </c>
    </row>
    <row r="163" spans="1:13" x14ac:dyDescent="0.2">
      <c r="A163" s="89"/>
      <c r="B163" s="121" t="s">
        <v>147</v>
      </c>
      <c r="C163" s="114">
        <v>1.5E-3</v>
      </c>
      <c r="D163" s="90"/>
      <c r="E163" s="90"/>
      <c r="F163" s="90"/>
      <c r="G163" s="99"/>
      <c r="H163" s="113">
        <f>H161*$C$163</f>
        <v>700.71444000000008</v>
      </c>
      <c r="I163" s="113">
        <f t="shared" ref="I163:L163" si="177">I161*$C$163</f>
        <v>0</v>
      </c>
      <c r="J163" s="113">
        <f t="shared" si="177"/>
        <v>0</v>
      </c>
      <c r="K163" s="113">
        <f t="shared" si="177"/>
        <v>0</v>
      </c>
      <c r="L163" s="113">
        <f t="shared" si="177"/>
        <v>0</v>
      </c>
      <c r="M163" s="150">
        <f t="shared" ref="M163" si="178">M161*$C$163</f>
        <v>0</v>
      </c>
    </row>
    <row r="164" spans="1:13" x14ac:dyDescent="0.2">
      <c r="A164" s="89"/>
      <c r="B164" s="121" t="s">
        <v>56</v>
      </c>
      <c r="C164" s="114">
        <v>1.55E-2</v>
      </c>
      <c r="D164" s="114">
        <v>3.7499999999999999E-2</v>
      </c>
      <c r="E164" s="90"/>
      <c r="F164" s="90"/>
      <c r="G164" s="99"/>
      <c r="H164" s="113">
        <f>SUM($H161:H161)/12*5*SUM(C164:D164)</f>
        <v>10316.073700000001</v>
      </c>
      <c r="I164" s="113">
        <f>(SUM($H161:H161)+I161/2-SUM($H162:H162)-I162/2)*SUM($C164:$D164)</f>
        <v>23433.576880000001</v>
      </c>
      <c r="J164" s="113">
        <f>(SUM($H161:I161)+J161/2-SUM($H162:I162)-J162/2)*SUM($C164:$D164)</f>
        <v>20783.576880000001</v>
      </c>
      <c r="K164" s="113">
        <f>(SUM($H161:J161)+K161/2-SUM($H162:J162)-K162/2)*SUM($C164:$D164)</f>
        <v>18133.576880000001</v>
      </c>
      <c r="L164" s="113">
        <f>(SUM($H161:K161)+L161/2-SUM($H162:K162)-L162/2)*SUM($C164:$D164)</f>
        <v>15483.576880000001</v>
      </c>
      <c r="M164" s="150">
        <f>(SUM($H161:L161)+M161/2-SUM($H162:L162)-M162/2)*SUM($C164:$D164)</f>
        <v>12833.576880000001</v>
      </c>
    </row>
    <row r="165" spans="1:13" x14ac:dyDescent="0.2">
      <c r="A165" s="89"/>
      <c r="B165" s="121"/>
      <c r="C165" s="90"/>
      <c r="D165" s="90"/>
      <c r="E165" s="90"/>
      <c r="F165" s="90"/>
      <c r="G165" s="98"/>
      <c r="H165" s="98"/>
      <c r="I165" s="98"/>
      <c r="J165" s="98"/>
      <c r="K165" s="98"/>
      <c r="L165" s="98"/>
      <c r="M165" s="144"/>
    </row>
    <row r="166" spans="1:13" ht="16" x14ac:dyDescent="0.2">
      <c r="A166" s="89"/>
      <c r="B166" s="139" t="s">
        <v>57</v>
      </c>
      <c r="C166" s="140"/>
      <c r="D166" s="140"/>
      <c r="E166" s="140"/>
      <c r="F166" s="140"/>
      <c r="G166" s="98"/>
      <c r="H166" s="98"/>
      <c r="I166" s="98"/>
      <c r="J166" s="98"/>
      <c r="K166" s="98"/>
      <c r="L166" s="98"/>
      <c r="M166" s="144"/>
    </row>
    <row r="167" spans="1:13" x14ac:dyDescent="0.2">
      <c r="A167" s="89"/>
      <c r="B167" s="121" t="s">
        <v>149</v>
      </c>
      <c r="C167" s="90"/>
      <c r="D167" s="90"/>
      <c r="E167" s="90"/>
      <c r="F167" s="90"/>
      <c r="G167" s="98"/>
      <c r="H167" s="115">
        <v>0.25</v>
      </c>
      <c r="I167" s="115">
        <v>0.25</v>
      </c>
      <c r="J167" s="115">
        <v>0.25</v>
      </c>
      <c r="K167" s="115">
        <v>0.25</v>
      </c>
      <c r="L167" s="115">
        <v>0.25</v>
      </c>
      <c r="M167" s="151">
        <v>0.25</v>
      </c>
    </row>
    <row r="168" spans="1:13" x14ac:dyDescent="0.2">
      <c r="A168" s="89"/>
      <c r="B168" s="121" t="s">
        <v>150</v>
      </c>
      <c r="C168" s="90"/>
      <c r="D168" s="90"/>
      <c r="E168" s="90"/>
      <c r="F168" s="90"/>
      <c r="G168" s="98"/>
      <c r="H168" s="113">
        <v>20</v>
      </c>
      <c r="I168" s="113">
        <v>20</v>
      </c>
      <c r="J168" s="113">
        <v>20</v>
      </c>
      <c r="K168" s="113">
        <v>20</v>
      </c>
      <c r="L168" s="113">
        <v>20</v>
      </c>
      <c r="M168" s="150">
        <v>20</v>
      </c>
    </row>
    <row r="169" spans="1:13" x14ac:dyDescent="0.2">
      <c r="A169" s="89"/>
      <c r="B169" s="121" t="s">
        <v>155</v>
      </c>
      <c r="C169" s="90"/>
      <c r="D169" s="90"/>
      <c r="E169" s="90"/>
      <c r="F169" s="90"/>
      <c r="G169" s="98"/>
      <c r="H169" s="113">
        <v>5</v>
      </c>
      <c r="I169" s="113">
        <v>5</v>
      </c>
      <c r="J169" s="113">
        <v>5</v>
      </c>
      <c r="K169" s="113">
        <v>5</v>
      </c>
      <c r="L169" s="113">
        <v>5</v>
      </c>
      <c r="M169" s="150">
        <v>5</v>
      </c>
    </row>
    <row r="170" spans="1:13" x14ac:dyDescent="0.2">
      <c r="A170" s="89"/>
      <c r="B170" s="121" t="s">
        <v>154</v>
      </c>
      <c r="C170" s="90"/>
      <c r="D170" s="90"/>
      <c r="E170" s="90"/>
      <c r="F170" s="90"/>
      <c r="G170" s="98"/>
      <c r="H170" s="115">
        <v>0.03</v>
      </c>
      <c r="I170" s="115">
        <v>0.03</v>
      </c>
      <c r="J170" s="115">
        <v>0.03</v>
      </c>
      <c r="K170" s="115">
        <v>0.03</v>
      </c>
      <c r="L170" s="115">
        <v>0.03</v>
      </c>
      <c r="M170" s="151">
        <v>0.03</v>
      </c>
    </row>
    <row r="171" spans="1:13" x14ac:dyDescent="0.2">
      <c r="A171" s="89"/>
      <c r="B171" s="152"/>
      <c r="C171" s="153"/>
      <c r="D171" s="153"/>
      <c r="E171" s="153"/>
      <c r="F171" s="153"/>
      <c r="G171" s="154"/>
      <c r="H171" s="154"/>
      <c r="I171" s="154"/>
      <c r="J171" s="154"/>
      <c r="K171" s="154"/>
      <c r="L171" s="154"/>
      <c r="M171" s="155"/>
    </row>
    <row r="172" spans="1:13" x14ac:dyDescent="0.2">
      <c r="A172" s="89"/>
      <c r="B172" s="90"/>
      <c r="C172" s="90"/>
      <c r="D172" s="90"/>
      <c r="E172" s="90"/>
      <c r="F172" s="90"/>
      <c r="G172" s="93"/>
      <c r="H172" s="93"/>
      <c r="I172" s="93"/>
      <c r="J172" s="93"/>
      <c r="K172" s="93"/>
      <c r="L172" s="93"/>
      <c r="M172" s="93"/>
    </row>
    <row r="173" spans="1:13" x14ac:dyDescent="0.2">
      <c r="A173" s="89"/>
      <c r="B173" s="90"/>
      <c r="C173" s="90"/>
      <c r="D173" s="90"/>
      <c r="E173" s="90"/>
      <c r="F173" s="90"/>
      <c r="G173" s="93"/>
      <c r="H173" s="93"/>
      <c r="I173" s="93"/>
      <c r="J173" s="93"/>
      <c r="K173" s="93"/>
      <c r="L173" s="93"/>
      <c r="M173" s="93"/>
    </row>
    <row r="174" spans="1:13" x14ac:dyDescent="0.2">
      <c r="A174" s="89"/>
      <c r="B174" s="90"/>
      <c r="C174" s="90"/>
      <c r="D174" s="90"/>
      <c r="E174" s="90"/>
      <c r="F174" s="90"/>
      <c r="G174" s="93"/>
      <c r="H174" s="93"/>
      <c r="I174" s="93"/>
      <c r="J174" s="93"/>
      <c r="K174" s="93"/>
      <c r="L174" s="93"/>
      <c r="M174" s="93"/>
    </row>
    <row r="175" spans="1:13" x14ac:dyDescent="0.2">
      <c r="A175" s="89"/>
      <c r="B175" s="85" t="s">
        <v>172</v>
      </c>
      <c r="C175" s="86" t="str">
        <f>C102</f>
        <v xml:space="preserve"> F 2018</v>
      </c>
      <c r="D175" s="86" t="str">
        <f t="shared" ref="D175:L175" si="179">D102</f>
        <v xml:space="preserve"> F 2019</v>
      </c>
      <c r="E175" s="86" t="str">
        <f t="shared" si="179"/>
        <v xml:space="preserve"> F 2020</v>
      </c>
      <c r="F175" s="86" t="str">
        <f t="shared" si="179"/>
        <v xml:space="preserve"> F 2021</v>
      </c>
      <c r="G175" s="86" t="str">
        <f t="shared" si="179"/>
        <v xml:space="preserve"> F 2022</v>
      </c>
      <c r="H175" s="86" t="str">
        <f t="shared" si="179"/>
        <v xml:space="preserve"> P 2023</v>
      </c>
      <c r="I175" s="86" t="str">
        <f t="shared" si="179"/>
        <v xml:space="preserve"> P 2024</v>
      </c>
      <c r="J175" s="86" t="str">
        <f t="shared" si="179"/>
        <v xml:space="preserve"> P 2025</v>
      </c>
      <c r="K175" s="86" t="str">
        <f t="shared" si="179"/>
        <v xml:space="preserve"> P 2026</v>
      </c>
      <c r="L175" s="86" t="str">
        <f t="shared" si="179"/>
        <v xml:space="preserve"> P 2027</v>
      </c>
      <c r="M175" s="87" t="str">
        <f t="shared" ref="M175" si="180">M102</f>
        <v xml:space="preserve"> P 2028</v>
      </c>
    </row>
    <row r="176" spans="1:13" x14ac:dyDescent="0.2">
      <c r="A176" s="89"/>
      <c r="B176" s="121" t="s">
        <v>58</v>
      </c>
      <c r="C176" s="100"/>
      <c r="D176" s="100">
        <f t="shared" ref="D176:H176" si="181">D7/C7-1</f>
        <v>3.745519896818772E-2</v>
      </c>
      <c r="E176" s="100">
        <f t="shared" si="181"/>
        <v>-0.52147464765842266</v>
      </c>
      <c r="F176" s="100">
        <f t="shared" si="181"/>
        <v>-0.35842257786016274</v>
      </c>
      <c r="G176" s="100">
        <f t="shared" si="181"/>
        <v>2.7744214435988677</v>
      </c>
      <c r="H176" s="100">
        <f t="shared" si="181"/>
        <v>8.1469467733816581E-2</v>
      </c>
      <c r="I176" s="100">
        <f t="shared" ref="I176:M176" si="182">I7/H7-1</f>
        <v>0.23200653434801954</v>
      </c>
      <c r="J176" s="100">
        <f t="shared" si="182"/>
        <v>5.8988528799847062E-2</v>
      </c>
      <c r="K176" s="100">
        <f t="shared" si="182"/>
        <v>4.6058067003967196E-2</v>
      </c>
      <c r="L176" s="100">
        <f t="shared" si="182"/>
        <v>4.6042477469355303E-2</v>
      </c>
      <c r="M176" s="158">
        <f t="shared" si="182"/>
        <v>4.969268440944119E-2</v>
      </c>
    </row>
    <row r="177" spans="1:13" x14ac:dyDescent="0.2">
      <c r="A177" s="89"/>
      <c r="B177" s="121" t="s">
        <v>60</v>
      </c>
      <c r="C177" s="100">
        <f t="shared" ref="C177" si="183">C18/C7</f>
        <v>-0.54914108868181555</v>
      </c>
      <c r="D177" s="100">
        <f t="shared" ref="D177:G177" si="184">D18/D7</f>
        <v>-0.50331039322216164</v>
      </c>
      <c r="E177" s="100">
        <f t="shared" si="184"/>
        <v>-2.3009011210847734</v>
      </c>
      <c r="F177" s="100">
        <f t="shared" si="184"/>
        <v>-3.0679895760283284</v>
      </c>
      <c r="G177" s="100">
        <f t="shared" si="184"/>
        <v>-0.79075164359263483</v>
      </c>
      <c r="H177" s="100">
        <f>H18/H7</f>
        <v>-0.76838301576227097</v>
      </c>
      <c r="I177" s="100">
        <f t="shared" ref="I177:L177" si="185">I18/I7</f>
        <v>-0.56927223848358022</v>
      </c>
      <c r="J177" s="100">
        <f t="shared" si="185"/>
        <v>-0.55499756385572196</v>
      </c>
      <c r="K177" s="100">
        <f t="shared" si="185"/>
        <v>-0.5474216035547057</v>
      </c>
      <c r="L177" s="100">
        <f t="shared" si="185"/>
        <v>-0.53750656062400981</v>
      </c>
      <c r="M177" s="158">
        <f t="shared" ref="M177" si="186">M18/M7</f>
        <v>-0.51815043395379989</v>
      </c>
    </row>
    <row r="178" spans="1:13" x14ac:dyDescent="0.2">
      <c r="A178" s="89"/>
      <c r="B178" s="121" t="s">
        <v>61</v>
      </c>
      <c r="C178" s="175">
        <f t="shared" ref="C178" si="187">C30/C7</f>
        <v>4.5193397850495934E-2</v>
      </c>
      <c r="D178" s="175">
        <f t="shared" ref="D178:G178" si="188">D30/D7</f>
        <v>5.1422732430006335E-2</v>
      </c>
      <c r="E178" s="175">
        <f t="shared" si="188"/>
        <v>8.3133101837157039E-2</v>
      </c>
      <c r="F178" s="175">
        <f t="shared" si="188"/>
        <v>0.12861879901697049</v>
      </c>
      <c r="G178" s="175">
        <f t="shared" si="188"/>
        <v>0.10761775653496626</v>
      </c>
      <c r="H178" s="175">
        <f>H30/H7</f>
        <v>0.11469509669635614</v>
      </c>
      <c r="I178" s="175">
        <f t="shared" ref="I178:L178" si="189">I30/I7</f>
        <v>9.6515988552534807E-2</v>
      </c>
      <c r="J178" s="175">
        <f t="shared" si="189"/>
        <v>8.4265273195409177E-2</v>
      </c>
      <c r="K178" s="175">
        <f t="shared" si="189"/>
        <v>7.5347761322609688E-2</v>
      </c>
      <c r="L178" s="175">
        <f t="shared" si="189"/>
        <v>6.9185014950977758E-2</v>
      </c>
      <c r="M178" s="176">
        <f t="shared" ref="M178" si="190">M30/M7</f>
        <v>4.4196300587802738E-2</v>
      </c>
    </row>
    <row r="179" spans="1:13" x14ac:dyDescent="0.2">
      <c r="A179" s="89"/>
      <c r="B179" s="121" t="s">
        <v>62</v>
      </c>
      <c r="C179" s="175">
        <f t="shared" ref="C179" si="191">C42/C7</f>
        <v>6.5473128047632292E-4</v>
      </c>
      <c r="D179" s="175">
        <f t="shared" ref="D179:G179" si="192">D42/D7</f>
        <v>1.835183579113006E-3</v>
      </c>
      <c r="E179" s="175">
        <f t="shared" si="192"/>
        <v>3.9263359699351222E-3</v>
      </c>
      <c r="F179" s="175">
        <f t="shared" si="192"/>
        <v>4.8891741834782279E-3</v>
      </c>
      <c r="G179" s="175">
        <f t="shared" si="192"/>
        <v>1.9628410272441678E-3</v>
      </c>
      <c r="H179" s="175">
        <f>H42/H7</f>
        <v>6.0613084645385175E-4</v>
      </c>
      <c r="I179" s="175">
        <f t="shared" ref="I179:L179" si="193">I42/I7</f>
        <v>1.1632542654315854E-3</v>
      </c>
      <c r="J179" s="175">
        <f t="shared" si="193"/>
        <v>1.8772838664975202E-3</v>
      </c>
      <c r="K179" s="175">
        <f t="shared" si="193"/>
        <v>1.8828616304826054E-3</v>
      </c>
      <c r="L179" s="175">
        <f t="shared" si="193"/>
        <v>2.2742270316443375E-3</v>
      </c>
      <c r="M179" s="176">
        <f t="shared" ref="M179" si="194">M42/M7</f>
        <v>2.4336239082455744E-3</v>
      </c>
    </row>
    <row r="180" spans="1:13" x14ac:dyDescent="0.2">
      <c r="A180" s="89"/>
      <c r="B180" s="121"/>
      <c r="C180" s="90"/>
      <c r="D180" s="90"/>
      <c r="E180" s="90"/>
      <c r="F180" s="90"/>
      <c r="G180" s="94"/>
      <c r="H180" s="94"/>
      <c r="I180" s="94"/>
      <c r="J180" s="94"/>
      <c r="K180" s="94"/>
      <c r="L180" s="94"/>
      <c r="M180" s="159"/>
    </row>
    <row r="181" spans="1:13" x14ac:dyDescent="0.2">
      <c r="A181" s="89"/>
      <c r="B181" s="121" t="s">
        <v>63</v>
      </c>
      <c r="C181" s="101">
        <f t="shared" ref="C181:G181" si="195">C71/C62</f>
        <v>33.152172273344398</v>
      </c>
      <c r="D181" s="101">
        <f t="shared" si="195"/>
        <v>33.67936954506218</v>
      </c>
      <c r="E181" s="101">
        <f t="shared" si="195"/>
        <v>35.893366825848126</v>
      </c>
      <c r="F181" s="101">
        <f t="shared" si="195"/>
        <v>13.147467418464206</v>
      </c>
      <c r="G181" s="101">
        <f t="shared" si="195"/>
        <v>21.077488257739944</v>
      </c>
      <c r="H181" s="101">
        <f>H71/H62</f>
        <v>21.538997340739371</v>
      </c>
      <c r="I181" s="101">
        <f t="shared" ref="I181:L181" si="196">I71/I62</f>
        <v>20.46676157274171</v>
      </c>
      <c r="J181" s="101">
        <f t="shared" si="196"/>
        <v>18.076576589439942</v>
      </c>
      <c r="K181" s="101">
        <f t="shared" si="196"/>
        <v>15.78895374730455</v>
      </c>
      <c r="L181" s="101">
        <f t="shared" si="196"/>
        <v>13.565244284376979</v>
      </c>
      <c r="M181" s="160">
        <f t="shared" ref="M181" si="197">M71/M62</f>
        <v>12.253520815926331</v>
      </c>
    </row>
    <row r="182" spans="1:13" x14ac:dyDescent="0.2">
      <c r="A182" s="89"/>
      <c r="B182" s="121" t="s">
        <v>166</v>
      </c>
      <c r="C182" s="180">
        <f>C62/C55</f>
        <v>2.9280714327518637E-2</v>
      </c>
      <c r="D182" s="180">
        <f>D62/D55</f>
        <v>2.8835587645288808E-2</v>
      </c>
      <c r="E182" s="180">
        <f t="shared" ref="E182:L182" si="198">E62/E55</f>
        <v>2.7105143445444044E-2</v>
      </c>
      <c r="F182" s="180">
        <f t="shared" si="198"/>
        <v>7.0684029192028777E-2</v>
      </c>
      <c r="G182" s="180">
        <f t="shared" si="198"/>
        <v>4.5295007671419286E-2</v>
      </c>
      <c r="H182" s="180">
        <f t="shared" si="198"/>
        <v>4.4367545941917039E-2</v>
      </c>
      <c r="I182" s="180">
        <f t="shared" si="198"/>
        <v>4.6583644981168959E-2</v>
      </c>
      <c r="J182" s="180">
        <f t="shared" si="198"/>
        <v>5.2420306930414426E-2</v>
      </c>
      <c r="K182" s="180">
        <f t="shared" si="198"/>
        <v>5.9562973074516273E-2</v>
      </c>
      <c r="L182" s="180">
        <f t="shared" si="198"/>
        <v>6.8656589651065678E-2</v>
      </c>
      <c r="M182" s="181">
        <f t="shared" ref="M182" si="199">M62/M55</f>
        <v>7.5451648953411096E-2</v>
      </c>
    </row>
    <row r="183" spans="1:13" x14ac:dyDescent="0.2">
      <c r="A183" s="89"/>
      <c r="B183" s="121"/>
      <c r="C183" s="90"/>
      <c r="D183" s="90"/>
      <c r="E183" s="90"/>
      <c r="F183" s="90"/>
      <c r="G183" s="101"/>
      <c r="H183" s="101"/>
      <c r="I183" s="101"/>
      <c r="J183" s="101"/>
      <c r="K183" s="101"/>
      <c r="L183" s="101"/>
      <c r="M183" s="160"/>
    </row>
    <row r="184" spans="1:13" x14ac:dyDescent="0.2">
      <c r="A184" s="89"/>
      <c r="B184" s="161" t="s">
        <v>64</v>
      </c>
      <c r="C184" s="101">
        <f>C54/(SUM(C63:C70)-C64-C69-C68)</f>
        <v>0.90031584130871067</v>
      </c>
      <c r="D184" s="101">
        <f t="shared" ref="D184:L184" si="200">D54/(SUM(D63:D70)-D64-D69-D68)</f>
        <v>1.0581217411017909</v>
      </c>
      <c r="E184" s="101">
        <f t="shared" si="200"/>
        <v>2.5968343949044588</v>
      </c>
      <c r="F184" s="101">
        <f t="shared" si="200"/>
        <v>1.337149701980519</v>
      </c>
      <c r="G184" s="101">
        <f t="shared" si="200"/>
        <v>1.2288306896377046</v>
      </c>
      <c r="H184" s="101">
        <f t="shared" si="200"/>
        <v>1.1083770812215312</v>
      </c>
      <c r="I184" s="101">
        <f t="shared" si="200"/>
        <v>1.0802822512310337</v>
      </c>
      <c r="J184" s="101">
        <f t="shared" si="200"/>
        <v>1.0449839769588498</v>
      </c>
      <c r="K184" s="101">
        <f t="shared" si="200"/>
        <v>1.0001122791758434</v>
      </c>
      <c r="L184" s="101">
        <f t="shared" si="200"/>
        <v>0.95306576724831493</v>
      </c>
      <c r="M184" s="160">
        <f t="shared" ref="M184" si="201">M54/(SUM(M63:M70)-M64-M69-M68)</f>
        <v>0.92491138713382248</v>
      </c>
    </row>
    <row r="185" spans="1:13" x14ac:dyDescent="0.2">
      <c r="A185" s="89"/>
      <c r="B185" s="161" t="s">
        <v>65</v>
      </c>
      <c r="C185" s="101">
        <f t="shared" ref="C185" si="202">(C54-C51)/(SUM(C63:C70)-C64-C69)</f>
        <v>9.7459094281660441E-2</v>
      </c>
      <c r="D185" s="101">
        <f t="shared" ref="D185:G185" si="203">(D54-D51)/(SUM(D63:D70)-D64-D69)</f>
        <v>0.34771764501983665</v>
      </c>
      <c r="E185" s="101">
        <f t="shared" si="203"/>
        <v>1.354042509137394</v>
      </c>
      <c r="F185" s="101">
        <f t="shared" si="203"/>
        <v>0.43966138453570885</v>
      </c>
      <c r="G185" s="101">
        <f t="shared" si="203"/>
        <v>0.53272332201391093</v>
      </c>
      <c r="H185" s="101">
        <f t="shared" ref="H185:L185" si="204">(H54-H51)/(SUM(H63:H70)-H64-H69)</f>
        <v>0.43730995929573929</v>
      </c>
      <c r="I185" s="101">
        <f t="shared" si="204"/>
        <v>0.48155606651737509</v>
      </c>
      <c r="J185" s="101">
        <f t="shared" si="204"/>
        <v>0.46262743825151376</v>
      </c>
      <c r="K185" s="101">
        <f t="shared" si="204"/>
        <v>0.42970913141632155</v>
      </c>
      <c r="L185" s="101">
        <f t="shared" si="204"/>
        <v>0.39443163789125468</v>
      </c>
      <c r="M185" s="160">
        <f t="shared" ref="M185" si="205">(M54-M51)/(SUM(M63:M70)-M64-M69)</f>
        <v>0.37645322308391255</v>
      </c>
    </row>
    <row r="186" spans="1:13" x14ac:dyDescent="0.2">
      <c r="A186" s="89"/>
      <c r="B186" s="121"/>
      <c r="C186" s="90"/>
      <c r="D186" s="90"/>
      <c r="E186" s="90"/>
      <c r="F186" s="90"/>
      <c r="G186" s="93"/>
      <c r="H186" s="93"/>
      <c r="I186" s="93"/>
      <c r="J186" s="93"/>
      <c r="K186" s="93"/>
      <c r="L186" s="93"/>
      <c r="M186" s="162"/>
    </row>
    <row r="187" spans="1:13" x14ac:dyDescent="0.2">
      <c r="A187" s="102"/>
      <c r="B187" s="163" t="s">
        <v>66</v>
      </c>
      <c r="C187" s="103">
        <f t="shared" ref="C187" si="206">C64/C30</f>
        <v>0</v>
      </c>
      <c r="D187" s="103">
        <f t="shared" ref="D187:G187" si="207">D64/D30</f>
        <v>0</v>
      </c>
      <c r="E187" s="103">
        <f t="shared" si="207"/>
        <v>0</v>
      </c>
      <c r="F187" s="103">
        <f t="shared" si="207"/>
        <v>0</v>
      </c>
      <c r="G187" s="103">
        <f t="shared" si="207"/>
        <v>0</v>
      </c>
      <c r="H187" s="103">
        <f t="shared" ref="H187:L187" si="208">H64/H30</f>
        <v>1.2340961520224596</v>
      </c>
      <c r="I187" s="103">
        <f t="shared" si="208"/>
        <v>1.0629594218731859</v>
      </c>
      <c r="J187" s="103">
        <f t="shared" si="208"/>
        <v>1.0118737895975496</v>
      </c>
      <c r="K187" s="103">
        <f t="shared" si="208"/>
        <v>0.93447718704663563</v>
      </c>
      <c r="L187" s="103">
        <f t="shared" si="208"/>
        <v>0.819532829774135</v>
      </c>
      <c r="M187" s="164">
        <f t="shared" ref="M187" si="209">M64/M30</f>
        <v>0.99341868804634981</v>
      </c>
    </row>
    <row r="188" spans="1:13" x14ac:dyDescent="0.2">
      <c r="A188" s="102"/>
      <c r="B188" s="163" t="s">
        <v>67</v>
      </c>
      <c r="C188" s="103">
        <f t="shared" ref="C188" si="210">IFERROR(C30/C36,0)</f>
        <v>0</v>
      </c>
      <c r="D188" s="103">
        <f t="shared" ref="D188:G188" si="211">IFERROR(D30/D36,0)</f>
        <v>0</v>
      </c>
      <c r="E188" s="103">
        <f t="shared" si="211"/>
        <v>0</v>
      </c>
      <c r="F188" s="103">
        <f t="shared" si="211"/>
        <v>0</v>
      </c>
      <c r="G188" s="103">
        <f t="shared" si="211"/>
        <v>0</v>
      </c>
      <c r="H188" s="103">
        <f t="shared" ref="H188:L188" si="212">IFERROR(H30/H36,0)</f>
        <v>34.359419066037226</v>
      </c>
      <c r="I188" s="103">
        <f t="shared" si="212"/>
        <v>16.746715744636965</v>
      </c>
      <c r="J188" s="103">
        <f t="shared" si="212"/>
        <v>17.457761903686478</v>
      </c>
      <c r="K188" s="103">
        <f t="shared" si="212"/>
        <v>18.715562901626644</v>
      </c>
      <c r="L188" s="103">
        <f t="shared" si="212"/>
        <v>21.052616687840072</v>
      </c>
      <c r="M188" s="164">
        <f t="shared" ref="M188" si="213">IFERROR(M30/M36,0)</f>
        <v>17.032002470473977</v>
      </c>
    </row>
    <row r="189" spans="1:13" x14ac:dyDescent="0.2">
      <c r="A189" s="102"/>
      <c r="B189" s="163" t="s">
        <v>68</v>
      </c>
      <c r="C189" s="167">
        <f t="shared" ref="C189:L189" si="214">IFERROR(C30/(C36+C162),0)</f>
        <v>0</v>
      </c>
      <c r="D189" s="167">
        <f t="shared" si="214"/>
        <v>0</v>
      </c>
      <c r="E189" s="167">
        <f t="shared" si="214"/>
        <v>0</v>
      </c>
      <c r="F189" s="167">
        <f t="shared" si="214"/>
        <v>0</v>
      </c>
      <c r="G189" s="167">
        <f t="shared" si="214"/>
        <v>0</v>
      </c>
      <c r="H189" s="167">
        <f t="shared" si="214"/>
        <v>34.359419066037226</v>
      </c>
      <c r="I189" s="167">
        <f t="shared" si="214"/>
        <v>5.3440873720579791</v>
      </c>
      <c r="J189" s="167">
        <f t="shared" si="214"/>
        <v>5.1259734626454367</v>
      </c>
      <c r="K189" s="167">
        <f t="shared" si="214"/>
        <v>4.9810991037041035</v>
      </c>
      <c r="L189" s="167">
        <f t="shared" si="214"/>
        <v>4.9778864341617908</v>
      </c>
      <c r="M189" s="168">
        <f t="shared" ref="M189" si="215">IFERROR(M30/(M36+M162),0)</f>
        <v>3.4787373881742591</v>
      </c>
    </row>
    <row r="190" spans="1:13" x14ac:dyDescent="0.2">
      <c r="A190" s="102"/>
      <c r="B190" s="163"/>
      <c r="C190" s="103"/>
      <c r="D190" s="103"/>
      <c r="E190" s="103"/>
      <c r="F190" s="103"/>
      <c r="G190" s="103"/>
      <c r="H190" s="103"/>
      <c r="I190" s="103"/>
      <c r="J190" s="103"/>
      <c r="K190" s="103"/>
      <c r="L190" s="103"/>
      <c r="M190" s="164"/>
    </row>
    <row r="191" spans="1:13" x14ac:dyDescent="0.2">
      <c r="A191" s="102"/>
      <c r="B191" s="163" t="s">
        <v>167</v>
      </c>
      <c r="C191" s="103"/>
      <c r="D191" s="172">
        <f>D42/AVERAGE(C62,D62)</f>
        <v>0.16724630158318193</v>
      </c>
      <c r="E191" s="172">
        <f t="shared" ref="E191:M191" si="216">E42/AVERAGE(D62,E62)</f>
        <v>0.14659437679613663</v>
      </c>
      <c r="F191" s="172">
        <f t="shared" si="216"/>
        <v>4.5568248625344386E-2</v>
      </c>
      <c r="G191" s="172">
        <f t="shared" si="216"/>
        <v>4.3093215156725491E-2</v>
      </c>
      <c r="H191" s="172">
        <f>H42/AVERAGE(G62,H62)</f>
        <v>1.4114218662016058E-2</v>
      </c>
      <c r="I191" s="172">
        <f t="shared" si="216"/>
        <v>3.259771779337084E-2</v>
      </c>
      <c r="J191" s="172">
        <f t="shared" si="216"/>
        <v>5.3354276118664105E-2</v>
      </c>
      <c r="K191" s="172">
        <f t="shared" si="216"/>
        <v>5.3076048651236378E-2</v>
      </c>
      <c r="L191" s="172">
        <f t="shared" si="216"/>
        <v>6.3260058428701374E-2</v>
      </c>
      <c r="M191" s="173">
        <f t="shared" si="216"/>
        <v>6.6585906153591085E-2</v>
      </c>
    </row>
    <row r="192" spans="1:13" x14ac:dyDescent="0.2">
      <c r="A192" s="102"/>
      <c r="B192" s="163" t="s">
        <v>168</v>
      </c>
      <c r="C192" s="103"/>
      <c r="D192" s="172">
        <f>D42/AVERAGE(C55,D55)</f>
        <v>4.8565176868988072E-3</v>
      </c>
      <c r="E192" s="172">
        <f t="shared" ref="E192:M192" si="217">E42/AVERAGE(D55,E55)</f>
        <v>4.0871079333507348E-3</v>
      </c>
      <c r="F192" s="172">
        <f t="shared" si="217"/>
        <v>2.4114149662063343E-3</v>
      </c>
      <c r="G192" s="172">
        <f t="shared" si="217"/>
        <v>2.3727358000278868E-3</v>
      </c>
      <c r="H192" s="172">
        <f t="shared" si="217"/>
        <v>6.3264455890362566E-4</v>
      </c>
      <c r="I192" s="172">
        <f t="shared" si="217"/>
        <v>1.4821091343864277E-3</v>
      </c>
      <c r="J192" s="172">
        <f t="shared" si="217"/>
        <v>2.6361085210724173E-3</v>
      </c>
      <c r="K192" s="172">
        <f t="shared" si="217"/>
        <v>2.9647431075368147E-3</v>
      </c>
      <c r="L192" s="172">
        <f t="shared" si="217"/>
        <v>4.0442614377397459E-3</v>
      </c>
      <c r="M192" s="173">
        <f t="shared" si="217"/>
        <v>4.7946484910300936E-3</v>
      </c>
    </row>
    <row r="193" spans="1:13" x14ac:dyDescent="0.2">
      <c r="A193" s="102"/>
      <c r="B193" s="163"/>
      <c r="C193" s="103"/>
      <c r="D193" s="103"/>
      <c r="E193" s="103"/>
      <c r="F193" s="103"/>
      <c r="G193" s="103"/>
      <c r="H193" s="103"/>
      <c r="I193" s="103"/>
      <c r="J193" s="103"/>
      <c r="K193" s="103"/>
      <c r="L193" s="103"/>
      <c r="M193" s="164"/>
    </row>
    <row r="194" spans="1:13" x14ac:dyDescent="0.2">
      <c r="A194" s="102"/>
      <c r="B194" s="163" t="s">
        <v>169</v>
      </c>
      <c r="C194" s="171">
        <f>(C8+C9+C23)/(C7+C20-C22)</f>
        <v>0.57222265823384155</v>
      </c>
      <c r="D194" s="171">
        <f>(D8+D9+D23)/(D7+D20-D22)</f>
        <v>0.58231700245603157</v>
      </c>
      <c r="E194" s="171">
        <f t="shared" ref="E194:L194" si="218">(E8+E9+E23)/(E7+E20-E22)</f>
        <v>0.28841688350770917</v>
      </c>
      <c r="F194" s="171">
        <f t="shared" si="218"/>
        <v>0.26374437369936332</v>
      </c>
      <c r="G194" s="171">
        <f t="shared" si="218"/>
        <v>0.49301780639067616</v>
      </c>
      <c r="H194" s="171">
        <f t="shared" si="218"/>
        <v>0.51724338886352483</v>
      </c>
      <c r="I194" s="171">
        <f t="shared" si="218"/>
        <v>0.56145750873974676</v>
      </c>
      <c r="J194" s="171">
        <f t="shared" si="218"/>
        <v>0.56913401604390634</v>
      </c>
      <c r="K194" s="171">
        <f t="shared" si="218"/>
        <v>0.5739083037407402</v>
      </c>
      <c r="L194" s="171">
        <f t="shared" si="218"/>
        <v>0.57866932099777058</v>
      </c>
      <c r="M194" s="174">
        <f t="shared" ref="M194" si="219">(M8+M9+M23)/(M7+M20-M22)</f>
        <v>0.5842327664585536</v>
      </c>
    </row>
    <row r="195" spans="1:13" x14ac:dyDescent="0.2">
      <c r="A195" s="102"/>
      <c r="B195" s="165"/>
      <c r="C195" s="169"/>
      <c r="D195" s="169"/>
      <c r="E195" s="169"/>
      <c r="F195" s="169"/>
      <c r="G195" s="169"/>
      <c r="H195" s="169"/>
      <c r="I195" s="169"/>
      <c r="J195" s="169"/>
      <c r="K195" s="169"/>
      <c r="L195" s="169"/>
      <c r="M195" s="170"/>
    </row>
    <row r="196" spans="1:13" x14ac:dyDescent="0.2">
      <c r="A196" s="104"/>
    </row>
    <row r="197" spans="1:13" x14ac:dyDescent="0.2">
      <c r="A197" s="104"/>
      <c r="B197" s="166"/>
      <c r="C197" s="167"/>
      <c r="D197" s="167"/>
      <c r="E197" s="167"/>
      <c r="F197" s="167"/>
      <c r="G197" s="167"/>
      <c r="H197" s="204">
        <f>H25/G25-1</f>
        <v>2.2211063029109468E-4</v>
      </c>
      <c r="I197" s="204">
        <f t="shared" ref="I197:M197" si="220">I25/H25-1</f>
        <v>7.6599656978798114E-2</v>
      </c>
      <c r="J197" s="204">
        <f t="shared" si="220"/>
        <v>4.017344122784583E-2</v>
      </c>
      <c r="K197" s="204">
        <f t="shared" si="220"/>
        <v>3.4190071188761717E-2</v>
      </c>
      <c r="L197" s="204">
        <f t="shared" si="220"/>
        <v>3.4241699666798686E-2</v>
      </c>
      <c r="M197" s="205">
        <f t="shared" si="220"/>
        <v>3.4293154256463731E-2</v>
      </c>
    </row>
    <row r="198" spans="1:13" x14ac:dyDescent="0.2">
      <c r="A198" s="104"/>
      <c r="B198" s="166"/>
      <c r="C198" s="167"/>
      <c r="D198" s="167"/>
      <c r="E198" s="167"/>
      <c r="F198" s="167"/>
      <c r="G198" s="167"/>
      <c r="H198" s="167"/>
      <c r="I198" s="167"/>
      <c r="J198" s="167"/>
      <c r="K198" s="167"/>
      <c r="L198" s="167"/>
      <c r="M198" s="167"/>
    </row>
    <row r="199" spans="1:13" x14ac:dyDescent="0.2">
      <c r="A199" s="104"/>
      <c r="B199" s="166"/>
      <c r="C199" s="167"/>
      <c r="D199" s="167"/>
      <c r="E199" s="167"/>
      <c r="F199" s="167"/>
      <c r="G199" s="167"/>
      <c r="H199" s="167"/>
      <c r="I199" s="167"/>
      <c r="J199" s="167"/>
      <c r="K199" s="167"/>
      <c r="L199" s="167"/>
      <c r="M199" s="167"/>
    </row>
    <row r="200" spans="1:13" x14ac:dyDescent="0.2">
      <c r="A200" s="104"/>
      <c r="B200" s="166"/>
      <c r="C200" s="167"/>
      <c r="D200" s="167"/>
      <c r="E200" s="167"/>
      <c r="F200" s="167"/>
      <c r="G200" s="167"/>
      <c r="H200" s="167"/>
      <c r="I200" s="167"/>
      <c r="J200" s="167"/>
      <c r="K200" s="167"/>
      <c r="L200" s="167"/>
      <c r="M200" s="167"/>
    </row>
    <row r="201" spans="1:13" x14ac:dyDescent="0.2">
      <c r="A201" s="42"/>
      <c r="B201" s="43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</row>
  </sheetData>
  <phoneticPr fontId="15" type="noConversion"/>
  <conditionalFormatting sqref="C74:M74">
    <cfRule type="cellIs" dxfId="11" priority="7" stopIfTrue="1" operator="greaterThan">
      <formula>1</formula>
    </cfRule>
    <cfRule type="cellIs" dxfId="10" priority="8" stopIfTrue="1" operator="lessThan">
      <formula>-1</formula>
    </cfRule>
  </conditionalFormatting>
  <conditionalFormatting sqref="C98:M98">
    <cfRule type="cellIs" dxfId="9" priority="1" stopIfTrue="1" operator="greaterThan">
      <formula>1</formula>
    </cfRule>
    <cfRule type="cellIs" dxfId="8" priority="2" stopIfTrue="1" operator="lessThan">
      <formula>-1</formula>
    </cfRule>
  </conditionalFormatting>
  <hyperlinks>
    <hyperlink ref="O105" r:id="rId1" xr:uid="{1C9C2158-9568-40D9-A69F-C86AD3B985B8}"/>
  </hyperlinks>
  <pageMargins left="0.7" right="0.7" top="0.75" bottom="0.75" header="0.3" footer="0.3"/>
  <pageSetup paperSize="9" orientation="landscape" r:id="rId2"/>
  <ignoredErrors>
    <ignoredError sqref="B159:B170 C129:G130 C128:G128 C159:G163 C154:G154 C171:L171 C164:G164 C110:H110 C152:G153 C201:L201 C65:G67 C64:G64 C175:G183 C185:G195 C69:G74 C68:G68 C77:G85 C75:G76 C97:L109 C86:G86 C48:G48 H175:L195 C118:G121 C114:G117 C7:M7 C40:G40 C41:G47 M97:M109 C126:G126 C125:G125 M171:M198 B147:G147 C59:G63 C58:G58 C155:G155 B151:G151 B153:B154 C49:G57 C33:G39 C32:G32 C112:G112 C131:G131 C124:G124 B124:B126 C10:G11 B122:G122 C8:G9 C17:G22 C14:G14 B128:B131 B133:G133 B135:G135 B137:G137 B139:G139 B141:G141 B143:G143 B145:G145 C13:G13 C12:G12 C15:G15 C16:G16 C24:G25 C23:G23 C29:G31 C26:G26 C27:G27 C28:G28 C87:G96 H29:M31 I23:M23 H24:M25 H17:M22 H10:M11 H33:M39 H49:M57 M59:M68 H59:L63 M70:M96 H41:M47 H40:K40 J86:L86 H86 H87:L96 H77:L85 H69:L74 H64 H65:L67 H8:M8 H68:L68 I64:L64 H75:L76 M69 I86 H48:M48 L40:M40 H58:M58 H12:M16 H23 H26:M28 H32:M32 C165:G170 H9 J9:M9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7D6C2-6964-4C73-ABBB-A355FA7410AB}">
  <dimension ref="A1:T208"/>
  <sheetViews>
    <sheetView showGridLines="0" tabSelected="1" topLeftCell="A157" zoomScale="126" zoomScaleNormal="126" workbookViewId="0">
      <selection activeCell="L141" sqref="L141"/>
    </sheetView>
  </sheetViews>
  <sheetFormatPr baseColWidth="10" defaultColWidth="8.83203125" defaultRowHeight="15" outlineLevelCol="1" x14ac:dyDescent="0.2"/>
  <cols>
    <col min="1" max="1" width="4.6640625" style="117" customWidth="1"/>
    <col min="2" max="2" width="57.5" style="117" customWidth="1"/>
    <col min="3" max="4" width="10.5" style="117" customWidth="1" outlineLevel="1"/>
    <col min="5" max="7" width="10.33203125" style="117" customWidth="1" outlineLevel="1"/>
    <col min="8" max="8" width="11" style="117" customWidth="1"/>
    <col min="9" max="9" width="11.6640625" style="117" customWidth="1"/>
    <col min="10" max="10" width="10.1640625" style="117" customWidth="1"/>
    <col min="11" max="11" width="10" style="117" customWidth="1"/>
    <col min="12" max="13" width="10.5" style="117" customWidth="1"/>
    <col min="14" max="14" width="8.33203125" customWidth="1"/>
  </cols>
  <sheetData>
    <row r="1" spans="1:20" x14ac:dyDescent="0.2">
      <c r="A1"/>
      <c r="B1"/>
      <c r="C1"/>
      <c r="D1"/>
      <c r="E1"/>
      <c r="F1"/>
      <c r="G1"/>
      <c r="H1"/>
      <c r="I1"/>
      <c r="J1"/>
      <c r="K1"/>
      <c r="L1"/>
      <c r="M1"/>
    </row>
    <row r="2" spans="1:20" ht="16" x14ac:dyDescent="0.2">
      <c r="A2" s="1"/>
      <c r="B2" s="81" t="s">
        <v>219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20" ht="16" x14ac:dyDescent="0.2">
      <c r="A3" s="1"/>
      <c r="B3"/>
      <c r="C3" s="2"/>
      <c r="D3" s="2"/>
      <c r="E3" s="3"/>
      <c r="F3" s="3"/>
      <c r="G3" s="4"/>
      <c r="H3" s="5"/>
      <c r="I3" s="1"/>
      <c r="J3" s="1"/>
      <c r="K3" s="1"/>
      <c r="L3" s="1"/>
      <c r="M3" s="1"/>
    </row>
    <row r="4" spans="1:20" ht="16" x14ac:dyDescent="0.2">
      <c r="A4" s="1"/>
      <c r="B4"/>
      <c r="C4" s="2"/>
      <c r="D4" s="2"/>
      <c r="E4" s="3"/>
      <c r="F4" s="3"/>
      <c r="G4" s="4"/>
      <c r="H4" s="5"/>
      <c r="I4" s="1"/>
      <c r="J4" s="1"/>
      <c r="K4" s="1"/>
      <c r="L4" s="1"/>
      <c r="M4" s="1"/>
    </row>
    <row r="5" spans="1:20" x14ac:dyDescent="0.2">
      <c r="A5" s="31"/>
      <c r="B5" s="85" t="s">
        <v>1</v>
      </c>
      <c r="C5" s="86" t="s">
        <v>112</v>
      </c>
      <c r="D5" s="86" t="s">
        <v>102</v>
      </c>
      <c r="E5" s="86" t="s">
        <v>103</v>
      </c>
      <c r="F5" s="86" t="s">
        <v>104</v>
      </c>
      <c r="G5" s="86" t="s">
        <v>105</v>
      </c>
      <c r="H5" s="86" t="s">
        <v>106</v>
      </c>
      <c r="I5" s="86" t="s">
        <v>107</v>
      </c>
      <c r="J5" s="86" t="s">
        <v>108</v>
      </c>
      <c r="K5" s="86" t="s">
        <v>109</v>
      </c>
      <c r="L5" s="86" t="s">
        <v>110</v>
      </c>
      <c r="M5" s="87" t="s">
        <v>177</v>
      </c>
    </row>
    <row r="6" spans="1:20" x14ac:dyDescent="0.2">
      <c r="A6" s="31"/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227"/>
    </row>
    <row r="7" spans="1:20" x14ac:dyDescent="0.2">
      <c r="A7" s="41"/>
      <c r="B7" s="6" t="s">
        <v>2</v>
      </c>
      <c r="C7" s="7">
        <f t="shared" ref="C7:M7" si="0">SUM(C8:C10)</f>
        <v>2538446</v>
      </c>
      <c r="D7" s="7">
        <f t="shared" si="0"/>
        <v>2633524</v>
      </c>
      <c r="E7" s="7">
        <f t="shared" si="0"/>
        <v>1260208</v>
      </c>
      <c r="F7" s="7">
        <f t="shared" si="0"/>
        <v>808521</v>
      </c>
      <c r="G7" s="7">
        <f t="shared" si="0"/>
        <v>3051699</v>
      </c>
      <c r="H7" s="7">
        <f t="shared" si="0"/>
        <v>3300319.2932138201</v>
      </c>
      <c r="I7" s="7">
        <f t="shared" si="0"/>
        <v>3936620.7848560116</v>
      </c>
      <c r="J7" s="7">
        <f t="shared" si="0"/>
        <v>5098796.773475864</v>
      </c>
      <c r="K7" s="7">
        <f t="shared" si="0"/>
        <v>5327663.0810952988</v>
      </c>
      <c r="L7" s="7">
        <f t="shared" si="0"/>
        <v>5566785.9878709745</v>
      </c>
      <c r="M7" s="8">
        <f t="shared" si="0"/>
        <v>5833895.1147679761</v>
      </c>
    </row>
    <row r="8" spans="1:20" x14ac:dyDescent="0.2">
      <c r="A8" s="31"/>
      <c r="B8" s="9" t="s">
        <v>3</v>
      </c>
      <c r="C8" s="10">
        <v>2276672</v>
      </c>
      <c r="D8" s="10">
        <v>2389712</v>
      </c>
      <c r="E8" s="10">
        <v>1153780</v>
      </c>
      <c r="F8" s="10">
        <v>638502</v>
      </c>
      <c r="G8" s="10">
        <v>2757500</v>
      </c>
      <c r="H8" s="10">
        <f>H122+H123</f>
        <v>2976700.3932138202</v>
      </c>
      <c r="I8" s="10">
        <f>I122+I123</f>
        <v>3555882.2690560115</v>
      </c>
      <c r="J8" s="10">
        <f t="shared" ref="J8:M8" si="1">J122+J123</f>
        <v>4630488.3990418641</v>
      </c>
      <c r="K8" s="10">
        <f t="shared" si="1"/>
        <v>4847646.9973004488</v>
      </c>
      <c r="L8" s="10">
        <f t="shared" si="1"/>
        <v>5074769.5019812537</v>
      </c>
      <c r="M8" s="11">
        <f t="shared" si="1"/>
        <v>5329578.2167310119</v>
      </c>
      <c r="N8" s="68"/>
      <c r="O8" s="68"/>
      <c r="P8" s="68"/>
    </row>
    <row r="9" spans="1:20" x14ac:dyDescent="0.2">
      <c r="A9" s="31"/>
      <c r="B9" s="9" t="s">
        <v>4</v>
      </c>
      <c r="C9" s="10">
        <v>261774</v>
      </c>
      <c r="D9" s="10">
        <v>243812</v>
      </c>
      <c r="E9" s="10">
        <v>106428</v>
      </c>
      <c r="F9" s="10">
        <v>170019</v>
      </c>
      <c r="G9" s="10">
        <v>294199</v>
      </c>
      <c r="H9" s="10">
        <f>H126+H127</f>
        <v>323618.90000000002</v>
      </c>
      <c r="I9" s="10">
        <f>I126+I127</f>
        <v>380738.51580000005</v>
      </c>
      <c r="J9" s="10">
        <f t="shared" ref="J9:M9" si="2">J126+J127</f>
        <v>468308.374434</v>
      </c>
      <c r="K9" s="10">
        <f t="shared" si="2"/>
        <v>480016.08379484998</v>
      </c>
      <c r="L9" s="10">
        <f t="shared" si="2"/>
        <v>492016.4858897212</v>
      </c>
      <c r="M9" s="11">
        <f t="shared" si="2"/>
        <v>504316.89803696418</v>
      </c>
    </row>
    <row r="10" spans="1:20" x14ac:dyDescent="0.2">
      <c r="A10" s="31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1"/>
      <c r="O10" s="68"/>
    </row>
    <row r="11" spans="1:20" x14ac:dyDescent="0.2">
      <c r="A11" s="41"/>
      <c r="B11" s="6" t="s">
        <v>5</v>
      </c>
      <c r="C11" s="7">
        <f>SUM(C12:C16)</f>
        <v>3932411</v>
      </c>
      <c r="D11" s="7">
        <f>SUM(D12:D16)</f>
        <v>3959004</v>
      </c>
      <c r="E11" s="7">
        <f>SUM(E12:E16)</f>
        <v>4159822</v>
      </c>
      <c r="F11" s="7">
        <f>SUM(F12:F16)</f>
        <v>3289055</v>
      </c>
      <c r="G11" s="7">
        <f>SUM(G12:G16)</f>
        <v>5464835</v>
      </c>
      <c r="H11" s="7">
        <f t="shared" ref="H11:M11" si="3">SUM(H12:H16)</f>
        <v>5836228.5847118618</v>
      </c>
      <c r="I11" s="7">
        <f t="shared" si="3"/>
        <v>5727675.231565862</v>
      </c>
      <c r="J11" s="7">
        <f t="shared" si="3"/>
        <v>6664346.2391766785</v>
      </c>
      <c r="K11" s="7">
        <f t="shared" si="3"/>
        <v>6954688.0532945683</v>
      </c>
      <c r="L11" s="7">
        <f t="shared" si="3"/>
        <v>7245180.0290462989</v>
      </c>
      <c r="M11" s="8">
        <f t="shared" si="3"/>
        <v>7527609.8638273943</v>
      </c>
    </row>
    <row r="12" spans="1:20" x14ac:dyDescent="0.2">
      <c r="A12" s="31"/>
      <c r="B12" s="9" t="s">
        <v>6</v>
      </c>
      <c r="C12" s="10">
        <f>1734815+421321+304012+69558-6341</f>
        <v>2523365</v>
      </c>
      <c r="D12" s="10">
        <f>2110860+505721-7941</f>
        <v>2608640</v>
      </c>
      <c r="E12" s="10">
        <f>2143177+504217+26888</f>
        <v>2674282</v>
      </c>
      <c r="F12" s="10">
        <f>2055261+472374+3468</f>
        <v>2531103</v>
      </c>
      <c r="G12" s="10">
        <f>2847929+662812+27043</f>
        <v>3537784</v>
      </c>
      <c r="H12" s="10">
        <f>H131+H132</f>
        <v>3824622.0801758715</v>
      </c>
      <c r="I12" s="10">
        <f t="shared" ref="I12:M12" si="4">I131+I132</f>
        <v>4051896.7430554316</v>
      </c>
      <c r="J12" s="10">
        <f t="shared" si="4"/>
        <v>4567980.4334867029</v>
      </c>
      <c r="K12" s="10">
        <f t="shared" si="4"/>
        <v>4750699.650826171</v>
      </c>
      <c r="L12" s="10">
        <f t="shared" si="4"/>
        <v>4940727.6368592177</v>
      </c>
      <c r="M12" s="11">
        <f t="shared" si="4"/>
        <v>5138356.7423335863</v>
      </c>
      <c r="P12" s="68"/>
      <c r="Q12" s="68"/>
      <c r="R12" s="68"/>
      <c r="S12" s="68"/>
      <c r="T12" s="68"/>
    </row>
    <row r="13" spans="1:20" x14ac:dyDescent="0.2">
      <c r="A13" s="31"/>
      <c r="B13" s="9" t="s">
        <v>7</v>
      </c>
      <c r="C13" s="10">
        <v>223225</v>
      </c>
      <c r="D13" s="10">
        <f>204444+52734</f>
        <v>257178</v>
      </c>
      <c r="E13" s="10">
        <f>179290+72913</f>
        <v>252203</v>
      </c>
      <c r="F13" s="10">
        <f>183340+53958</f>
        <v>237298</v>
      </c>
      <c r="G13" s="10">
        <f>354321+76382</f>
        <v>430703</v>
      </c>
      <c r="H13" s="10">
        <f>H133+H134</f>
        <v>473773.30000000005</v>
      </c>
      <c r="I13" s="10">
        <f t="shared" ref="I13:M13" si="5">I133+I134</f>
        <v>338937.41882000002</v>
      </c>
      <c r="J13" s="10">
        <f t="shared" si="5"/>
        <v>397040.97633200005</v>
      </c>
      <c r="K13" s="10">
        <f t="shared" si="5"/>
        <v>406967.00074030005</v>
      </c>
      <c r="L13" s="10">
        <f t="shared" si="5"/>
        <v>417141.17575880751</v>
      </c>
      <c r="M13" s="11">
        <f t="shared" si="5"/>
        <v>427569.70515277766</v>
      </c>
    </row>
    <row r="14" spans="1:20" x14ac:dyDescent="0.2">
      <c r="A14" s="31"/>
      <c r="B14" s="9" t="s">
        <v>8</v>
      </c>
      <c r="C14" s="10">
        <v>642822</v>
      </c>
      <c r="D14" s="10">
        <v>530376</v>
      </c>
      <c r="E14" s="10">
        <v>690955</v>
      </c>
      <c r="F14" s="10">
        <v>298158</v>
      </c>
      <c r="G14" s="10">
        <f>666569</f>
        <v>666569</v>
      </c>
      <c r="H14" s="10">
        <f>H135+H136</f>
        <v>761512.49958137062</v>
      </c>
      <c r="I14" s="10">
        <f t="shared" ref="I14:M14" si="6">I135+I136</f>
        <v>577823.16316808923</v>
      </c>
      <c r="J14" s="10">
        <f t="shared" si="6"/>
        <v>807760.87219489331</v>
      </c>
      <c r="K14" s="10">
        <f t="shared" si="6"/>
        <v>851277.56707018148</v>
      </c>
      <c r="L14" s="10">
        <f t="shared" si="6"/>
        <v>884512.37619552424</v>
      </c>
      <c r="M14" s="11">
        <f t="shared" si="6"/>
        <v>906625.18560041231</v>
      </c>
    </row>
    <row r="15" spans="1:20" x14ac:dyDescent="0.2">
      <c r="A15" s="31"/>
      <c r="B15" s="9" t="s">
        <v>9</v>
      </c>
      <c r="C15" s="12">
        <v>371075</v>
      </c>
      <c r="D15" s="12">
        <v>408950</v>
      </c>
      <c r="E15" s="12">
        <v>222899</v>
      </c>
      <c r="F15" s="12">
        <v>62466</v>
      </c>
      <c r="G15" s="12">
        <v>510677</v>
      </c>
      <c r="H15" s="10">
        <f>H137+H138</f>
        <v>552081.90495461947</v>
      </c>
      <c r="I15" s="10">
        <f t="shared" ref="I15:M15" si="7">I137+I138</f>
        <v>584888.86632234138</v>
      </c>
      <c r="J15" s="10">
        <f t="shared" si="7"/>
        <v>659385.23771708179</v>
      </c>
      <c r="K15" s="10">
        <f t="shared" si="7"/>
        <v>685760.64722576505</v>
      </c>
      <c r="L15" s="10">
        <f t="shared" si="7"/>
        <v>713191.07311479561</v>
      </c>
      <c r="M15" s="11">
        <f t="shared" si="7"/>
        <v>741718.71603938739</v>
      </c>
    </row>
    <row r="16" spans="1:20" x14ac:dyDescent="0.2">
      <c r="A16" s="31"/>
      <c r="B16" s="9" t="s">
        <v>10</v>
      </c>
      <c r="C16" s="12">
        <f>4045064-SUM(C12:C15)-C32</f>
        <v>171924</v>
      </c>
      <c r="D16" s="12">
        <f>4088753-SUM(D12:D15)-D32</f>
        <v>153860</v>
      </c>
      <c r="E16" s="12">
        <f>4257512-SUM(E12:E15)-E32</f>
        <v>319483</v>
      </c>
      <c r="F16" s="12">
        <f>3389093-SUM(F12:F15)-F32</f>
        <v>160030</v>
      </c>
      <c r="G16" s="12">
        <f>5778305-SUM(G12:G15)-G32</f>
        <v>319102</v>
      </c>
      <c r="H16" s="10">
        <f>H139+H140</f>
        <v>224238.8</v>
      </c>
      <c r="I16" s="10">
        <f t="shared" ref="I16:M16" si="8">I139+I140</f>
        <v>174129.04019999999</v>
      </c>
      <c r="J16" s="10">
        <f t="shared" si="8"/>
        <v>232178.71944599997</v>
      </c>
      <c r="K16" s="10">
        <f t="shared" si="8"/>
        <v>259983.18743214995</v>
      </c>
      <c r="L16" s="10">
        <f t="shared" si="8"/>
        <v>289607.76711795368</v>
      </c>
      <c r="M16" s="11">
        <f t="shared" si="8"/>
        <v>313339.51470123045</v>
      </c>
    </row>
    <row r="17" spans="1:17" x14ac:dyDescent="0.2">
      <c r="A17" s="31"/>
      <c r="B17" s="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3"/>
    </row>
    <row r="18" spans="1:17" ht="16" x14ac:dyDescent="0.2">
      <c r="A18" s="31"/>
      <c r="B18" s="14" t="s">
        <v>11</v>
      </c>
      <c r="C18" s="15">
        <f t="shared" ref="C18:M18" si="9">C7-C11</f>
        <v>-1393965</v>
      </c>
      <c r="D18" s="15">
        <f t="shared" si="9"/>
        <v>-1325480</v>
      </c>
      <c r="E18" s="15">
        <f t="shared" si="9"/>
        <v>-2899614</v>
      </c>
      <c r="F18" s="15">
        <f t="shared" si="9"/>
        <v>-2480534</v>
      </c>
      <c r="G18" s="15">
        <f t="shared" si="9"/>
        <v>-2413136</v>
      </c>
      <c r="H18" s="15">
        <f t="shared" si="9"/>
        <v>-2535909.2914980417</v>
      </c>
      <c r="I18" s="15">
        <f t="shared" si="9"/>
        <v>-1791054.4467098503</v>
      </c>
      <c r="J18" s="15">
        <f t="shared" si="9"/>
        <v>-1565549.4657008145</v>
      </c>
      <c r="K18" s="15">
        <f t="shared" si="9"/>
        <v>-1627024.9721992696</v>
      </c>
      <c r="L18" s="15">
        <f t="shared" si="9"/>
        <v>-1678394.0411753245</v>
      </c>
      <c r="M18" s="16">
        <f t="shared" si="9"/>
        <v>-1693714.7490594182</v>
      </c>
    </row>
    <row r="19" spans="1:17" x14ac:dyDescent="0.2">
      <c r="A19" s="31"/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9"/>
    </row>
    <row r="20" spans="1:17" ht="16" x14ac:dyDescent="0.2">
      <c r="A20" s="31"/>
      <c r="B20" s="20" t="s">
        <v>95</v>
      </c>
      <c r="C20" s="7">
        <f t="shared" ref="C20:M20" si="10">SUM(C21:C23)</f>
        <v>2090980</v>
      </c>
      <c r="D20" s="7">
        <f t="shared" si="10"/>
        <v>2048664</v>
      </c>
      <c r="E20" s="7">
        <f t="shared" si="10"/>
        <v>3775609</v>
      </c>
      <c r="F20" s="7">
        <f t="shared" si="10"/>
        <v>3266036</v>
      </c>
      <c r="G20" s="7">
        <f t="shared" si="10"/>
        <v>3713928</v>
      </c>
      <c r="H20" s="7">
        <f t="shared" si="10"/>
        <v>3887030.7067861799</v>
      </c>
      <c r="I20" s="7">
        <f t="shared" si="10"/>
        <v>3754195.9843354756</v>
      </c>
      <c r="J20" s="7">
        <f t="shared" si="10"/>
        <v>3841734.6714438619</v>
      </c>
      <c r="K20" s="7">
        <f t="shared" si="10"/>
        <v>3931461.8257299582</v>
      </c>
      <c r="L20" s="7">
        <f t="shared" si="10"/>
        <v>4023432.1588732069</v>
      </c>
      <c r="M20" s="8">
        <f t="shared" si="10"/>
        <v>3986111.2503450364</v>
      </c>
    </row>
    <row r="21" spans="1:17" x14ac:dyDescent="0.2">
      <c r="A21" s="31"/>
      <c r="B21" s="9" t="s">
        <v>157</v>
      </c>
      <c r="C21" s="10">
        <f>1909307+69274</f>
        <v>1978581</v>
      </c>
      <c r="D21" s="10">
        <f>1897972+46882</f>
        <v>1944854</v>
      </c>
      <c r="E21" s="10">
        <f>2501494+1005157</f>
        <v>3506651</v>
      </c>
      <c r="F21" s="10">
        <f>2944996</f>
        <v>2944996</v>
      </c>
      <c r="G21" s="10">
        <f>3172538+142505</f>
        <v>3315043</v>
      </c>
      <c r="H21" s="10">
        <f>H124</f>
        <v>3247258</v>
      </c>
      <c r="I21" s="10">
        <f t="shared" ref="I21:M22" si="11">I124</f>
        <v>3318697.676</v>
      </c>
      <c r="J21" s="10">
        <f t="shared" si="11"/>
        <v>3401665.1178999995</v>
      </c>
      <c r="K21" s="10">
        <f t="shared" si="11"/>
        <v>3486706.745847499</v>
      </c>
      <c r="L21" s="10">
        <f t="shared" si="11"/>
        <v>3573874.4144936861</v>
      </c>
      <c r="M21" s="11">
        <f t="shared" si="11"/>
        <v>3663221.2748560277</v>
      </c>
      <c r="O21" s="68"/>
    </row>
    <row r="22" spans="1:17" x14ac:dyDescent="0.2">
      <c r="A22" s="31"/>
      <c r="B22" s="9" t="s">
        <v>151</v>
      </c>
      <c r="C22" s="10">
        <v>4167</v>
      </c>
      <c r="D22" s="10">
        <f>25896</f>
        <v>25896</v>
      </c>
      <c r="E22" s="10">
        <v>107860</v>
      </c>
      <c r="F22" s="10">
        <v>74593</v>
      </c>
      <c r="G22" s="10">
        <f>142505+84346</f>
        <v>226851</v>
      </c>
      <c r="H22" s="10">
        <f>H125</f>
        <v>460859</v>
      </c>
      <c r="I22" s="10">
        <f t="shared" si="11"/>
        <v>252648.5</v>
      </c>
      <c r="J22" s="10">
        <f t="shared" si="11"/>
        <v>252648.5</v>
      </c>
      <c r="K22" s="10">
        <f t="shared" si="11"/>
        <v>252648.5</v>
      </c>
      <c r="L22" s="10">
        <f t="shared" si="11"/>
        <v>252648.5</v>
      </c>
      <c r="M22" s="11">
        <f t="shared" si="11"/>
        <v>121058</v>
      </c>
      <c r="O22" s="68"/>
    </row>
    <row r="23" spans="1:17" ht="16" x14ac:dyDescent="0.2">
      <c r="A23" s="31"/>
      <c r="B23" s="69" t="s">
        <v>111</v>
      </c>
      <c r="C23" s="70">
        <f>2090980-C21-C22</f>
        <v>108232</v>
      </c>
      <c r="D23" s="70">
        <f>2036678-D21-D22+11986</f>
        <v>77914</v>
      </c>
      <c r="E23" s="70">
        <f>3774270-E21-E22+1339</f>
        <v>161098</v>
      </c>
      <c r="F23" s="70">
        <f>3266036-F21-F22</f>
        <v>246447</v>
      </c>
      <c r="G23" s="70">
        <f>3713928-G21-G22</f>
        <v>172034</v>
      </c>
      <c r="H23" s="35">
        <f>H128</f>
        <v>178913.7067861798</v>
      </c>
      <c r="I23" s="35">
        <f t="shared" ref="I23:M23" si="12">I128</f>
        <v>182849.80833547577</v>
      </c>
      <c r="J23" s="35">
        <f t="shared" si="12"/>
        <v>187421.05354386265</v>
      </c>
      <c r="K23" s="35">
        <f t="shared" si="12"/>
        <v>192106.57988245919</v>
      </c>
      <c r="L23" s="35">
        <f t="shared" si="12"/>
        <v>196909.24437952065</v>
      </c>
      <c r="M23" s="71">
        <f t="shared" si="12"/>
        <v>201831.97548900865</v>
      </c>
      <c r="N23" s="68"/>
      <c r="O23" s="68"/>
      <c r="P23" s="68"/>
      <c r="Q23" s="68"/>
    </row>
    <row r="24" spans="1:17" x14ac:dyDescent="0.2">
      <c r="A24" s="31"/>
      <c r="B24" s="69"/>
      <c r="C24" s="70"/>
      <c r="D24" s="70"/>
      <c r="E24" s="70"/>
      <c r="F24" s="70"/>
      <c r="G24" s="70"/>
      <c r="H24" s="35"/>
      <c r="I24" s="35"/>
      <c r="J24" s="35"/>
      <c r="K24" s="35"/>
      <c r="L24" s="35"/>
      <c r="M24" s="71"/>
      <c r="N24" s="68"/>
      <c r="O24" s="68"/>
      <c r="P24" s="68"/>
      <c r="Q24" s="68"/>
    </row>
    <row r="25" spans="1:17" x14ac:dyDescent="0.2">
      <c r="A25" s="31"/>
      <c r="B25" s="6" t="s">
        <v>12</v>
      </c>
      <c r="C25" s="7">
        <f>SUM(C26:C28)</f>
        <v>582294</v>
      </c>
      <c r="D25" s="7">
        <f>SUM(D26:D28)</f>
        <v>587761</v>
      </c>
      <c r="E25" s="7">
        <f>SUM(E26:E28)</f>
        <v>771230</v>
      </c>
      <c r="F25" s="7">
        <f>SUM(F26:F28)</f>
        <v>681511</v>
      </c>
      <c r="G25" s="7">
        <f t="shared" ref="G25:M25" si="13">SUM(G26:G28)</f>
        <v>972375</v>
      </c>
      <c r="H25" s="7">
        <f t="shared" si="13"/>
        <v>972590.97482412937</v>
      </c>
      <c r="I25" s="7">
        <f t="shared" si="13"/>
        <v>984912.50070233271</v>
      </c>
      <c r="J25" s="7">
        <f t="shared" si="13"/>
        <v>1077786.0280207992</v>
      </c>
      <c r="K25" s="7">
        <f t="shared" si="13"/>
        <v>1114740.1032333416</v>
      </c>
      <c r="L25" s="7">
        <f t="shared" si="13"/>
        <v>1153018.4073066781</v>
      </c>
      <c r="M25" s="8">
        <f t="shared" si="13"/>
        <v>1192670.0610415484</v>
      </c>
    </row>
    <row r="26" spans="1:17" x14ac:dyDescent="0.2">
      <c r="A26" s="31"/>
      <c r="B26" s="23" t="s">
        <v>13</v>
      </c>
      <c r="C26" s="10">
        <f>46274+12176+213972+49274</f>
        <v>321696</v>
      </c>
      <c r="D26" s="10">
        <f>29486+9602+212313+47955</f>
        <v>299356</v>
      </c>
      <c r="E26" s="10">
        <f>49854+11877+345324+81592</f>
        <v>488647</v>
      </c>
      <c r="F26" s="10">
        <f>268517+60659+98955+23344</f>
        <v>451475</v>
      </c>
      <c r="G26" s="10">
        <f>287182+65823+131454+27988</f>
        <v>512447</v>
      </c>
      <c r="H26" s="10">
        <f>H141+H142</f>
        <v>569878.55482412933</v>
      </c>
      <c r="I26" s="10">
        <f t="shared" ref="I26:M26" si="14">I141+I142</f>
        <v>635519.01663633261</v>
      </c>
      <c r="J26" s="10">
        <f t="shared" si="14"/>
        <v>667294.96746814926</v>
      </c>
      <c r="K26" s="10">
        <f t="shared" si="14"/>
        <v>693986.76616687537</v>
      </c>
      <c r="L26" s="10">
        <f t="shared" si="14"/>
        <v>721746.23681355023</v>
      </c>
      <c r="M26" s="11">
        <f t="shared" si="14"/>
        <v>750616.08628609229</v>
      </c>
    </row>
    <row r="27" spans="1:17" x14ac:dyDescent="0.2">
      <c r="A27" s="31"/>
      <c r="B27" s="23" t="s">
        <v>14</v>
      </c>
      <c r="C27" s="10">
        <f>127166+5502+294627-213972-49274+14493</f>
        <v>178542</v>
      </c>
      <c r="D27" s="10">
        <f>126926+4262+293569-212313-47955+23653</f>
        <v>188142</v>
      </c>
      <c r="E27" s="10">
        <f>58317+11085+492462-345324-81592+13284</f>
        <v>148232</v>
      </c>
      <c r="F27" s="10">
        <f>27895+3186+440622-268517-60659</f>
        <v>142527</v>
      </c>
      <c r="G27" s="10">
        <f>75081+86+49765+509716-287182-65823</f>
        <v>281643</v>
      </c>
      <c r="H27" s="10">
        <f>H143+H144</f>
        <v>206598.92000000004</v>
      </c>
      <c r="I27" s="10">
        <f t="shared" ref="I27:M27" si="15">I143+I144</f>
        <v>179029.68661600002</v>
      </c>
      <c r="J27" s="10">
        <f t="shared" si="15"/>
        <v>194780.42878140003</v>
      </c>
      <c r="K27" s="10">
        <f t="shared" si="15"/>
        <v>199649.93950093503</v>
      </c>
      <c r="L27" s="10">
        <f t="shared" si="15"/>
        <v>204641.18798845838</v>
      </c>
      <c r="M27" s="11">
        <f t="shared" si="15"/>
        <v>209757.2176881698</v>
      </c>
    </row>
    <row r="28" spans="1:17" ht="16" x14ac:dyDescent="0.2">
      <c r="A28" s="31"/>
      <c r="B28" s="24" t="s">
        <v>15</v>
      </c>
      <c r="C28" s="12">
        <v>82056</v>
      </c>
      <c r="D28" s="12">
        <f>100263</f>
        <v>100263</v>
      </c>
      <c r="E28" s="12">
        <v>134351</v>
      </c>
      <c r="F28" s="12">
        <f>87509</f>
        <v>87509</v>
      </c>
      <c r="G28" s="12">
        <v>178285</v>
      </c>
      <c r="H28" s="10">
        <f>H145+H146</f>
        <v>196113.50000000003</v>
      </c>
      <c r="I28" s="10">
        <f t="shared" ref="I28:M28" si="16">I145+I146</f>
        <v>170363.79745000001</v>
      </c>
      <c r="J28" s="10">
        <f t="shared" si="16"/>
        <v>215710.63177125002</v>
      </c>
      <c r="K28" s="10">
        <f t="shared" si="16"/>
        <v>221103.39756553128</v>
      </c>
      <c r="L28" s="10">
        <f t="shared" si="16"/>
        <v>226630.98250466952</v>
      </c>
      <c r="M28" s="11">
        <f t="shared" si="16"/>
        <v>232296.75706728623</v>
      </c>
    </row>
    <row r="29" spans="1:17" x14ac:dyDescent="0.2">
      <c r="A29" s="31"/>
      <c r="B29" s="2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  <row r="30" spans="1:17" ht="16" x14ac:dyDescent="0.2">
      <c r="A30" s="31"/>
      <c r="B30" s="20" t="s">
        <v>16</v>
      </c>
      <c r="C30" s="21">
        <f t="shared" ref="C30:M30" si="17">C18+C20-C25</f>
        <v>114721</v>
      </c>
      <c r="D30" s="21">
        <f t="shared" si="17"/>
        <v>135423</v>
      </c>
      <c r="E30" s="21">
        <f t="shared" si="17"/>
        <v>104765</v>
      </c>
      <c r="F30" s="21">
        <f t="shared" si="17"/>
        <v>103991</v>
      </c>
      <c r="G30" s="21">
        <f t="shared" si="17"/>
        <v>328417</v>
      </c>
      <c r="H30" s="21">
        <f t="shared" si="17"/>
        <v>378530.44046400883</v>
      </c>
      <c r="I30" s="21">
        <f>I18+I20-I25</f>
        <v>978229.03692329256</v>
      </c>
      <c r="J30" s="21">
        <f t="shared" si="17"/>
        <v>1198399.1777222482</v>
      </c>
      <c r="K30" s="21">
        <f t="shared" si="17"/>
        <v>1189696.7502973471</v>
      </c>
      <c r="L30" s="21">
        <f t="shared" si="17"/>
        <v>1192019.7103912043</v>
      </c>
      <c r="M30" s="22">
        <f t="shared" si="17"/>
        <v>1099726.4402440698</v>
      </c>
    </row>
    <row r="31" spans="1:17" x14ac:dyDescent="0.2">
      <c r="A31" s="31"/>
      <c r="B31" s="2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3"/>
    </row>
    <row r="32" spans="1:17" ht="16" x14ac:dyDescent="0.2">
      <c r="A32" s="31"/>
      <c r="B32" s="24" t="s">
        <v>17</v>
      </c>
      <c r="C32" s="12">
        <v>112653</v>
      </c>
      <c r="D32" s="12">
        <v>129749</v>
      </c>
      <c r="E32" s="12">
        <v>97690</v>
      </c>
      <c r="F32" s="12">
        <v>100038</v>
      </c>
      <c r="G32" s="12">
        <v>313470</v>
      </c>
      <c r="H32" s="35">
        <f t="shared" ref="H32:M32" si="18">SUM(H153:H154)+H157+H161+H164</f>
        <v>365513.22699724516</v>
      </c>
      <c r="I32" s="35">
        <f t="shared" si="18"/>
        <v>953397.99359338835</v>
      </c>
      <c r="J32" s="35">
        <f t="shared" si="18"/>
        <v>1158495.2499305785</v>
      </c>
      <c r="K32" s="35">
        <f t="shared" si="18"/>
        <v>1148844.6750743801</v>
      </c>
      <c r="L32" s="35">
        <f t="shared" si="18"/>
        <v>1147401.4550981817</v>
      </c>
      <c r="M32" s="71">
        <f t="shared" si="18"/>
        <v>1052893.8536785836</v>
      </c>
    </row>
    <row r="33" spans="1:13" x14ac:dyDescent="0.2">
      <c r="A33" s="31"/>
      <c r="B33" s="24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3"/>
    </row>
    <row r="34" spans="1:13" ht="16" x14ac:dyDescent="0.2">
      <c r="A34" s="31"/>
      <c r="B34" s="20" t="s">
        <v>18</v>
      </c>
      <c r="C34" s="21">
        <f t="shared" ref="C34:F34" si="19">C30-C32</f>
        <v>2068</v>
      </c>
      <c r="D34" s="21">
        <f t="shared" si="19"/>
        <v>5674</v>
      </c>
      <c r="E34" s="21">
        <f t="shared" si="19"/>
        <v>7075</v>
      </c>
      <c r="F34" s="21">
        <f t="shared" si="19"/>
        <v>3953</v>
      </c>
      <c r="G34" s="21">
        <f>G30-G32</f>
        <v>14947</v>
      </c>
      <c r="H34" s="21">
        <f t="shared" ref="H34:M34" si="20">H30-H32</f>
        <v>13017.213466763671</v>
      </c>
      <c r="I34" s="21">
        <f t="shared" si="20"/>
        <v>24831.043329904205</v>
      </c>
      <c r="J34" s="21">
        <f t="shared" si="20"/>
        <v>39903.927791669732</v>
      </c>
      <c r="K34" s="21">
        <f t="shared" si="20"/>
        <v>40852.07522296696</v>
      </c>
      <c r="L34" s="21">
        <f t="shared" si="20"/>
        <v>44618.255293022608</v>
      </c>
      <c r="M34" s="22">
        <f t="shared" si="20"/>
        <v>46832.586565486155</v>
      </c>
    </row>
    <row r="35" spans="1:13" x14ac:dyDescent="0.2">
      <c r="A35" s="31"/>
      <c r="B35" s="24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spans="1:13" ht="16" x14ac:dyDescent="0.2">
      <c r="A36" s="31"/>
      <c r="B36" s="24" t="s">
        <v>19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35">
        <f t="shared" ref="H36:M36" si="21">H170+H171</f>
        <v>11016.788140000001</v>
      </c>
      <c r="I36" s="35">
        <f t="shared" si="21"/>
        <v>23433.576880000001</v>
      </c>
      <c r="J36" s="35">
        <f t="shared" si="21"/>
        <v>20783.576880000001</v>
      </c>
      <c r="K36" s="35">
        <f t="shared" si="21"/>
        <v>18133.576880000001</v>
      </c>
      <c r="L36" s="35">
        <f t="shared" si="21"/>
        <v>15483.576880000001</v>
      </c>
      <c r="M36" s="71">
        <f t="shared" si="21"/>
        <v>12833.576880000001</v>
      </c>
    </row>
    <row r="37" spans="1:13" x14ac:dyDescent="0.2">
      <c r="A37" s="31"/>
      <c r="B37" s="24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</row>
    <row r="38" spans="1:13" ht="16" x14ac:dyDescent="0.2">
      <c r="A38" s="31"/>
      <c r="B38" s="20" t="s">
        <v>20</v>
      </c>
      <c r="C38" s="21">
        <f t="shared" ref="C38:F38" si="22">C34-C36</f>
        <v>2068</v>
      </c>
      <c r="D38" s="21">
        <f t="shared" si="22"/>
        <v>5674</v>
      </c>
      <c r="E38" s="21">
        <f t="shared" si="22"/>
        <v>7075</v>
      </c>
      <c r="F38" s="21">
        <f t="shared" si="22"/>
        <v>3953</v>
      </c>
      <c r="G38" s="21">
        <f>G34-G36</f>
        <v>14947</v>
      </c>
      <c r="H38" s="21">
        <f>H34-H36</f>
        <v>2000.4253267636705</v>
      </c>
      <c r="I38" s="21">
        <f t="shared" ref="I38:M38" si="23">I34-I36</f>
        <v>1397.4664499042046</v>
      </c>
      <c r="J38" s="21">
        <f t="shared" si="23"/>
        <v>19120.350911669731</v>
      </c>
      <c r="K38" s="21">
        <f t="shared" si="23"/>
        <v>22718.498342966959</v>
      </c>
      <c r="L38" s="21">
        <f t="shared" si="23"/>
        <v>29134.678413022608</v>
      </c>
      <c r="M38" s="22">
        <f t="shared" si="23"/>
        <v>33999.009685486155</v>
      </c>
    </row>
    <row r="39" spans="1:13" x14ac:dyDescent="0.2">
      <c r="A39" s="31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spans="1:13" ht="16" x14ac:dyDescent="0.2">
      <c r="A40" s="31"/>
      <c r="B40" s="24" t="s">
        <v>21</v>
      </c>
      <c r="C40" s="12">
        <v>406</v>
      </c>
      <c r="D40" s="12">
        <v>841</v>
      </c>
      <c r="E40" s="12">
        <v>2127</v>
      </c>
      <c r="F40" s="12">
        <v>0</v>
      </c>
      <c r="G40" s="12">
        <v>8957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71">
        <v>0</v>
      </c>
    </row>
    <row r="41" spans="1:13" x14ac:dyDescent="0.2">
      <c r="A41" s="31"/>
      <c r="B41" s="24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</row>
    <row r="42" spans="1:13" ht="16" x14ac:dyDescent="0.2">
      <c r="A42" s="31"/>
      <c r="B42" s="25" t="s">
        <v>41</v>
      </c>
      <c r="C42" s="26">
        <f t="shared" ref="C42:M42" si="24">C38-C40</f>
        <v>1662</v>
      </c>
      <c r="D42" s="26">
        <f t="shared" si="24"/>
        <v>4833</v>
      </c>
      <c r="E42" s="26">
        <f t="shared" si="24"/>
        <v>4948</v>
      </c>
      <c r="F42" s="26">
        <f t="shared" si="24"/>
        <v>3953</v>
      </c>
      <c r="G42" s="26">
        <f t="shared" si="24"/>
        <v>5990</v>
      </c>
      <c r="H42" s="26">
        <f t="shared" si="24"/>
        <v>2000.4253267636705</v>
      </c>
      <c r="I42" s="26">
        <f t="shared" si="24"/>
        <v>1397.4664499042046</v>
      </c>
      <c r="J42" s="26">
        <f t="shared" si="24"/>
        <v>19120.350911669731</v>
      </c>
      <c r="K42" s="26">
        <f t="shared" si="24"/>
        <v>22718.498342966959</v>
      </c>
      <c r="L42" s="26">
        <f t="shared" si="24"/>
        <v>29134.678413022608</v>
      </c>
      <c r="M42" s="27">
        <f t="shared" si="24"/>
        <v>33999.009685486155</v>
      </c>
    </row>
    <row r="43" spans="1:13" x14ac:dyDescent="0.2">
      <c r="A43" s="31"/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</row>
    <row r="44" spans="1:13" x14ac:dyDescent="0.2">
      <c r="A44" s="31"/>
      <c r="B44" s="30"/>
      <c r="C44" s="30"/>
      <c r="D44" s="30"/>
      <c r="E44" s="30"/>
      <c r="F44" s="30"/>
      <c r="G44" s="31"/>
      <c r="H44" s="31"/>
      <c r="I44" s="31"/>
      <c r="J44" s="31"/>
      <c r="K44" s="31"/>
      <c r="L44" s="31"/>
      <c r="M44" s="31"/>
    </row>
    <row r="45" spans="1:13" x14ac:dyDescent="0.2">
      <c r="A45" s="31"/>
      <c r="B45" s="85" t="s">
        <v>22</v>
      </c>
      <c r="C45" s="86" t="str">
        <f>C5</f>
        <v xml:space="preserve"> F 2018</v>
      </c>
      <c r="D45" s="86" t="str">
        <f>D5</f>
        <v xml:space="preserve"> F 2019</v>
      </c>
      <c r="E45" s="86" t="str">
        <f>E5</f>
        <v xml:space="preserve"> F 2020</v>
      </c>
      <c r="F45" s="86" t="str">
        <f t="shared" ref="F45:M45" si="25">F5</f>
        <v xml:space="preserve"> F 2021</v>
      </c>
      <c r="G45" s="86" t="str">
        <f t="shared" si="25"/>
        <v xml:space="preserve"> F 2022</v>
      </c>
      <c r="H45" s="189" t="str">
        <f t="shared" si="25"/>
        <v xml:space="preserve"> P 2023</v>
      </c>
      <c r="I45" s="86" t="str">
        <f t="shared" si="25"/>
        <v xml:space="preserve"> P 2024</v>
      </c>
      <c r="J45" s="86" t="str">
        <f t="shared" si="25"/>
        <v xml:space="preserve"> P 2025</v>
      </c>
      <c r="K45" s="86" t="str">
        <f t="shared" si="25"/>
        <v xml:space="preserve"> P 2026</v>
      </c>
      <c r="L45" s="86" t="str">
        <f t="shared" si="25"/>
        <v xml:space="preserve"> P 2027</v>
      </c>
      <c r="M45" s="87" t="str">
        <f t="shared" si="25"/>
        <v xml:space="preserve"> P 2028</v>
      </c>
    </row>
    <row r="46" spans="1:13" x14ac:dyDescent="0.2">
      <c r="A46" s="31"/>
      <c r="B46" s="32" t="s">
        <v>23</v>
      </c>
      <c r="C46" s="33"/>
      <c r="D46" s="33"/>
      <c r="E46" s="33"/>
      <c r="F46" s="33"/>
      <c r="G46" s="34"/>
      <c r="H46" s="228"/>
      <c r="I46" s="229"/>
      <c r="J46" s="229"/>
      <c r="K46" s="229"/>
      <c r="L46" s="229"/>
      <c r="M46" s="230"/>
    </row>
    <row r="47" spans="1:13" x14ac:dyDescent="0.2">
      <c r="A47" s="31"/>
      <c r="B47" s="9" t="s">
        <v>24</v>
      </c>
      <c r="C47" s="35">
        <v>7891</v>
      </c>
      <c r="D47" s="35">
        <v>5331</v>
      </c>
      <c r="E47" s="35">
        <v>2772</v>
      </c>
      <c r="F47" s="35">
        <v>213</v>
      </c>
      <c r="G47" s="10">
        <v>5958</v>
      </c>
      <c r="H47" s="190">
        <f>G47-SUM(H153)*0.5%</f>
        <v>4355.0010000000002</v>
      </c>
      <c r="I47" s="10">
        <f t="shared" ref="I47:M47" si="26">H47-SUM(I153)*0.5%</f>
        <v>3072.6018000000004</v>
      </c>
      <c r="J47" s="10">
        <f t="shared" si="26"/>
        <v>2046.6824400000003</v>
      </c>
      <c r="K47" s="10">
        <f t="shared" si="26"/>
        <v>1225.9469520000002</v>
      </c>
      <c r="L47" s="10">
        <f t="shared" si="26"/>
        <v>569.35856160000014</v>
      </c>
      <c r="M47" s="11">
        <f t="shared" si="26"/>
        <v>317.67204103077233</v>
      </c>
    </row>
    <row r="48" spans="1:13" x14ac:dyDescent="0.2">
      <c r="A48" s="31"/>
      <c r="B48" s="9" t="s">
        <v>152</v>
      </c>
      <c r="C48" s="18">
        <v>292520</v>
      </c>
      <c r="D48" s="18">
        <v>220608</v>
      </c>
      <c r="E48" s="18">
        <v>518358</v>
      </c>
      <c r="F48" s="18">
        <v>1153720</v>
      </c>
      <c r="G48" s="10">
        <v>1597041</v>
      </c>
      <c r="H48" s="190">
        <f t="shared" ref="H48:M48" si="27">G48+H152-H153*99.5%-H154+H156-H157+H159-H161+H163-H164+H160</f>
        <v>1772091.8959696968</v>
      </c>
      <c r="I48" s="10">
        <f t="shared" si="27"/>
        <v>43149509.41926226</v>
      </c>
      <c r="J48" s="10">
        <f t="shared" si="27"/>
        <v>42668788.082410693</v>
      </c>
      <c r="K48" s="10">
        <f t="shared" si="27"/>
        <v>42197512.136543319</v>
      </c>
      <c r="L48" s="10">
        <f t="shared" si="27"/>
        <v>41727515.263554543</v>
      </c>
      <c r="M48" s="11">
        <f t="shared" si="27"/>
        <v>41351621.09011554</v>
      </c>
    </row>
    <row r="49" spans="1:13" ht="16" x14ac:dyDescent="0.2">
      <c r="A49" s="31"/>
      <c r="B49" s="20" t="s">
        <v>25</v>
      </c>
      <c r="C49" s="21">
        <f>SUM(C47:C48)</f>
        <v>300411</v>
      </c>
      <c r="D49" s="21">
        <f>SUM(D47:D48)</f>
        <v>225939</v>
      </c>
      <c r="E49" s="21">
        <f>SUM(E47:E48)</f>
        <v>521130</v>
      </c>
      <c r="F49" s="21">
        <f t="shared" ref="F49:M49" si="28">SUM(F47:F48)</f>
        <v>1153933</v>
      </c>
      <c r="G49" s="21">
        <f t="shared" si="28"/>
        <v>1602999</v>
      </c>
      <c r="H49" s="193">
        <f t="shared" si="28"/>
        <v>1776446.8969696967</v>
      </c>
      <c r="I49" s="21">
        <f t="shared" si="28"/>
        <v>43152582.021062262</v>
      </c>
      <c r="J49" s="21">
        <f t="shared" si="28"/>
        <v>42670834.764850691</v>
      </c>
      <c r="K49" s="21">
        <f t="shared" si="28"/>
        <v>42198738.083495319</v>
      </c>
      <c r="L49" s="21">
        <f t="shared" si="28"/>
        <v>41728084.622116141</v>
      </c>
      <c r="M49" s="22">
        <f t="shared" si="28"/>
        <v>41351938.762156568</v>
      </c>
    </row>
    <row r="50" spans="1:13" x14ac:dyDescent="0.2">
      <c r="A50" s="31"/>
      <c r="B50" s="36"/>
      <c r="C50" s="37"/>
      <c r="D50" s="37"/>
      <c r="E50" s="37"/>
      <c r="F50" s="37"/>
      <c r="G50" s="12"/>
      <c r="H50" s="191"/>
      <c r="I50" s="12"/>
      <c r="J50" s="12"/>
      <c r="K50" s="12"/>
      <c r="L50" s="12"/>
      <c r="M50" s="13"/>
    </row>
    <row r="51" spans="1:13" ht="16" x14ac:dyDescent="0.2">
      <c r="A51" s="31"/>
      <c r="B51" s="24" t="s">
        <v>26</v>
      </c>
      <c r="C51" s="35">
        <v>530297</v>
      </c>
      <c r="D51" s="35">
        <v>545816</v>
      </c>
      <c r="E51" s="35">
        <v>213767</v>
      </c>
      <c r="F51" s="35">
        <v>471448</v>
      </c>
      <c r="G51" s="12">
        <v>772162</v>
      </c>
      <c r="H51" s="190">
        <f t="shared" ref="H51:M51" si="29">G51*(1+H177)</f>
        <v>795326.86</v>
      </c>
      <c r="I51" s="10">
        <f t="shared" si="29"/>
        <v>819186.66579999996</v>
      </c>
      <c r="J51" s="10">
        <f t="shared" si="29"/>
        <v>843762.26577399997</v>
      </c>
      <c r="K51" s="10">
        <f t="shared" si="29"/>
        <v>869075.13374722004</v>
      </c>
      <c r="L51" s="10">
        <f t="shared" si="29"/>
        <v>895147.38775963662</v>
      </c>
      <c r="M51" s="11">
        <f t="shared" si="29"/>
        <v>922001.8093924257</v>
      </c>
    </row>
    <row r="52" spans="1:13" x14ac:dyDescent="0.2">
      <c r="A52" s="31"/>
      <c r="B52" s="9" t="s">
        <v>113</v>
      </c>
      <c r="C52" s="35">
        <v>55881</v>
      </c>
      <c r="D52" s="35">
        <v>27657</v>
      </c>
      <c r="E52" s="35">
        <v>32733</v>
      </c>
      <c r="F52" s="35">
        <v>49880</v>
      </c>
      <c r="G52" s="10">
        <v>34655</v>
      </c>
      <c r="H52" s="190">
        <f t="shared" ref="H52:M52" si="30">H7/360*H176</f>
        <v>45837.767961303049</v>
      </c>
      <c r="I52" s="10">
        <f t="shared" si="30"/>
        <v>54675.28867855572</v>
      </c>
      <c r="J52" s="10">
        <f t="shared" si="30"/>
        <v>70816.621853831442</v>
      </c>
      <c r="K52" s="10">
        <f t="shared" si="30"/>
        <v>73995.320570768032</v>
      </c>
      <c r="L52" s="10">
        <f t="shared" si="30"/>
        <v>77316.472053763544</v>
      </c>
      <c r="M52" s="11">
        <f t="shared" si="30"/>
        <v>81026.321038444119</v>
      </c>
    </row>
    <row r="53" spans="1:13" x14ac:dyDescent="0.2">
      <c r="A53" s="31"/>
      <c r="B53" s="9" t="s">
        <v>27</v>
      </c>
      <c r="C53" s="35">
        <v>18990</v>
      </c>
      <c r="D53" s="35">
        <v>285324</v>
      </c>
      <c r="E53" s="35">
        <v>568906</v>
      </c>
      <c r="F53" s="35">
        <v>266776</v>
      </c>
      <c r="G53" s="10">
        <v>697171</v>
      </c>
      <c r="H53" s="190">
        <f t="shared" ref="H53:M53" si="31">H96</f>
        <v>599411.69094886701</v>
      </c>
      <c r="I53" s="10">
        <f t="shared" si="31"/>
        <v>680057.68853609334</v>
      </c>
      <c r="J53" s="10">
        <f t="shared" si="31"/>
        <v>1213747.5963025461</v>
      </c>
      <c r="K53" s="10">
        <f t="shared" si="31"/>
        <v>1466818.7742724018</v>
      </c>
      <c r="L53" s="10">
        <f t="shared" si="31"/>
        <v>1726804.2825590763</v>
      </c>
      <c r="M53" s="11">
        <f t="shared" si="31"/>
        <v>2034109.4677799968</v>
      </c>
    </row>
    <row r="54" spans="1:13" ht="16" x14ac:dyDescent="0.2">
      <c r="A54" s="31"/>
      <c r="B54" s="20" t="s">
        <v>28</v>
      </c>
      <c r="C54" s="21">
        <f>SUM(C51:C53)</f>
        <v>605168</v>
      </c>
      <c r="D54" s="21">
        <f>SUM(D51:D53)</f>
        <v>858797</v>
      </c>
      <c r="E54" s="21">
        <f t="shared" ref="E54:M54" si="32">SUM(E51:E53)</f>
        <v>815406</v>
      </c>
      <c r="F54" s="21">
        <f t="shared" si="32"/>
        <v>788104</v>
      </c>
      <c r="G54" s="21">
        <f t="shared" si="32"/>
        <v>1503988</v>
      </c>
      <c r="H54" s="193">
        <f>SUM(H51:H53)</f>
        <v>1440576.3189101699</v>
      </c>
      <c r="I54" s="21">
        <f t="shared" si="32"/>
        <v>1553919.6430146489</v>
      </c>
      <c r="J54" s="21">
        <f t="shared" si="32"/>
        <v>2128326.4839303773</v>
      </c>
      <c r="K54" s="21">
        <f t="shared" si="32"/>
        <v>2409889.2285903897</v>
      </c>
      <c r="L54" s="21">
        <f t="shared" si="32"/>
        <v>2699268.1423724764</v>
      </c>
      <c r="M54" s="22">
        <f t="shared" si="32"/>
        <v>3037137.5982108666</v>
      </c>
    </row>
    <row r="55" spans="1:13" ht="16" x14ac:dyDescent="0.2">
      <c r="A55" s="31"/>
      <c r="B55" s="177" t="s">
        <v>29</v>
      </c>
      <c r="C55" s="178">
        <f>C49+C54</f>
        <v>905579</v>
      </c>
      <c r="D55" s="178">
        <f>D49+D54</f>
        <v>1084736</v>
      </c>
      <c r="E55" s="178">
        <f>E49+E54</f>
        <v>1336536</v>
      </c>
      <c r="F55" s="178">
        <f t="shared" ref="F55:G55" si="33">F49+F54</f>
        <v>1942037</v>
      </c>
      <c r="G55" s="178">
        <f t="shared" si="33"/>
        <v>3106987</v>
      </c>
      <c r="H55" s="194">
        <f>H49+H54</f>
        <v>3217023.2158798669</v>
      </c>
      <c r="I55" s="178">
        <f t="shared" ref="I55:M55" si="34">I49+I54</f>
        <v>44706501.664076909</v>
      </c>
      <c r="J55" s="178">
        <f t="shared" si="34"/>
        <v>44799161.24878107</v>
      </c>
      <c r="K55" s="178">
        <f t="shared" si="34"/>
        <v>44608627.31208571</v>
      </c>
      <c r="L55" s="178">
        <f t="shared" si="34"/>
        <v>44427352.764488615</v>
      </c>
      <c r="M55" s="179">
        <f t="shared" si="34"/>
        <v>44389076.360367432</v>
      </c>
    </row>
    <row r="56" spans="1:13" x14ac:dyDescent="0.2">
      <c r="A56" s="31"/>
      <c r="B56" s="24"/>
      <c r="C56" s="12"/>
      <c r="D56" s="12"/>
      <c r="E56" s="12"/>
      <c r="F56" s="12"/>
      <c r="G56" s="12"/>
      <c r="H56" s="191"/>
      <c r="I56" s="12"/>
      <c r="J56" s="12"/>
      <c r="K56" s="12"/>
      <c r="L56" s="12"/>
      <c r="M56" s="13"/>
    </row>
    <row r="57" spans="1:13" x14ac:dyDescent="0.2">
      <c r="A57" s="31"/>
      <c r="B57" s="9" t="s">
        <v>30</v>
      </c>
      <c r="C57" s="38"/>
      <c r="D57" s="38"/>
      <c r="E57" s="38"/>
      <c r="F57" s="38"/>
      <c r="G57" s="10"/>
      <c r="H57" s="190"/>
      <c r="I57" s="10"/>
      <c r="J57" s="10"/>
      <c r="K57" s="10"/>
      <c r="L57" s="10"/>
      <c r="M57" s="11"/>
    </row>
    <row r="58" spans="1:13" x14ac:dyDescent="0.2">
      <c r="A58" s="31"/>
      <c r="B58" s="9" t="s">
        <v>31</v>
      </c>
      <c r="C58" s="35">
        <v>54228</v>
      </c>
      <c r="D58" s="35">
        <v>54228</v>
      </c>
      <c r="E58" s="35">
        <v>54228</v>
      </c>
      <c r="F58" s="35">
        <v>151318</v>
      </c>
      <c r="G58" s="10">
        <v>151318</v>
      </c>
      <c r="H58" s="190">
        <f>G58+H149</f>
        <v>151318</v>
      </c>
      <c r="I58" s="10">
        <f>H58+I149</f>
        <v>41798318</v>
      </c>
      <c r="J58" s="10">
        <f t="shared" ref="J58:M58" si="35">I58+J149</f>
        <v>41798318</v>
      </c>
      <c r="K58" s="10">
        <f t="shared" si="35"/>
        <v>41798318</v>
      </c>
      <c r="L58" s="10">
        <f t="shared" si="35"/>
        <v>41798318</v>
      </c>
      <c r="M58" s="11">
        <f t="shared" si="35"/>
        <v>41798318</v>
      </c>
    </row>
    <row r="59" spans="1:13" x14ac:dyDescent="0.2">
      <c r="A59" s="31"/>
      <c r="B59" s="9" t="s">
        <v>32</v>
      </c>
      <c r="C59" s="35">
        <f>71</f>
        <v>71</v>
      </c>
      <c r="D59" s="35">
        <v>1</v>
      </c>
      <c r="E59" s="35">
        <v>1</v>
      </c>
      <c r="F59" s="35">
        <v>1</v>
      </c>
      <c r="G59" s="10">
        <v>1</v>
      </c>
      <c r="H59" s="190">
        <f>G59</f>
        <v>1</v>
      </c>
      <c r="I59" s="10">
        <f t="shared" ref="I59:M59" si="36">H59</f>
        <v>1</v>
      </c>
      <c r="J59" s="10">
        <f t="shared" si="36"/>
        <v>1</v>
      </c>
      <c r="K59" s="10">
        <f t="shared" si="36"/>
        <v>1</v>
      </c>
      <c r="L59" s="10">
        <f t="shared" si="36"/>
        <v>1</v>
      </c>
      <c r="M59" s="11">
        <f t="shared" si="36"/>
        <v>1</v>
      </c>
    </row>
    <row r="60" spans="1:13" x14ac:dyDescent="0.2">
      <c r="A60" s="31"/>
      <c r="B60" s="9" t="s">
        <v>33</v>
      </c>
      <c r="C60" s="35">
        <v>-29445</v>
      </c>
      <c r="D60" s="35">
        <v>-27783</v>
      </c>
      <c r="E60" s="35">
        <f>-22950</f>
        <v>-22950</v>
      </c>
      <c r="F60" s="35">
        <v>-18001</v>
      </c>
      <c r="G60" s="10">
        <f>-16578</f>
        <v>-16578</v>
      </c>
      <c r="H60" s="190">
        <f>G60+G61</f>
        <v>-10588</v>
      </c>
      <c r="I60" s="10">
        <f>SUM(H60:H61)</f>
        <v>-8587.5746732363295</v>
      </c>
      <c r="J60" s="10">
        <f>SUM(I60:I61)</f>
        <v>-7190.1082233321249</v>
      </c>
      <c r="K60" s="10">
        <f>SUM(J60:J61)</f>
        <v>11930.242688337607</v>
      </c>
      <c r="L60" s="10">
        <f>SUM(K60:K61)</f>
        <v>34648.741031304569</v>
      </c>
      <c r="M60" s="11">
        <f>SUM(L60:L61)</f>
        <v>63783.419444327177</v>
      </c>
    </row>
    <row r="61" spans="1:13" x14ac:dyDescent="0.2">
      <c r="A61" s="31"/>
      <c r="B61" s="9" t="s">
        <v>34</v>
      </c>
      <c r="C61" s="18">
        <f>C42</f>
        <v>1662</v>
      </c>
      <c r="D61" s="18">
        <f>D42</f>
        <v>4833</v>
      </c>
      <c r="E61" s="18">
        <f>E42</f>
        <v>4948</v>
      </c>
      <c r="F61" s="18">
        <f t="shared" ref="F61:M61" si="37">F42</f>
        <v>3953</v>
      </c>
      <c r="G61" s="18">
        <f t="shared" si="37"/>
        <v>5990</v>
      </c>
      <c r="H61" s="190">
        <f t="shared" si="37"/>
        <v>2000.4253267636705</v>
      </c>
      <c r="I61" s="10">
        <f t="shared" si="37"/>
        <v>1397.4664499042046</v>
      </c>
      <c r="J61" s="10">
        <f t="shared" si="37"/>
        <v>19120.350911669731</v>
      </c>
      <c r="K61" s="10">
        <f t="shared" si="37"/>
        <v>22718.498342966959</v>
      </c>
      <c r="L61" s="10">
        <f t="shared" si="37"/>
        <v>29134.678413022608</v>
      </c>
      <c r="M61" s="11">
        <f t="shared" si="37"/>
        <v>33999.009685486155</v>
      </c>
    </row>
    <row r="62" spans="1:13" ht="16" x14ac:dyDescent="0.2">
      <c r="A62" s="31"/>
      <c r="B62" s="20" t="s">
        <v>35</v>
      </c>
      <c r="C62" s="21">
        <f>SUM(C58:C61)</f>
        <v>26516</v>
      </c>
      <c r="D62" s="21">
        <f>SUM(D58:D61)</f>
        <v>31279</v>
      </c>
      <c r="E62" s="21">
        <f t="shared" ref="E62:M62" si="38">SUM(E58:E61)</f>
        <v>36227</v>
      </c>
      <c r="F62" s="21">
        <f t="shared" si="38"/>
        <v>137271</v>
      </c>
      <c r="G62" s="21">
        <f t="shared" si="38"/>
        <v>140731</v>
      </c>
      <c r="H62" s="193">
        <f t="shared" si="38"/>
        <v>142731.42532676368</v>
      </c>
      <c r="I62" s="21">
        <f t="shared" si="38"/>
        <v>41791128.891776666</v>
      </c>
      <c r="J62" s="21">
        <f t="shared" si="38"/>
        <v>41810249.242688335</v>
      </c>
      <c r="K62" s="21">
        <f t="shared" si="38"/>
        <v>41832967.741031304</v>
      </c>
      <c r="L62" s="21">
        <f t="shared" si="38"/>
        <v>41862102.41944433</v>
      </c>
      <c r="M62" s="22">
        <f t="shared" si="38"/>
        <v>41896101.429129817</v>
      </c>
    </row>
    <row r="63" spans="1:13" x14ac:dyDescent="0.2">
      <c r="A63" s="31"/>
      <c r="B63" s="9"/>
      <c r="C63" s="18"/>
      <c r="D63" s="18"/>
      <c r="E63" s="18"/>
      <c r="F63" s="18"/>
      <c r="G63" s="10"/>
      <c r="H63" s="190"/>
      <c r="I63" s="10"/>
      <c r="J63" s="10"/>
      <c r="K63" s="10"/>
      <c r="L63" s="10"/>
      <c r="M63" s="11"/>
    </row>
    <row r="64" spans="1:13" x14ac:dyDescent="0.2">
      <c r="A64" s="31"/>
      <c r="B64" s="9" t="s">
        <v>114</v>
      </c>
      <c r="C64" s="18">
        <v>0</v>
      </c>
      <c r="D64" s="18">
        <v>0</v>
      </c>
      <c r="E64" s="18">
        <v>0</v>
      </c>
      <c r="F64" s="18">
        <v>0</v>
      </c>
      <c r="G64" s="10">
        <v>0</v>
      </c>
      <c r="H64" s="190">
        <f>SUM($H168:H168)-SUM($H169:H169)</f>
        <v>467142.96</v>
      </c>
      <c r="I64" s="10">
        <f>SUM($H168:I168)-SUM($H169:I169)</f>
        <v>417142.96</v>
      </c>
      <c r="J64" s="10">
        <f>SUM($H168:J168)-SUM($H169:J169)</f>
        <v>367142.96</v>
      </c>
      <c r="K64" s="10">
        <f>SUM($H168:K168)-SUM($H169:K169)</f>
        <v>317142.96000000002</v>
      </c>
      <c r="L64" s="10">
        <f>SUM($H168:L168)-SUM($H169:L169)</f>
        <v>267142.96000000002</v>
      </c>
      <c r="M64" s="11">
        <f>SUM($H168:M168)-SUM($H169:M169)</f>
        <v>217142.96000000002</v>
      </c>
    </row>
    <row r="65" spans="1:13" x14ac:dyDescent="0.2">
      <c r="A65" s="31"/>
      <c r="B65" s="9" t="s">
        <v>115</v>
      </c>
      <c r="C65" s="18">
        <v>388782</v>
      </c>
      <c r="D65" s="18">
        <v>490872</v>
      </c>
      <c r="E65" s="18">
        <v>39708</v>
      </c>
      <c r="F65" s="18">
        <v>263132</v>
      </c>
      <c r="G65" s="10">
        <v>725717</v>
      </c>
      <c r="H65" s="190">
        <f t="shared" ref="H65:M65" si="39">H174*H8</f>
        <v>744175.09830345504</v>
      </c>
      <c r="I65" s="10">
        <f t="shared" si="39"/>
        <v>888970.56726400286</v>
      </c>
      <c r="J65" s="10">
        <f t="shared" si="39"/>
        <v>1157622.099760466</v>
      </c>
      <c r="K65" s="10">
        <f t="shared" si="39"/>
        <v>1211911.7493251122</v>
      </c>
      <c r="L65" s="10">
        <f t="shared" si="39"/>
        <v>1268692.3754953134</v>
      </c>
      <c r="M65" s="11">
        <f t="shared" si="39"/>
        <v>1332394.554182753</v>
      </c>
    </row>
    <row r="66" spans="1:13" x14ac:dyDescent="0.2">
      <c r="A66" s="31"/>
      <c r="B66" s="9" t="s">
        <v>37</v>
      </c>
      <c r="C66" s="35">
        <v>96568</v>
      </c>
      <c r="D66" s="35">
        <v>46164</v>
      </c>
      <c r="E66" s="35">
        <v>42047</v>
      </c>
      <c r="F66" s="35">
        <v>55228</v>
      </c>
      <c r="G66" s="10">
        <v>113556</v>
      </c>
      <c r="H66" s="190">
        <f t="shared" ref="H66:M66" si="40">(H13+H14+H15+H16+H27+H28)/360*H175</f>
        <v>134128.82914088835</v>
      </c>
      <c r="I66" s="10">
        <f t="shared" si="40"/>
        <v>112509.55403202391</v>
      </c>
      <c r="J66" s="10">
        <f t="shared" si="40"/>
        <v>139269.82590236806</v>
      </c>
      <c r="K66" s="10">
        <f t="shared" si="40"/>
        <v>145818.98552971458</v>
      </c>
      <c r="L66" s="10">
        <f t="shared" si="40"/>
        <v>151984.69792667829</v>
      </c>
      <c r="M66" s="11">
        <f t="shared" si="40"/>
        <v>157294.83868051469</v>
      </c>
    </row>
    <row r="67" spans="1:13" x14ac:dyDescent="0.2">
      <c r="A67" s="31"/>
      <c r="B67" s="9" t="s">
        <v>36</v>
      </c>
      <c r="C67" s="35">
        <v>156739</v>
      </c>
      <c r="D67" s="35">
        <v>123218</v>
      </c>
      <c r="E67" s="35">
        <v>108470</v>
      </c>
      <c r="F67" s="35">
        <v>125371</v>
      </c>
      <c r="G67" s="10">
        <v>177598</v>
      </c>
      <c r="H67" s="190">
        <f>(H12+H26)/12*50%</f>
        <v>183104.19312500002</v>
      </c>
      <c r="I67" s="10">
        <f t="shared" ref="I67:M67" si="41">(I12+I26)/12*50%</f>
        <v>195308.98998715685</v>
      </c>
      <c r="J67" s="10">
        <f t="shared" si="41"/>
        <v>218136.4750397855</v>
      </c>
      <c r="K67" s="10">
        <f t="shared" si="41"/>
        <v>226861.93404137692</v>
      </c>
      <c r="L67" s="10">
        <f t="shared" si="41"/>
        <v>235936.41140303199</v>
      </c>
      <c r="M67" s="11">
        <f t="shared" si="41"/>
        <v>245373.86785915328</v>
      </c>
    </row>
    <row r="68" spans="1:13" x14ac:dyDescent="0.2">
      <c r="A68" s="31"/>
      <c r="B68" s="9" t="s">
        <v>116</v>
      </c>
      <c r="C68" s="35">
        <v>96057</v>
      </c>
      <c r="D68" s="35">
        <v>88477</v>
      </c>
      <c r="E68" s="35">
        <v>130328</v>
      </c>
      <c r="F68" s="35">
        <v>130836</v>
      </c>
      <c r="G68" s="10">
        <v>149827</v>
      </c>
      <c r="H68" s="190">
        <f>4%*(H12+H26)</f>
        <v>175780.02540000004</v>
      </c>
      <c r="I68" s="10">
        <f t="shared" ref="I68:M68" si="42">4%*(I12+I26)</f>
        <v>187496.63038767059</v>
      </c>
      <c r="J68" s="10">
        <f t="shared" si="42"/>
        <v>209411.01603819407</v>
      </c>
      <c r="K68" s="10">
        <f t="shared" si="42"/>
        <v>217787.45667972186</v>
      </c>
      <c r="L68" s="10">
        <f t="shared" si="42"/>
        <v>226498.9549469107</v>
      </c>
      <c r="M68" s="11">
        <f t="shared" si="42"/>
        <v>235558.91314478713</v>
      </c>
    </row>
    <row r="69" spans="1:13" x14ac:dyDescent="0.2">
      <c r="A69" s="31"/>
      <c r="B69" s="9" t="s">
        <v>117</v>
      </c>
      <c r="C69" s="35">
        <v>110833</v>
      </c>
      <c r="D69" s="35">
        <f>86679+66677</f>
        <v>153356</v>
      </c>
      <c r="E69" s="35">
        <f>66179+789802</f>
        <v>855981</v>
      </c>
      <c r="F69" s="35">
        <f>221178+863361</f>
        <v>1084539</v>
      </c>
      <c r="G69" s="10">
        <f>869258+723253</f>
        <v>1592511</v>
      </c>
      <c r="H69" s="190">
        <f t="shared" ref="H69:M69" si="43">G69-H125</f>
        <v>1131652</v>
      </c>
      <c r="I69" s="10">
        <f t="shared" si="43"/>
        <v>879003.5</v>
      </c>
      <c r="J69" s="10">
        <f t="shared" si="43"/>
        <v>626355</v>
      </c>
      <c r="K69" s="10">
        <f t="shared" si="43"/>
        <v>373706.5</v>
      </c>
      <c r="L69" s="10">
        <f t="shared" si="43"/>
        <v>121058</v>
      </c>
      <c r="M69" s="11">
        <f t="shared" si="43"/>
        <v>0</v>
      </c>
    </row>
    <row r="70" spans="1:13" x14ac:dyDescent="0.2">
      <c r="A70" s="31"/>
      <c r="B70" s="9" t="s">
        <v>118</v>
      </c>
      <c r="C70" s="35">
        <f>30084</f>
        <v>30084</v>
      </c>
      <c r="D70" s="35">
        <f>151370</f>
        <v>151370</v>
      </c>
      <c r="E70" s="35">
        <v>123775</v>
      </c>
      <c r="F70" s="35">
        <v>145660</v>
      </c>
      <c r="G70" s="10">
        <v>207047</v>
      </c>
      <c r="H70" s="190">
        <f>3.5%*(H11+H25)</f>
        <v>238308.68458375972</v>
      </c>
      <c r="I70" s="10">
        <f t="shared" ref="I70:M70" si="44">3.5%*(I11+I25)</f>
        <v>234940.57062938684</v>
      </c>
      <c r="J70" s="10">
        <f t="shared" si="44"/>
        <v>270974.62935191172</v>
      </c>
      <c r="K70" s="10">
        <f t="shared" si="44"/>
        <v>282429.98547847691</v>
      </c>
      <c r="L70" s="10">
        <f t="shared" si="44"/>
        <v>293936.94527235423</v>
      </c>
      <c r="M70" s="11">
        <f t="shared" si="44"/>
        <v>305209.79737041303</v>
      </c>
    </row>
    <row r="71" spans="1:13" ht="16" x14ac:dyDescent="0.2">
      <c r="A71" s="31"/>
      <c r="B71" s="20" t="s">
        <v>38</v>
      </c>
      <c r="C71" s="21">
        <f>SUM(C63:C70)</f>
        <v>879063</v>
      </c>
      <c r="D71" s="21">
        <f>SUM(D63:D70)</f>
        <v>1053457</v>
      </c>
      <c r="E71" s="21">
        <f>SUM(E63:E70)</f>
        <v>1300309</v>
      </c>
      <c r="F71" s="21">
        <f t="shared" ref="F71:M71" si="45">SUM(F63:F70)</f>
        <v>1804766</v>
      </c>
      <c r="G71" s="21">
        <f t="shared" si="45"/>
        <v>2966256</v>
      </c>
      <c r="H71" s="193">
        <f t="shared" si="45"/>
        <v>3074291.7905531032</v>
      </c>
      <c r="I71" s="21">
        <f t="shared" si="45"/>
        <v>2915372.772300241</v>
      </c>
      <c r="J71" s="21">
        <f t="shared" si="45"/>
        <v>2988912.0060927253</v>
      </c>
      <c r="K71" s="21">
        <f t="shared" si="45"/>
        <v>2775659.5710544027</v>
      </c>
      <c r="L71" s="21">
        <f t="shared" si="45"/>
        <v>2565250.3450442888</v>
      </c>
      <c r="M71" s="22">
        <f t="shared" si="45"/>
        <v>2492974.9312376208</v>
      </c>
    </row>
    <row r="72" spans="1:13" ht="16" x14ac:dyDescent="0.2">
      <c r="A72" s="31"/>
      <c r="B72" s="177" t="s">
        <v>39</v>
      </c>
      <c r="C72" s="178">
        <f>C62+C71</f>
        <v>905579</v>
      </c>
      <c r="D72" s="178">
        <f>D62+D71</f>
        <v>1084736</v>
      </c>
      <c r="E72" s="178">
        <f>E62+E71</f>
        <v>1336536</v>
      </c>
      <c r="F72" s="178">
        <f t="shared" ref="F72:M72" si="46">F62+F71</f>
        <v>1942037</v>
      </c>
      <c r="G72" s="178">
        <f t="shared" si="46"/>
        <v>3106987</v>
      </c>
      <c r="H72" s="194">
        <f t="shared" si="46"/>
        <v>3217023.2158798669</v>
      </c>
      <c r="I72" s="178">
        <f t="shared" si="46"/>
        <v>44706501.664076909</v>
      </c>
      <c r="J72" s="178">
        <f t="shared" si="46"/>
        <v>44799161.248781063</v>
      </c>
      <c r="K72" s="178">
        <f t="shared" si="46"/>
        <v>44608627.312085703</v>
      </c>
      <c r="L72" s="178">
        <f t="shared" si="46"/>
        <v>44427352.764488623</v>
      </c>
      <c r="M72" s="179">
        <f t="shared" si="46"/>
        <v>44389076.36036744</v>
      </c>
    </row>
    <row r="73" spans="1:13" x14ac:dyDescent="0.2">
      <c r="A73" s="31"/>
      <c r="B73" s="39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</row>
    <row r="74" spans="1:13" s="79" customFormat="1" x14ac:dyDescent="0.2">
      <c r="A74" s="77"/>
      <c r="B74" s="78" t="s">
        <v>119</v>
      </c>
      <c r="C74" s="111">
        <f>ROUND(C55-C72,2)</f>
        <v>0</v>
      </c>
      <c r="D74" s="111">
        <f t="shared" ref="D74:M74" si="47">ROUND(D55-D72,2)</f>
        <v>0</v>
      </c>
      <c r="E74" s="111">
        <f t="shared" si="47"/>
        <v>0</v>
      </c>
      <c r="F74" s="111">
        <f t="shared" si="47"/>
        <v>0</v>
      </c>
      <c r="G74" s="111">
        <f t="shared" si="47"/>
        <v>0</v>
      </c>
      <c r="H74" s="111">
        <f t="shared" si="47"/>
        <v>0</v>
      </c>
      <c r="I74" s="111">
        <f t="shared" si="47"/>
        <v>0</v>
      </c>
      <c r="J74" s="111">
        <f t="shared" si="47"/>
        <v>0</v>
      </c>
      <c r="K74" s="111">
        <f t="shared" si="47"/>
        <v>0</v>
      </c>
      <c r="L74" s="111">
        <f t="shared" si="47"/>
        <v>0</v>
      </c>
      <c r="M74" s="111">
        <f t="shared" si="47"/>
        <v>0</v>
      </c>
    </row>
    <row r="75" spans="1:13" x14ac:dyDescent="0.2">
      <c r="A75" s="31"/>
      <c r="B75" s="39"/>
      <c r="C75" s="40"/>
      <c r="D75" s="40"/>
      <c r="E75" s="116"/>
      <c r="F75" s="116"/>
      <c r="G75" s="116"/>
      <c r="H75" s="40"/>
      <c r="I75" s="40"/>
      <c r="J75" s="40"/>
      <c r="K75" s="40"/>
      <c r="L75" s="40"/>
      <c r="M75" s="40"/>
    </row>
    <row r="76" spans="1:13" x14ac:dyDescent="0.2">
      <c r="A76" s="31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</row>
    <row r="77" spans="1:13" x14ac:dyDescent="0.2">
      <c r="A77" s="31"/>
      <c r="B77" s="85" t="s">
        <v>40</v>
      </c>
      <c r="C77" s="86" t="str">
        <f>C5</f>
        <v xml:space="preserve"> F 2018</v>
      </c>
      <c r="D77" s="86" t="str">
        <f t="shared" ref="D77:M77" si="48">D5</f>
        <v xml:space="preserve"> F 2019</v>
      </c>
      <c r="E77" s="86" t="str">
        <f t="shared" si="48"/>
        <v xml:space="preserve"> F 2020</v>
      </c>
      <c r="F77" s="86" t="str">
        <f t="shared" si="48"/>
        <v xml:space="preserve"> F 2021</v>
      </c>
      <c r="G77" s="86" t="str">
        <f t="shared" si="48"/>
        <v xml:space="preserve"> F 2022</v>
      </c>
      <c r="H77" s="189" t="str">
        <f t="shared" si="48"/>
        <v xml:space="preserve"> P 2023</v>
      </c>
      <c r="I77" s="86" t="str">
        <f t="shared" si="48"/>
        <v xml:space="preserve"> P 2024</v>
      </c>
      <c r="J77" s="86" t="str">
        <f t="shared" si="48"/>
        <v xml:space="preserve"> P 2025</v>
      </c>
      <c r="K77" s="86" t="str">
        <f t="shared" si="48"/>
        <v xml:space="preserve"> P 2026</v>
      </c>
      <c r="L77" s="86" t="str">
        <f t="shared" si="48"/>
        <v xml:space="preserve"> P 2027</v>
      </c>
      <c r="M77" s="87" t="str">
        <f t="shared" si="48"/>
        <v xml:space="preserve"> P 2028</v>
      </c>
    </row>
    <row r="78" spans="1:13" x14ac:dyDescent="0.2">
      <c r="A78" s="31"/>
      <c r="B78" s="182" t="s">
        <v>41</v>
      </c>
      <c r="C78" s="48"/>
      <c r="D78" s="48">
        <f>D42</f>
        <v>4833</v>
      </c>
      <c r="E78" s="48">
        <f t="shared" ref="E78:M78" si="49">E42</f>
        <v>4948</v>
      </c>
      <c r="F78" s="48">
        <f t="shared" si="49"/>
        <v>3953</v>
      </c>
      <c r="G78" s="48">
        <f t="shared" si="49"/>
        <v>5990</v>
      </c>
      <c r="H78" s="195">
        <f t="shared" si="49"/>
        <v>2000.4253267636705</v>
      </c>
      <c r="I78" s="48">
        <f t="shared" si="49"/>
        <v>1397.4664499042046</v>
      </c>
      <c r="J78" s="48">
        <f t="shared" si="49"/>
        <v>19120.350911669731</v>
      </c>
      <c r="K78" s="48">
        <f t="shared" si="49"/>
        <v>22718.498342966959</v>
      </c>
      <c r="L78" s="48">
        <f t="shared" si="49"/>
        <v>29134.678413022608</v>
      </c>
      <c r="M78" s="183">
        <f t="shared" si="49"/>
        <v>33999.009685486155</v>
      </c>
    </row>
    <row r="79" spans="1:13" x14ac:dyDescent="0.2">
      <c r="A79" s="31"/>
      <c r="B79" s="184" t="s">
        <v>42</v>
      </c>
      <c r="C79" s="49"/>
      <c r="D79" s="49"/>
      <c r="E79" s="49"/>
      <c r="F79" s="49"/>
      <c r="G79" s="12"/>
      <c r="H79" s="191"/>
      <c r="I79" s="12"/>
      <c r="J79" s="12"/>
      <c r="K79" s="12"/>
      <c r="L79" s="12"/>
      <c r="M79" s="13"/>
    </row>
    <row r="80" spans="1:13" x14ac:dyDescent="0.2">
      <c r="A80" s="31"/>
      <c r="B80" s="185" t="s">
        <v>43</v>
      </c>
      <c r="C80" s="49"/>
      <c r="D80" s="49">
        <f>D32</f>
        <v>129749</v>
      </c>
      <c r="E80" s="49">
        <f t="shared" ref="E80:M80" si="50">E32</f>
        <v>97690</v>
      </c>
      <c r="F80" s="49">
        <f t="shared" si="50"/>
        <v>100038</v>
      </c>
      <c r="G80" s="49">
        <f t="shared" si="50"/>
        <v>313470</v>
      </c>
      <c r="H80" s="196">
        <f t="shared" si="50"/>
        <v>365513.22699724516</v>
      </c>
      <c r="I80" s="49">
        <f t="shared" si="50"/>
        <v>953397.99359338835</v>
      </c>
      <c r="J80" s="49">
        <f t="shared" si="50"/>
        <v>1158495.2499305785</v>
      </c>
      <c r="K80" s="49">
        <f t="shared" si="50"/>
        <v>1148844.6750743801</v>
      </c>
      <c r="L80" s="49">
        <f t="shared" si="50"/>
        <v>1147401.4550981817</v>
      </c>
      <c r="M80" s="186">
        <f t="shared" si="50"/>
        <v>1052893.8536785836</v>
      </c>
    </row>
    <row r="81" spans="1:13" x14ac:dyDescent="0.2">
      <c r="A81" s="31"/>
      <c r="B81" s="185" t="s">
        <v>44</v>
      </c>
      <c r="C81" s="49"/>
      <c r="D81" s="49">
        <f>C51-D51</f>
        <v>-15519</v>
      </c>
      <c r="E81" s="49">
        <f t="shared" ref="E81:M82" si="51">D51-E51</f>
        <v>332049</v>
      </c>
      <c r="F81" s="49">
        <f t="shared" si="51"/>
        <v>-257681</v>
      </c>
      <c r="G81" s="49">
        <f t="shared" si="51"/>
        <v>-300714</v>
      </c>
      <c r="H81" s="196">
        <f t="shared" si="51"/>
        <v>-23164.859999999986</v>
      </c>
      <c r="I81" s="49">
        <f t="shared" si="51"/>
        <v>-23859.805799999973</v>
      </c>
      <c r="J81" s="49">
        <f t="shared" si="51"/>
        <v>-24575.599974000012</v>
      </c>
      <c r="K81" s="49">
        <f t="shared" si="51"/>
        <v>-25312.867973220069</v>
      </c>
      <c r="L81" s="49">
        <f t="shared" si="51"/>
        <v>-26072.254012416583</v>
      </c>
      <c r="M81" s="186">
        <f t="shared" si="51"/>
        <v>-26854.421632789075</v>
      </c>
    </row>
    <row r="82" spans="1:13" x14ac:dyDescent="0.2">
      <c r="A82" s="31"/>
      <c r="B82" s="185" t="s">
        <v>45</v>
      </c>
      <c r="C82" s="49"/>
      <c r="D82" s="49">
        <f>C52-D52</f>
        <v>28224</v>
      </c>
      <c r="E82" s="49">
        <f t="shared" si="51"/>
        <v>-5076</v>
      </c>
      <c r="F82" s="49">
        <f t="shared" si="51"/>
        <v>-17147</v>
      </c>
      <c r="G82" s="49">
        <f t="shared" si="51"/>
        <v>15225</v>
      </c>
      <c r="H82" s="196">
        <f t="shared" si="51"/>
        <v>-11182.767961303049</v>
      </c>
      <c r="I82" s="49">
        <f t="shared" si="51"/>
        <v>-8837.5207172526716</v>
      </c>
      <c r="J82" s="49">
        <f t="shared" si="51"/>
        <v>-16141.333175275722</v>
      </c>
      <c r="K82" s="49">
        <f t="shared" si="51"/>
        <v>-3178.6987169365893</v>
      </c>
      <c r="L82" s="49">
        <f t="shared" si="51"/>
        <v>-3321.1514829955122</v>
      </c>
      <c r="M82" s="186">
        <f t="shared" si="51"/>
        <v>-3709.8489846805751</v>
      </c>
    </row>
    <row r="83" spans="1:13" x14ac:dyDescent="0.2">
      <c r="A83" s="31"/>
      <c r="B83" s="185" t="s">
        <v>46</v>
      </c>
      <c r="C83" s="49"/>
      <c r="D83" s="49">
        <f>SUM(D65:D70)-SUM(C65:C70)</f>
        <v>174394</v>
      </c>
      <c r="E83" s="49">
        <f t="shared" ref="E83:H83" si="52">SUM(E65:E70)-SUM(D65:D70)</f>
        <v>246852</v>
      </c>
      <c r="F83" s="49">
        <f t="shared" si="52"/>
        <v>504457</v>
      </c>
      <c r="G83" s="49">
        <f t="shared" si="52"/>
        <v>1161490</v>
      </c>
      <c r="H83" s="196">
        <f t="shared" si="52"/>
        <v>-359107.16944689676</v>
      </c>
      <c r="I83" s="49">
        <f t="shared" ref="I83" si="53">SUM(I65:I70)-SUM(H65:H70)</f>
        <v>-108919.01825286215</v>
      </c>
      <c r="J83" s="49">
        <f t="shared" ref="J83:M83" si="54">SUM(J65:J70)-SUM(I65:I70)</f>
        <v>123539.23379248427</v>
      </c>
      <c r="K83" s="49">
        <f t="shared" si="54"/>
        <v>-163252.43503832305</v>
      </c>
      <c r="L83" s="49">
        <f t="shared" si="54"/>
        <v>-160409.22601011349</v>
      </c>
      <c r="M83" s="186">
        <f t="shared" si="54"/>
        <v>-22275.413806668017</v>
      </c>
    </row>
    <row r="84" spans="1:13" ht="16" x14ac:dyDescent="0.2">
      <c r="A84" s="31"/>
      <c r="B84" s="20" t="s">
        <v>47</v>
      </c>
      <c r="C84" s="21"/>
      <c r="D84" s="21">
        <f>SUM(D78:D83)</f>
        <v>321681</v>
      </c>
      <c r="E84" s="21">
        <f t="shared" ref="E84:M84" si="55">SUM(E78:E83)</f>
        <v>676463</v>
      </c>
      <c r="F84" s="21">
        <f t="shared" si="55"/>
        <v>333620</v>
      </c>
      <c r="G84" s="21">
        <f t="shared" si="55"/>
        <v>1195461</v>
      </c>
      <c r="H84" s="193">
        <f t="shared" si="55"/>
        <v>-25941.145084190997</v>
      </c>
      <c r="I84" s="21">
        <f t="shared" si="55"/>
        <v>813179.11527317786</v>
      </c>
      <c r="J84" s="21">
        <f t="shared" si="55"/>
        <v>1260437.9014854569</v>
      </c>
      <c r="K84" s="21">
        <f t="shared" si="55"/>
        <v>979819.17168886727</v>
      </c>
      <c r="L84" s="21">
        <f t="shared" si="55"/>
        <v>986733.5020056786</v>
      </c>
      <c r="M84" s="22">
        <f t="shared" si="55"/>
        <v>1034053.178939932</v>
      </c>
    </row>
    <row r="85" spans="1:13" x14ac:dyDescent="0.2">
      <c r="A85" s="31"/>
      <c r="B85" s="187"/>
      <c r="C85" s="50"/>
      <c r="D85" s="50"/>
      <c r="E85" s="50"/>
      <c r="F85" s="50"/>
      <c r="G85" s="12"/>
      <c r="H85" s="191"/>
      <c r="I85" s="12"/>
      <c r="J85" s="12"/>
      <c r="K85" s="12"/>
      <c r="L85" s="12"/>
      <c r="M85" s="13"/>
    </row>
    <row r="86" spans="1:13" x14ac:dyDescent="0.2">
      <c r="A86" s="31"/>
      <c r="B86" s="187" t="s">
        <v>48</v>
      </c>
      <c r="C86" s="50"/>
      <c r="D86" s="50">
        <f>-(D49+D32-C49)</f>
        <v>-55277</v>
      </c>
      <c r="E86" s="50">
        <f t="shared" ref="E86:H86" si="56">-(E49+E32-D49)</f>
        <v>-392881</v>
      </c>
      <c r="F86" s="50">
        <f t="shared" si="56"/>
        <v>-732841</v>
      </c>
      <c r="G86" s="50">
        <f t="shared" si="56"/>
        <v>-762536</v>
      </c>
      <c r="H86" s="197">
        <f t="shared" si="56"/>
        <v>-538961.12396694208</v>
      </c>
      <c r="I86" s="50">
        <f>-(I49+I32-H49)</f>
        <v>-42329533.117685951</v>
      </c>
      <c r="J86" s="50">
        <f t="shared" ref="J86:M86" si="57">-(J49+J32-I49)</f>
        <v>-676747.99371900409</v>
      </c>
      <c r="K86" s="50">
        <f t="shared" si="57"/>
        <v>-676747.99371901155</v>
      </c>
      <c r="L86" s="50">
        <f t="shared" si="57"/>
        <v>-676747.99371900409</v>
      </c>
      <c r="M86" s="188">
        <f t="shared" si="57"/>
        <v>-676747.99371901155</v>
      </c>
    </row>
    <row r="87" spans="1:13" ht="16" x14ac:dyDescent="0.2">
      <c r="A87" s="31"/>
      <c r="B87" s="20" t="s">
        <v>49</v>
      </c>
      <c r="C87" s="21"/>
      <c r="D87" s="21">
        <f>SUM(D86:D86)</f>
        <v>-55277</v>
      </c>
      <c r="E87" s="21">
        <f t="shared" ref="E87:M87" si="58">SUM(E86:E86)</f>
        <v>-392881</v>
      </c>
      <c r="F87" s="21">
        <f t="shared" si="58"/>
        <v>-732841</v>
      </c>
      <c r="G87" s="21">
        <f t="shared" si="58"/>
        <v>-762536</v>
      </c>
      <c r="H87" s="193">
        <f t="shared" si="58"/>
        <v>-538961.12396694208</v>
      </c>
      <c r="I87" s="21">
        <f t="shared" si="58"/>
        <v>-42329533.117685951</v>
      </c>
      <c r="J87" s="21">
        <f t="shared" si="58"/>
        <v>-676747.99371900409</v>
      </c>
      <c r="K87" s="21">
        <f t="shared" si="58"/>
        <v>-676747.99371901155</v>
      </c>
      <c r="L87" s="21">
        <f t="shared" si="58"/>
        <v>-676747.99371900409</v>
      </c>
      <c r="M87" s="22">
        <f t="shared" si="58"/>
        <v>-676747.99371901155</v>
      </c>
    </row>
    <row r="88" spans="1:13" x14ac:dyDescent="0.2">
      <c r="A88" s="31"/>
      <c r="B88" s="187"/>
      <c r="C88" s="50"/>
      <c r="D88" s="50"/>
      <c r="E88" s="50"/>
      <c r="F88" s="50"/>
      <c r="G88" s="12"/>
      <c r="H88" s="191"/>
      <c r="I88" s="12"/>
      <c r="J88" s="12"/>
      <c r="K88" s="12"/>
      <c r="L88" s="12"/>
      <c r="M88" s="13"/>
    </row>
    <row r="89" spans="1:13" x14ac:dyDescent="0.2">
      <c r="A89" s="31"/>
      <c r="B89" s="187" t="s">
        <v>120</v>
      </c>
      <c r="C89" s="50"/>
      <c r="D89" s="50">
        <f>D64-C64</f>
        <v>0</v>
      </c>
      <c r="E89" s="50">
        <f t="shared" ref="E89:M89" si="59">E64-D64</f>
        <v>0</v>
      </c>
      <c r="F89" s="50">
        <f t="shared" si="59"/>
        <v>0</v>
      </c>
      <c r="G89" s="50">
        <f t="shared" si="59"/>
        <v>0</v>
      </c>
      <c r="H89" s="197">
        <f t="shared" si="59"/>
        <v>467142.96</v>
      </c>
      <c r="I89" s="50">
        <f t="shared" si="59"/>
        <v>-50000</v>
      </c>
      <c r="J89" s="50">
        <f t="shared" si="59"/>
        <v>-50000</v>
      </c>
      <c r="K89" s="50">
        <f t="shared" si="59"/>
        <v>-50000</v>
      </c>
      <c r="L89" s="50">
        <f t="shared" si="59"/>
        <v>-50000</v>
      </c>
      <c r="M89" s="188">
        <f t="shared" si="59"/>
        <v>-50000</v>
      </c>
    </row>
    <row r="90" spans="1:13" x14ac:dyDescent="0.2">
      <c r="A90" s="31"/>
      <c r="B90" s="187" t="s">
        <v>121</v>
      </c>
      <c r="C90" s="50"/>
      <c r="D90" s="50">
        <f>SUM(D58:D60)-SUM(C58:C61)</f>
        <v>-70</v>
      </c>
      <c r="E90" s="50">
        <f t="shared" ref="E90:H90" si="60">SUM(E58:E60)-SUM(D58:D61)</f>
        <v>0</v>
      </c>
      <c r="F90" s="50">
        <f t="shared" si="60"/>
        <v>97091</v>
      </c>
      <c r="G90" s="50">
        <f t="shared" si="60"/>
        <v>-2530</v>
      </c>
      <c r="H90" s="197">
        <f t="shared" si="60"/>
        <v>0</v>
      </c>
      <c r="I90" s="50">
        <f t="shared" ref="I90" si="61">SUM(I58:I60)-SUM(H58:H61)</f>
        <v>41647000</v>
      </c>
      <c r="J90" s="50">
        <f t="shared" ref="J90:M90" si="62">SUM(J58:J60)-SUM(I58:I61)</f>
        <v>0</v>
      </c>
      <c r="K90" s="50">
        <f t="shared" si="62"/>
        <v>0</v>
      </c>
      <c r="L90" s="50">
        <f t="shared" si="62"/>
        <v>0</v>
      </c>
      <c r="M90" s="188">
        <f t="shared" si="62"/>
        <v>0</v>
      </c>
    </row>
    <row r="91" spans="1:13" ht="16" x14ac:dyDescent="0.2">
      <c r="A91" s="31"/>
      <c r="B91" s="20" t="s">
        <v>50</v>
      </c>
      <c r="C91" s="21"/>
      <c r="D91" s="21">
        <f>SUM(D89:D90)</f>
        <v>-70</v>
      </c>
      <c r="E91" s="21">
        <f t="shared" ref="E91:M91" si="63">SUM(E89:E90)</f>
        <v>0</v>
      </c>
      <c r="F91" s="21">
        <f t="shared" si="63"/>
        <v>97091</v>
      </c>
      <c r="G91" s="21">
        <f t="shared" si="63"/>
        <v>-2530</v>
      </c>
      <c r="H91" s="193">
        <f t="shared" si="63"/>
        <v>467142.96</v>
      </c>
      <c r="I91" s="21">
        <f t="shared" si="63"/>
        <v>41597000</v>
      </c>
      <c r="J91" s="21">
        <f t="shared" si="63"/>
        <v>-50000</v>
      </c>
      <c r="K91" s="21">
        <f t="shared" si="63"/>
        <v>-50000</v>
      </c>
      <c r="L91" s="21">
        <f t="shared" si="63"/>
        <v>-50000</v>
      </c>
      <c r="M91" s="22">
        <f t="shared" si="63"/>
        <v>-50000</v>
      </c>
    </row>
    <row r="92" spans="1:13" x14ac:dyDescent="0.2">
      <c r="A92" s="31"/>
      <c r="B92" s="184"/>
      <c r="C92" s="49"/>
      <c r="D92" s="49"/>
      <c r="E92" s="49"/>
      <c r="F92" s="49"/>
      <c r="G92" s="12"/>
      <c r="H92" s="191"/>
      <c r="I92" s="12"/>
      <c r="J92" s="12"/>
      <c r="K92" s="12"/>
      <c r="L92" s="12"/>
      <c r="M92" s="13"/>
    </row>
    <row r="93" spans="1:13" ht="16" x14ac:dyDescent="0.2">
      <c r="A93" s="31"/>
      <c r="B93" s="20" t="s">
        <v>51</v>
      </c>
      <c r="C93" s="21"/>
      <c r="D93" s="21">
        <f>D84+D87+D91</f>
        <v>266334</v>
      </c>
      <c r="E93" s="21">
        <f t="shared" ref="E93:M93" si="64">E84+E87+E91</f>
        <v>283582</v>
      </c>
      <c r="F93" s="21">
        <f t="shared" si="64"/>
        <v>-302130</v>
      </c>
      <c r="G93" s="21">
        <f t="shared" si="64"/>
        <v>430395</v>
      </c>
      <c r="H93" s="193">
        <f t="shared" si="64"/>
        <v>-97759.309051133052</v>
      </c>
      <c r="I93" s="21">
        <f t="shared" si="64"/>
        <v>80645.997587226331</v>
      </c>
      <c r="J93" s="21">
        <f t="shared" si="64"/>
        <v>533689.90776645276</v>
      </c>
      <c r="K93" s="21">
        <f t="shared" si="64"/>
        <v>253071.17796985572</v>
      </c>
      <c r="L93" s="21">
        <f t="shared" si="64"/>
        <v>259985.50828667451</v>
      </c>
      <c r="M93" s="22">
        <f t="shared" si="64"/>
        <v>307305.18522092048</v>
      </c>
    </row>
    <row r="94" spans="1:13" x14ac:dyDescent="0.2">
      <c r="A94" s="31"/>
      <c r="B94" s="187"/>
      <c r="C94" s="50"/>
      <c r="D94" s="50"/>
      <c r="E94" s="50"/>
      <c r="F94" s="50"/>
      <c r="G94" s="12"/>
      <c r="H94" s="191"/>
      <c r="I94" s="12"/>
      <c r="J94" s="12"/>
      <c r="K94" s="12"/>
      <c r="L94" s="12"/>
      <c r="M94" s="13"/>
    </row>
    <row r="95" spans="1:13" ht="16" x14ac:dyDescent="0.2">
      <c r="A95" s="31"/>
      <c r="B95" s="20" t="s">
        <v>52</v>
      </c>
      <c r="C95" s="21"/>
      <c r="D95" s="21">
        <f>C96</f>
        <v>18990</v>
      </c>
      <c r="E95" s="21">
        <f t="shared" ref="E95:M95" si="65">D96</f>
        <v>285324</v>
      </c>
      <c r="F95" s="21">
        <f t="shared" si="65"/>
        <v>568906</v>
      </c>
      <c r="G95" s="21">
        <f t="shared" si="65"/>
        <v>266776</v>
      </c>
      <c r="H95" s="193">
        <f t="shared" si="65"/>
        <v>697171</v>
      </c>
      <c r="I95" s="21">
        <f t="shared" si="65"/>
        <v>599411.69094886701</v>
      </c>
      <c r="J95" s="21">
        <f t="shared" si="65"/>
        <v>680057.68853609334</v>
      </c>
      <c r="K95" s="21">
        <f t="shared" si="65"/>
        <v>1213747.5963025461</v>
      </c>
      <c r="L95" s="21">
        <f t="shared" si="65"/>
        <v>1466818.7742724018</v>
      </c>
      <c r="M95" s="22">
        <f t="shared" si="65"/>
        <v>1726804.2825590763</v>
      </c>
    </row>
    <row r="96" spans="1:13" ht="16" x14ac:dyDescent="0.2">
      <c r="A96" s="31"/>
      <c r="B96" s="14" t="s">
        <v>53</v>
      </c>
      <c r="C96" s="15">
        <f>C53</f>
        <v>18990</v>
      </c>
      <c r="D96" s="15">
        <f>D95+D93</f>
        <v>285324</v>
      </c>
      <c r="E96" s="15">
        <f t="shared" ref="E96:M96" si="66">E95+E93</f>
        <v>568906</v>
      </c>
      <c r="F96" s="15">
        <f t="shared" si="66"/>
        <v>266776</v>
      </c>
      <c r="G96" s="15">
        <f t="shared" si="66"/>
        <v>697171</v>
      </c>
      <c r="H96" s="192">
        <f t="shared" si="66"/>
        <v>599411.69094886701</v>
      </c>
      <c r="I96" s="15">
        <f t="shared" si="66"/>
        <v>680057.68853609334</v>
      </c>
      <c r="J96" s="15">
        <f t="shared" si="66"/>
        <v>1213747.5963025461</v>
      </c>
      <c r="K96" s="15">
        <f t="shared" si="66"/>
        <v>1466818.7742724018</v>
      </c>
      <c r="L96" s="15">
        <f t="shared" si="66"/>
        <v>1726804.2825590763</v>
      </c>
      <c r="M96" s="16">
        <f t="shared" si="66"/>
        <v>2034109.4677799968</v>
      </c>
    </row>
    <row r="97" spans="1:15" x14ac:dyDescent="0.2">
      <c r="A97" s="31"/>
      <c r="B97" s="51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</row>
    <row r="98" spans="1:15" x14ac:dyDescent="0.2">
      <c r="A98" s="31"/>
      <c r="B98" s="78" t="s">
        <v>119</v>
      </c>
      <c r="C98" s="80">
        <f>C96-C53</f>
        <v>0</v>
      </c>
      <c r="D98" s="80">
        <f t="shared" ref="D98:M98" si="67">D96-D53</f>
        <v>0</v>
      </c>
      <c r="E98" s="80">
        <f t="shared" si="67"/>
        <v>0</v>
      </c>
      <c r="F98" s="80">
        <f t="shared" si="67"/>
        <v>0</v>
      </c>
      <c r="G98" s="80">
        <f t="shared" si="67"/>
        <v>0</v>
      </c>
      <c r="H98" s="80">
        <f t="shared" si="67"/>
        <v>0</v>
      </c>
      <c r="I98" s="80">
        <f t="shared" si="67"/>
        <v>0</v>
      </c>
      <c r="J98" s="80">
        <f t="shared" si="67"/>
        <v>0</v>
      </c>
      <c r="K98" s="80">
        <f t="shared" si="67"/>
        <v>0</v>
      </c>
      <c r="L98" s="80">
        <f t="shared" si="67"/>
        <v>0</v>
      </c>
      <c r="M98" s="80">
        <f t="shared" si="67"/>
        <v>0</v>
      </c>
    </row>
    <row r="99" spans="1:15" x14ac:dyDescent="0.2">
      <c r="A99" s="31"/>
      <c r="B99" s="51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</row>
    <row r="100" spans="1:15" x14ac:dyDescent="0.2">
      <c r="A100" s="31"/>
      <c r="B100" s="51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</row>
    <row r="101" spans="1:15" x14ac:dyDescent="0.2">
      <c r="A101" s="31"/>
      <c r="B101" s="30"/>
      <c r="C101" s="30"/>
      <c r="D101" s="30"/>
      <c r="E101" s="30"/>
      <c r="F101" s="30"/>
      <c r="G101" s="31"/>
      <c r="H101" s="31"/>
      <c r="I101" s="31"/>
      <c r="J101" s="31"/>
      <c r="K101" s="31"/>
      <c r="L101" s="31"/>
      <c r="M101" s="31"/>
    </row>
    <row r="102" spans="1:15" x14ac:dyDescent="0.2">
      <c r="A102" s="89"/>
      <c r="B102" s="85" t="s">
        <v>54</v>
      </c>
      <c r="C102" s="86" t="str">
        <f t="shared" ref="C102:M102" si="68">C5</f>
        <v xml:space="preserve"> F 2018</v>
      </c>
      <c r="D102" s="86" t="str">
        <f t="shared" si="68"/>
        <v xml:space="preserve"> F 2019</v>
      </c>
      <c r="E102" s="86" t="str">
        <f t="shared" si="68"/>
        <v xml:space="preserve"> F 2020</v>
      </c>
      <c r="F102" s="86" t="str">
        <f t="shared" si="68"/>
        <v xml:space="preserve"> F 2021</v>
      </c>
      <c r="G102" s="86" t="str">
        <f t="shared" si="68"/>
        <v xml:space="preserve"> F 2022</v>
      </c>
      <c r="H102" s="86" t="str">
        <f t="shared" si="68"/>
        <v xml:space="preserve"> P 2023</v>
      </c>
      <c r="I102" s="86" t="str">
        <f t="shared" si="68"/>
        <v xml:space="preserve"> P 2024</v>
      </c>
      <c r="J102" s="86" t="str">
        <f t="shared" si="68"/>
        <v xml:space="preserve"> P 2025</v>
      </c>
      <c r="K102" s="86" t="str">
        <f t="shared" si="68"/>
        <v xml:space="preserve"> P 2026</v>
      </c>
      <c r="L102" s="86" t="str">
        <f t="shared" si="68"/>
        <v xml:space="preserve"> P 2027</v>
      </c>
      <c r="M102" s="87" t="str">
        <f t="shared" si="68"/>
        <v xml:space="preserve"> P 2028</v>
      </c>
    </row>
    <row r="103" spans="1:15" x14ac:dyDescent="0.2">
      <c r="A103" s="89"/>
      <c r="B103" s="118"/>
      <c r="C103" s="119"/>
      <c r="D103" s="119"/>
      <c r="E103" s="119"/>
      <c r="F103" s="119"/>
      <c r="G103" s="119"/>
      <c r="H103" s="119"/>
      <c r="I103" s="119"/>
      <c r="J103" s="119"/>
      <c r="K103" s="119"/>
      <c r="L103" s="119"/>
      <c r="M103" s="120"/>
    </row>
    <row r="104" spans="1:15" x14ac:dyDescent="0.2">
      <c r="A104" s="89"/>
      <c r="B104" s="118" t="s">
        <v>122</v>
      </c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20"/>
      <c r="O104" t="s">
        <v>171</v>
      </c>
    </row>
    <row r="105" spans="1:15" x14ac:dyDescent="0.2">
      <c r="A105" s="89"/>
      <c r="B105" s="121" t="s">
        <v>123</v>
      </c>
      <c r="C105" s="91">
        <v>2.5000000000000001E-2</v>
      </c>
      <c r="D105" s="91">
        <v>2.8000000000000001E-2</v>
      </c>
      <c r="E105" s="91">
        <v>2E-3</v>
      </c>
      <c r="F105" s="91">
        <v>3.3000000000000002E-2</v>
      </c>
      <c r="G105" s="91">
        <v>0.17299999999999999</v>
      </c>
      <c r="H105" s="92">
        <v>0.1</v>
      </c>
      <c r="I105" s="92">
        <v>2.1999999999999999E-2</v>
      </c>
      <c r="J105" s="92">
        <v>2.5000000000000001E-2</v>
      </c>
      <c r="K105" s="92">
        <v>2.5000000000000001E-2</v>
      </c>
      <c r="L105" s="92">
        <v>2.5000000000000001E-2</v>
      </c>
      <c r="M105" s="122">
        <v>2.5000000000000001E-2</v>
      </c>
      <c r="O105" s="88" t="s">
        <v>125</v>
      </c>
    </row>
    <row r="106" spans="1:15" x14ac:dyDescent="0.2">
      <c r="A106" s="89"/>
      <c r="B106" s="121" t="s">
        <v>124</v>
      </c>
      <c r="C106" s="91">
        <v>8.4000000000000005E-2</v>
      </c>
      <c r="D106" s="91">
        <v>7.1999999999999995E-2</v>
      </c>
      <c r="E106" s="91">
        <v>6.2E-2</v>
      </c>
      <c r="F106" s="91">
        <v>0.11700000000000001</v>
      </c>
      <c r="G106" s="91">
        <v>7.4999999999999997E-2</v>
      </c>
      <c r="H106" s="92">
        <v>8.5000000000000006E-2</v>
      </c>
      <c r="I106" s="92">
        <v>6.5000000000000002E-2</v>
      </c>
      <c r="J106" s="92">
        <v>0.05</v>
      </c>
      <c r="K106" s="92">
        <v>0.04</v>
      </c>
      <c r="L106" s="92">
        <v>0.04</v>
      </c>
      <c r="M106" s="122">
        <v>0.04</v>
      </c>
    </row>
    <row r="107" spans="1:15" x14ac:dyDescent="0.2">
      <c r="A107" s="89"/>
      <c r="B107" s="121" t="s">
        <v>134</v>
      </c>
      <c r="C107" s="198">
        <v>0.2409</v>
      </c>
      <c r="D107" s="198">
        <v>0.2409</v>
      </c>
      <c r="E107" s="198">
        <v>0.2409</v>
      </c>
      <c r="F107" s="198">
        <v>0.2359</v>
      </c>
      <c r="G107" s="198">
        <v>0.2359</v>
      </c>
      <c r="H107" s="199">
        <f>G107</f>
        <v>0.2359</v>
      </c>
      <c r="I107" s="199">
        <f t="shared" ref="I107:M107" si="69">H107</f>
        <v>0.2359</v>
      </c>
      <c r="J107" s="199">
        <f t="shared" si="69"/>
        <v>0.2359</v>
      </c>
      <c r="K107" s="199">
        <f t="shared" si="69"/>
        <v>0.2359</v>
      </c>
      <c r="L107" s="199">
        <f t="shared" si="69"/>
        <v>0.2359</v>
      </c>
      <c r="M107" s="200">
        <f t="shared" si="69"/>
        <v>0.2359</v>
      </c>
    </row>
    <row r="108" spans="1:15" x14ac:dyDescent="0.2">
      <c r="A108" s="89"/>
      <c r="B108" s="118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20"/>
    </row>
    <row r="109" spans="1:15" x14ac:dyDescent="0.2">
      <c r="A109" s="89"/>
      <c r="B109" s="118" t="s">
        <v>126</v>
      </c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20"/>
    </row>
    <row r="110" spans="1:15" s="68" customFormat="1" x14ac:dyDescent="0.2">
      <c r="A110" s="105"/>
      <c r="B110" s="123" t="s">
        <v>127</v>
      </c>
      <c r="C110" s="124">
        <v>194979</v>
      </c>
      <c r="D110" s="124">
        <v>191914</v>
      </c>
      <c r="E110" s="124">
        <v>73088</v>
      </c>
      <c r="F110" s="124">
        <v>30041</v>
      </c>
      <c r="G110" s="124">
        <v>108942</v>
      </c>
      <c r="H110" s="125">
        <v>108389</v>
      </c>
      <c r="I110" s="125">
        <v>126000</v>
      </c>
      <c r="J110" s="125">
        <v>127500</v>
      </c>
      <c r="K110" s="125">
        <v>128500</v>
      </c>
      <c r="L110" s="125">
        <v>129500</v>
      </c>
      <c r="M110" s="126">
        <v>131000</v>
      </c>
      <c r="O110" s="106" t="s">
        <v>218</v>
      </c>
    </row>
    <row r="111" spans="1:15" s="106" customFormat="1" x14ac:dyDescent="0.2">
      <c r="A111" s="214"/>
      <c r="B111" s="215" t="s">
        <v>201</v>
      </c>
      <c r="C111" s="216"/>
      <c r="D111" s="216"/>
      <c r="E111" s="216"/>
      <c r="F111" s="216"/>
      <c r="G111" s="216"/>
      <c r="H111" s="219" t="s">
        <v>185</v>
      </c>
      <c r="I111" s="217">
        <f>4000-(90*156*80%*9/12)</f>
        <v>-4424</v>
      </c>
      <c r="J111" s="217">
        <f>4000+((90+50)*(350*0.75-156*0.8))</f>
        <v>23278</v>
      </c>
      <c r="K111" s="217">
        <f t="shared" ref="K111:M111" si="70">4000+((90+50)*(350*0.75-156*0.8))</f>
        <v>23278</v>
      </c>
      <c r="L111" s="217">
        <f t="shared" si="70"/>
        <v>23278</v>
      </c>
      <c r="M111" s="218">
        <f t="shared" si="70"/>
        <v>23278</v>
      </c>
    </row>
    <row r="112" spans="1:15" s="68" customFormat="1" x14ac:dyDescent="0.2">
      <c r="A112" s="105"/>
      <c r="B112" s="123" t="s">
        <v>128</v>
      </c>
      <c r="C112" s="124">
        <v>474</v>
      </c>
      <c r="D112" s="124">
        <v>482</v>
      </c>
      <c r="E112" s="124">
        <v>243</v>
      </c>
      <c r="F112" s="124">
        <v>86</v>
      </c>
      <c r="G112" s="124">
        <v>234</v>
      </c>
      <c r="H112" s="125">
        <v>298</v>
      </c>
      <c r="I112" s="125">
        <v>300</v>
      </c>
      <c r="J112" s="125">
        <v>305</v>
      </c>
      <c r="K112" s="125">
        <v>305</v>
      </c>
      <c r="L112" s="125">
        <v>305</v>
      </c>
      <c r="M112" s="126">
        <v>305</v>
      </c>
    </row>
    <row r="113" spans="1:15" s="106" customFormat="1" x14ac:dyDescent="0.2">
      <c r="A113" s="214"/>
      <c r="B113" s="215" t="s">
        <v>202</v>
      </c>
      <c r="C113" s="216"/>
      <c r="D113" s="216"/>
      <c r="E113" s="216"/>
      <c r="F113" s="216"/>
      <c r="G113" s="216"/>
      <c r="H113" s="219" t="s">
        <v>185</v>
      </c>
      <c r="I113" s="217">
        <f>-(90*9/12)</f>
        <v>-67.5</v>
      </c>
      <c r="J113" s="217">
        <v>50</v>
      </c>
      <c r="K113" s="217">
        <v>60</v>
      </c>
      <c r="L113" s="217">
        <v>65</v>
      </c>
      <c r="M113" s="218">
        <v>65</v>
      </c>
    </row>
    <row r="114" spans="1:15" s="68" customFormat="1" x14ac:dyDescent="0.2">
      <c r="A114" s="105"/>
      <c r="B114" s="123" t="s">
        <v>139</v>
      </c>
      <c r="C114" s="124">
        <f>C14/C112</f>
        <v>1356.1645569620252</v>
      </c>
      <c r="D114" s="124">
        <f>D14/D112</f>
        <v>1100.3651452282159</v>
      </c>
      <c r="E114" s="124">
        <f>E14/E112</f>
        <v>2843.4362139917694</v>
      </c>
      <c r="F114" s="124">
        <f>F14/F112</f>
        <v>3466.953488372093</v>
      </c>
      <c r="G114" s="124">
        <f>G14/G112</f>
        <v>2848.5854700854702</v>
      </c>
      <c r="H114" s="125">
        <f>AVERAGE($C114:$G114)*(1+H105)</f>
        <v>2555.4110724207067</v>
      </c>
      <c r="I114" s="125">
        <f>H114*(1+I105)</f>
        <v>2611.6301160139624</v>
      </c>
      <c r="J114" s="125">
        <f t="shared" ref="J114:L114" si="71">I114*(1+J105)</f>
        <v>2676.9208689143111</v>
      </c>
      <c r="K114" s="125">
        <f t="shared" si="71"/>
        <v>2743.8438906371684</v>
      </c>
      <c r="L114" s="125">
        <f t="shared" si="71"/>
        <v>2812.4399879030975</v>
      </c>
      <c r="M114" s="126">
        <f>L114*(1+M105)</f>
        <v>2882.7509876006748</v>
      </c>
      <c r="O114" s="106" t="s">
        <v>141</v>
      </c>
    </row>
    <row r="115" spans="1:15" s="68" customFormat="1" x14ac:dyDescent="0.2">
      <c r="A115" s="105"/>
      <c r="B115" s="123" t="s">
        <v>174</v>
      </c>
      <c r="C115" s="127">
        <f>C8/C110</f>
        <v>11.676498494709687</v>
      </c>
      <c r="D115" s="127">
        <f>D8/D110</f>
        <v>12.45199412236731</v>
      </c>
      <c r="E115" s="127">
        <f>E8/E110</f>
        <v>15.786175569176883</v>
      </c>
      <c r="F115" s="127">
        <f>F8/F110</f>
        <v>21.254352385073734</v>
      </c>
      <c r="G115" s="127">
        <f>G8/G110</f>
        <v>25.311633713352059</v>
      </c>
      <c r="H115" s="128">
        <f>G115*(1+H106)</f>
        <v>27.463122578986983</v>
      </c>
      <c r="I115" s="128">
        <f t="shared" ref="I115:K115" si="72">H115*(1+I106)</f>
        <v>29.248225546621136</v>
      </c>
      <c r="J115" s="128">
        <f t="shared" si="72"/>
        <v>30.710636823952193</v>
      </c>
      <c r="K115" s="128">
        <f t="shared" si="72"/>
        <v>31.939062296910283</v>
      </c>
      <c r="L115" s="128">
        <f>K115*(1+L106)</f>
        <v>33.216624788786696</v>
      </c>
      <c r="M115" s="129">
        <f>L115*(1+M106)</f>
        <v>34.545289780338166</v>
      </c>
      <c r="O115" s="106"/>
    </row>
    <row r="116" spans="1:15" s="68" customFormat="1" x14ac:dyDescent="0.2">
      <c r="A116" s="105"/>
      <c r="B116" s="123" t="s">
        <v>132</v>
      </c>
      <c r="C116" s="124">
        <v>231</v>
      </c>
      <c r="D116" s="124">
        <v>231</v>
      </c>
      <c r="E116" s="124">
        <v>204</v>
      </c>
      <c r="F116" s="124">
        <v>179</v>
      </c>
      <c r="G116" s="124">
        <v>191</v>
      </c>
      <c r="H116" s="125">
        <v>191</v>
      </c>
      <c r="I116" s="125">
        <v>200</v>
      </c>
      <c r="J116" s="125">
        <f t="shared" ref="J116:M116" si="73">I116</f>
        <v>200</v>
      </c>
      <c r="K116" s="125">
        <f t="shared" si="73"/>
        <v>200</v>
      </c>
      <c r="L116" s="125">
        <f t="shared" si="73"/>
        <v>200</v>
      </c>
      <c r="M116" s="126">
        <f t="shared" si="73"/>
        <v>200</v>
      </c>
      <c r="O116" s="106"/>
    </row>
    <row r="117" spans="1:15" s="68" customFormat="1" x14ac:dyDescent="0.2">
      <c r="A117" s="105"/>
      <c r="B117" s="123" t="s">
        <v>133</v>
      </c>
      <c r="C117" s="124">
        <f>(C12+C26)/(1+C107)/12/C116</f>
        <v>827.10676291947959</v>
      </c>
      <c r="D117" s="124">
        <f>(D12+D26)/(1+D107)/12/D116</f>
        <v>845.40301882553479</v>
      </c>
      <c r="E117" s="124">
        <f>(E12+E26)/(1+E107)/12/E116</f>
        <v>1041.2169877755814</v>
      </c>
      <c r="F117" s="124">
        <f>(F12+F26)/(1+F107)/12/F116</f>
        <v>1123.5029079600765</v>
      </c>
      <c r="G117" s="124">
        <f>(G12+G26)/(1+G107)/12/G116</f>
        <v>1429.8215811526798</v>
      </c>
      <c r="H117" s="125">
        <f>G117*(1+H106)</f>
        <v>1551.3564155506574</v>
      </c>
      <c r="I117" s="125">
        <f t="shared" ref="I117:L117" si="74">H117*(1+I106)</f>
        <v>1652.19458256145</v>
      </c>
      <c r="J117" s="125">
        <f t="shared" si="74"/>
        <v>1734.8043116895226</v>
      </c>
      <c r="K117" s="125">
        <f t="shared" si="74"/>
        <v>1804.1964841571037</v>
      </c>
      <c r="L117" s="125">
        <f t="shared" si="74"/>
        <v>1876.3643435233878</v>
      </c>
      <c r="M117" s="126">
        <f>L117*(1+M106)</f>
        <v>1951.4189172643235</v>
      </c>
      <c r="O117" s="106" t="s">
        <v>153</v>
      </c>
    </row>
    <row r="118" spans="1:15" s="68" customFormat="1" x14ac:dyDescent="0.2">
      <c r="A118" s="105"/>
      <c r="B118" s="123" t="s">
        <v>175</v>
      </c>
      <c r="C118" s="109">
        <f>C12/(C12+C26)</f>
        <v>0.88692825918319507</v>
      </c>
      <c r="D118" s="109">
        <f>D12/(D12+D26)</f>
        <v>0.89705763006551587</v>
      </c>
      <c r="E118" s="109">
        <f>E12/(E12+E26)</f>
        <v>0.84550807179041954</v>
      </c>
      <c r="F118" s="109">
        <f>F12/(F12+F26)</f>
        <v>0.84862927306511349</v>
      </c>
      <c r="G118" s="109">
        <f>G12/(G12+G26)</f>
        <v>0.87347709303494048</v>
      </c>
      <c r="H118" s="110">
        <f>AVERAGE($C118:$G118)</f>
        <v>0.87032006542783691</v>
      </c>
      <c r="I118" s="110">
        <f t="shared" ref="I118:M119" si="75">AVERAGE($C118:$G118)</f>
        <v>0.87032006542783691</v>
      </c>
      <c r="J118" s="110">
        <f t="shared" si="75"/>
        <v>0.87032006542783691</v>
      </c>
      <c r="K118" s="110">
        <f t="shared" si="75"/>
        <v>0.87032006542783691</v>
      </c>
      <c r="L118" s="110">
        <f t="shared" si="75"/>
        <v>0.87032006542783691</v>
      </c>
      <c r="M118" s="130">
        <f>AVERAGE($C118:$G118)</f>
        <v>0.87032006542783691</v>
      </c>
      <c r="O118" s="106"/>
    </row>
    <row r="119" spans="1:15" s="68" customFormat="1" x14ac:dyDescent="0.2">
      <c r="A119" s="105"/>
      <c r="B119" s="123" t="s">
        <v>176</v>
      </c>
      <c r="C119" s="109">
        <f>C26/(C12+C26)</f>
        <v>0.11307174081680499</v>
      </c>
      <c r="D119" s="109">
        <f>D26/(D12+D26)</f>
        <v>0.10294236993448409</v>
      </c>
      <c r="E119" s="109">
        <f>E26/(E12+E26)</f>
        <v>0.15449192820958044</v>
      </c>
      <c r="F119" s="109">
        <f>F26/(F12+F26)</f>
        <v>0.15137072693488654</v>
      </c>
      <c r="G119" s="109">
        <f>G26/(G12+G26)</f>
        <v>0.12652290696505952</v>
      </c>
      <c r="H119" s="110">
        <f>AVERAGE($C119:$G119)</f>
        <v>0.12967993457216312</v>
      </c>
      <c r="I119" s="110">
        <f t="shared" si="75"/>
        <v>0.12967993457216312</v>
      </c>
      <c r="J119" s="110">
        <f t="shared" si="75"/>
        <v>0.12967993457216312</v>
      </c>
      <c r="K119" s="110">
        <f t="shared" si="75"/>
        <v>0.12967993457216312</v>
      </c>
      <c r="L119" s="110">
        <f t="shared" si="75"/>
        <v>0.12967993457216312</v>
      </c>
      <c r="M119" s="130">
        <f t="shared" si="75"/>
        <v>0.12967993457216312</v>
      </c>
      <c r="O119" s="106"/>
    </row>
    <row r="120" spans="1:15" x14ac:dyDescent="0.2">
      <c r="A120" s="89"/>
      <c r="B120" s="201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3"/>
    </row>
    <row r="121" spans="1:15" x14ac:dyDescent="0.2">
      <c r="A121" s="89"/>
      <c r="B121" s="118" t="s">
        <v>129</v>
      </c>
      <c r="C121" s="119"/>
      <c r="D121" s="119"/>
      <c r="E121" s="119"/>
      <c r="F121" s="119"/>
      <c r="G121" s="119"/>
      <c r="H121" s="119"/>
      <c r="I121" s="119"/>
      <c r="J121" s="119"/>
      <c r="K121" s="119"/>
      <c r="L121" s="119"/>
      <c r="M121" s="120"/>
    </row>
    <row r="122" spans="1:15" x14ac:dyDescent="0.2">
      <c r="A122" s="89"/>
      <c r="B122" s="131" t="str">
        <f>B8</f>
        <v>Biļešu pārdošana</v>
      </c>
      <c r="C122" s="132">
        <f>C110*C115</f>
        <v>2276672</v>
      </c>
      <c r="D122" s="132">
        <f t="shared" ref="D122:G122" si="76">D110*D115</f>
        <v>2389712</v>
      </c>
      <c r="E122" s="132">
        <f t="shared" si="76"/>
        <v>1153780</v>
      </c>
      <c r="F122" s="132">
        <f t="shared" si="76"/>
        <v>638502</v>
      </c>
      <c r="G122" s="132">
        <f t="shared" si="76"/>
        <v>2757500</v>
      </c>
      <c r="H122" s="133">
        <f>SUM(H110)*H115</f>
        <v>2976700.3932138202</v>
      </c>
      <c r="I122" s="133">
        <f t="shared" ref="I122:M122" si="77">SUM(I110)*I115</f>
        <v>3685276.4188742633</v>
      </c>
      <c r="J122" s="133">
        <f t="shared" si="77"/>
        <v>3915606.1950539048</v>
      </c>
      <c r="K122" s="133">
        <f t="shared" si="77"/>
        <v>4104169.5051529715</v>
      </c>
      <c r="L122" s="133">
        <f t="shared" si="77"/>
        <v>4301552.9101478774</v>
      </c>
      <c r="M122" s="134">
        <f t="shared" si="77"/>
        <v>4525432.9612242999</v>
      </c>
      <c r="O122" s="107" t="s">
        <v>130</v>
      </c>
    </row>
    <row r="123" spans="1:15" s="108" customFormat="1" x14ac:dyDescent="0.2">
      <c r="A123" s="220"/>
      <c r="B123" s="131" t="s">
        <v>203</v>
      </c>
      <c r="C123" s="221"/>
      <c r="D123" s="221"/>
      <c r="E123" s="221"/>
      <c r="F123" s="221"/>
      <c r="G123" s="221"/>
      <c r="H123" s="224">
        <f>SUM(H111)*H115</f>
        <v>0</v>
      </c>
      <c r="I123" s="224">
        <f>SUM(I111)*I115</f>
        <v>-129394.1498182519</v>
      </c>
      <c r="J123" s="224">
        <f>SUM(J111)*J115</f>
        <v>714882.20398795919</v>
      </c>
      <c r="K123" s="224">
        <f t="shared" ref="K123:M123" si="78">SUM(K111)*K115</f>
        <v>743477.49214747758</v>
      </c>
      <c r="L123" s="224">
        <f t="shared" si="78"/>
        <v>773216.59183337667</v>
      </c>
      <c r="M123" s="231">
        <f t="shared" si="78"/>
        <v>804145.25550671178</v>
      </c>
      <c r="O123" s="107"/>
    </row>
    <row r="124" spans="1:15" x14ac:dyDescent="0.2">
      <c r="A124" s="89"/>
      <c r="B124" s="131" t="str">
        <f t="shared" ref="B124:G125" si="79">B21</f>
        <v>KM dotācijas</v>
      </c>
      <c r="C124" s="132">
        <f t="shared" si="79"/>
        <v>1978581</v>
      </c>
      <c r="D124" s="132">
        <f t="shared" si="79"/>
        <v>1944854</v>
      </c>
      <c r="E124" s="132">
        <f t="shared" si="79"/>
        <v>3506651</v>
      </c>
      <c r="F124" s="132">
        <f t="shared" si="79"/>
        <v>2944996</v>
      </c>
      <c r="G124" s="132">
        <f t="shared" si="79"/>
        <v>3315043</v>
      </c>
      <c r="H124" s="135">
        <v>3247258</v>
      </c>
      <c r="I124" s="135">
        <f>H124*(1+I105)</f>
        <v>3318697.676</v>
      </c>
      <c r="J124" s="135">
        <f t="shared" ref="J124:L124" si="80">I124*(1+J105)</f>
        <v>3401665.1178999995</v>
      </c>
      <c r="K124" s="135">
        <f t="shared" si="80"/>
        <v>3486706.745847499</v>
      </c>
      <c r="L124" s="135">
        <f t="shared" si="80"/>
        <v>3573874.4144936861</v>
      </c>
      <c r="M124" s="136">
        <f>L124*(1+M105)</f>
        <v>3663221.2748560277</v>
      </c>
      <c r="O124" s="108" t="s">
        <v>135</v>
      </c>
    </row>
    <row r="125" spans="1:15" x14ac:dyDescent="0.2">
      <c r="A125" s="89"/>
      <c r="B125" s="131" t="str">
        <f t="shared" si="79"/>
        <v>Piešķirtā finansējuma pamatlīdzekļiem atzīšana ieņēmumos</v>
      </c>
      <c r="C125" s="132">
        <f t="shared" si="79"/>
        <v>4167</v>
      </c>
      <c r="D125" s="132">
        <f t="shared" si="79"/>
        <v>25896</v>
      </c>
      <c r="E125" s="132">
        <f t="shared" si="79"/>
        <v>107860</v>
      </c>
      <c r="F125" s="132">
        <f t="shared" si="79"/>
        <v>74593</v>
      </c>
      <c r="G125" s="132">
        <f t="shared" si="79"/>
        <v>226851</v>
      </c>
      <c r="H125" s="135">
        <f>460859</f>
        <v>460859</v>
      </c>
      <c r="I125" s="135">
        <f>MIN((723253+287341)/4,H69)</f>
        <v>252648.5</v>
      </c>
      <c r="J125" s="135">
        <f t="shared" ref="J125:M125" si="81">MIN((723253+287341)/4,I69)</f>
        <v>252648.5</v>
      </c>
      <c r="K125" s="135">
        <f t="shared" si="81"/>
        <v>252648.5</v>
      </c>
      <c r="L125" s="135">
        <f t="shared" si="81"/>
        <v>252648.5</v>
      </c>
      <c r="M125" s="136">
        <f t="shared" si="81"/>
        <v>121058</v>
      </c>
      <c r="O125" s="108"/>
    </row>
    <row r="126" spans="1:15" x14ac:dyDescent="0.2">
      <c r="A126" s="89"/>
      <c r="B126" s="131" t="str">
        <f t="shared" ref="B126:G126" si="82">B9</f>
        <v>Ieņēmumi par telpu nomu</v>
      </c>
      <c r="C126" s="132">
        <f t="shared" si="82"/>
        <v>261774</v>
      </c>
      <c r="D126" s="132">
        <f t="shared" si="82"/>
        <v>243812</v>
      </c>
      <c r="E126" s="132">
        <f t="shared" si="82"/>
        <v>106428</v>
      </c>
      <c r="F126" s="132">
        <f t="shared" si="82"/>
        <v>170019</v>
      </c>
      <c r="G126" s="132">
        <f t="shared" si="82"/>
        <v>294199</v>
      </c>
      <c r="H126" s="135">
        <f>G126*(1+H105)</f>
        <v>323618.90000000002</v>
      </c>
      <c r="I126" s="135">
        <f>H126*(1+I105)+50000</f>
        <v>380738.51580000005</v>
      </c>
      <c r="J126" s="135">
        <f>I126*(1+J105)</f>
        <v>390256.978695</v>
      </c>
      <c r="K126" s="135">
        <f t="shared" ref="K126:M126" si="83">J126*(1+K105)</f>
        <v>400013.40316237498</v>
      </c>
      <c r="L126" s="135">
        <f t="shared" si="83"/>
        <v>410013.73824143433</v>
      </c>
      <c r="M126" s="136">
        <f t="shared" si="83"/>
        <v>420264.08169747016</v>
      </c>
      <c r="O126" s="106" t="s">
        <v>136</v>
      </c>
    </row>
    <row r="127" spans="1:15" s="108" customFormat="1" x14ac:dyDescent="0.2">
      <c r="A127" s="220"/>
      <c r="B127" s="131" t="s">
        <v>204</v>
      </c>
      <c r="C127" s="221"/>
      <c r="D127" s="221"/>
      <c r="E127" s="221"/>
      <c r="F127" s="221"/>
      <c r="G127" s="221"/>
      <c r="H127" s="222">
        <v>0</v>
      </c>
      <c r="I127" s="222">
        <f>I126*0.1-I126*0.1</f>
        <v>0</v>
      </c>
      <c r="J127" s="222">
        <f>J126*0.1+J126*0.1</f>
        <v>78051.395739</v>
      </c>
      <c r="K127" s="222">
        <f t="shared" ref="K127:M127" si="84">K126*0.1+K126*0.1</f>
        <v>80002.680632475007</v>
      </c>
      <c r="L127" s="222">
        <f t="shared" si="84"/>
        <v>82002.747648286866</v>
      </c>
      <c r="M127" s="223">
        <f t="shared" si="84"/>
        <v>84052.816339494035</v>
      </c>
      <c r="O127" s="106"/>
    </row>
    <row r="128" spans="1:15" x14ac:dyDescent="0.2">
      <c r="A128" s="89"/>
      <c r="B128" s="131" t="str">
        <f t="shared" ref="B128:G128" si="85">B23</f>
        <v>Citi ieņēmumi</v>
      </c>
      <c r="C128" s="132">
        <f t="shared" si="85"/>
        <v>108232</v>
      </c>
      <c r="D128" s="132">
        <f t="shared" si="85"/>
        <v>77914</v>
      </c>
      <c r="E128" s="132">
        <f t="shared" si="85"/>
        <v>161098</v>
      </c>
      <c r="F128" s="132">
        <f t="shared" si="85"/>
        <v>246447</v>
      </c>
      <c r="G128" s="132">
        <f t="shared" si="85"/>
        <v>172034</v>
      </c>
      <c r="H128" s="135">
        <f>3479233-H122-H126</f>
        <v>178913.7067861798</v>
      </c>
      <c r="I128" s="135">
        <f>H128*(1+I105)</f>
        <v>182849.80833547577</v>
      </c>
      <c r="J128" s="135">
        <f t="shared" ref="J128:M128" si="86">I128*(1+J105)</f>
        <v>187421.05354386265</v>
      </c>
      <c r="K128" s="135">
        <f t="shared" si="86"/>
        <v>192106.57988245919</v>
      </c>
      <c r="L128" s="135">
        <f t="shared" si="86"/>
        <v>196909.24437952065</v>
      </c>
      <c r="M128" s="136">
        <f t="shared" si="86"/>
        <v>201831.97548900865</v>
      </c>
      <c r="O128" s="107" t="s">
        <v>156</v>
      </c>
    </row>
    <row r="129" spans="1:15" x14ac:dyDescent="0.2">
      <c r="A129" s="95"/>
      <c r="B129" s="137"/>
      <c r="C129" s="96"/>
      <c r="D129" s="96"/>
      <c r="E129" s="96"/>
      <c r="F129" s="96"/>
      <c r="G129" s="97"/>
      <c r="H129" s="97"/>
      <c r="I129" s="97"/>
      <c r="J129" s="97"/>
      <c r="K129" s="97"/>
      <c r="L129" s="97"/>
      <c r="M129" s="138"/>
    </row>
    <row r="130" spans="1:15" ht="16" x14ac:dyDescent="0.2">
      <c r="A130" s="89"/>
      <c r="B130" s="139" t="s">
        <v>137</v>
      </c>
      <c r="C130" s="140"/>
      <c r="D130" s="140"/>
      <c r="E130" s="140"/>
      <c r="F130" s="140"/>
      <c r="G130" s="141"/>
      <c r="H130" s="141"/>
      <c r="I130" s="141"/>
      <c r="J130" s="141"/>
      <c r="K130" s="141"/>
      <c r="L130" s="141"/>
      <c r="M130" s="142"/>
    </row>
    <row r="131" spans="1:15" ht="16" x14ac:dyDescent="0.2">
      <c r="A131" s="89"/>
      <c r="B131" s="143" t="str">
        <f t="shared" ref="B131:G131" si="87">B12</f>
        <v>Mākslinieciskā personāla izmaksas</v>
      </c>
      <c r="C131" s="94">
        <f t="shared" si="87"/>
        <v>2523365</v>
      </c>
      <c r="D131" s="94">
        <f t="shared" si="87"/>
        <v>2608640</v>
      </c>
      <c r="E131" s="94">
        <f t="shared" si="87"/>
        <v>2674282</v>
      </c>
      <c r="F131" s="94">
        <f t="shared" si="87"/>
        <v>2531103</v>
      </c>
      <c r="G131" s="94">
        <f t="shared" si="87"/>
        <v>3537784</v>
      </c>
      <c r="H131" s="135">
        <f t="shared" ref="H131:M131" si="88">H116*H117*12*(1+H107)*H118</f>
        <v>3824622.0801758715</v>
      </c>
      <c r="I131" s="135">
        <f t="shared" si="88"/>
        <v>4265154.4663741384</v>
      </c>
      <c r="J131" s="135">
        <f t="shared" si="88"/>
        <v>4478412.1896928456</v>
      </c>
      <c r="K131" s="135">
        <f t="shared" si="88"/>
        <v>4657548.6772805601</v>
      </c>
      <c r="L131" s="135">
        <f t="shared" si="88"/>
        <v>4843850.6243717819</v>
      </c>
      <c r="M131" s="136">
        <f t="shared" si="88"/>
        <v>5037604.6493466534</v>
      </c>
      <c r="O131" s="108" t="s">
        <v>138</v>
      </c>
    </row>
    <row r="132" spans="1:15" s="108" customFormat="1" ht="16" x14ac:dyDescent="0.2">
      <c r="A132" s="220"/>
      <c r="B132" s="225" t="s">
        <v>205</v>
      </c>
      <c r="C132" s="226"/>
      <c r="D132" s="226"/>
      <c r="E132" s="226"/>
      <c r="F132" s="226"/>
      <c r="G132" s="226"/>
      <c r="H132" s="222">
        <f>0</f>
        <v>0</v>
      </c>
      <c r="I132" s="222">
        <f>I131*-0.03+I131*-0.02</f>
        <v>-213257.72331870691</v>
      </c>
      <c r="J132" s="222">
        <f>J131*-0.03+J131*0.05</f>
        <v>89568.243793856906</v>
      </c>
      <c r="K132" s="222">
        <f t="shared" ref="K132:M132" si="89">K131*-0.03+K131*0.05</f>
        <v>93150.973545611225</v>
      </c>
      <c r="L132" s="222">
        <f t="shared" si="89"/>
        <v>96877.012487435655</v>
      </c>
      <c r="M132" s="223">
        <f t="shared" si="89"/>
        <v>100752.09298693307</v>
      </c>
    </row>
    <row r="133" spans="1:15" ht="16" x14ac:dyDescent="0.2">
      <c r="A133" s="89"/>
      <c r="B133" s="143" t="str">
        <f t="shared" ref="B133:G133" si="90">B13</f>
        <v>Komunālie maksājumi</v>
      </c>
      <c r="C133" s="94">
        <f t="shared" si="90"/>
        <v>223225</v>
      </c>
      <c r="D133" s="94">
        <f t="shared" si="90"/>
        <v>257178</v>
      </c>
      <c r="E133" s="94">
        <f t="shared" si="90"/>
        <v>252203</v>
      </c>
      <c r="F133" s="94">
        <f t="shared" si="90"/>
        <v>237298</v>
      </c>
      <c r="G133" s="94">
        <f t="shared" si="90"/>
        <v>430703</v>
      </c>
      <c r="H133" s="135">
        <f>G133*(1+H105)</f>
        <v>473773.30000000005</v>
      </c>
      <c r="I133" s="135">
        <f t="shared" ref="I133:M133" si="91">H133*(1+I105)</f>
        <v>484196.31260000006</v>
      </c>
      <c r="J133" s="135">
        <f t="shared" si="91"/>
        <v>496301.22041500005</v>
      </c>
      <c r="K133" s="135">
        <f t="shared" si="91"/>
        <v>508708.75092537503</v>
      </c>
      <c r="L133" s="135">
        <f t="shared" si="91"/>
        <v>521426.46969850938</v>
      </c>
      <c r="M133" s="136">
        <f t="shared" si="91"/>
        <v>534462.13144097209</v>
      </c>
      <c r="O133" s="107" t="s">
        <v>131</v>
      </c>
    </row>
    <row r="134" spans="1:15" ht="16" x14ac:dyDescent="0.2">
      <c r="A134" s="89"/>
      <c r="B134" s="225" t="s">
        <v>206</v>
      </c>
      <c r="C134" s="94"/>
      <c r="D134" s="94"/>
      <c r="E134" s="94"/>
      <c r="F134" s="94"/>
      <c r="G134" s="94"/>
      <c r="H134" s="135">
        <v>0</v>
      </c>
      <c r="I134" s="135">
        <f>I133*-20%+I133*-10%</f>
        <v>-145258.89378000004</v>
      </c>
      <c r="J134" s="135">
        <f>J133*-20%+J133*0%</f>
        <v>-99260.244083000012</v>
      </c>
      <c r="K134" s="135">
        <f t="shared" ref="K134:M134" si="92">K133*-20%+K133*0%</f>
        <v>-101741.75018507501</v>
      </c>
      <c r="L134" s="135">
        <f t="shared" si="92"/>
        <v>-104285.29393970188</v>
      </c>
      <c r="M134" s="136">
        <f t="shared" si="92"/>
        <v>-106892.42628819443</v>
      </c>
      <c r="O134" s="107"/>
    </row>
    <row r="135" spans="1:15" ht="16" x14ac:dyDescent="0.2">
      <c r="A135" s="89"/>
      <c r="B135" s="143" t="str">
        <f t="shared" ref="B135:G135" si="93">B14</f>
        <v>Izrāžu uzturēšanas izmaksas</v>
      </c>
      <c r="C135" s="94">
        <f t="shared" si="93"/>
        <v>642822</v>
      </c>
      <c r="D135" s="94">
        <f t="shared" si="93"/>
        <v>530376</v>
      </c>
      <c r="E135" s="94">
        <f t="shared" si="93"/>
        <v>690955</v>
      </c>
      <c r="F135" s="94">
        <f t="shared" si="93"/>
        <v>298158</v>
      </c>
      <c r="G135" s="94">
        <f t="shared" si="93"/>
        <v>666569</v>
      </c>
      <c r="H135" s="135">
        <f>H112*H114</f>
        <v>761512.49958137062</v>
      </c>
      <c r="I135" s="135">
        <f t="shared" ref="I135:M135" si="94">I112*I114</f>
        <v>783489.03480418876</v>
      </c>
      <c r="J135" s="135">
        <f t="shared" si="94"/>
        <v>816460.86501886486</v>
      </c>
      <c r="K135" s="135">
        <f t="shared" si="94"/>
        <v>836872.38664433639</v>
      </c>
      <c r="L135" s="135">
        <f t="shared" si="94"/>
        <v>857794.19631044473</v>
      </c>
      <c r="M135" s="136">
        <f t="shared" si="94"/>
        <v>879239.05121820583</v>
      </c>
      <c r="O135" s="107" t="s">
        <v>140</v>
      </c>
    </row>
    <row r="136" spans="1:15" ht="16" x14ac:dyDescent="0.2">
      <c r="A136" s="89"/>
      <c r="B136" s="225" t="s">
        <v>207</v>
      </c>
      <c r="C136" s="94"/>
      <c r="D136" s="94"/>
      <c r="E136" s="94"/>
      <c r="F136" s="94"/>
      <c r="G136" s="94"/>
      <c r="H136" s="135">
        <f>H113*H114</f>
        <v>0</v>
      </c>
      <c r="I136" s="135">
        <f>I135*-0.15+I113*I114*50%</f>
        <v>-205665.87163609953</v>
      </c>
      <c r="J136" s="135">
        <f>J135*-0.15+J113*J114*85%</f>
        <v>-8699.9928239715082</v>
      </c>
      <c r="K136" s="135">
        <f t="shared" ref="K136:M136" si="95">K135*-0.15+K113*K114*85%</f>
        <v>14405.180425845145</v>
      </c>
      <c r="L136" s="135">
        <f t="shared" si="95"/>
        <v>26718.179885079458</v>
      </c>
      <c r="M136" s="136">
        <f t="shared" si="95"/>
        <v>27386.134382206423</v>
      </c>
      <c r="O136" s="107"/>
    </row>
    <row r="137" spans="1:15" ht="16" x14ac:dyDescent="0.2">
      <c r="A137" s="89"/>
      <c r="B137" s="143" t="str">
        <f t="shared" ref="B137:G137" si="96">B15</f>
        <v>Autoratlīdzības izmaksas</v>
      </c>
      <c r="C137" s="94">
        <f t="shared" si="96"/>
        <v>371075</v>
      </c>
      <c r="D137" s="94">
        <f t="shared" si="96"/>
        <v>408950</v>
      </c>
      <c r="E137" s="94">
        <f t="shared" si="96"/>
        <v>222899</v>
      </c>
      <c r="F137" s="94">
        <f t="shared" si="96"/>
        <v>62466</v>
      </c>
      <c r="G137" s="94">
        <f t="shared" si="96"/>
        <v>510677</v>
      </c>
      <c r="H137" s="135">
        <f>G137*H131/G131</f>
        <v>552081.90495461947</v>
      </c>
      <c r="I137" s="135">
        <f>H137*I131/H131</f>
        <v>615672.49086562253</v>
      </c>
      <c r="J137" s="135">
        <f t="shared" ref="J137:M137" si="97">I137*J131/I131</f>
        <v>646456.11540890369</v>
      </c>
      <c r="K137" s="135">
        <f t="shared" si="97"/>
        <v>672314.3600252599</v>
      </c>
      <c r="L137" s="135">
        <f t="shared" si="97"/>
        <v>699206.93442627019</v>
      </c>
      <c r="M137" s="136">
        <f t="shared" si="97"/>
        <v>727175.21180332103</v>
      </c>
      <c r="O137" s="107" t="s">
        <v>142</v>
      </c>
    </row>
    <row r="138" spans="1:15" ht="16" x14ac:dyDescent="0.2">
      <c r="A138" s="89"/>
      <c r="B138" s="225" t="s">
        <v>208</v>
      </c>
      <c r="C138" s="94"/>
      <c r="D138" s="94"/>
      <c r="E138" s="94"/>
      <c r="F138" s="94"/>
      <c r="G138" s="94"/>
      <c r="H138" s="222">
        <f>H132/H131*H137</f>
        <v>0</v>
      </c>
      <c r="I138" s="222">
        <f>I137*-0.03+I137*-0.02</f>
        <v>-30783.624543281127</v>
      </c>
      <c r="J138" s="222">
        <f>J137*-0.03+J137*0.05</f>
        <v>12929.122308178077</v>
      </c>
      <c r="K138" s="222">
        <f t="shared" ref="K138:M138" si="98">K137*-0.03+K137*0.05</f>
        <v>13446.287200505201</v>
      </c>
      <c r="L138" s="222">
        <f t="shared" si="98"/>
        <v>13984.138688525403</v>
      </c>
      <c r="M138" s="223">
        <f t="shared" si="98"/>
        <v>14543.504236066419</v>
      </c>
      <c r="O138" s="107"/>
    </row>
    <row r="139" spans="1:15" ht="16" x14ac:dyDescent="0.2">
      <c r="A139" s="89"/>
      <c r="B139" s="143" t="str">
        <f t="shared" ref="B139:G139" si="99">B16</f>
        <v>Citas  izmaksas</v>
      </c>
      <c r="C139" s="94">
        <f t="shared" si="99"/>
        <v>171924</v>
      </c>
      <c r="D139" s="94">
        <f t="shared" si="99"/>
        <v>153860</v>
      </c>
      <c r="E139" s="94">
        <f t="shared" si="99"/>
        <v>319483</v>
      </c>
      <c r="F139" s="94">
        <f t="shared" si="99"/>
        <v>160030</v>
      </c>
      <c r="G139" s="94">
        <f t="shared" si="99"/>
        <v>319102</v>
      </c>
      <c r="H139" s="135">
        <f>AVERAGE($C139:$G139)*(1+H103)-641</f>
        <v>224238.8</v>
      </c>
      <c r="I139" s="135">
        <f>H139*(1+I105)+3000</f>
        <v>232172.05359999998</v>
      </c>
      <c r="J139" s="135">
        <f>I139*(1+J105)+20000</f>
        <v>257976.35493999996</v>
      </c>
      <c r="K139" s="135">
        <f>J139*(1+K105)+30000</f>
        <v>294425.76381349994</v>
      </c>
      <c r="L139" s="135">
        <f>K139*(1+L105)+20000</f>
        <v>321786.40790883743</v>
      </c>
      <c r="M139" s="136">
        <f>L139*(1+M105)</f>
        <v>329831.06810655835</v>
      </c>
      <c r="O139" s="107" t="s">
        <v>143</v>
      </c>
    </row>
    <row r="140" spans="1:15" ht="16" x14ac:dyDescent="0.2">
      <c r="A140" s="89"/>
      <c r="B140" s="225" t="s">
        <v>209</v>
      </c>
      <c r="C140" s="94"/>
      <c r="D140" s="94"/>
      <c r="E140" s="94"/>
      <c r="F140" s="94"/>
      <c r="G140" s="94"/>
      <c r="H140" s="135">
        <v>0</v>
      </c>
      <c r="I140" s="135">
        <f>I139*-0.15+I139*-0.1</f>
        <v>-58043.013399999996</v>
      </c>
      <c r="J140" s="135">
        <f>J139*-0.15+J139*0.05</f>
        <v>-25797.635493999995</v>
      </c>
      <c r="K140" s="135">
        <f>K139*-0.15+K139*0.05-5000</f>
        <v>-34442.576381349994</v>
      </c>
      <c r="L140" s="135">
        <f>L139*-0.15+L139*0.05</f>
        <v>-32178.640790883743</v>
      </c>
      <c r="M140" s="136">
        <f>M139*-0.15+M139*0.1</f>
        <v>-16491.553405327912</v>
      </c>
      <c r="O140" s="107"/>
    </row>
    <row r="141" spans="1:15" ht="16" x14ac:dyDescent="0.2">
      <c r="A141" s="89"/>
      <c r="B141" s="143" t="str">
        <f t="shared" ref="B141:G141" si="100">B26</f>
        <v>Administrācijas un reklāmas personāla izmaksas</v>
      </c>
      <c r="C141" s="94">
        <f t="shared" si="100"/>
        <v>321696</v>
      </c>
      <c r="D141" s="94">
        <f t="shared" si="100"/>
        <v>299356</v>
      </c>
      <c r="E141" s="94">
        <f t="shared" si="100"/>
        <v>488647</v>
      </c>
      <c r="F141" s="94">
        <f t="shared" si="100"/>
        <v>451475</v>
      </c>
      <c r="G141" s="94">
        <f t="shared" si="100"/>
        <v>512447</v>
      </c>
      <c r="H141" s="135">
        <f>H116*H117*12*(1+H107)*H119</f>
        <v>569878.55482412933</v>
      </c>
      <c r="I141" s="135">
        <f>I116*I117*12*(1+I107)*I119</f>
        <v>635519.01663633261</v>
      </c>
      <c r="J141" s="135">
        <f t="shared" ref="J141:M141" si="101">J116*J117*12*(1+J107)*J119</f>
        <v>667294.96746814926</v>
      </c>
      <c r="K141" s="135">
        <f t="shared" si="101"/>
        <v>693986.76616687537</v>
      </c>
      <c r="L141" s="135">
        <f t="shared" si="101"/>
        <v>721746.23681355023</v>
      </c>
      <c r="M141" s="136">
        <f t="shared" si="101"/>
        <v>750616.08628609229</v>
      </c>
      <c r="O141" s="108" t="s">
        <v>138</v>
      </c>
    </row>
    <row r="142" spans="1:15" ht="16" x14ac:dyDescent="0.2">
      <c r="A142" s="89"/>
      <c r="B142" s="225" t="s">
        <v>210</v>
      </c>
      <c r="C142" s="94"/>
      <c r="D142" s="94"/>
      <c r="E142" s="94"/>
      <c r="F142" s="94"/>
      <c r="G142" s="94"/>
      <c r="H142" s="135">
        <v>0</v>
      </c>
      <c r="I142" s="135">
        <v>0</v>
      </c>
      <c r="J142" s="135">
        <v>0</v>
      </c>
      <c r="K142" s="135">
        <v>0</v>
      </c>
      <c r="L142" s="135">
        <v>0</v>
      </c>
      <c r="M142" s="136">
        <v>0</v>
      </c>
      <c r="O142" s="108"/>
    </row>
    <row r="143" spans="1:15" ht="16" x14ac:dyDescent="0.2">
      <c r="A143" s="89"/>
      <c r="B143" s="143" t="str">
        <f t="shared" ref="B143:G143" si="102">B27</f>
        <v>Citas netiešās izmaksas</v>
      </c>
      <c r="C143" s="94">
        <f t="shared" si="102"/>
        <v>178542</v>
      </c>
      <c r="D143" s="94">
        <f t="shared" si="102"/>
        <v>188142</v>
      </c>
      <c r="E143" s="94">
        <f t="shared" si="102"/>
        <v>148232</v>
      </c>
      <c r="F143" s="94">
        <f t="shared" si="102"/>
        <v>142527</v>
      </c>
      <c r="G143" s="94">
        <f t="shared" si="102"/>
        <v>281643</v>
      </c>
      <c r="H143" s="135">
        <f>AVERAGE($C143:$G143)*(1+H105)</f>
        <v>206598.92000000004</v>
      </c>
      <c r="I143" s="135">
        <f t="shared" ref="I143:M143" si="103">H143*(1+I105)</f>
        <v>211144.09624000004</v>
      </c>
      <c r="J143" s="135">
        <f t="shared" si="103"/>
        <v>216422.69864600003</v>
      </c>
      <c r="K143" s="135">
        <f t="shared" si="103"/>
        <v>221833.26611215001</v>
      </c>
      <c r="L143" s="135">
        <f t="shared" si="103"/>
        <v>227379.09776495374</v>
      </c>
      <c r="M143" s="136">
        <f t="shared" si="103"/>
        <v>233063.57520907756</v>
      </c>
      <c r="O143" s="107" t="s">
        <v>143</v>
      </c>
    </row>
    <row r="144" spans="1:15" ht="16" x14ac:dyDescent="0.2">
      <c r="A144" s="89"/>
      <c r="B144" s="225" t="s">
        <v>211</v>
      </c>
      <c r="C144" s="94"/>
      <c r="D144" s="94"/>
      <c r="E144" s="94"/>
      <c r="F144" s="94"/>
      <c r="G144" s="94"/>
      <c r="H144" s="135">
        <v>0</v>
      </c>
      <c r="I144" s="135">
        <f>I143*-0.1-11000</f>
        <v>-32114.409624000007</v>
      </c>
      <c r="J144" s="135">
        <f t="shared" ref="J144:M144" si="104">J143*-0.1</f>
        <v>-21642.269864600006</v>
      </c>
      <c r="K144" s="135">
        <f t="shared" si="104"/>
        <v>-22183.326611215001</v>
      </c>
      <c r="L144" s="135">
        <f t="shared" si="104"/>
        <v>-22737.909776495377</v>
      </c>
      <c r="M144" s="136">
        <f t="shared" si="104"/>
        <v>-23306.357520907757</v>
      </c>
      <c r="O144" s="107"/>
    </row>
    <row r="145" spans="1:15" ht="16" x14ac:dyDescent="0.2">
      <c r="A145" s="89"/>
      <c r="B145" s="143" t="str">
        <f t="shared" ref="B145:G145" si="105">B28</f>
        <v>Reklāmas izmaksas</v>
      </c>
      <c r="C145" s="94">
        <f t="shared" si="105"/>
        <v>82056</v>
      </c>
      <c r="D145" s="94">
        <f t="shared" si="105"/>
        <v>100263</v>
      </c>
      <c r="E145" s="94">
        <f t="shared" si="105"/>
        <v>134351</v>
      </c>
      <c r="F145" s="94">
        <f t="shared" si="105"/>
        <v>87509</v>
      </c>
      <c r="G145" s="94">
        <f t="shared" si="105"/>
        <v>178285</v>
      </c>
      <c r="H145" s="135">
        <f>G145*(1+H105)</f>
        <v>196113.50000000003</v>
      </c>
      <c r="I145" s="135">
        <f t="shared" ref="I145:M145" si="106">H145*(1+I105)</f>
        <v>200427.99700000003</v>
      </c>
      <c r="J145" s="135">
        <f t="shared" si="106"/>
        <v>205438.69692500003</v>
      </c>
      <c r="K145" s="135">
        <f t="shared" si="106"/>
        <v>210574.66434812502</v>
      </c>
      <c r="L145" s="135">
        <f t="shared" si="106"/>
        <v>215839.03095682812</v>
      </c>
      <c r="M145" s="136">
        <f t="shared" si="106"/>
        <v>221235.00673074881</v>
      </c>
      <c r="O145" s="107" t="s">
        <v>131</v>
      </c>
    </row>
    <row r="146" spans="1:15" ht="16" x14ac:dyDescent="0.2">
      <c r="A146" s="89"/>
      <c r="B146" s="225" t="s">
        <v>212</v>
      </c>
      <c r="C146" s="94"/>
      <c r="D146" s="94"/>
      <c r="E146" s="94"/>
      <c r="F146" s="94"/>
      <c r="G146" s="94"/>
      <c r="H146" s="135">
        <v>0</v>
      </c>
      <c r="I146" s="135">
        <f>I145*-0.05+I145*-0.1</f>
        <v>-30064.199550000005</v>
      </c>
      <c r="J146" s="135">
        <f>J145*-0.05+J145*0.1</f>
        <v>10271.934846250002</v>
      </c>
      <c r="K146" s="135">
        <f t="shared" ref="K146:M146" si="107">K145*-0.05+K145*0.1</f>
        <v>10528.733217406252</v>
      </c>
      <c r="L146" s="135">
        <f t="shared" si="107"/>
        <v>10791.951547841407</v>
      </c>
      <c r="M146" s="136">
        <f t="shared" si="107"/>
        <v>11061.750336537441</v>
      </c>
      <c r="O146" s="107"/>
    </row>
    <row r="147" spans="1:15" x14ac:dyDescent="0.2">
      <c r="A147" s="89"/>
      <c r="B147" s="121"/>
      <c r="C147" s="90"/>
      <c r="D147" s="90"/>
      <c r="E147" s="90"/>
      <c r="F147" s="90"/>
      <c r="G147" s="98"/>
      <c r="H147" s="99"/>
      <c r="I147" s="99"/>
      <c r="J147" s="99"/>
      <c r="K147" s="99"/>
      <c r="L147" s="98"/>
      <c r="M147" s="144"/>
    </row>
    <row r="148" spans="1:15" ht="16" x14ac:dyDescent="0.2">
      <c r="A148" s="89"/>
      <c r="B148" s="139" t="s">
        <v>178</v>
      </c>
      <c r="C148" s="140"/>
      <c r="D148" s="140"/>
      <c r="E148" s="140"/>
      <c r="F148" s="140"/>
      <c r="G148" s="99"/>
      <c r="H148" s="99"/>
      <c r="I148" s="99"/>
      <c r="J148" s="99"/>
      <c r="K148" s="99"/>
      <c r="L148" s="99"/>
      <c r="M148" s="145"/>
    </row>
    <row r="149" spans="1:15" x14ac:dyDescent="0.2">
      <c r="A149" s="89"/>
      <c r="B149" s="121" t="s">
        <v>179</v>
      </c>
      <c r="C149" s="146"/>
      <c r="D149" s="146">
        <f>D58-C58</f>
        <v>0</v>
      </c>
      <c r="E149" s="146">
        <f t="shared" ref="E149:G149" si="108">E58-D58</f>
        <v>0</v>
      </c>
      <c r="F149" s="146">
        <f t="shared" si="108"/>
        <v>97090</v>
      </c>
      <c r="G149" s="146">
        <f t="shared" si="108"/>
        <v>0</v>
      </c>
      <c r="H149" s="135">
        <v>0</v>
      </c>
      <c r="I149" s="135">
        <f>I156+I159+I160</f>
        <v>41647000</v>
      </c>
      <c r="J149" s="135">
        <v>0</v>
      </c>
      <c r="K149" s="135">
        <v>0</v>
      </c>
      <c r="L149" s="135">
        <v>0</v>
      </c>
      <c r="M149" s="136">
        <v>0</v>
      </c>
    </row>
    <row r="150" spans="1:15" x14ac:dyDescent="0.2">
      <c r="A150" s="89"/>
      <c r="B150" s="121"/>
      <c r="C150" s="90"/>
      <c r="D150" s="90"/>
      <c r="E150" s="90"/>
      <c r="F150" s="90"/>
      <c r="G150" s="98"/>
      <c r="H150" s="99"/>
      <c r="I150" s="99"/>
      <c r="J150" s="99"/>
      <c r="K150" s="99"/>
      <c r="L150" s="98"/>
      <c r="M150" s="144"/>
    </row>
    <row r="151" spans="1:15" ht="16" x14ac:dyDescent="0.2">
      <c r="A151" s="89"/>
      <c r="B151" s="139" t="s">
        <v>55</v>
      </c>
      <c r="C151" s="140"/>
      <c r="D151" s="140"/>
      <c r="E151" s="140"/>
      <c r="F151" s="140"/>
      <c r="G151" s="99"/>
      <c r="H151" s="99"/>
      <c r="I151" s="99"/>
      <c r="J151" s="99"/>
      <c r="K151" s="99"/>
      <c r="L151" s="99"/>
      <c r="M151" s="145"/>
    </row>
    <row r="152" spans="1:15" x14ac:dyDescent="0.2">
      <c r="A152" s="89"/>
      <c r="B152" s="121" t="s">
        <v>180</v>
      </c>
      <c r="C152" s="146"/>
      <c r="D152" s="146">
        <f>-D86</f>
        <v>55277</v>
      </c>
      <c r="E152" s="146">
        <f>-E86</f>
        <v>392881</v>
      </c>
      <c r="F152" s="146">
        <f>-F86</f>
        <v>732841</v>
      </c>
      <c r="G152" s="146">
        <f>-G86</f>
        <v>762536</v>
      </c>
      <c r="H152" s="135">
        <f>(60000+55000+537142.96)/1.21</f>
        <v>538961.12396694208</v>
      </c>
      <c r="I152" s="135">
        <f>(15000+12000+100000)/1.21</f>
        <v>104958.67768595042</v>
      </c>
      <c r="J152" s="135">
        <f>(20000+100000)/1.21</f>
        <v>99173.553719008269</v>
      </c>
      <c r="K152" s="135">
        <f>(20000+100000)/1.21</f>
        <v>99173.553719008269</v>
      </c>
      <c r="L152" s="135">
        <f>(20000+100000)/1.21</f>
        <v>99173.553719008269</v>
      </c>
      <c r="M152" s="136">
        <f>(20000+100000)/1.21</f>
        <v>99173.553719008269</v>
      </c>
    </row>
    <row r="153" spans="1:15" x14ac:dyDescent="0.2">
      <c r="A153" s="89"/>
      <c r="B153" s="121" t="s">
        <v>144</v>
      </c>
      <c r="C153" s="147"/>
      <c r="D153" s="147">
        <f>D32</f>
        <v>129749</v>
      </c>
      <c r="E153" s="147">
        <f>E32</f>
        <v>97690</v>
      </c>
      <c r="F153" s="147">
        <f>F32</f>
        <v>100038</v>
      </c>
      <c r="G153" s="147">
        <f>G32</f>
        <v>313470</v>
      </c>
      <c r="H153" s="135">
        <f>$G$49/$C$155</f>
        <v>320599.8</v>
      </c>
      <c r="I153" s="135">
        <f>($G$49-SUM($H153:H153))/$C$155</f>
        <v>256479.84</v>
      </c>
      <c r="J153" s="135">
        <f>($G$49-SUM($H153:I153))/$C$155*J125/I125</f>
        <v>205183.872</v>
      </c>
      <c r="K153" s="135">
        <f>($G$49-SUM($H153:J153))/$C$155*K125/J125</f>
        <v>164147.09760000001</v>
      </c>
      <c r="L153" s="135">
        <f>($G$49-SUM($H153:K153))/$C$155*L125/K125</f>
        <v>131317.67808000001</v>
      </c>
      <c r="M153" s="136">
        <f>($G$49-SUM($H153:L153))/$C$155*M125/L125</f>
        <v>50337.304113845559</v>
      </c>
    </row>
    <row r="154" spans="1:15" x14ac:dyDescent="0.2">
      <c r="A154" s="89"/>
      <c r="B154" s="121" t="s">
        <v>145</v>
      </c>
      <c r="C154" s="90"/>
      <c r="D154" s="90"/>
      <c r="E154" s="90"/>
      <c r="F154" s="90"/>
      <c r="G154" s="94"/>
      <c r="H154" s="135">
        <f>H152/C155/12*5</f>
        <v>44913.42699724518</v>
      </c>
      <c r="I154" s="135">
        <f>SUM($H152:H152)/$C$155</f>
        <v>107792.22479338842</v>
      </c>
      <c r="J154" s="135">
        <f>SUM($H152:I152)/$C$155</f>
        <v>128783.9603305785</v>
      </c>
      <c r="K154" s="135">
        <f>SUM($H152:J152)/$C$155</f>
        <v>148618.67107438014</v>
      </c>
      <c r="L154" s="135">
        <f>SUM($H152:K152)/$C$155</f>
        <v>168453.38181818178</v>
      </c>
      <c r="M154" s="136">
        <f>SUM($H152:L152)/$C$155-H154</f>
        <v>143374.66556473827</v>
      </c>
    </row>
    <row r="155" spans="1:15" x14ac:dyDescent="0.2">
      <c r="A155" s="89"/>
      <c r="B155" s="121" t="s">
        <v>181</v>
      </c>
      <c r="C155" s="112">
        <v>5</v>
      </c>
      <c r="D155" s="99"/>
      <c r="E155" s="99"/>
      <c r="F155" s="99"/>
      <c r="G155" s="99"/>
      <c r="H155" s="99"/>
      <c r="I155" s="99"/>
      <c r="J155" s="99"/>
      <c r="K155" s="99"/>
      <c r="L155" s="99"/>
      <c r="M155" s="145"/>
    </row>
    <row r="156" spans="1:15" x14ac:dyDescent="0.2">
      <c r="A156" s="89"/>
      <c r="B156" s="206" t="s">
        <v>182</v>
      </c>
      <c r="C156" s="207"/>
      <c r="D156" s="207"/>
      <c r="E156" s="207"/>
      <c r="F156" s="207"/>
      <c r="G156" s="207"/>
      <c r="H156" s="208">
        <v>0</v>
      </c>
      <c r="I156" s="208">
        <f>3700000*1.21</f>
        <v>4477000</v>
      </c>
      <c r="J156" s="208">
        <v>0</v>
      </c>
      <c r="K156" s="208">
        <v>0</v>
      </c>
      <c r="L156" s="208">
        <v>0</v>
      </c>
      <c r="M156" s="209">
        <v>0</v>
      </c>
    </row>
    <row r="157" spans="1:15" x14ac:dyDescent="0.2">
      <c r="A157" s="89"/>
      <c r="B157" s="121" t="s">
        <v>184</v>
      </c>
      <c r="C157" s="146"/>
      <c r="D157" s="146"/>
      <c r="E157" s="146"/>
      <c r="F157" s="146"/>
      <c r="G157" s="146"/>
      <c r="H157" s="135">
        <f>SUM(G156:$H156)/$C$158</f>
        <v>0</v>
      </c>
      <c r="I157" s="135">
        <f>SUM($H156:H156)/$C$158</f>
        <v>0</v>
      </c>
      <c r="J157" s="135">
        <f>SUM($H156:I156)/$C$158</f>
        <v>223850</v>
      </c>
      <c r="K157" s="135">
        <f>SUM($H156:J156)/$C$158</f>
        <v>223850</v>
      </c>
      <c r="L157" s="135">
        <f>SUM($H156:K156)/$C$158</f>
        <v>223850</v>
      </c>
      <c r="M157" s="136">
        <f>SUM($H156:L156)/$C$158</f>
        <v>223850</v>
      </c>
    </row>
    <row r="158" spans="1:15" x14ac:dyDescent="0.2">
      <c r="A158" s="89"/>
      <c r="B158" s="210" t="s">
        <v>183</v>
      </c>
      <c r="C158" s="211">
        <v>20</v>
      </c>
      <c r="D158" s="212"/>
      <c r="E158" s="212"/>
      <c r="F158" s="212"/>
      <c r="G158" s="212"/>
      <c r="H158" s="212"/>
      <c r="I158" s="212"/>
      <c r="J158" s="212"/>
      <c r="K158" s="212"/>
      <c r="L158" s="212"/>
      <c r="M158" s="213"/>
    </row>
    <row r="159" spans="1:15" x14ac:dyDescent="0.2">
      <c r="A159" s="89"/>
      <c r="B159" s="206" t="s">
        <v>198</v>
      </c>
      <c r="C159" s="207"/>
      <c r="D159" s="207"/>
      <c r="E159" s="207"/>
      <c r="F159" s="207"/>
      <c r="G159" s="207"/>
      <c r="H159" s="208">
        <v>0</v>
      </c>
      <c r="I159" s="208">
        <v>28878722</v>
      </c>
      <c r="J159" s="208">
        <v>0</v>
      </c>
      <c r="K159" s="208">
        <v>0</v>
      </c>
      <c r="L159" s="208">
        <v>0</v>
      </c>
      <c r="M159" s="209">
        <v>0</v>
      </c>
    </row>
    <row r="160" spans="1:15" x14ac:dyDescent="0.2">
      <c r="A160" s="89"/>
      <c r="B160" s="121" t="s">
        <v>217</v>
      </c>
      <c r="C160" s="146"/>
      <c r="D160" s="146"/>
      <c r="E160" s="146"/>
      <c r="F160" s="146"/>
      <c r="G160" s="146"/>
      <c r="H160" s="135">
        <v>0</v>
      </c>
      <c r="I160" s="135">
        <f>37170000-I159</f>
        <v>8291278</v>
      </c>
      <c r="J160" s="135">
        <v>0</v>
      </c>
      <c r="K160" s="135">
        <v>0</v>
      </c>
      <c r="L160" s="135">
        <v>0</v>
      </c>
      <c r="M160" s="136">
        <v>0</v>
      </c>
    </row>
    <row r="161" spans="1:13" x14ac:dyDescent="0.2">
      <c r="A161" s="89"/>
      <c r="B161" s="121" t="s">
        <v>199</v>
      </c>
      <c r="C161" s="146"/>
      <c r="D161" s="146"/>
      <c r="E161" s="146"/>
      <c r="F161" s="146"/>
      <c r="G161" s="146"/>
      <c r="H161" s="135">
        <f>SUM($G159:H159)/$C$162</f>
        <v>0</v>
      </c>
      <c r="I161" s="135">
        <f>SUM($G159:I159)/$C$162</f>
        <v>577574.43999999994</v>
      </c>
      <c r="J161" s="135">
        <f>SUM($G159:J159)/$C$162</f>
        <v>577574.43999999994</v>
      </c>
      <c r="K161" s="135">
        <f>SUM($G159:K159)/$C$162</f>
        <v>577574.43999999994</v>
      </c>
      <c r="L161" s="135">
        <f>SUM($G159:L159)/$C$162</f>
        <v>577574.43999999994</v>
      </c>
      <c r="M161" s="136">
        <f>SUM($G159:M159)/$C$162</f>
        <v>577574.43999999994</v>
      </c>
    </row>
    <row r="162" spans="1:13" x14ac:dyDescent="0.2">
      <c r="A162" s="89"/>
      <c r="B162" s="210" t="s">
        <v>200</v>
      </c>
      <c r="C162" s="211">
        <v>50</v>
      </c>
      <c r="D162" s="212"/>
      <c r="E162" s="212"/>
      <c r="F162" s="212"/>
      <c r="G162" s="212"/>
      <c r="H162" s="212"/>
      <c r="I162" s="212"/>
      <c r="J162" s="212"/>
      <c r="K162" s="212"/>
      <c r="L162" s="212"/>
      <c r="M162" s="213"/>
    </row>
    <row r="163" spans="1:13" x14ac:dyDescent="0.2">
      <c r="A163" s="89"/>
      <c r="B163" s="206" t="s">
        <v>213</v>
      </c>
      <c r="C163" s="207"/>
      <c r="D163" s="207"/>
      <c r="E163" s="207"/>
      <c r="F163" s="207"/>
      <c r="G163" s="207"/>
      <c r="H163" s="208">
        <v>0</v>
      </c>
      <c r="I163" s="208">
        <f>$I$159*0.02</f>
        <v>577574.44000000006</v>
      </c>
      <c r="J163" s="208">
        <f t="shared" ref="J163:M163" si="109">$I$159*0.02</f>
        <v>577574.44000000006</v>
      </c>
      <c r="K163" s="208">
        <f t="shared" si="109"/>
        <v>577574.44000000006</v>
      </c>
      <c r="L163" s="208">
        <f t="shared" si="109"/>
        <v>577574.44000000006</v>
      </c>
      <c r="M163" s="209">
        <f t="shared" si="109"/>
        <v>577574.44000000006</v>
      </c>
    </row>
    <row r="164" spans="1:13" x14ac:dyDescent="0.2">
      <c r="A164" s="89"/>
      <c r="B164" s="121" t="s">
        <v>214</v>
      </c>
      <c r="C164" s="146"/>
      <c r="D164" s="146"/>
      <c r="E164" s="146"/>
      <c r="F164" s="146"/>
      <c r="G164" s="146"/>
      <c r="H164" s="135">
        <f>SUM($G163:H163)/$C$162</f>
        <v>0</v>
      </c>
      <c r="I164" s="135">
        <f>SUM($G163:I163)/$C$162</f>
        <v>11551.488800000001</v>
      </c>
      <c r="J164" s="135">
        <f>SUM($G163:J163)/$C$162</f>
        <v>23102.977600000002</v>
      </c>
      <c r="K164" s="135">
        <f>SUM($G163:K163)/$C$162</f>
        <v>34654.466400000005</v>
      </c>
      <c r="L164" s="135">
        <f>SUM($G163:L163)/$C$162</f>
        <v>46205.955200000004</v>
      </c>
      <c r="M164" s="136">
        <f>SUM($G163:M163)/$C$162</f>
        <v>57757.444000000003</v>
      </c>
    </row>
    <row r="165" spans="1:13" x14ac:dyDescent="0.2">
      <c r="A165" s="89"/>
      <c r="B165" s="210" t="s">
        <v>215</v>
      </c>
      <c r="C165" s="211">
        <v>50</v>
      </c>
      <c r="D165" s="212"/>
      <c r="E165" s="212"/>
      <c r="F165" s="212"/>
      <c r="G165" s="212"/>
      <c r="H165" s="212"/>
      <c r="I165" s="212"/>
      <c r="J165" s="212"/>
      <c r="K165" s="212"/>
      <c r="L165" s="212"/>
      <c r="M165" s="213"/>
    </row>
    <row r="166" spans="1:13" x14ac:dyDescent="0.2">
      <c r="A166" s="89"/>
      <c r="B166" s="121"/>
      <c r="C166" s="90"/>
      <c r="D166" s="90"/>
      <c r="E166" s="90"/>
      <c r="F166" s="90"/>
      <c r="G166" s="99"/>
      <c r="H166" s="99"/>
      <c r="I166" s="99"/>
      <c r="J166" s="99"/>
      <c r="K166" s="99"/>
      <c r="L166" s="99"/>
      <c r="M166" s="145"/>
    </row>
    <row r="167" spans="1:13" ht="16" x14ac:dyDescent="0.2">
      <c r="A167" s="89"/>
      <c r="B167" s="139" t="s">
        <v>114</v>
      </c>
      <c r="C167" s="140"/>
      <c r="D167" s="140"/>
      <c r="E167" s="140"/>
      <c r="F167" s="140"/>
      <c r="G167" s="99"/>
      <c r="H167" s="99"/>
      <c r="I167" s="99"/>
      <c r="J167" s="99"/>
      <c r="K167" s="99"/>
      <c r="L167" s="99"/>
      <c r="M167" s="145"/>
    </row>
    <row r="168" spans="1:13" ht="16" x14ac:dyDescent="0.2">
      <c r="A168" s="89"/>
      <c r="B168" s="148" t="s">
        <v>146</v>
      </c>
      <c r="C168" s="149"/>
      <c r="D168" s="149"/>
      <c r="E168" s="149"/>
      <c r="F168" s="149"/>
      <c r="G168" s="99"/>
      <c r="H168" s="113">
        <v>467142.96</v>
      </c>
      <c r="I168" s="113">
        <v>0</v>
      </c>
      <c r="J168" s="113">
        <v>0</v>
      </c>
      <c r="K168" s="113">
        <v>0</v>
      </c>
      <c r="L168" s="113">
        <v>0</v>
      </c>
      <c r="M168" s="150">
        <v>0</v>
      </c>
    </row>
    <row r="169" spans="1:13" x14ac:dyDescent="0.2">
      <c r="A169" s="89"/>
      <c r="B169" s="121" t="s">
        <v>148</v>
      </c>
      <c r="C169" s="90"/>
      <c r="D169" s="90"/>
      <c r="E169" s="90"/>
      <c r="F169" s="90"/>
      <c r="G169" s="99"/>
      <c r="H169" s="113">
        <v>0</v>
      </c>
      <c r="I169" s="113">
        <v>50000</v>
      </c>
      <c r="J169" s="113">
        <v>50000</v>
      </c>
      <c r="K169" s="113">
        <v>50000</v>
      </c>
      <c r="L169" s="113">
        <v>50000</v>
      </c>
      <c r="M169" s="150">
        <v>50000</v>
      </c>
    </row>
    <row r="170" spans="1:13" x14ac:dyDescent="0.2">
      <c r="A170" s="89"/>
      <c r="B170" s="121" t="s">
        <v>147</v>
      </c>
      <c r="C170" s="114">
        <v>1.5E-3</v>
      </c>
      <c r="D170" s="90"/>
      <c r="E170" s="90"/>
      <c r="F170" s="90"/>
      <c r="G170" s="99"/>
      <c r="H170" s="113">
        <f>H168*$C$170</f>
        <v>700.71444000000008</v>
      </c>
      <c r="I170" s="113">
        <f t="shared" ref="I170:M170" si="110">I168*$C$170</f>
        <v>0</v>
      </c>
      <c r="J170" s="113">
        <f t="shared" si="110"/>
        <v>0</v>
      </c>
      <c r="K170" s="113">
        <f t="shared" si="110"/>
        <v>0</v>
      </c>
      <c r="L170" s="113">
        <f t="shared" si="110"/>
        <v>0</v>
      </c>
      <c r="M170" s="150">
        <f t="shared" si="110"/>
        <v>0</v>
      </c>
    </row>
    <row r="171" spans="1:13" x14ac:dyDescent="0.2">
      <c r="A171" s="89"/>
      <c r="B171" s="121" t="s">
        <v>56</v>
      </c>
      <c r="C171" s="114">
        <v>1.55E-2</v>
      </c>
      <c r="D171" s="114">
        <v>3.7499999999999999E-2</v>
      </c>
      <c r="E171" s="90"/>
      <c r="F171" s="90"/>
      <c r="G171" s="99"/>
      <c r="H171" s="113">
        <f>SUM($H168:H168)/12*5*SUM(C171:D171)</f>
        <v>10316.073700000001</v>
      </c>
      <c r="I171" s="113">
        <f>(SUM($H168:H168)+I168/2-SUM($H169:H169)-I169/2)*SUM($C171:$D171)</f>
        <v>23433.576880000001</v>
      </c>
      <c r="J171" s="113">
        <f>(SUM($H168:I168)+J168/2-SUM($H169:I169)-J169/2)*SUM($C171:$D171)</f>
        <v>20783.576880000001</v>
      </c>
      <c r="K171" s="113">
        <f>(SUM($H168:J168)+K168/2-SUM($H169:J169)-K169/2)*SUM($C171:$D171)</f>
        <v>18133.576880000001</v>
      </c>
      <c r="L171" s="113">
        <f>(SUM($H168:K168)+L168/2-SUM($H169:K169)-L169/2)*SUM($C171:$D171)</f>
        <v>15483.576880000001</v>
      </c>
      <c r="M171" s="150">
        <f>(SUM($H168:L168)+M168/2-SUM($H169:L169)-M169/2)*SUM($C171:$D171)</f>
        <v>12833.576880000001</v>
      </c>
    </row>
    <row r="172" spans="1:13" x14ac:dyDescent="0.2">
      <c r="A172" s="89"/>
      <c r="B172" s="121"/>
      <c r="C172" s="90"/>
      <c r="D172" s="90"/>
      <c r="E172" s="90"/>
      <c r="F172" s="90"/>
      <c r="G172" s="98"/>
      <c r="H172" s="98"/>
      <c r="I172" s="98"/>
      <c r="J172" s="98"/>
      <c r="K172" s="98"/>
      <c r="L172" s="98"/>
      <c r="M172" s="144"/>
    </row>
    <row r="173" spans="1:13" ht="16" x14ac:dyDescent="0.2">
      <c r="A173" s="89"/>
      <c r="B173" s="139" t="s">
        <v>57</v>
      </c>
      <c r="C173" s="140"/>
      <c r="D173" s="140"/>
      <c r="E173" s="140"/>
      <c r="F173" s="140"/>
      <c r="G173" s="98"/>
      <c r="H173" s="98"/>
      <c r="I173" s="98"/>
      <c r="J173" s="98"/>
      <c r="K173" s="98"/>
      <c r="L173" s="98"/>
      <c r="M173" s="144"/>
    </row>
    <row r="174" spans="1:13" x14ac:dyDescent="0.2">
      <c r="A174" s="89"/>
      <c r="B174" s="121" t="s">
        <v>149</v>
      </c>
      <c r="C174" s="90"/>
      <c r="D174" s="90"/>
      <c r="E174" s="90"/>
      <c r="F174" s="90"/>
      <c r="G174" s="98"/>
      <c r="H174" s="115">
        <v>0.25</v>
      </c>
      <c r="I174" s="115">
        <v>0.25</v>
      </c>
      <c r="J174" s="115">
        <v>0.25</v>
      </c>
      <c r="K174" s="115">
        <v>0.25</v>
      </c>
      <c r="L174" s="115">
        <v>0.25</v>
      </c>
      <c r="M174" s="151">
        <v>0.25</v>
      </c>
    </row>
    <row r="175" spans="1:13" x14ac:dyDescent="0.2">
      <c r="A175" s="89"/>
      <c r="B175" s="121" t="s">
        <v>150</v>
      </c>
      <c r="C175" s="90"/>
      <c r="D175" s="90"/>
      <c r="E175" s="90"/>
      <c r="F175" s="90"/>
      <c r="G175" s="98"/>
      <c r="H175" s="113">
        <v>20</v>
      </c>
      <c r="I175" s="113">
        <v>20</v>
      </c>
      <c r="J175" s="113">
        <v>20</v>
      </c>
      <c r="K175" s="113">
        <v>20</v>
      </c>
      <c r="L175" s="113">
        <v>20</v>
      </c>
      <c r="M175" s="150">
        <v>20</v>
      </c>
    </row>
    <row r="176" spans="1:13" x14ac:dyDescent="0.2">
      <c r="A176" s="89"/>
      <c r="B176" s="121" t="s">
        <v>155</v>
      </c>
      <c r="C176" s="90"/>
      <c r="D176" s="90"/>
      <c r="E176" s="90"/>
      <c r="F176" s="90"/>
      <c r="G176" s="98"/>
      <c r="H176" s="113">
        <v>5</v>
      </c>
      <c r="I176" s="113">
        <v>5</v>
      </c>
      <c r="J176" s="113">
        <v>5</v>
      </c>
      <c r="K176" s="113">
        <v>5</v>
      </c>
      <c r="L176" s="113">
        <v>5</v>
      </c>
      <c r="M176" s="150">
        <v>5</v>
      </c>
    </row>
    <row r="177" spans="1:13" x14ac:dyDescent="0.2">
      <c r="A177" s="89"/>
      <c r="B177" s="121" t="s">
        <v>154</v>
      </c>
      <c r="C177" s="90"/>
      <c r="D177" s="90"/>
      <c r="E177" s="90"/>
      <c r="F177" s="90"/>
      <c r="G177" s="98"/>
      <c r="H177" s="115">
        <v>0.03</v>
      </c>
      <c r="I177" s="115">
        <v>0.03</v>
      </c>
      <c r="J177" s="115">
        <v>0.03</v>
      </c>
      <c r="K177" s="115">
        <v>0.03</v>
      </c>
      <c r="L177" s="115">
        <v>0.03</v>
      </c>
      <c r="M177" s="151">
        <v>0.03</v>
      </c>
    </row>
    <row r="178" spans="1:13" x14ac:dyDescent="0.2">
      <c r="A178" s="89"/>
      <c r="B178" s="152"/>
      <c r="C178" s="153"/>
      <c r="D178" s="153"/>
      <c r="E178" s="153"/>
      <c r="F178" s="153"/>
      <c r="G178" s="154"/>
      <c r="H178" s="154"/>
      <c r="I178" s="154"/>
      <c r="J178" s="154"/>
      <c r="K178" s="154"/>
      <c r="L178" s="154"/>
      <c r="M178" s="155"/>
    </row>
    <row r="179" spans="1:13" x14ac:dyDescent="0.2">
      <c r="A179" s="89"/>
      <c r="B179" s="90"/>
      <c r="C179" s="90"/>
      <c r="D179" s="90"/>
      <c r="E179" s="90"/>
      <c r="F179" s="90"/>
      <c r="G179" s="93"/>
      <c r="H179" s="93"/>
      <c r="I179" s="93"/>
      <c r="J179" s="93"/>
      <c r="K179" s="93"/>
      <c r="L179" s="93"/>
      <c r="M179" s="93"/>
    </row>
    <row r="180" spans="1:13" x14ac:dyDescent="0.2">
      <c r="A180" s="89"/>
      <c r="B180" s="90"/>
      <c r="C180" s="90"/>
      <c r="D180" s="90"/>
      <c r="E180" s="90"/>
      <c r="F180" s="90"/>
      <c r="G180" s="93"/>
      <c r="H180" s="93"/>
      <c r="I180" s="93"/>
      <c r="J180" s="93"/>
      <c r="K180" s="93"/>
      <c r="L180" s="93"/>
      <c r="M180" s="93"/>
    </row>
    <row r="181" spans="1:13" x14ac:dyDescent="0.2">
      <c r="A181" s="89"/>
      <c r="B181" s="90"/>
      <c r="C181" s="90"/>
      <c r="D181" s="90"/>
      <c r="E181" s="90"/>
      <c r="F181" s="90"/>
      <c r="G181" s="93"/>
      <c r="H181" s="93"/>
      <c r="I181" s="93"/>
      <c r="J181" s="93"/>
      <c r="K181" s="93"/>
      <c r="L181" s="93"/>
      <c r="M181" s="93"/>
    </row>
    <row r="182" spans="1:13" x14ac:dyDescent="0.2">
      <c r="A182" s="89"/>
      <c r="B182" s="85" t="s">
        <v>172</v>
      </c>
      <c r="C182" s="86" t="str">
        <f t="shared" ref="C182:M182" si="111">C102</f>
        <v xml:space="preserve"> F 2018</v>
      </c>
      <c r="D182" s="86" t="str">
        <f t="shared" si="111"/>
        <v xml:space="preserve"> F 2019</v>
      </c>
      <c r="E182" s="86" t="str">
        <f t="shared" si="111"/>
        <v xml:space="preserve"> F 2020</v>
      </c>
      <c r="F182" s="86" t="str">
        <f t="shared" si="111"/>
        <v xml:space="preserve"> F 2021</v>
      </c>
      <c r="G182" s="86" t="str">
        <f t="shared" si="111"/>
        <v xml:space="preserve"> F 2022</v>
      </c>
      <c r="H182" s="86" t="str">
        <f t="shared" si="111"/>
        <v xml:space="preserve"> P 2023</v>
      </c>
      <c r="I182" s="86" t="str">
        <f t="shared" si="111"/>
        <v xml:space="preserve"> P 2024</v>
      </c>
      <c r="J182" s="86" t="str">
        <f t="shared" si="111"/>
        <v xml:space="preserve"> P 2025</v>
      </c>
      <c r="K182" s="86" t="str">
        <f t="shared" si="111"/>
        <v xml:space="preserve"> P 2026</v>
      </c>
      <c r="L182" s="86" t="str">
        <f t="shared" si="111"/>
        <v xml:space="preserve"> P 2027</v>
      </c>
      <c r="M182" s="87" t="str">
        <f t="shared" si="111"/>
        <v xml:space="preserve"> P 2028</v>
      </c>
    </row>
    <row r="183" spans="1:13" x14ac:dyDescent="0.2">
      <c r="A183" s="89"/>
      <c r="B183" s="121" t="s">
        <v>58</v>
      </c>
      <c r="C183" s="100"/>
      <c r="D183" s="100">
        <f t="shared" ref="D183:M183" si="112">D7/C7-1</f>
        <v>3.745519896818772E-2</v>
      </c>
      <c r="E183" s="100">
        <f t="shared" si="112"/>
        <v>-0.52147464765842266</v>
      </c>
      <c r="F183" s="100">
        <f t="shared" si="112"/>
        <v>-0.35842257786016274</v>
      </c>
      <c r="G183" s="100">
        <f t="shared" si="112"/>
        <v>2.7744214435988677</v>
      </c>
      <c r="H183" s="100">
        <f t="shared" si="112"/>
        <v>8.1469467733816581E-2</v>
      </c>
      <c r="I183" s="100">
        <f t="shared" si="112"/>
        <v>0.19279997936883464</v>
      </c>
      <c r="J183" s="100">
        <f t="shared" si="112"/>
        <v>0.29522172750057285</v>
      </c>
      <c r="K183" s="100">
        <f t="shared" si="112"/>
        <v>4.4886336480403743E-2</v>
      </c>
      <c r="L183" s="100">
        <f t="shared" si="112"/>
        <v>4.4883263662858219E-2</v>
      </c>
      <c r="M183" s="158">
        <f t="shared" si="112"/>
        <v>4.7982646984989996E-2</v>
      </c>
    </row>
    <row r="184" spans="1:13" x14ac:dyDescent="0.2">
      <c r="A184" s="89"/>
      <c r="B184" s="121" t="s">
        <v>60</v>
      </c>
      <c r="C184" s="100">
        <f t="shared" ref="C184:M184" si="113">C18/C7</f>
        <v>-0.54914108868181555</v>
      </c>
      <c r="D184" s="100">
        <f t="shared" si="113"/>
        <v>-0.50331039322216164</v>
      </c>
      <c r="E184" s="100">
        <f t="shared" si="113"/>
        <v>-2.3009011210847734</v>
      </c>
      <c r="F184" s="100">
        <f t="shared" si="113"/>
        <v>-3.0679895760283284</v>
      </c>
      <c r="G184" s="100">
        <f t="shared" si="113"/>
        <v>-0.79075164359263483</v>
      </c>
      <c r="H184" s="100">
        <f t="shared" si="113"/>
        <v>-0.76838301576227097</v>
      </c>
      <c r="I184" s="100">
        <f t="shared" si="113"/>
        <v>-0.4549725626608358</v>
      </c>
      <c r="J184" s="100">
        <f t="shared" si="113"/>
        <v>-0.30704292311567755</v>
      </c>
      <c r="K184" s="100">
        <f t="shared" si="113"/>
        <v>-0.30539186645878785</v>
      </c>
      <c r="L184" s="100">
        <f t="shared" si="113"/>
        <v>-0.3015014489208393</v>
      </c>
      <c r="M184" s="158">
        <f t="shared" si="113"/>
        <v>-0.29032314015586824</v>
      </c>
    </row>
    <row r="185" spans="1:13" x14ac:dyDescent="0.2">
      <c r="A185" s="89"/>
      <c r="B185" s="121" t="s">
        <v>61</v>
      </c>
      <c r="C185" s="175">
        <f t="shared" ref="C185:M185" si="114">C30/C7</f>
        <v>4.5193397850495934E-2</v>
      </c>
      <c r="D185" s="175">
        <f t="shared" si="114"/>
        <v>5.1422732430006335E-2</v>
      </c>
      <c r="E185" s="175">
        <f t="shared" si="114"/>
        <v>8.3133101837157039E-2</v>
      </c>
      <c r="F185" s="175">
        <f t="shared" si="114"/>
        <v>0.12861879901697049</v>
      </c>
      <c r="G185" s="175">
        <f t="shared" si="114"/>
        <v>0.10761775653496626</v>
      </c>
      <c r="H185" s="175">
        <f t="shared" si="114"/>
        <v>0.11469509669635614</v>
      </c>
      <c r="I185" s="175">
        <f t="shared" si="114"/>
        <v>0.24849460752899849</v>
      </c>
      <c r="J185" s="175">
        <f t="shared" si="114"/>
        <v>0.23503568213511994</v>
      </c>
      <c r="K185" s="175">
        <f t="shared" si="114"/>
        <v>0.22330555295789478</v>
      </c>
      <c r="L185" s="175">
        <f t="shared" si="114"/>
        <v>0.2141306874358743</v>
      </c>
      <c r="M185" s="176">
        <f t="shared" si="114"/>
        <v>0.18850637843320359</v>
      </c>
    </row>
    <row r="186" spans="1:13" x14ac:dyDescent="0.2">
      <c r="A186" s="89"/>
      <c r="B186" s="121" t="s">
        <v>62</v>
      </c>
      <c r="C186" s="175">
        <f t="shared" ref="C186:M186" si="115">C42/C7</f>
        <v>6.5473128047632292E-4</v>
      </c>
      <c r="D186" s="175">
        <f t="shared" si="115"/>
        <v>1.835183579113006E-3</v>
      </c>
      <c r="E186" s="175">
        <f t="shared" si="115"/>
        <v>3.9263359699351222E-3</v>
      </c>
      <c r="F186" s="175">
        <f t="shared" si="115"/>
        <v>4.8891741834782279E-3</v>
      </c>
      <c r="G186" s="175">
        <f t="shared" si="115"/>
        <v>1.9628410272441678E-3</v>
      </c>
      <c r="H186" s="175">
        <f t="shared" si="115"/>
        <v>6.0613084645385175E-4</v>
      </c>
      <c r="I186" s="175">
        <f t="shared" si="115"/>
        <v>3.5499138125780113E-4</v>
      </c>
      <c r="J186" s="175">
        <f t="shared" si="115"/>
        <v>3.7499731330996617E-3</v>
      </c>
      <c r="K186" s="175">
        <f t="shared" si="115"/>
        <v>4.2642520739686728E-3</v>
      </c>
      <c r="L186" s="175">
        <f t="shared" si="115"/>
        <v>5.2336623819384887E-3</v>
      </c>
      <c r="M186" s="176">
        <f t="shared" si="115"/>
        <v>5.8278404079327283E-3</v>
      </c>
    </row>
    <row r="187" spans="1:13" x14ac:dyDescent="0.2">
      <c r="A187" s="89"/>
      <c r="B187" s="121"/>
      <c r="C187" s="90"/>
      <c r="D187" s="90"/>
      <c r="E187" s="90"/>
      <c r="F187" s="90"/>
      <c r="G187" s="94"/>
      <c r="H187" s="94"/>
      <c r="I187" s="94"/>
      <c r="J187" s="94"/>
      <c r="K187" s="94"/>
      <c r="L187" s="94"/>
      <c r="M187" s="159"/>
    </row>
    <row r="188" spans="1:13" x14ac:dyDescent="0.2">
      <c r="A188" s="89"/>
      <c r="B188" s="121" t="s">
        <v>63</v>
      </c>
      <c r="C188" s="101">
        <f t="shared" ref="C188:M188" si="116">C71/C62</f>
        <v>33.152172273344398</v>
      </c>
      <c r="D188" s="101">
        <f t="shared" si="116"/>
        <v>33.67936954506218</v>
      </c>
      <c r="E188" s="101">
        <f t="shared" si="116"/>
        <v>35.893366825848126</v>
      </c>
      <c r="F188" s="101">
        <f t="shared" si="116"/>
        <v>13.147467418464206</v>
      </c>
      <c r="G188" s="101">
        <f t="shared" si="116"/>
        <v>21.077488257739944</v>
      </c>
      <c r="H188" s="101">
        <f t="shared" si="116"/>
        <v>21.538997340739371</v>
      </c>
      <c r="I188" s="101">
        <f t="shared" si="116"/>
        <v>6.9760565211099274E-2</v>
      </c>
      <c r="J188" s="101">
        <f t="shared" si="116"/>
        <v>7.1487543371089049E-2</v>
      </c>
      <c r="K188" s="101">
        <f t="shared" si="116"/>
        <v>6.6351007851922841E-2</v>
      </c>
      <c r="L188" s="101">
        <f t="shared" si="116"/>
        <v>6.1278583654049056E-2</v>
      </c>
      <c r="M188" s="160">
        <f t="shared" si="116"/>
        <v>5.9503744887926195E-2</v>
      </c>
    </row>
    <row r="189" spans="1:13" x14ac:dyDescent="0.2">
      <c r="A189" s="89"/>
      <c r="B189" s="121" t="s">
        <v>166</v>
      </c>
      <c r="C189" s="180">
        <f t="shared" ref="C189:M189" si="117">C62/C55</f>
        <v>2.9280714327518637E-2</v>
      </c>
      <c r="D189" s="180">
        <f t="shared" si="117"/>
        <v>2.8835587645288808E-2</v>
      </c>
      <c r="E189" s="180">
        <f t="shared" si="117"/>
        <v>2.7105143445444044E-2</v>
      </c>
      <c r="F189" s="180">
        <f t="shared" si="117"/>
        <v>7.0684029192028777E-2</v>
      </c>
      <c r="G189" s="180">
        <f t="shared" si="117"/>
        <v>4.5295007671419286E-2</v>
      </c>
      <c r="H189" s="180">
        <f t="shared" si="117"/>
        <v>4.4367545941917039E-2</v>
      </c>
      <c r="I189" s="180">
        <f t="shared" si="117"/>
        <v>0.93478861767788823</v>
      </c>
      <c r="J189" s="180">
        <f t="shared" si="117"/>
        <v>0.93328196504629735</v>
      </c>
      <c r="K189" s="180">
        <f t="shared" si="117"/>
        <v>0.93777751663068087</v>
      </c>
      <c r="L189" s="180">
        <f t="shared" si="117"/>
        <v>0.94225966245068005</v>
      </c>
      <c r="M189" s="181">
        <f t="shared" si="117"/>
        <v>0.94383809856734358</v>
      </c>
    </row>
    <row r="190" spans="1:13" x14ac:dyDescent="0.2">
      <c r="A190" s="89"/>
      <c r="B190" s="121"/>
      <c r="C190" s="90"/>
      <c r="D190" s="90"/>
      <c r="E190" s="90"/>
      <c r="F190" s="90"/>
      <c r="G190" s="101"/>
      <c r="H190" s="101"/>
      <c r="I190" s="101"/>
      <c r="J190" s="101"/>
      <c r="K190" s="101"/>
      <c r="L190" s="101"/>
      <c r="M190" s="160"/>
    </row>
    <row r="191" spans="1:13" x14ac:dyDescent="0.2">
      <c r="A191" s="89"/>
      <c r="B191" s="161" t="s">
        <v>64</v>
      </c>
      <c r="C191" s="101">
        <f t="shared" ref="C191:M191" si="118">C54/(SUM(C63:C70)-C64-C69-C68)</f>
        <v>0.90031584130871067</v>
      </c>
      <c r="D191" s="101">
        <f t="shared" si="118"/>
        <v>1.0581217411017909</v>
      </c>
      <c r="E191" s="101">
        <f t="shared" si="118"/>
        <v>2.5968343949044588</v>
      </c>
      <c r="F191" s="101">
        <f t="shared" si="118"/>
        <v>1.337149701980519</v>
      </c>
      <c r="G191" s="101">
        <f t="shared" si="118"/>
        <v>1.2288306896377046</v>
      </c>
      <c r="H191" s="101">
        <f t="shared" si="118"/>
        <v>1.1083770812215312</v>
      </c>
      <c r="I191" s="101">
        <f t="shared" si="118"/>
        <v>1.0853442955368862</v>
      </c>
      <c r="J191" s="101">
        <f t="shared" si="118"/>
        <v>1.1916701417160496</v>
      </c>
      <c r="K191" s="101">
        <f t="shared" si="118"/>
        <v>1.2907659277426016</v>
      </c>
      <c r="L191" s="101">
        <f t="shared" si="118"/>
        <v>1.383849451273977</v>
      </c>
      <c r="M191" s="160">
        <f t="shared" si="118"/>
        <v>1.4885936890476132</v>
      </c>
    </row>
    <row r="192" spans="1:13" x14ac:dyDescent="0.2">
      <c r="A192" s="89"/>
      <c r="B192" s="161" t="s">
        <v>65</v>
      </c>
      <c r="C192" s="101">
        <f t="shared" ref="C192:M192" si="119">(C54-C51)/(SUM(C63:C70)-C64-C69)</f>
        <v>9.7459094281660441E-2</v>
      </c>
      <c r="D192" s="101">
        <f t="shared" si="119"/>
        <v>0.34771764501983665</v>
      </c>
      <c r="E192" s="101">
        <f t="shared" si="119"/>
        <v>1.354042509137394</v>
      </c>
      <c r="F192" s="101">
        <f t="shared" si="119"/>
        <v>0.43966138453570885</v>
      </c>
      <c r="G192" s="101">
        <f t="shared" si="119"/>
        <v>0.53272332201391093</v>
      </c>
      <c r="H192" s="101">
        <f t="shared" si="119"/>
        <v>0.43730995929573929</v>
      </c>
      <c r="I192" s="101">
        <f t="shared" si="119"/>
        <v>0.45375558168326807</v>
      </c>
      <c r="J192" s="101">
        <f t="shared" si="119"/>
        <v>0.6437582318675753</v>
      </c>
      <c r="K192" s="101">
        <f t="shared" si="119"/>
        <v>0.73906687552656558</v>
      </c>
      <c r="L192" s="101">
        <f t="shared" si="119"/>
        <v>0.82869996749115438</v>
      </c>
      <c r="M192" s="160">
        <f t="shared" si="119"/>
        <v>0.92939013756283961</v>
      </c>
    </row>
    <row r="193" spans="1:13" x14ac:dyDescent="0.2">
      <c r="A193" s="89"/>
      <c r="B193" s="121"/>
      <c r="C193" s="90"/>
      <c r="D193" s="90"/>
      <c r="E193" s="90"/>
      <c r="F193" s="90"/>
      <c r="G193" s="93"/>
      <c r="H193" s="93"/>
      <c r="I193" s="93"/>
      <c r="J193" s="93"/>
      <c r="K193" s="93"/>
      <c r="L193" s="93"/>
      <c r="M193" s="162"/>
    </row>
    <row r="194" spans="1:13" x14ac:dyDescent="0.2">
      <c r="A194" s="102"/>
      <c r="B194" s="163" t="s">
        <v>66</v>
      </c>
      <c r="C194" s="103">
        <f t="shared" ref="C194:M194" si="120">C64/C30</f>
        <v>0</v>
      </c>
      <c r="D194" s="103">
        <f t="shared" si="120"/>
        <v>0</v>
      </c>
      <c r="E194" s="103">
        <f t="shared" si="120"/>
        <v>0</v>
      </c>
      <c r="F194" s="103">
        <f t="shared" si="120"/>
        <v>0</v>
      </c>
      <c r="G194" s="103">
        <f t="shared" si="120"/>
        <v>0</v>
      </c>
      <c r="H194" s="103">
        <f t="shared" si="120"/>
        <v>1.2340961520224596</v>
      </c>
      <c r="I194" s="103">
        <f t="shared" si="120"/>
        <v>0.426426679494191</v>
      </c>
      <c r="J194" s="103">
        <f t="shared" si="120"/>
        <v>0.30636115813915582</v>
      </c>
      <c r="K194" s="103">
        <f t="shared" si="120"/>
        <v>0.266574620734851</v>
      </c>
      <c r="L194" s="103">
        <f t="shared" si="120"/>
        <v>0.22410951569947396</v>
      </c>
      <c r="M194" s="164">
        <f t="shared" si="120"/>
        <v>0.19745179533176269</v>
      </c>
    </row>
    <row r="195" spans="1:13" x14ac:dyDescent="0.2">
      <c r="A195" s="102"/>
      <c r="B195" s="163" t="s">
        <v>67</v>
      </c>
      <c r="C195" s="103">
        <f t="shared" ref="C195:M195" si="121">IFERROR(C30/C36,0)</f>
        <v>0</v>
      </c>
      <c r="D195" s="103">
        <f t="shared" si="121"/>
        <v>0</v>
      </c>
      <c r="E195" s="103">
        <f t="shared" si="121"/>
        <v>0</v>
      </c>
      <c r="F195" s="103">
        <f t="shared" si="121"/>
        <v>0</v>
      </c>
      <c r="G195" s="103">
        <f t="shared" si="121"/>
        <v>0</v>
      </c>
      <c r="H195" s="103">
        <f t="shared" si="121"/>
        <v>34.359419066037226</v>
      </c>
      <c r="I195" s="103">
        <f t="shared" si="121"/>
        <v>41.744759749340176</v>
      </c>
      <c r="J195" s="103">
        <f t="shared" si="121"/>
        <v>57.660872555362005</v>
      </c>
      <c r="K195" s="103">
        <f t="shared" si="121"/>
        <v>65.607395505599058</v>
      </c>
      <c r="L195" s="103">
        <f t="shared" si="121"/>
        <v>76.986068505328745</v>
      </c>
      <c r="M195" s="164">
        <f t="shared" si="121"/>
        <v>85.691343148292248</v>
      </c>
    </row>
    <row r="196" spans="1:13" x14ac:dyDescent="0.2">
      <c r="A196" s="102"/>
      <c r="B196" s="163" t="s">
        <v>68</v>
      </c>
      <c r="C196" s="167">
        <f t="shared" ref="C196:M196" si="122">IFERROR(C30/(C36+C169),0)</f>
        <v>0</v>
      </c>
      <c r="D196" s="167">
        <f t="shared" si="122"/>
        <v>0</v>
      </c>
      <c r="E196" s="167">
        <f t="shared" si="122"/>
        <v>0</v>
      </c>
      <c r="F196" s="167">
        <f t="shared" si="122"/>
        <v>0</v>
      </c>
      <c r="G196" s="167">
        <f t="shared" si="122"/>
        <v>0</v>
      </c>
      <c r="H196" s="167">
        <f t="shared" si="122"/>
        <v>34.359419066037226</v>
      </c>
      <c r="I196" s="167">
        <f t="shared" si="122"/>
        <v>13.321277247897726</v>
      </c>
      <c r="J196" s="167">
        <f t="shared" si="122"/>
        <v>16.930469334064657</v>
      </c>
      <c r="K196" s="167">
        <f t="shared" si="122"/>
        <v>17.461240181073947</v>
      </c>
      <c r="L196" s="167">
        <f t="shared" si="122"/>
        <v>18.203338412249607</v>
      </c>
      <c r="M196" s="168">
        <f t="shared" si="122"/>
        <v>17.502209723701309</v>
      </c>
    </row>
    <row r="197" spans="1:13" x14ac:dyDescent="0.2">
      <c r="A197" s="102"/>
      <c r="B197" s="163"/>
      <c r="C197" s="103"/>
      <c r="D197" s="103"/>
      <c r="E197" s="103"/>
      <c r="F197" s="103"/>
      <c r="G197" s="103"/>
      <c r="H197" s="103"/>
      <c r="I197" s="103"/>
      <c r="J197" s="103"/>
      <c r="K197" s="103"/>
      <c r="L197" s="103"/>
      <c r="M197" s="164"/>
    </row>
    <row r="198" spans="1:13" x14ac:dyDescent="0.2">
      <c r="A198" s="102"/>
      <c r="B198" s="163" t="s">
        <v>167</v>
      </c>
      <c r="C198" s="103"/>
      <c r="D198" s="172">
        <f>D42/AVERAGE(C62,D62)</f>
        <v>0.16724630158318193</v>
      </c>
      <c r="E198" s="172">
        <f t="shared" ref="E198:M198" si="123">E42/AVERAGE(D62,E62)</f>
        <v>0.14659437679613663</v>
      </c>
      <c r="F198" s="172">
        <f t="shared" si="123"/>
        <v>4.5568248625344386E-2</v>
      </c>
      <c r="G198" s="172">
        <f t="shared" si="123"/>
        <v>4.3093215156725491E-2</v>
      </c>
      <c r="H198" s="172">
        <f>H42/AVERAGE(G62,H62)</f>
        <v>1.4114218662016058E-2</v>
      </c>
      <c r="I198" s="172">
        <f t="shared" si="123"/>
        <v>6.6650980345552615E-5</v>
      </c>
      <c r="J198" s="172">
        <f t="shared" si="123"/>
        <v>4.5741712250045526E-4</v>
      </c>
      <c r="K198" s="172">
        <f t="shared" si="123"/>
        <v>5.4322392567442493E-4</v>
      </c>
      <c r="L198" s="172">
        <f t="shared" si="123"/>
        <v>6.9621014373152977E-4</v>
      </c>
      <c r="M198" s="173">
        <f t="shared" si="123"/>
        <v>8.1183712456281225E-4</v>
      </c>
    </row>
    <row r="199" spans="1:13" x14ac:dyDescent="0.2">
      <c r="A199" s="102"/>
      <c r="B199" s="163" t="s">
        <v>168</v>
      </c>
      <c r="C199" s="103"/>
      <c r="D199" s="172">
        <f>D42/AVERAGE(C55,D55)</f>
        <v>4.8565176868988072E-3</v>
      </c>
      <c r="E199" s="172">
        <f t="shared" ref="E199:M199" si="124">E42/AVERAGE(D55,E55)</f>
        <v>4.0871079333507348E-3</v>
      </c>
      <c r="F199" s="172">
        <f t="shared" si="124"/>
        <v>2.4114149662063343E-3</v>
      </c>
      <c r="G199" s="172">
        <f t="shared" si="124"/>
        <v>2.3727358000278868E-3</v>
      </c>
      <c r="H199" s="172">
        <f t="shared" si="124"/>
        <v>6.3264455890362566E-4</v>
      </c>
      <c r="I199" s="172">
        <f t="shared" si="124"/>
        <v>5.8320687111588991E-5</v>
      </c>
      <c r="J199" s="172">
        <f t="shared" si="124"/>
        <v>4.2724337856220687E-4</v>
      </c>
      <c r="K199" s="172">
        <f t="shared" si="124"/>
        <v>5.0819953627419668E-4</v>
      </c>
      <c r="L199" s="172">
        <f t="shared" si="124"/>
        <v>6.5444730069721653E-4</v>
      </c>
      <c r="M199" s="173">
        <f t="shared" si="124"/>
        <v>7.6560181535087707E-4</v>
      </c>
    </row>
    <row r="200" spans="1:13" x14ac:dyDescent="0.2">
      <c r="A200" s="102"/>
      <c r="B200" s="163"/>
      <c r="C200" s="103"/>
      <c r="D200" s="103"/>
      <c r="E200" s="103"/>
      <c r="F200" s="103"/>
      <c r="G200" s="103"/>
      <c r="H200" s="103"/>
      <c r="I200" s="103"/>
      <c r="J200" s="103"/>
      <c r="K200" s="103"/>
      <c r="L200" s="103"/>
      <c r="M200" s="164"/>
    </row>
    <row r="201" spans="1:13" x14ac:dyDescent="0.2">
      <c r="A201" s="102"/>
      <c r="B201" s="163" t="s">
        <v>169</v>
      </c>
      <c r="C201" s="171">
        <f>(C8+C9+C23)/(C7+C20-C22)</f>
        <v>0.57222265823384155</v>
      </c>
      <c r="D201" s="171">
        <f>(D8+D9+D23)/(D7+D20-D22)</f>
        <v>0.58231700245603157</v>
      </c>
      <c r="E201" s="171">
        <f t="shared" ref="E201:M201" si="125">(E8+E9+E23)/(E7+E20-E22)</f>
        <v>0.28841688350770917</v>
      </c>
      <c r="F201" s="171">
        <f t="shared" si="125"/>
        <v>0.26374437369936332</v>
      </c>
      <c r="G201" s="171">
        <f t="shared" si="125"/>
        <v>0.49301780639067616</v>
      </c>
      <c r="H201" s="171">
        <f t="shared" si="125"/>
        <v>0.51724338886352483</v>
      </c>
      <c r="I201" s="171">
        <f t="shared" si="125"/>
        <v>0.55382863685057038</v>
      </c>
      <c r="J201" s="171">
        <f t="shared" si="125"/>
        <v>0.60845868441527107</v>
      </c>
      <c r="K201" s="171">
        <f t="shared" si="125"/>
        <v>0.61286672075161208</v>
      </c>
      <c r="L201" s="171">
        <f t="shared" si="125"/>
        <v>0.61725860692885726</v>
      </c>
      <c r="M201" s="174">
        <f t="shared" si="125"/>
        <v>0.62230737426826743</v>
      </c>
    </row>
    <row r="202" spans="1:13" x14ac:dyDescent="0.2">
      <c r="A202" s="102"/>
      <c r="B202" s="165"/>
      <c r="C202" s="169"/>
      <c r="D202" s="169"/>
      <c r="E202" s="169"/>
      <c r="F202" s="169"/>
      <c r="G202" s="169"/>
      <c r="H202" s="169"/>
      <c r="I202" s="169"/>
      <c r="J202" s="169"/>
      <c r="K202" s="169"/>
      <c r="L202" s="169"/>
      <c r="M202" s="170"/>
    </row>
    <row r="203" spans="1:13" x14ac:dyDescent="0.2">
      <c r="A203" s="104"/>
    </row>
    <row r="204" spans="1:13" x14ac:dyDescent="0.2">
      <c r="A204" s="104"/>
      <c r="B204" s="166"/>
      <c r="C204" s="167"/>
      <c r="D204" s="167"/>
      <c r="E204" s="167"/>
      <c r="F204" s="167"/>
      <c r="G204" s="167"/>
      <c r="H204" s="204">
        <f>H25/G25-1</f>
        <v>2.2211063029109468E-4</v>
      </c>
      <c r="I204" s="204">
        <f t="shared" ref="I204:M204" si="126">I25/H25-1</f>
        <v>1.266876435947939E-2</v>
      </c>
      <c r="J204" s="204">
        <f t="shared" si="126"/>
        <v>9.4296221494030386E-2</v>
      </c>
      <c r="K204" s="204">
        <f t="shared" si="126"/>
        <v>3.4287023817151763E-2</v>
      </c>
      <c r="L204" s="204">
        <f t="shared" si="126"/>
        <v>3.4338321517552783E-2</v>
      </c>
      <c r="M204" s="205">
        <f t="shared" si="126"/>
        <v>3.4389436875940316E-2</v>
      </c>
    </row>
    <row r="205" spans="1:13" x14ac:dyDescent="0.2">
      <c r="A205" s="104"/>
      <c r="B205" s="166"/>
      <c r="C205" s="167"/>
      <c r="D205" s="167"/>
      <c r="E205" s="167"/>
      <c r="F205" s="167"/>
      <c r="G205" s="167"/>
      <c r="H205" s="167"/>
      <c r="I205" s="167"/>
      <c r="J205" s="167"/>
      <c r="K205" s="167"/>
      <c r="L205" s="167"/>
      <c r="M205" s="167"/>
    </row>
    <row r="206" spans="1:13" x14ac:dyDescent="0.2">
      <c r="A206" s="104"/>
      <c r="B206" s="166"/>
      <c r="C206" s="167"/>
      <c r="D206" s="167"/>
      <c r="E206" s="167"/>
      <c r="F206" s="167"/>
      <c r="G206" s="167"/>
      <c r="H206" s="167"/>
      <c r="I206" s="167"/>
      <c r="J206" s="167"/>
      <c r="K206" s="167"/>
      <c r="L206" s="167"/>
      <c r="M206" s="167"/>
    </row>
    <row r="207" spans="1:13" x14ac:dyDescent="0.2">
      <c r="A207" s="104"/>
      <c r="B207" s="166"/>
      <c r="C207" s="167"/>
      <c r="D207" s="167"/>
      <c r="E207" s="167"/>
      <c r="F207" s="167"/>
      <c r="G207" s="167"/>
      <c r="H207" s="167"/>
      <c r="I207" s="167"/>
      <c r="J207" s="167"/>
      <c r="K207" s="167"/>
      <c r="L207" s="167"/>
      <c r="M207" s="167"/>
    </row>
    <row r="208" spans="1:13" x14ac:dyDescent="0.2">
      <c r="A208" s="42"/>
      <c r="B208" s="43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</row>
  </sheetData>
  <conditionalFormatting sqref="C74:M74">
    <cfRule type="cellIs" dxfId="7" priority="3" stopIfTrue="1" operator="greaterThan">
      <formula>1</formula>
    </cfRule>
    <cfRule type="cellIs" dxfId="6" priority="4" stopIfTrue="1" operator="lessThan">
      <formula>-1</formula>
    </cfRule>
  </conditionalFormatting>
  <conditionalFormatting sqref="C98:M98">
    <cfRule type="cellIs" dxfId="5" priority="1" stopIfTrue="1" operator="greaterThan">
      <formula>1</formula>
    </cfRule>
    <cfRule type="cellIs" dxfId="4" priority="2" stopIfTrue="1" operator="lessThan">
      <formula>-1</formula>
    </cfRule>
  </conditionalFormatting>
  <hyperlinks>
    <hyperlink ref="O105" r:id="rId1" xr:uid="{14954B12-62C8-4058-B1B6-32AE75C480E7}"/>
  </hyperlinks>
  <pageMargins left="0.7" right="0.7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5008-01E9-4502-B19B-914EA59379B4}">
  <dimension ref="A1:T102"/>
  <sheetViews>
    <sheetView showGridLines="0" workbookViewId="0">
      <selection activeCell="Q15" sqref="Q15"/>
    </sheetView>
  </sheetViews>
  <sheetFormatPr baseColWidth="10" defaultColWidth="8.83203125" defaultRowHeight="15" outlineLevelCol="1" x14ac:dyDescent="0.2"/>
  <cols>
    <col min="1" max="1" width="4.6640625" style="117" customWidth="1"/>
    <col min="2" max="2" width="57.5" style="117" customWidth="1"/>
    <col min="3" max="4" width="10.5" style="117" customWidth="1" outlineLevel="1"/>
    <col min="5" max="7" width="10.33203125" style="117" customWidth="1" outlineLevel="1"/>
    <col min="8" max="8" width="11" style="117" customWidth="1"/>
    <col min="9" max="9" width="11.6640625" style="117" customWidth="1"/>
    <col min="10" max="10" width="10.1640625" style="117" customWidth="1"/>
    <col min="11" max="11" width="10" style="117" customWidth="1"/>
    <col min="12" max="13" width="10.5" style="117" customWidth="1"/>
    <col min="14" max="14" width="8.33203125" customWidth="1"/>
  </cols>
  <sheetData>
    <row r="1" spans="1:20" x14ac:dyDescent="0.2">
      <c r="A1"/>
      <c r="B1"/>
      <c r="C1"/>
      <c r="D1"/>
      <c r="E1"/>
      <c r="F1"/>
      <c r="G1"/>
      <c r="H1"/>
      <c r="I1"/>
      <c r="J1"/>
      <c r="K1"/>
      <c r="L1"/>
      <c r="M1"/>
    </row>
    <row r="2" spans="1:20" ht="16" x14ac:dyDescent="0.2">
      <c r="A2" s="1"/>
      <c r="B2" s="81" t="s">
        <v>216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20" ht="16" x14ac:dyDescent="0.2">
      <c r="A3" s="1"/>
      <c r="B3"/>
      <c r="C3" s="2"/>
      <c r="D3" s="2"/>
      <c r="E3" s="3"/>
      <c r="F3" s="3"/>
      <c r="G3" s="4"/>
      <c r="H3" s="5"/>
      <c r="I3" s="1"/>
      <c r="J3" s="1"/>
      <c r="K3" s="1"/>
      <c r="L3" s="1"/>
      <c r="M3" s="1"/>
    </row>
    <row r="4" spans="1:20" ht="16" x14ac:dyDescent="0.2">
      <c r="A4" s="1"/>
      <c r="B4"/>
      <c r="C4" s="2"/>
      <c r="D4" s="2"/>
      <c r="E4" s="3"/>
      <c r="F4" s="3"/>
      <c r="G4" s="4"/>
      <c r="H4" s="5"/>
      <c r="I4" s="1"/>
      <c r="J4" s="1"/>
      <c r="K4" s="1"/>
      <c r="L4" s="1"/>
      <c r="M4" s="1"/>
    </row>
    <row r="5" spans="1:20" x14ac:dyDescent="0.2">
      <c r="A5" s="31"/>
      <c r="B5" s="85" t="s">
        <v>1</v>
      </c>
      <c r="C5" s="86" t="s">
        <v>112</v>
      </c>
      <c r="D5" s="86" t="s">
        <v>102</v>
      </c>
      <c r="E5" s="86" t="s">
        <v>103</v>
      </c>
      <c r="F5" s="86" t="s">
        <v>104</v>
      </c>
      <c r="G5" s="86" t="s">
        <v>105</v>
      </c>
      <c r="H5" s="86" t="s">
        <v>106</v>
      </c>
      <c r="I5" s="86" t="s">
        <v>107</v>
      </c>
      <c r="J5" s="86" t="s">
        <v>108</v>
      </c>
      <c r="K5" s="86" t="s">
        <v>109</v>
      </c>
      <c r="L5" s="86" t="s">
        <v>110</v>
      </c>
      <c r="M5" s="87" t="s">
        <v>177</v>
      </c>
    </row>
    <row r="6" spans="1:20" x14ac:dyDescent="0.2">
      <c r="A6" s="31"/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227"/>
    </row>
    <row r="7" spans="1:20" x14ac:dyDescent="0.2">
      <c r="A7" s="41"/>
      <c r="B7" s="6" t="s">
        <v>2</v>
      </c>
      <c r="C7" s="7">
        <f>PĒC!C7-PIRMS!C7</f>
        <v>0</v>
      </c>
      <c r="D7" s="7">
        <f>PĒC!D7-PIRMS!D7</f>
        <v>0</v>
      </c>
      <c r="E7" s="7">
        <f>PĒC!E7-PIRMS!E7</f>
        <v>0</v>
      </c>
      <c r="F7" s="7">
        <f>PĒC!F7-PIRMS!F7</f>
        <v>0</v>
      </c>
      <c r="G7" s="7">
        <f>PĒC!G7-PIRMS!G7</f>
        <v>0</v>
      </c>
      <c r="H7" s="7">
        <f>PĒC!H7-PIRMS!H7</f>
        <v>0</v>
      </c>
      <c r="I7" s="7">
        <f>PĒC!I7-PIRMS!I7</f>
        <v>-129394.14981825184</v>
      </c>
      <c r="J7" s="7">
        <f>PĒC!J7-PIRMS!J7</f>
        <v>792933.59972695913</v>
      </c>
      <c r="K7" s="7">
        <f>PĒC!K7-PIRMS!K7</f>
        <v>823480.17277995218</v>
      </c>
      <c r="L7" s="7">
        <f>PĒC!L7-PIRMS!L7</f>
        <v>855219.33948166296</v>
      </c>
      <c r="M7" s="8">
        <f>PĒC!M7-PIRMS!M7</f>
        <v>888198.07184620574</v>
      </c>
    </row>
    <row r="8" spans="1:20" x14ac:dyDescent="0.2">
      <c r="A8" s="31"/>
      <c r="B8" s="9" t="s">
        <v>3</v>
      </c>
      <c r="C8" s="10">
        <f>PĒC!C8-PIRMS!C8</f>
        <v>0</v>
      </c>
      <c r="D8" s="10">
        <f>PĒC!D8-PIRMS!D8</f>
        <v>0</v>
      </c>
      <c r="E8" s="10">
        <f>PĒC!E8-PIRMS!E8</f>
        <v>0</v>
      </c>
      <c r="F8" s="10">
        <f>PĒC!F8-PIRMS!F8</f>
        <v>0</v>
      </c>
      <c r="G8" s="10">
        <f>PĒC!G8-PIRMS!G8</f>
        <v>0</v>
      </c>
      <c r="H8" s="10">
        <f>PĒC!H8-PIRMS!H8</f>
        <v>0</v>
      </c>
      <c r="I8" s="10">
        <f>PĒC!I8-PIRMS!I8</f>
        <v>-129394.14981825184</v>
      </c>
      <c r="J8" s="10">
        <f>PĒC!J8-PIRMS!J8</f>
        <v>714882.20398795931</v>
      </c>
      <c r="K8" s="10">
        <f>PĒC!K8-PIRMS!K8</f>
        <v>743477.49214747734</v>
      </c>
      <c r="L8" s="10">
        <f>PĒC!L8-PIRMS!L8</f>
        <v>773216.59183337633</v>
      </c>
      <c r="M8" s="11">
        <f>PĒC!M8-PIRMS!M8</f>
        <v>804145.25550671201</v>
      </c>
      <c r="N8" s="68"/>
      <c r="O8" s="68"/>
      <c r="P8" s="68"/>
    </row>
    <row r="9" spans="1:20" x14ac:dyDescent="0.2">
      <c r="A9" s="31"/>
      <c r="B9" s="9" t="s">
        <v>4</v>
      </c>
      <c r="C9" s="10">
        <f>PĒC!C9-PIRMS!C9</f>
        <v>0</v>
      </c>
      <c r="D9" s="10">
        <f>PĒC!D9-PIRMS!D9</f>
        <v>0</v>
      </c>
      <c r="E9" s="10">
        <f>PĒC!E9-PIRMS!E9</f>
        <v>0</v>
      </c>
      <c r="F9" s="10">
        <f>PĒC!F9-PIRMS!F9</f>
        <v>0</v>
      </c>
      <c r="G9" s="10">
        <f>PĒC!G9-PIRMS!G9</f>
        <v>0</v>
      </c>
      <c r="H9" s="10">
        <f>PĒC!H9-PIRMS!H9</f>
        <v>0</v>
      </c>
      <c r="I9" s="10">
        <f>PĒC!I9-PIRMS!I9</f>
        <v>0</v>
      </c>
      <c r="J9" s="10">
        <f>PĒC!J9-PIRMS!J9</f>
        <v>78051.395739</v>
      </c>
      <c r="K9" s="10">
        <f>PĒC!K9-PIRMS!K9</f>
        <v>80002.680632475007</v>
      </c>
      <c r="L9" s="10">
        <f>PĒC!L9-PIRMS!L9</f>
        <v>82002.747648286866</v>
      </c>
      <c r="M9" s="11">
        <f>PĒC!M9-PIRMS!M9</f>
        <v>84052.81633949402</v>
      </c>
    </row>
    <row r="10" spans="1:20" x14ac:dyDescent="0.2">
      <c r="A10" s="31"/>
      <c r="B10" s="9"/>
      <c r="C10" s="10">
        <f>PĒC!C10-PIRMS!C10</f>
        <v>0</v>
      </c>
      <c r="D10" s="10">
        <f>PĒC!D10-PIRMS!D10</f>
        <v>0</v>
      </c>
      <c r="E10" s="10">
        <f>PĒC!E10-PIRMS!E10</f>
        <v>0</v>
      </c>
      <c r="F10" s="10">
        <f>PĒC!F10-PIRMS!F10</f>
        <v>0</v>
      </c>
      <c r="G10" s="10">
        <f>PĒC!G10-PIRMS!G10</f>
        <v>0</v>
      </c>
      <c r="H10" s="10">
        <f>PĒC!H10-PIRMS!H10</f>
        <v>0</v>
      </c>
      <c r="I10" s="10">
        <f>PĒC!I10-PIRMS!I10</f>
        <v>0</v>
      </c>
      <c r="J10" s="10">
        <f>PĒC!J10-PIRMS!J10</f>
        <v>0</v>
      </c>
      <c r="K10" s="10">
        <f>PĒC!K10-PIRMS!K10</f>
        <v>0</v>
      </c>
      <c r="L10" s="10">
        <f>PĒC!L10-PIRMS!L10</f>
        <v>0</v>
      </c>
      <c r="M10" s="11">
        <f>PĒC!M10-PIRMS!M10</f>
        <v>0</v>
      </c>
      <c r="O10" s="68"/>
    </row>
    <row r="11" spans="1:20" x14ac:dyDescent="0.2">
      <c r="A11" s="41"/>
      <c r="B11" s="6" t="s">
        <v>5</v>
      </c>
      <c r="C11" s="7">
        <f>PĒC!C11-PIRMS!C11</f>
        <v>0</v>
      </c>
      <c r="D11" s="7">
        <f>PĒC!D11-PIRMS!D11</f>
        <v>0</v>
      </c>
      <c r="E11" s="7">
        <f>PĒC!E11-PIRMS!E11</f>
        <v>0</v>
      </c>
      <c r="F11" s="7">
        <f>PĒC!F11-PIRMS!F11</f>
        <v>0</v>
      </c>
      <c r="G11" s="7">
        <f>PĒC!G11-PIRMS!G11</f>
        <v>0</v>
      </c>
      <c r="H11" s="7">
        <f>PĒC!H11-PIRMS!H11</f>
        <v>0</v>
      </c>
      <c r="I11" s="7">
        <f>PĒC!I11-PIRMS!I11</f>
        <v>-653009.12667808775</v>
      </c>
      <c r="J11" s="7">
        <f>PĒC!J11-PIRMS!J11</f>
        <v>-31260.506298935972</v>
      </c>
      <c r="K11" s="7">
        <f>PĒC!K11-PIRMS!K11</f>
        <v>-15181.885394463316</v>
      </c>
      <c r="L11" s="7">
        <f>PĒC!L11-PIRMS!L11</f>
        <v>1115.3963304553181</v>
      </c>
      <c r="M11" s="8">
        <f>PĒC!M11-PIRMS!M11</f>
        <v>19297.751911683939</v>
      </c>
    </row>
    <row r="12" spans="1:20" x14ac:dyDescent="0.2">
      <c r="A12" s="31"/>
      <c r="B12" s="9" t="s">
        <v>6</v>
      </c>
      <c r="C12" s="10">
        <f>PĒC!C12-PIRMS!C12</f>
        <v>0</v>
      </c>
      <c r="D12" s="10">
        <f>PĒC!D12-PIRMS!D12</f>
        <v>0</v>
      </c>
      <c r="E12" s="10">
        <f>PĒC!E12-PIRMS!E12</f>
        <v>0</v>
      </c>
      <c r="F12" s="10">
        <f>PĒC!F12-PIRMS!F12</f>
        <v>0</v>
      </c>
      <c r="G12" s="10">
        <f>PĒC!G12-PIRMS!G12</f>
        <v>0</v>
      </c>
      <c r="H12" s="10">
        <f>PĒC!H12-PIRMS!H12</f>
        <v>0</v>
      </c>
      <c r="I12" s="10">
        <f>PĒC!I12-PIRMS!I12</f>
        <v>-213257.72331870673</v>
      </c>
      <c r="J12" s="10">
        <f>PĒC!J12-PIRMS!J12</f>
        <v>89568.243793857284</v>
      </c>
      <c r="K12" s="10">
        <f>PĒC!K12-PIRMS!K12</f>
        <v>93150.973545610905</v>
      </c>
      <c r="L12" s="10">
        <f>PĒC!L12-PIRMS!L12</f>
        <v>96877.012487435713</v>
      </c>
      <c r="M12" s="11">
        <f>PĒC!M12-PIRMS!M12</f>
        <v>100752.09298693296</v>
      </c>
      <c r="P12" s="68"/>
      <c r="Q12" s="68"/>
      <c r="R12" s="68"/>
      <c r="S12" s="68"/>
      <c r="T12" s="68"/>
    </row>
    <row r="13" spans="1:20" x14ac:dyDescent="0.2">
      <c r="A13" s="31"/>
      <c r="B13" s="9" t="s">
        <v>7</v>
      </c>
      <c r="C13" s="10">
        <f>PĒC!C13-PIRMS!C13</f>
        <v>0</v>
      </c>
      <c r="D13" s="10">
        <f>PĒC!D13-PIRMS!D13</f>
        <v>0</v>
      </c>
      <c r="E13" s="10">
        <f>PĒC!E13-PIRMS!E13</f>
        <v>0</v>
      </c>
      <c r="F13" s="10">
        <f>PĒC!F13-PIRMS!F13</f>
        <v>0</v>
      </c>
      <c r="G13" s="10">
        <f>PĒC!G13-PIRMS!G13</f>
        <v>0</v>
      </c>
      <c r="H13" s="10">
        <f>PĒC!H13-PIRMS!H13</f>
        <v>0</v>
      </c>
      <c r="I13" s="10">
        <f>PĒC!I13-PIRMS!I13</f>
        <v>-145258.89378000004</v>
      </c>
      <c r="J13" s="10">
        <f>PĒC!J13-PIRMS!J13</f>
        <v>-99260.244082999998</v>
      </c>
      <c r="K13" s="10">
        <f>PĒC!K13-PIRMS!K13</f>
        <v>-101741.75018507498</v>
      </c>
      <c r="L13" s="10">
        <f>PĒC!L13-PIRMS!L13</f>
        <v>-104285.29393970186</v>
      </c>
      <c r="M13" s="11">
        <f>PĒC!M13-PIRMS!M13</f>
        <v>-106892.42628819443</v>
      </c>
    </row>
    <row r="14" spans="1:20" x14ac:dyDescent="0.2">
      <c r="A14" s="31"/>
      <c r="B14" s="9" t="s">
        <v>8</v>
      </c>
      <c r="C14" s="10">
        <f>PĒC!C14-PIRMS!C14</f>
        <v>0</v>
      </c>
      <c r="D14" s="10">
        <f>PĒC!D14-PIRMS!D14</f>
        <v>0</v>
      </c>
      <c r="E14" s="10">
        <f>PĒC!E14-PIRMS!E14</f>
        <v>0</v>
      </c>
      <c r="F14" s="10">
        <f>PĒC!F14-PIRMS!F14</f>
        <v>0</v>
      </c>
      <c r="G14" s="10">
        <f>PĒC!G14-PIRMS!G14</f>
        <v>0</v>
      </c>
      <c r="H14" s="10">
        <f>PĒC!H14-PIRMS!H14</f>
        <v>0</v>
      </c>
      <c r="I14" s="10">
        <f>PĒC!I14-PIRMS!I14</f>
        <v>-205665.87163609953</v>
      </c>
      <c r="J14" s="10">
        <f>PĒC!J14-PIRMS!J14</f>
        <v>-8699.9928239715518</v>
      </c>
      <c r="K14" s="10">
        <f>PĒC!K14-PIRMS!K14</f>
        <v>14405.180425845087</v>
      </c>
      <c r="L14" s="10">
        <f>PĒC!L14-PIRMS!L14</f>
        <v>26718.179885079502</v>
      </c>
      <c r="M14" s="11">
        <f>PĒC!M14-PIRMS!M14</f>
        <v>27386.134382206481</v>
      </c>
    </row>
    <row r="15" spans="1:20" x14ac:dyDescent="0.2">
      <c r="A15" s="31"/>
      <c r="B15" s="9" t="s">
        <v>9</v>
      </c>
      <c r="C15" s="12">
        <f>PĒC!C15-PIRMS!C15</f>
        <v>0</v>
      </c>
      <c r="D15" s="12">
        <f>PĒC!D15-PIRMS!D15</f>
        <v>0</v>
      </c>
      <c r="E15" s="12">
        <f>PĒC!E15-PIRMS!E15</f>
        <v>0</v>
      </c>
      <c r="F15" s="12">
        <f>PĒC!F15-PIRMS!F15</f>
        <v>0</v>
      </c>
      <c r="G15" s="12">
        <f>PĒC!G15-PIRMS!G15</f>
        <v>0</v>
      </c>
      <c r="H15" s="10">
        <f>PĒC!H15-PIRMS!H15</f>
        <v>0</v>
      </c>
      <c r="I15" s="10">
        <f>PĒC!I15-PIRMS!I15</f>
        <v>-30783.624543281156</v>
      </c>
      <c r="J15" s="10">
        <f>PĒC!J15-PIRMS!J15</f>
        <v>12929.122308178106</v>
      </c>
      <c r="K15" s="10">
        <f>PĒC!K15-PIRMS!K15</f>
        <v>13446.287200505147</v>
      </c>
      <c r="L15" s="10">
        <f>PĒC!L15-PIRMS!L15</f>
        <v>13984.138688525418</v>
      </c>
      <c r="M15" s="11">
        <f>PĒC!M15-PIRMS!M15</f>
        <v>14543.504236066365</v>
      </c>
    </row>
    <row r="16" spans="1:20" x14ac:dyDescent="0.2">
      <c r="A16" s="31"/>
      <c r="B16" s="9" t="s">
        <v>10</v>
      </c>
      <c r="C16" s="12">
        <f>PĒC!C16-PIRMS!C16</f>
        <v>0</v>
      </c>
      <c r="D16" s="12">
        <f>PĒC!D16-PIRMS!D16</f>
        <v>0</v>
      </c>
      <c r="E16" s="12">
        <f>PĒC!E16-PIRMS!E16</f>
        <v>0</v>
      </c>
      <c r="F16" s="12">
        <f>PĒC!F16-PIRMS!F16</f>
        <v>0</v>
      </c>
      <c r="G16" s="12">
        <f>PĒC!G16-PIRMS!G16</f>
        <v>0</v>
      </c>
      <c r="H16" s="10">
        <f>PĒC!H16-PIRMS!H16</f>
        <v>0</v>
      </c>
      <c r="I16" s="10">
        <f>PĒC!I16-PIRMS!I16</f>
        <v>-58043.013399999996</v>
      </c>
      <c r="J16" s="10">
        <f>PĒC!J16-PIRMS!J16</f>
        <v>-25797.635493999987</v>
      </c>
      <c r="K16" s="10">
        <f>PĒC!K16-PIRMS!K16</f>
        <v>-34442.576381349994</v>
      </c>
      <c r="L16" s="10">
        <f>PĒC!L16-PIRMS!L16</f>
        <v>-32178.640790883743</v>
      </c>
      <c r="M16" s="11">
        <f>PĒC!M16-PIRMS!M16</f>
        <v>-16491.553405327897</v>
      </c>
    </row>
    <row r="17" spans="1:17" x14ac:dyDescent="0.2">
      <c r="A17" s="31"/>
      <c r="B17" s="9"/>
      <c r="C17" s="12">
        <f>PĒC!C17-PIRMS!C17</f>
        <v>0</v>
      </c>
      <c r="D17" s="12">
        <f>PĒC!D17-PIRMS!D17</f>
        <v>0</v>
      </c>
      <c r="E17" s="12">
        <f>PĒC!E17-PIRMS!E17</f>
        <v>0</v>
      </c>
      <c r="F17" s="12">
        <f>PĒC!F17-PIRMS!F17</f>
        <v>0</v>
      </c>
      <c r="G17" s="12">
        <f>PĒC!G17-PIRMS!G17</f>
        <v>0</v>
      </c>
      <c r="H17" s="12">
        <f>PĒC!H17-PIRMS!H17</f>
        <v>0</v>
      </c>
      <c r="I17" s="12">
        <f>PĒC!I17-PIRMS!I17</f>
        <v>0</v>
      </c>
      <c r="J17" s="12">
        <f>PĒC!J17-PIRMS!J17</f>
        <v>0</v>
      </c>
      <c r="K17" s="12">
        <f>PĒC!K17-PIRMS!K17</f>
        <v>0</v>
      </c>
      <c r="L17" s="12">
        <f>PĒC!L17-PIRMS!L17</f>
        <v>0</v>
      </c>
      <c r="M17" s="13">
        <f>PĒC!M17-PIRMS!M17</f>
        <v>0</v>
      </c>
    </row>
    <row r="18" spans="1:17" ht="16" x14ac:dyDescent="0.2">
      <c r="A18" s="31"/>
      <c r="B18" s="14" t="s">
        <v>11</v>
      </c>
      <c r="C18" s="15">
        <f>PĒC!C18-PIRMS!C18</f>
        <v>0</v>
      </c>
      <c r="D18" s="15">
        <f>PĒC!D18-PIRMS!D18</f>
        <v>0</v>
      </c>
      <c r="E18" s="15">
        <f>PĒC!E18-PIRMS!E18</f>
        <v>0</v>
      </c>
      <c r="F18" s="15">
        <f>PĒC!F18-PIRMS!F18</f>
        <v>0</v>
      </c>
      <c r="G18" s="15">
        <f>PĒC!G18-PIRMS!G18</f>
        <v>0</v>
      </c>
      <c r="H18" s="15">
        <f>PĒC!H18-PIRMS!H18</f>
        <v>0</v>
      </c>
      <c r="I18" s="15">
        <f>PĒC!I18-PIRMS!I18</f>
        <v>523614.97685983591</v>
      </c>
      <c r="J18" s="15">
        <f>PĒC!J18-PIRMS!J18</f>
        <v>824194.1060258951</v>
      </c>
      <c r="K18" s="15">
        <f>PĒC!K18-PIRMS!K18</f>
        <v>838662.05817441549</v>
      </c>
      <c r="L18" s="15">
        <f>PĒC!L18-PIRMS!L18</f>
        <v>854103.94315120764</v>
      </c>
      <c r="M18" s="16">
        <f>PĒC!M18-PIRMS!M18</f>
        <v>868900.3199345218</v>
      </c>
    </row>
    <row r="19" spans="1:17" x14ac:dyDescent="0.2">
      <c r="A19" s="31"/>
      <c r="B19" s="17"/>
      <c r="C19" s="18">
        <f>PĒC!C19-PIRMS!C19</f>
        <v>0</v>
      </c>
      <c r="D19" s="18">
        <f>PĒC!D19-PIRMS!D19</f>
        <v>0</v>
      </c>
      <c r="E19" s="18">
        <f>PĒC!E19-PIRMS!E19</f>
        <v>0</v>
      </c>
      <c r="F19" s="18">
        <f>PĒC!F19-PIRMS!F19</f>
        <v>0</v>
      </c>
      <c r="G19" s="18">
        <f>PĒC!G19-PIRMS!G19</f>
        <v>0</v>
      </c>
      <c r="H19" s="18">
        <f>PĒC!H19-PIRMS!H19</f>
        <v>0</v>
      </c>
      <c r="I19" s="18">
        <f>PĒC!I19-PIRMS!I19</f>
        <v>0</v>
      </c>
      <c r="J19" s="18">
        <f>PĒC!J19-PIRMS!J19</f>
        <v>0</v>
      </c>
      <c r="K19" s="18">
        <f>PĒC!K19-PIRMS!K19</f>
        <v>0</v>
      </c>
      <c r="L19" s="18">
        <f>PĒC!L19-PIRMS!L19</f>
        <v>0</v>
      </c>
      <c r="M19" s="19">
        <f>PĒC!M19-PIRMS!M19</f>
        <v>0</v>
      </c>
    </row>
    <row r="20" spans="1:17" ht="16" x14ac:dyDescent="0.2">
      <c r="A20" s="31"/>
      <c r="B20" s="20" t="s">
        <v>95</v>
      </c>
      <c r="C20" s="7">
        <f>PĒC!C20-PIRMS!C20</f>
        <v>0</v>
      </c>
      <c r="D20" s="7">
        <f>PĒC!D20-PIRMS!D20</f>
        <v>0</v>
      </c>
      <c r="E20" s="7">
        <f>PĒC!E20-PIRMS!E20</f>
        <v>0</v>
      </c>
      <c r="F20" s="7">
        <f>PĒC!F20-PIRMS!F20</f>
        <v>0</v>
      </c>
      <c r="G20" s="7">
        <f>PĒC!G20-PIRMS!G20</f>
        <v>0</v>
      </c>
      <c r="H20" s="7">
        <f>PĒC!H20-PIRMS!H20</f>
        <v>0</v>
      </c>
      <c r="I20" s="7">
        <f>PĒC!I20-PIRMS!I20</f>
        <v>0</v>
      </c>
      <c r="J20" s="7">
        <f>PĒC!J20-PIRMS!J20</f>
        <v>0</v>
      </c>
      <c r="K20" s="7">
        <f>PĒC!K20-PIRMS!K20</f>
        <v>0</v>
      </c>
      <c r="L20" s="7">
        <f>PĒC!L20-PIRMS!L20</f>
        <v>0</v>
      </c>
      <c r="M20" s="8">
        <f>PĒC!M20-PIRMS!M20</f>
        <v>0</v>
      </c>
    </row>
    <row r="21" spans="1:17" x14ac:dyDescent="0.2">
      <c r="A21" s="31"/>
      <c r="B21" s="9" t="s">
        <v>157</v>
      </c>
      <c r="C21" s="10">
        <f>PĒC!C21-PIRMS!C21</f>
        <v>0</v>
      </c>
      <c r="D21" s="10">
        <f>PĒC!D21-PIRMS!D21</f>
        <v>0</v>
      </c>
      <c r="E21" s="10">
        <f>PĒC!E21-PIRMS!E21</f>
        <v>0</v>
      </c>
      <c r="F21" s="10">
        <f>PĒC!F21-PIRMS!F21</f>
        <v>0</v>
      </c>
      <c r="G21" s="10">
        <f>PĒC!G21-PIRMS!G21</f>
        <v>0</v>
      </c>
      <c r="H21" s="10">
        <f>PĒC!H21-PIRMS!H21</f>
        <v>0</v>
      </c>
      <c r="I21" s="10">
        <f>PĒC!I21-PIRMS!I21</f>
        <v>0</v>
      </c>
      <c r="J21" s="10">
        <f>PĒC!J21-PIRMS!J21</f>
        <v>0</v>
      </c>
      <c r="K21" s="10">
        <f>PĒC!K21-PIRMS!K21</f>
        <v>0</v>
      </c>
      <c r="L21" s="10">
        <f>PĒC!L21-PIRMS!L21</f>
        <v>0</v>
      </c>
      <c r="M21" s="11">
        <f>PĒC!M21-PIRMS!M21</f>
        <v>0</v>
      </c>
      <c r="O21" s="68"/>
    </row>
    <row r="22" spans="1:17" x14ac:dyDescent="0.2">
      <c r="A22" s="31"/>
      <c r="B22" s="9" t="s">
        <v>151</v>
      </c>
      <c r="C22" s="10">
        <f>PĒC!C22-PIRMS!C22</f>
        <v>0</v>
      </c>
      <c r="D22" s="10">
        <f>PĒC!D22-PIRMS!D22</f>
        <v>0</v>
      </c>
      <c r="E22" s="10">
        <f>PĒC!E22-PIRMS!E22</f>
        <v>0</v>
      </c>
      <c r="F22" s="10">
        <f>PĒC!F22-PIRMS!F22</f>
        <v>0</v>
      </c>
      <c r="G22" s="10">
        <f>PĒC!G22-PIRMS!G22</f>
        <v>0</v>
      </c>
      <c r="H22" s="10">
        <f>PĒC!H22-PIRMS!H22</f>
        <v>0</v>
      </c>
      <c r="I22" s="10">
        <f>PĒC!I22-PIRMS!I22</f>
        <v>0</v>
      </c>
      <c r="J22" s="10">
        <f>PĒC!J22-PIRMS!J22</f>
        <v>0</v>
      </c>
      <c r="K22" s="10">
        <f>PĒC!K22-PIRMS!K22</f>
        <v>0</v>
      </c>
      <c r="L22" s="10">
        <f>PĒC!L22-PIRMS!L22</f>
        <v>0</v>
      </c>
      <c r="M22" s="11">
        <f>PĒC!M22-PIRMS!M22</f>
        <v>0</v>
      </c>
      <c r="O22" s="68"/>
    </row>
    <row r="23" spans="1:17" ht="16" x14ac:dyDescent="0.2">
      <c r="A23" s="31"/>
      <c r="B23" s="69" t="s">
        <v>111</v>
      </c>
      <c r="C23" s="70">
        <f>PĒC!C23-PIRMS!C23</f>
        <v>0</v>
      </c>
      <c r="D23" s="70">
        <f>PĒC!D23-PIRMS!D23</f>
        <v>0</v>
      </c>
      <c r="E23" s="70">
        <f>PĒC!E23-PIRMS!E23</f>
        <v>0</v>
      </c>
      <c r="F23" s="70">
        <f>PĒC!F23-PIRMS!F23</f>
        <v>0</v>
      </c>
      <c r="G23" s="70">
        <f>PĒC!G23-PIRMS!G23</f>
        <v>0</v>
      </c>
      <c r="H23" s="35">
        <f>PĒC!H23-PIRMS!H23</f>
        <v>0</v>
      </c>
      <c r="I23" s="35">
        <f>PĒC!I23-PIRMS!I23</f>
        <v>0</v>
      </c>
      <c r="J23" s="35">
        <f>PĒC!J23-PIRMS!J23</f>
        <v>0</v>
      </c>
      <c r="K23" s="35">
        <f>PĒC!K23-PIRMS!K23</f>
        <v>0</v>
      </c>
      <c r="L23" s="35">
        <f>PĒC!L23-PIRMS!L23</f>
        <v>0</v>
      </c>
      <c r="M23" s="71">
        <f>PĒC!M23-PIRMS!M23</f>
        <v>0</v>
      </c>
      <c r="N23" s="68"/>
      <c r="O23" s="68"/>
      <c r="P23" s="68"/>
      <c r="Q23" s="68"/>
    </row>
    <row r="24" spans="1:17" x14ac:dyDescent="0.2">
      <c r="A24" s="31"/>
      <c r="B24" s="69"/>
      <c r="C24" s="70">
        <f>PĒC!C24-PIRMS!C24</f>
        <v>0</v>
      </c>
      <c r="D24" s="70">
        <f>PĒC!D24-PIRMS!D24</f>
        <v>0</v>
      </c>
      <c r="E24" s="70">
        <f>PĒC!E24-PIRMS!E24</f>
        <v>0</v>
      </c>
      <c r="F24" s="70">
        <f>PĒC!F24-PIRMS!F24</f>
        <v>0</v>
      </c>
      <c r="G24" s="70">
        <f>PĒC!G24-PIRMS!G24</f>
        <v>0</v>
      </c>
      <c r="H24" s="35">
        <f>PĒC!H24-PIRMS!H24</f>
        <v>0</v>
      </c>
      <c r="I24" s="35">
        <f>PĒC!I24-PIRMS!I24</f>
        <v>0</v>
      </c>
      <c r="J24" s="35">
        <f>PĒC!J24-PIRMS!J24</f>
        <v>0</v>
      </c>
      <c r="K24" s="35">
        <f>PĒC!K24-PIRMS!K24</f>
        <v>0</v>
      </c>
      <c r="L24" s="35">
        <f>PĒC!L24-PIRMS!L24</f>
        <v>0</v>
      </c>
      <c r="M24" s="71">
        <f>PĒC!M24-PIRMS!M24</f>
        <v>0</v>
      </c>
      <c r="N24" s="68"/>
      <c r="O24" s="68"/>
      <c r="P24" s="68"/>
      <c r="Q24" s="68"/>
    </row>
    <row r="25" spans="1:17" x14ac:dyDescent="0.2">
      <c r="A25" s="31"/>
      <c r="B25" s="6" t="s">
        <v>12</v>
      </c>
      <c r="C25" s="7">
        <f>PĒC!C25-PIRMS!C25</f>
        <v>0</v>
      </c>
      <c r="D25" s="7">
        <f>PĒC!D25-PIRMS!D25</f>
        <v>0</v>
      </c>
      <c r="E25" s="7">
        <f>PĒC!E25-PIRMS!E25</f>
        <v>0</v>
      </c>
      <c r="F25" s="7">
        <f>PĒC!F25-PIRMS!F25</f>
        <v>0</v>
      </c>
      <c r="G25" s="7">
        <f>PĒC!G25-PIRMS!G25</f>
        <v>0</v>
      </c>
      <c r="H25" s="7">
        <f>PĒC!H25-PIRMS!H25</f>
        <v>0</v>
      </c>
      <c r="I25" s="7">
        <f>PĒC!I25-PIRMS!I25</f>
        <v>-62178.609173999866</v>
      </c>
      <c r="J25" s="7">
        <f>PĒC!J25-PIRMS!J25</f>
        <v>-11370.335018350044</v>
      </c>
      <c r="K25" s="7">
        <f>PĒC!K25-PIRMS!K25</f>
        <v>-11654.593393808929</v>
      </c>
      <c r="L25" s="7">
        <f>PĒC!L25-PIRMS!L25</f>
        <v>-11945.958228653995</v>
      </c>
      <c r="M25" s="8">
        <f>PĒC!M25-PIRMS!M25</f>
        <v>-12244.607184370281</v>
      </c>
    </row>
    <row r="26" spans="1:17" x14ac:dyDescent="0.2">
      <c r="A26" s="31"/>
      <c r="B26" s="23" t="s">
        <v>13</v>
      </c>
      <c r="C26" s="10">
        <f>PĒC!C26-PIRMS!C26</f>
        <v>0</v>
      </c>
      <c r="D26" s="10">
        <f>PĒC!D26-PIRMS!D26</f>
        <v>0</v>
      </c>
      <c r="E26" s="10">
        <f>PĒC!E26-PIRMS!E26</f>
        <v>0</v>
      </c>
      <c r="F26" s="10">
        <f>PĒC!F26-PIRMS!F26</f>
        <v>0</v>
      </c>
      <c r="G26" s="10">
        <f>PĒC!G26-PIRMS!G26</f>
        <v>0</v>
      </c>
      <c r="H26" s="10">
        <f>PĒC!H26-PIRMS!H26</f>
        <v>0</v>
      </c>
      <c r="I26" s="10">
        <f>PĒC!I26-PIRMS!I26</f>
        <v>0</v>
      </c>
      <c r="J26" s="10">
        <f>PĒC!J26-PIRMS!J26</f>
        <v>0</v>
      </c>
      <c r="K26" s="10">
        <f>PĒC!K26-PIRMS!K26</f>
        <v>0</v>
      </c>
      <c r="L26" s="10">
        <f>PĒC!L26-PIRMS!L26</f>
        <v>0</v>
      </c>
      <c r="M26" s="11">
        <f>PĒC!M26-PIRMS!M26</f>
        <v>0</v>
      </c>
    </row>
    <row r="27" spans="1:17" x14ac:dyDescent="0.2">
      <c r="A27" s="31"/>
      <c r="B27" s="23" t="s">
        <v>14</v>
      </c>
      <c r="C27" s="10">
        <f>PĒC!C27-PIRMS!C27</f>
        <v>0</v>
      </c>
      <c r="D27" s="10">
        <f>PĒC!D27-PIRMS!D27</f>
        <v>0</v>
      </c>
      <c r="E27" s="10">
        <f>PĒC!E27-PIRMS!E27</f>
        <v>0</v>
      </c>
      <c r="F27" s="10">
        <f>PĒC!F27-PIRMS!F27</f>
        <v>0</v>
      </c>
      <c r="G27" s="10">
        <f>PĒC!G27-PIRMS!G27</f>
        <v>0</v>
      </c>
      <c r="H27" s="10">
        <f>PĒC!H27-PIRMS!H27</f>
        <v>0</v>
      </c>
      <c r="I27" s="10">
        <f>PĒC!I27-PIRMS!I27</f>
        <v>-32114.409624000022</v>
      </c>
      <c r="J27" s="10">
        <f>PĒC!J27-PIRMS!J27</f>
        <v>-21642.269864600006</v>
      </c>
      <c r="K27" s="10">
        <f>PĒC!K27-PIRMS!K27</f>
        <v>-22183.326611214987</v>
      </c>
      <c r="L27" s="10">
        <f>PĒC!L27-PIRMS!L27</f>
        <v>-22737.909776495362</v>
      </c>
      <c r="M27" s="11">
        <f>PĒC!M27-PIRMS!M27</f>
        <v>-23306.357520907768</v>
      </c>
    </row>
    <row r="28" spans="1:17" ht="16" x14ac:dyDescent="0.2">
      <c r="A28" s="31"/>
      <c r="B28" s="24" t="s">
        <v>15</v>
      </c>
      <c r="C28" s="12">
        <f>PĒC!C28-PIRMS!C28</f>
        <v>0</v>
      </c>
      <c r="D28" s="12">
        <f>PĒC!D28-PIRMS!D28</f>
        <v>0</v>
      </c>
      <c r="E28" s="12">
        <f>PĒC!E28-PIRMS!E28</f>
        <v>0</v>
      </c>
      <c r="F28" s="12">
        <f>PĒC!F28-PIRMS!F28</f>
        <v>0</v>
      </c>
      <c r="G28" s="12">
        <f>PĒC!G28-PIRMS!G28</f>
        <v>0</v>
      </c>
      <c r="H28" s="10">
        <f>PĒC!H28-PIRMS!H28</f>
        <v>0</v>
      </c>
      <c r="I28" s="10">
        <f>PĒC!I28-PIRMS!I28</f>
        <v>-30064.199550000019</v>
      </c>
      <c r="J28" s="10">
        <f>PĒC!J28-PIRMS!J28</f>
        <v>10271.934846249991</v>
      </c>
      <c r="K28" s="10">
        <f>PĒC!K28-PIRMS!K28</f>
        <v>10528.733217406261</v>
      </c>
      <c r="L28" s="10">
        <f>PĒC!L28-PIRMS!L28</f>
        <v>10791.951547841396</v>
      </c>
      <c r="M28" s="11">
        <f>PĒC!M28-PIRMS!M28</f>
        <v>11061.750336537429</v>
      </c>
    </row>
    <row r="29" spans="1:17" x14ac:dyDescent="0.2">
      <c r="A29" s="31"/>
      <c r="B29" s="24"/>
      <c r="C29" s="12">
        <f>PĒC!C29-PIRMS!C29</f>
        <v>0</v>
      </c>
      <c r="D29" s="12">
        <f>PĒC!D29-PIRMS!D29</f>
        <v>0</v>
      </c>
      <c r="E29" s="12">
        <f>PĒC!E29-PIRMS!E29</f>
        <v>0</v>
      </c>
      <c r="F29" s="12">
        <f>PĒC!F29-PIRMS!F29</f>
        <v>0</v>
      </c>
      <c r="G29" s="12">
        <f>PĒC!G29-PIRMS!G29</f>
        <v>0</v>
      </c>
      <c r="H29" s="12">
        <f>PĒC!H29-PIRMS!H29</f>
        <v>0</v>
      </c>
      <c r="I29" s="12">
        <f>PĒC!I29-PIRMS!I29</f>
        <v>0</v>
      </c>
      <c r="J29" s="12">
        <f>PĒC!J29-PIRMS!J29</f>
        <v>0</v>
      </c>
      <c r="K29" s="12">
        <f>PĒC!K29-PIRMS!K29</f>
        <v>0</v>
      </c>
      <c r="L29" s="12">
        <f>PĒC!L29-PIRMS!L29</f>
        <v>0</v>
      </c>
      <c r="M29" s="13">
        <f>PĒC!M29-PIRMS!M29</f>
        <v>0</v>
      </c>
    </row>
    <row r="30" spans="1:17" ht="16" x14ac:dyDescent="0.2">
      <c r="A30" s="31"/>
      <c r="B30" s="20" t="s">
        <v>16</v>
      </c>
      <c r="C30" s="21">
        <f>PĒC!C30-PIRMS!C30</f>
        <v>0</v>
      </c>
      <c r="D30" s="21">
        <f>PĒC!D30-PIRMS!D30</f>
        <v>0</v>
      </c>
      <c r="E30" s="21">
        <f>PĒC!E30-PIRMS!E30</f>
        <v>0</v>
      </c>
      <c r="F30" s="21">
        <f>PĒC!F30-PIRMS!F30</f>
        <v>0</v>
      </c>
      <c r="G30" s="21">
        <f>PĒC!G30-PIRMS!G30</f>
        <v>0</v>
      </c>
      <c r="H30" s="21">
        <f>PĒC!H30-PIRMS!H30</f>
        <v>0</v>
      </c>
      <c r="I30" s="21">
        <f>PĒC!I30-PIRMS!I30</f>
        <v>585793.58603383577</v>
      </c>
      <c r="J30" s="21">
        <f>PĒC!J30-PIRMS!J30</f>
        <v>835564.44104424515</v>
      </c>
      <c r="K30" s="21">
        <f>PĒC!K30-PIRMS!K30</f>
        <v>850316.65156822442</v>
      </c>
      <c r="L30" s="21">
        <f>PĒC!L30-PIRMS!L30</f>
        <v>866049.90137986164</v>
      </c>
      <c r="M30" s="22">
        <f>PĒC!M30-PIRMS!M30</f>
        <v>881144.92711889208</v>
      </c>
    </row>
    <row r="31" spans="1:17" x14ac:dyDescent="0.2">
      <c r="A31" s="31"/>
      <c r="B31" s="24"/>
      <c r="C31" s="12">
        <f>PĒC!C31-PIRMS!C31</f>
        <v>0</v>
      </c>
      <c r="D31" s="12">
        <f>PĒC!D31-PIRMS!D31</f>
        <v>0</v>
      </c>
      <c r="E31" s="12">
        <f>PĒC!E31-PIRMS!E31</f>
        <v>0</v>
      </c>
      <c r="F31" s="12">
        <f>PĒC!F31-PIRMS!F31</f>
        <v>0</v>
      </c>
      <c r="G31" s="12">
        <f>PĒC!G31-PIRMS!G31</f>
        <v>0</v>
      </c>
      <c r="H31" s="12">
        <f>PĒC!H31-PIRMS!H31</f>
        <v>0</v>
      </c>
      <c r="I31" s="12">
        <f>PĒC!I31-PIRMS!I31</f>
        <v>0</v>
      </c>
      <c r="J31" s="12">
        <f>PĒC!J31-PIRMS!J31</f>
        <v>0</v>
      </c>
      <c r="K31" s="12">
        <f>PĒC!K31-PIRMS!K31</f>
        <v>0</v>
      </c>
      <c r="L31" s="12">
        <f>PĒC!L31-PIRMS!L31</f>
        <v>0</v>
      </c>
      <c r="M31" s="13">
        <f>PĒC!M31-PIRMS!M31</f>
        <v>0</v>
      </c>
    </row>
    <row r="32" spans="1:17" ht="16" x14ac:dyDescent="0.2">
      <c r="A32" s="31"/>
      <c r="B32" s="24" t="s">
        <v>17</v>
      </c>
      <c r="C32" s="12">
        <f>PĒC!C32-PIRMS!C32</f>
        <v>0</v>
      </c>
      <c r="D32" s="12">
        <f>PĒC!D32-PIRMS!D32</f>
        <v>0</v>
      </c>
      <c r="E32" s="12">
        <f>PĒC!E32-PIRMS!E32</f>
        <v>0</v>
      </c>
      <c r="F32" s="12">
        <f>PĒC!F32-PIRMS!F32</f>
        <v>0</v>
      </c>
      <c r="G32" s="12">
        <f>PĒC!G32-PIRMS!G32</f>
        <v>0</v>
      </c>
      <c r="H32" s="35">
        <f>PĒC!H32-PIRMS!H32</f>
        <v>0</v>
      </c>
      <c r="I32" s="35">
        <f>PĒC!I32-PIRMS!I32</f>
        <v>589125.92879999988</v>
      </c>
      <c r="J32" s="35">
        <f>PĒC!J32-PIRMS!J32</f>
        <v>824527.41760000004</v>
      </c>
      <c r="K32" s="35">
        <f>PĒC!K32-PIRMS!K32</f>
        <v>836078.90639999998</v>
      </c>
      <c r="L32" s="35">
        <f>PĒC!L32-PIRMS!L32</f>
        <v>847630.39519999991</v>
      </c>
      <c r="M32" s="71">
        <f>PĒC!M32-PIRMS!M32</f>
        <v>859181.88399999985</v>
      </c>
    </row>
    <row r="33" spans="1:13" x14ac:dyDescent="0.2">
      <c r="A33" s="31"/>
      <c r="B33" s="24"/>
      <c r="C33" s="12">
        <f>PĒC!C33-PIRMS!C33</f>
        <v>0</v>
      </c>
      <c r="D33" s="12">
        <f>PĒC!D33-PIRMS!D33</f>
        <v>0</v>
      </c>
      <c r="E33" s="12">
        <f>PĒC!E33-PIRMS!E33</f>
        <v>0</v>
      </c>
      <c r="F33" s="12">
        <f>PĒC!F33-PIRMS!F33</f>
        <v>0</v>
      </c>
      <c r="G33" s="12">
        <f>PĒC!G33-PIRMS!G33</f>
        <v>0</v>
      </c>
      <c r="H33" s="12">
        <f>PĒC!H33-PIRMS!H33</f>
        <v>0</v>
      </c>
      <c r="I33" s="12">
        <f>PĒC!I33-PIRMS!I33</f>
        <v>0</v>
      </c>
      <c r="J33" s="12">
        <f>PĒC!J33-PIRMS!J33</f>
        <v>0</v>
      </c>
      <c r="K33" s="12">
        <f>PĒC!K33-PIRMS!K33</f>
        <v>0</v>
      </c>
      <c r="L33" s="12">
        <f>PĒC!L33-PIRMS!L33</f>
        <v>0</v>
      </c>
      <c r="M33" s="13">
        <f>PĒC!M33-PIRMS!M33</f>
        <v>0</v>
      </c>
    </row>
    <row r="34" spans="1:13" ht="16" x14ac:dyDescent="0.2">
      <c r="A34" s="31"/>
      <c r="B34" s="20" t="s">
        <v>18</v>
      </c>
      <c r="C34" s="21">
        <f>PĒC!C34-PIRMS!C34</f>
        <v>0</v>
      </c>
      <c r="D34" s="21">
        <f>PĒC!D34-PIRMS!D34</f>
        <v>0</v>
      </c>
      <c r="E34" s="21">
        <f>PĒC!E34-PIRMS!E34</f>
        <v>0</v>
      </c>
      <c r="F34" s="21">
        <f>PĒC!F34-PIRMS!F34</f>
        <v>0</v>
      </c>
      <c r="G34" s="21">
        <f>PĒC!G34-PIRMS!G34</f>
        <v>0</v>
      </c>
      <c r="H34" s="21">
        <f>PĒC!H34-PIRMS!H34</f>
        <v>0</v>
      </c>
      <c r="I34" s="21">
        <f>PĒC!I34-PIRMS!I34</f>
        <v>-3332.3427661641617</v>
      </c>
      <c r="J34" s="21">
        <f>PĒC!J34-PIRMS!J34</f>
        <v>11037.023444245104</v>
      </c>
      <c r="K34" s="21">
        <f>PĒC!K34-PIRMS!K34</f>
        <v>14237.745168224443</v>
      </c>
      <c r="L34" s="21">
        <f>PĒC!L34-PIRMS!L34</f>
        <v>18419.506179861724</v>
      </c>
      <c r="M34" s="22">
        <f>PĒC!M34-PIRMS!M34</f>
        <v>21963.043118892296</v>
      </c>
    </row>
    <row r="35" spans="1:13" x14ac:dyDescent="0.2">
      <c r="A35" s="31"/>
      <c r="B35" s="24"/>
      <c r="C35" s="12">
        <f>PĒC!C35-PIRMS!C35</f>
        <v>0</v>
      </c>
      <c r="D35" s="12">
        <f>PĒC!D35-PIRMS!D35</f>
        <v>0</v>
      </c>
      <c r="E35" s="12">
        <f>PĒC!E35-PIRMS!E35</f>
        <v>0</v>
      </c>
      <c r="F35" s="12">
        <f>PĒC!F35-PIRMS!F35</f>
        <v>0</v>
      </c>
      <c r="G35" s="12">
        <f>PĒC!G35-PIRMS!G35</f>
        <v>0</v>
      </c>
      <c r="H35" s="12">
        <f>PĒC!H35-PIRMS!H35</f>
        <v>0</v>
      </c>
      <c r="I35" s="12">
        <f>PĒC!I35-PIRMS!I35</f>
        <v>0</v>
      </c>
      <c r="J35" s="12">
        <f>PĒC!J35-PIRMS!J35</f>
        <v>0</v>
      </c>
      <c r="K35" s="12">
        <f>PĒC!K35-PIRMS!K35</f>
        <v>0</v>
      </c>
      <c r="L35" s="12">
        <f>PĒC!L35-PIRMS!L35</f>
        <v>0</v>
      </c>
      <c r="M35" s="13">
        <f>PĒC!M35-PIRMS!M35</f>
        <v>0</v>
      </c>
    </row>
    <row r="36" spans="1:13" ht="16" x14ac:dyDescent="0.2">
      <c r="A36" s="31"/>
      <c r="B36" s="24" t="s">
        <v>19</v>
      </c>
      <c r="C36" s="12">
        <f>PĒC!C36-PIRMS!C36</f>
        <v>0</v>
      </c>
      <c r="D36" s="12">
        <f>PĒC!D36-PIRMS!D36</f>
        <v>0</v>
      </c>
      <c r="E36" s="12">
        <f>PĒC!E36-PIRMS!E36</f>
        <v>0</v>
      </c>
      <c r="F36" s="12">
        <f>PĒC!F36-PIRMS!F36</f>
        <v>0</v>
      </c>
      <c r="G36" s="12">
        <f>PĒC!G36-PIRMS!G36</f>
        <v>0</v>
      </c>
      <c r="H36" s="35">
        <f>PĒC!H36-PIRMS!H36</f>
        <v>0</v>
      </c>
      <c r="I36" s="35">
        <f>PĒC!I36-PIRMS!I36</f>
        <v>0</v>
      </c>
      <c r="J36" s="35">
        <f>PĒC!J36-PIRMS!J36</f>
        <v>0</v>
      </c>
      <c r="K36" s="35">
        <f>PĒC!K36-PIRMS!K36</f>
        <v>0</v>
      </c>
      <c r="L36" s="35">
        <f>PĒC!L36-PIRMS!L36</f>
        <v>0</v>
      </c>
      <c r="M36" s="71">
        <f>PĒC!M36-PIRMS!M36</f>
        <v>0</v>
      </c>
    </row>
    <row r="37" spans="1:13" x14ac:dyDescent="0.2">
      <c r="A37" s="31"/>
      <c r="B37" s="24"/>
      <c r="C37" s="12">
        <f>PĒC!C37-PIRMS!C37</f>
        <v>0</v>
      </c>
      <c r="D37" s="12">
        <f>PĒC!D37-PIRMS!D37</f>
        <v>0</v>
      </c>
      <c r="E37" s="12">
        <f>PĒC!E37-PIRMS!E37</f>
        <v>0</v>
      </c>
      <c r="F37" s="12">
        <f>PĒC!F37-PIRMS!F37</f>
        <v>0</v>
      </c>
      <c r="G37" s="12">
        <f>PĒC!G37-PIRMS!G37</f>
        <v>0</v>
      </c>
      <c r="H37" s="12">
        <f>PĒC!H37-PIRMS!H37</f>
        <v>0</v>
      </c>
      <c r="I37" s="12">
        <f>PĒC!I37-PIRMS!I37</f>
        <v>0</v>
      </c>
      <c r="J37" s="12">
        <f>PĒC!J37-PIRMS!J37</f>
        <v>0</v>
      </c>
      <c r="K37" s="12">
        <f>PĒC!K37-PIRMS!K37</f>
        <v>0</v>
      </c>
      <c r="L37" s="12">
        <f>PĒC!L37-PIRMS!L37</f>
        <v>0</v>
      </c>
      <c r="M37" s="13">
        <f>PĒC!M37-PIRMS!M37</f>
        <v>0</v>
      </c>
    </row>
    <row r="38" spans="1:13" ht="16" x14ac:dyDescent="0.2">
      <c r="A38" s="31"/>
      <c r="B38" s="20" t="s">
        <v>20</v>
      </c>
      <c r="C38" s="21">
        <f>PĒC!C38-PIRMS!C38</f>
        <v>0</v>
      </c>
      <c r="D38" s="21">
        <f>PĒC!D38-PIRMS!D38</f>
        <v>0</v>
      </c>
      <c r="E38" s="21">
        <f>PĒC!E38-PIRMS!E38</f>
        <v>0</v>
      </c>
      <c r="F38" s="21">
        <f>PĒC!F38-PIRMS!F38</f>
        <v>0</v>
      </c>
      <c r="G38" s="21">
        <f>PĒC!G38-PIRMS!G38</f>
        <v>0</v>
      </c>
      <c r="H38" s="21">
        <f>PĒC!H38-PIRMS!H38</f>
        <v>0</v>
      </c>
      <c r="I38" s="21">
        <f>PĒC!I38-PIRMS!I38</f>
        <v>-3332.3427661641617</v>
      </c>
      <c r="J38" s="21">
        <f>PĒC!J38-PIRMS!J38</f>
        <v>11037.023444245104</v>
      </c>
      <c r="K38" s="21">
        <f>PĒC!K38-PIRMS!K38</f>
        <v>14237.745168224443</v>
      </c>
      <c r="L38" s="21">
        <f>PĒC!L38-PIRMS!L38</f>
        <v>18419.506179861724</v>
      </c>
      <c r="M38" s="22">
        <f>PĒC!M38-PIRMS!M38</f>
        <v>21963.043118892296</v>
      </c>
    </row>
    <row r="39" spans="1:13" x14ac:dyDescent="0.2">
      <c r="A39" s="31"/>
      <c r="B39" s="17"/>
      <c r="C39" s="12">
        <f>PĒC!C39-PIRMS!C39</f>
        <v>0</v>
      </c>
      <c r="D39" s="12">
        <f>PĒC!D39-PIRMS!D39</f>
        <v>0</v>
      </c>
      <c r="E39" s="12">
        <f>PĒC!E39-PIRMS!E39</f>
        <v>0</v>
      </c>
      <c r="F39" s="12">
        <f>PĒC!F39-PIRMS!F39</f>
        <v>0</v>
      </c>
      <c r="G39" s="12">
        <f>PĒC!G39-PIRMS!G39</f>
        <v>0</v>
      </c>
      <c r="H39" s="12">
        <f>PĒC!H39-PIRMS!H39</f>
        <v>0</v>
      </c>
      <c r="I39" s="12">
        <f>PĒC!I39-PIRMS!I39</f>
        <v>0</v>
      </c>
      <c r="J39" s="12">
        <f>PĒC!J39-PIRMS!J39</f>
        <v>0</v>
      </c>
      <c r="K39" s="12">
        <f>PĒC!K39-PIRMS!K39</f>
        <v>0</v>
      </c>
      <c r="L39" s="12">
        <f>PĒC!L39-PIRMS!L39</f>
        <v>0</v>
      </c>
      <c r="M39" s="13">
        <f>PĒC!M39-PIRMS!M39</f>
        <v>0</v>
      </c>
    </row>
    <row r="40" spans="1:13" ht="16" x14ac:dyDescent="0.2">
      <c r="A40" s="31"/>
      <c r="B40" s="24" t="s">
        <v>21</v>
      </c>
      <c r="C40" s="12">
        <f>PĒC!C40-PIRMS!C40</f>
        <v>0</v>
      </c>
      <c r="D40" s="12">
        <f>PĒC!D40-PIRMS!D40</f>
        <v>0</v>
      </c>
      <c r="E40" s="12">
        <f>PĒC!E40-PIRMS!E40</f>
        <v>0</v>
      </c>
      <c r="F40" s="12">
        <f>PĒC!F40-PIRMS!F40</f>
        <v>0</v>
      </c>
      <c r="G40" s="12">
        <f>PĒC!G40-PIRMS!G40</f>
        <v>0</v>
      </c>
      <c r="H40" s="35">
        <f>PĒC!H40-PIRMS!H40</f>
        <v>0</v>
      </c>
      <c r="I40" s="35">
        <f>PĒC!I40-PIRMS!I40</f>
        <v>0</v>
      </c>
      <c r="J40" s="35">
        <f>PĒC!J40-PIRMS!J40</f>
        <v>0</v>
      </c>
      <c r="K40" s="35">
        <f>PĒC!K40-PIRMS!K40</f>
        <v>0</v>
      </c>
      <c r="L40" s="35">
        <f>PĒC!L40-PIRMS!L40</f>
        <v>0</v>
      </c>
      <c r="M40" s="71">
        <f>PĒC!M40-PIRMS!M40</f>
        <v>0</v>
      </c>
    </row>
    <row r="41" spans="1:13" x14ac:dyDescent="0.2">
      <c r="A41" s="31"/>
      <c r="B41" s="24"/>
      <c r="C41" s="12">
        <f>PĒC!C41-PIRMS!C41</f>
        <v>0</v>
      </c>
      <c r="D41" s="12">
        <f>PĒC!D41-PIRMS!D41</f>
        <v>0</v>
      </c>
      <c r="E41" s="12">
        <f>PĒC!E41-PIRMS!E41</f>
        <v>0</v>
      </c>
      <c r="F41" s="12">
        <f>PĒC!F41-PIRMS!F41</f>
        <v>0</v>
      </c>
      <c r="G41" s="12">
        <f>PĒC!G41-PIRMS!G41</f>
        <v>0</v>
      </c>
      <c r="H41" s="12">
        <f>PĒC!H41-PIRMS!H41</f>
        <v>0</v>
      </c>
      <c r="I41" s="12">
        <f>PĒC!I41-PIRMS!I41</f>
        <v>0</v>
      </c>
      <c r="J41" s="12">
        <f>PĒC!J41-PIRMS!J41</f>
        <v>0</v>
      </c>
      <c r="K41" s="12">
        <f>PĒC!K41-PIRMS!K41</f>
        <v>0</v>
      </c>
      <c r="L41" s="12">
        <f>PĒC!L41-PIRMS!L41</f>
        <v>0</v>
      </c>
      <c r="M41" s="13">
        <f>PĒC!M41-PIRMS!M41</f>
        <v>0</v>
      </c>
    </row>
    <row r="42" spans="1:13" ht="16" x14ac:dyDescent="0.2">
      <c r="A42" s="31"/>
      <c r="B42" s="25" t="s">
        <v>41</v>
      </c>
      <c r="C42" s="26">
        <f>PĒC!C42-PIRMS!C42</f>
        <v>0</v>
      </c>
      <c r="D42" s="26">
        <f>PĒC!D42-PIRMS!D42</f>
        <v>0</v>
      </c>
      <c r="E42" s="26">
        <f>PĒC!E42-PIRMS!E42</f>
        <v>0</v>
      </c>
      <c r="F42" s="26">
        <f>PĒC!F42-PIRMS!F42</f>
        <v>0</v>
      </c>
      <c r="G42" s="26">
        <f>PĒC!G42-PIRMS!G42</f>
        <v>0</v>
      </c>
      <c r="H42" s="26">
        <f>PĒC!H42-PIRMS!H42</f>
        <v>0</v>
      </c>
      <c r="I42" s="26">
        <f>PĒC!I42-PIRMS!I42</f>
        <v>-3332.3427661641617</v>
      </c>
      <c r="J42" s="26">
        <f>PĒC!J42-PIRMS!J42</f>
        <v>11037.023444245104</v>
      </c>
      <c r="K42" s="26">
        <f>PĒC!K42-PIRMS!K42</f>
        <v>14237.745168224443</v>
      </c>
      <c r="L42" s="26">
        <f>PĒC!L42-PIRMS!L42</f>
        <v>18419.506179861724</v>
      </c>
      <c r="M42" s="27">
        <f>PĒC!M42-PIRMS!M42</f>
        <v>21963.043118892296</v>
      </c>
    </row>
    <row r="43" spans="1:13" x14ac:dyDescent="0.2">
      <c r="A43" s="31"/>
      <c r="B43" s="2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</row>
    <row r="44" spans="1:13" x14ac:dyDescent="0.2">
      <c r="A44" s="31"/>
      <c r="B44" s="30"/>
      <c r="C44" s="30"/>
      <c r="D44" s="30"/>
      <c r="E44" s="30"/>
      <c r="F44" s="30"/>
      <c r="G44" s="31"/>
      <c r="H44" s="31"/>
      <c r="I44" s="31"/>
      <c r="J44" s="31"/>
      <c r="K44" s="31"/>
      <c r="L44" s="31"/>
      <c r="M44" s="31"/>
    </row>
    <row r="45" spans="1:13" x14ac:dyDescent="0.2">
      <c r="A45" s="31"/>
      <c r="B45" s="85" t="s">
        <v>22</v>
      </c>
      <c r="C45" s="86" t="str">
        <f>C5</f>
        <v xml:space="preserve"> F 2018</v>
      </c>
      <c r="D45" s="86" t="str">
        <f>D5</f>
        <v xml:space="preserve"> F 2019</v>
      </c>
      <c r="E45" s="86" t="str">
        <f>E5</f>
        <v xml:space="preserve"> F 2020</v>
      </c>
      <c r="F45" s="86" t="str">
        <f t="shared" ref="F45:M45" si="0">F5</f>
        <v xml:space="preserve"> F 2021</v>
      </c>
      <c r="G45" s="86" t="str">
        <f t="shared" si="0"/>
        <v xml:space="preserve"> F 2022</v>
      </c>
      <c r="H45" s="189" t="str">
        <f t="shared" si="0"/>
        <v xml:space="preserve"> P 2023</v>
      </c>
      <c r="I45" s="86" t="str">
        <f t="shared" si="0"/>
        <v xml:space="preserve"> P 2024</v>
      </c>
      <c r="J45" s="86" t="str">
        <f t="shared" si="0"/>
        <v xml:space="preserve"> P 2025</v>
      </c>
      <c r="K45" s="86" t="str">
        <f t="shared" si="0"/>
        <v xml:space="preserve"> P 2026</v>
      </c>
      <c r="L45" s="86" t="str">
        <f t="shared" si="0"/>
        <v xml:space="preserve"> P 2027</v>
      </c>
      <c r="M45" s="87" t="str">
        <f t="shared" si="0"/>
        <v xml:space="preserve"> P 2028</v>
      </c>
    </row>
    <row r="46" spans="1:13" x14ac:dyDescent="0.2">
      <c r="A46" s="31"/>
      <c r="B46" s="32" t="s">
        <v>23</v>
      </c>
      <c r="C46" s="33"/>
      <c r="D46" s="33"/>
      <c r="E46" s="33"/>
      <c r="F46" s="33"/>
      <c r="G46" s="34"/>
      <c r="H46" s="228"/>
      <c r="I46" s="229"/>
      <c r="J46" s="229"/>
      <c r="K46" s="229"/>
      <c r="L46" s="229"/>
      <c r="M46" s="230"/>
    </row>
    <row r="47" spans="1:13" x14ac:dyDescent="0.2">
      <c r="A47" s="31"/>
      <c r="B47" s="9" t="s">
        <v>24</v>
      </c>
      <c r="C47" s="35">
        <f>PĒC!C47-PIRMS!C47</f>
        <v>0</v>
      </c>
      <c r="D47" s="35">
        <f>PĒC!D47-PIRMS!D47</f>
        <v>0</v>
      </c>
      <c r="E47" s="35">
        <f>PĒC!E47-PIRMS!E47</f>
        <v>0</v>
      </c>
      <c r="F47" s="35">
        <f>PĒC!F47-PIRMS!F47</f>
        <v>0</v>
      </c>
      <c r="G47" s="10">
        <f>PĒC!G47-PIRMS!G47</f>
        <v>0</v>
      </c>
      <c r="H47" s="190">
        <f>PĒC!H47-PIRMS!H47</f>
        <v>0</v>
      </c>
      <c r="I47" s="10">
        <f>PĒC!I47-PIRMS!I47</f>
        <v>0</v>
      </c>
      <c r="J47" s="10">
        <f>PĒC!J47-PIRMS!J47</f>
        <v>0</v>
      </c>
      <c r="K47" s="10">
        <f>PĒC!K47-PIRMS!K47</f>
        <v>0</v>
      </c>
      <c r="L47" s="10">
        <f>PĒC!L47-PIRMS!L47</f>
        <v>0</v>
      </c>
      <c r="M47" s="11">
        <f>PĒC!M47-PIRMS!M47</f>
        <v>0</v>
      </c>
    </row>
    <row r="48" spans="1:13" x14ac:dyDescent="0.2">
      <c r="A48" s="31"/>
      <c r="B48" s="9" t="s">
        <v>152</v>
      </c>
      <c r="C48" s="18">
        <f>PĒC!C48-PIRMS!C48</f>
        <v>0</v>
      </c>
      <c r="D48" s="18">
        <f>PĒC!D48-PIRMS!D48</f>
        <v>0</v>
      </c>
      <c r="E48" s="18">
        <f>PĒC!E48-PIRMS!E48</f>
        <v>0</v>
      </c>
      <c r="F48" s="18">
        <f>PĒC!F48-PIRMS!F48</f>
        <v>0</v>
      </c>
      <c r="G48" s="10">
        <f>PĒC!G48-PIRMS!G48</f>
        <v>0</v>
      </c>
      <c r="H48" s="190">
        <f>PĒC!H48-PIRMS!H48</f>
        <v>0</v>
      </c>
      <c r="I48" s="10">
        <f>PĒC!I48-PIRMS!I48</f>
        <v>41635448.511200003</v>
      </c>
      <c r="J48" s="10">
        <f>PĒC!J48-PIRMS!J48</f>
        <v>41388495.533600003</v>
      </c>
      <c r="K48" s="10">
        <f>PĒC!K48-PIRMS!K48</f>
        <v>41129991.067200005</v>
      </c>
      <c r="L48" s="10">
        <f>PĒC!L48-PIRMS!L48</f>
        <v>40859935.112000003</v>
      </c>
      <c r="M48" s="11">
        <f>PĒC!M48-PIRMS!M48</f>
        <v>40578327.668000005</v>
      </c>
    </row>
    <row r="49" spans="1:13" ht="16" x14ac:dyDescent="0.2">
      <c r="A49" s="31"/>
      <c r="B49" s="20" t="s">
        <v>25</v>
      </c>
      <c r="C49" s="21">
        <f>PĒC!C49-PIRMS!C49</f>
        <v>0</v>
      </c>
      <c r="D49" s="21">
        <f>PĒC!D49-PIRMS!D49</f>
        <v>0</v>
      </c>
      <c r="E49" s="21">
        <f>PĒC!E49-PIRMS!E49</f>
        <v>0</v>
      </c>
      <c r="F49" s="21">
        <f>PĒC!F49-PIRMS!F49</f>
        <v>0</v>
      </c>
      <c r="G49" s="21">
        <f>PĒC!G49-PIRMS!G49</f>
        <v>0</v>
      </c>
      <c r="H49" s="193">
        <f>PĒC!H49-PIRMS!H49</f>
        <v>0</v>
      </c>
      <c r="I49" s="21">
        <f>PĒC!I49-PIRMS!I49</f>
        <v>41635448.511200003</v>
      </c>
      <c r="J49" s="21">
        <f>PĒC!J49-PIRMS!J49</f>
        <v>41388495.533600003</v>
      </c>
      <c r="K49" s="21">
        <f>PĒC!K49-PIRMS!K49</f>
        <v>41129991.067200005</v>
      </c>
      <c r="L49" s="21">
        <f>PĒC!L49-PIRMS!L49</f>
        <v>40859935.111999996</v>
      </c>
      <c r="M49" s="22">
        <f>PĒC!M49-PIRMS!M49</f>
        <v>40578327.667999998</v>
      </c>
    </row>
    <row r="50" spans="1:13" x14ac:dyDescent="0.2">
      <c r="A50" s="31"/>
      <c r="B50" s="36"/>
      <c r="C50" s="37">
        <f>PĒC!C50-PIRMS!C50</f>
        <v>0</v>
      </c>
      <c r="D50" s="37">
        <f>PĒC!D50-PIRMS!D50</f>
        <v>0</v>
      </c>
      <c r="E50" s="37">
        <f>PĒC!E50-PIRMS!E50</f>
        <v>0</v>
      </c>
      <c r="F50" s="37">
        <f>PĒC!F50-PIRMS!F50</f>
        <v>0</v>
      </c>
      <c r="G50" s="12">
        <f>PĒC!G50-PIRMS!G50</f>
        <v>0</v>
      </c>
      <c r="H50" s="191">
        <f>PĒC!H50-PIRMS!H50</f>
        <v>0</v>
      </c>
      <c r="I50" s="12">
        <f>PĒC!I50-PIRMS!I50</f>
        <v>0</v>
      </c>
      <c r="J50" s="12">
        <f>PĒC!J50-PIRMS!J50</f>
        <v>0</v>
      </c>
      <c r="K50" s="12">
        <f>PĒC!K50-PIRMS!K50</f>
        <v>0</v>
      </c>
      <c r="L50" s="12">
        <f>PĒC!L50-PIRMS!L50</f>
        <v>0</v>
      </c>
      <c r="M50" s="13">
        <f>PĒC!M50-PIRMS!M50</f>
        <v>0</v>
      </c>
    </row>
    <row r="51" spans="1:13" ht="16" x14ac:dyDescent="0.2">
      <c r="A51" s="31"/>
      <c r="B51" s="24" t="s">
        <v>26</v>
      </c>
      <c r="C51" s="35">
        <f>PĒC!C51-PIRMS!C51</f>
        <v>0</v>
      </c>
      <c r="D51" s="35">
        <f>PĒC!D51-PIRMS!D51</f>
        <v>0</v>
      </c>
      <c r="E51" s="35">
        <f>PĒC!E51-PIRMS!E51</f>
        <v>0</v>
      </c>
      <c r="F51" s="35">
        <f>PĒC!F51-PIRMS!F51</f>
        <v>0</v>
      </c>
      <c r="G51" s="12">
        <f>PĒC!G51-PIRMS!G51</f>
        <v>0</v>
      </c>
      <c r="H51" s="190">
        <f>PĒC!H51-PIRMS!H51</f>
        <v>0</v>
      </c>
      <c r="I51" s="10">
        <f>PĒC!I51-PIRMS!I51</f>
        <v>0</v>
      </c>
      <c r="J51" s="10">
        <f>PĒC!J51-PIRMS!J51</f>
        <v>0</v>
      </c>
      <c r="K51" s="10">
        <f>PĒC!K51-PIRMS!K51</f>
        <v>0</v>
      </c>
      <c r="L51" s="10">
        <f>PĒC!L51-PIRMS!L51</f>
        <v>0</v>
      </c>
      <c r="M51" s="11">
        <f>PĒC!M51-PIRMS!M51</f>
        <v>0</v>
      </c>
    </row>
    <row r="52" spans="1:13" x14ac:dyDescent="0.2">
      <c r="A52" s="31"/>
      <c r="B52" s="9" t="s">
        <v>113</v>
      </c>
      <c r="C52" s="35">
        <f>PĒC!C52-PIRMS!C52</f>
        <v>0</v>
      </c>
      <c r="D52" s="35">
        <f>PĒC!D52-PIRMS!D52</f>
        <v>0</v>
      </c>
      <c r="E52" s="35">
        <f>PĒC!E52-PIRMS!E52</f>
        <v>0</v>
      </c>
      <c r="F52" s="35">
        <f>PĒC!F52-PIRMS!F52</f>
        <v>0</v>
      </c>
      <c r="G52" s="10">
        <f>PĒC!G52-PIRMS!G52</f>
        <v>0</v>
      </c>
      <c r="H52" s="190">
        <f>PĒC!H52-PIRMS!H52</f>
        <v>0</v>
      </c>
      <c r="I52" s="10">
        <f>PĒC!I52-PIRMS!I52</f>
        <v>-1797.140969697939</v>
      </c>
      <c r="J52" s="10">
        <f>PĒC!J52-PIRMS!J52</f>
        <v>11012.966662874431</v>
      </c>
      <c r="K52" s="10">
        <f>PĒC!K52-PIRMS!K52</f>
        <v>11437.224621943773</v>
      </c>
      <c r="L52" s="10">
        <f>PĒC!L52-PIRMS!L52</f>
        <v>11878.046381689768</v>
      </c>
      <c r="M52" s="11">
        <f>PĒC!M52-PIRMS!M52</f>
        <v>12336.0843311973</v>
      </c>
    </row>
    <row r="53" spans="1:13" x14ac:dyDescent="0.2">
      <c r="A53" s="31"/>
      <c r="B53" s="9" t="s">
        <v>27</v>
      </c>
      <c r="C53" s="35">
        <f>PĒC!C53-PIRMS!C53</f>
        <v>0</v>
      </c>
      <c r="D53" s="35">
        <f>PĒC!D53-PIRMS!D53</f>
        <v>0</v>
      </c>
      <c r="E53" s="35">
        <f>PĒC!E53-PIRMS!E53</f>
        <v>0</v>
      </c>
      <c r="F53" s="35">
        <f>PĒC!F53-PIRMS!F53</f>
        <v>0</v>
      </c>
      <c r="G53" s="10">
        <f>PĒC!G53-PIRMS!G53</f>
        <v>0</v>
      </c>
      <c r="H53" s="190">
        <f>PĒC!H53-PIRMS!H53</f>
        <v>0</v>
      </c>
      <c r="I53" s="10">
        <f>PĒC!I53-PIRMS!I53</f>
        <v>-92664.869306513341</v>
      </c>
      <c r="J53" s="10">
        <f>PĒC!J53-PIRMS!J53</f>
        <v>432394.99825864029</v>
      </c>
      <c r="K53" s="10">
        <f>PĒC!K53-PIRMS!K53</f>
        <v>713385.59023576137</v>
      </c>
      <c r="L53" s="10">
        <f>PĒC!L53-PIRMS!L53</f>
        <v>1010401.7204903269</v>
      </c>
      <c r="M53" s="11">
        <f>PĒC!M53-PIRMS!M53</f>
        <v>1322966.9872243945</v>
      </c>
    </row>
    <row r="54" spans="1:13" ht="16" x14ac:dyDescent="0.2">
      <c r="A54" s="31"/>
      <c r="B54" s="20" t="s">
        <v>28</v>
      </c>
      <c r="C54" s="21">
        <f>PĒC!C54-PIRMS!C54</f>
        <v>0</v>
      </c>
      <c r="D54" s="21">
        <f>PĒC!D54-PIRMS!D54</f>
        <v>0</v>
      </c>
      <c r="E54" s="21">
        <f>PĒC!E54-PIRMS!E54</f>
        <v>0</v>
      </c>
      <c r="F54" s="21">
        <f>PĒC!F54-PIRMS!F54</f>
        <v>0</v>
      </c>
      <c r="G54" s="21">
        <f>PĒC!G54-PIRMS!G54</f>
        <v>0</v>
      </c>
      <c r="H54" s="193">
        <f>PĒC!H54-PIRMS!H54</f>
        <v>0</v>
      </c>
      <c r="I54" s="21">
        <f>PĒC!I54-PIRMS!I54</f>
        <v>-94462.010276211426</v>
      </c>
      <c r="J54" s="21">
        <f>PĒC!J54-PIRMS!J54</f>
        <v>443407.9649215145</v>
      </c>
      <c r="K54" s="21">
        <f>PĒC!K54-PIRMS!K54</f>
        <v>724822.81485770503</v>
      </c>
      <c r="L54" s="21">
        <f>PĒC!L54-PIRMS!L54</f>
        <v>1022279.7668720167</v>
      </c>
      <c r="M54" s="22">
        <f>PĒC!M54-PIRMS!M54</f>
        <v>1335303.0715555917</v>
      </c>
    </row>
    <row r="55" spans="1:13" ht="16" x14ac:dyDescent="0.2">
      <c r="A55" s="31"/>
      <c r="B55" s="177" t="s">
        <v>29</v>
      </c>
      <c r="C55" s="178">
        <f>PĒC!C55-PIRMS!C55</f>
        <v>0</v>
      </c>
      <c r="D55" s="178">
        <f>PĒC!D55-PIRMS!D55</f>
        <v>0</v>
      </c>
      <c r="E55" s="178">
        <f>PĒC!E55-PIRMS!E55</f>
        <v>0</v>
      </c>
      <c r="F55" s="178">
        <f>PĒC!F55-PIRMS!F55</f>
        <v>0</v>
      </c>
      <c r="G55" s="178">
        <f>PĒC!G55-PIRMS!G55</f>
        <v>0</v>
      </c>
      <c r="H55" s="194">
        <f>PĒC!H55-PIRMS!H55</f>
        <v>0</v>
      </c>
      <c r="I55" s="178">
        <f>PĒC!I55-PIRMS!I55</f>
        <v>41540986.50092379</v>
      </c>
      <c r="J55" s="178">
        <f>PĒC!J55-PIRMS!J55</f>
        <v>41831903.498521522</v>
      </c>
      <c r="K55" s="178">
        <f>PĒC!K55-PIRMS!K55</f>
        <v>41854813.882057711</v>
      </c>
      <c r="L55" s="178">
        <f>PĒC!L55-PIRMS!L55</f>
        <v>41882214.878872015</v>
      </c>
      <c r="M55" s="179">
        <f>PĒC!M55-PIRMS!M55</f>
        <v>41913630.73955559</v>
      </c>
    </row>
    <row r="56" spans="1:13" x14ac:dyDescent="0.2">
      <c r="A56" s="31"/>
      <c r="B56" s="24"/>
      <c r="C56" s="12"/>
      <c r="D56" s="12"/>
      <c r="E56" s="12"/>
      <c r="F56" s="12"/>
      <c r="G56" s="12"/>
      <c r="H56" s="191"/>
      <c r="I56" s="12"/>
      <c r="J56" s="12"/>
      <c r="K56" s="12"/>
      <c r="L56" s="12"/>
      <c r="M56" s="13"/>
    </row>
    <row r="57" spans="1:13" x14ac:dyDescent="0.2">
      <c r="A57" s="31"/>
      <c r="B57" s="9" t="s">
        <v>30</v>
      </c>
      <c r="C57" s="38"/>
      <c r="D57" s="38"/>
      <c r="E57" s="38"/>
      <c r="F57" s="38"/>
      <c r="G57" s="10"/>
      <c r="H57" s="190"/>
      <c r="I57" s="10"/>
      <c r="J57" s="10"/>
      <c r="K57" s="10"/>
      <c r="L57" s="10"/>
      <c r="M57" s="11"/>
    </row>
    <row r="58" spans="1:13" x14ac:dyDescent="0.2">
      <c r="A58" s="31"/>
      <c r="B58" s="9" t="s">
        <v>31</v>
      </c>
      <c r="C58" s="35">
        <f>PĒC!C58-PIRMS!C58</f>
        <v>0</v>
      </c>
      <c r="D58" s="35">
        <f>PĒC!D58-PIRMS!D58</f>
        <v>0</v>
      </c>
      <c r="E58" s="35">
        <f>PĒC!E58-PIRMS!E58</f>
        <v>0</v>
      </c>
      <c r="F58" s="35">
        <f>PĒC!F58-PIRMS!F58</f>
        <v>0</v>
      </c>
      <c r="G58" s="10">
        <f>PĒC!G58-PIRMS!G58</f>
        <v>0</v>
      </c>
      <c r="H58" s="190">
        <f>PĒC!H58-PIRMS!H58</f>
        <v>0</v>
      </c>
      <c r="I58" s="10">
        <f>PĒC!I58-PIRMS!I58</f>
        <v>41647000</v>
      </c>
      <c r="J58" s="10">
        <f>PĒC!J58-PIRMS!J58</f>
        <v>41647000</v>
      </c>
      <c r="K58" s="10">
        <f>PĒC!K58-PIRMS!K58</f>
        <v>41647000</v>
      </c>
      <c r="L58" s="10">
        <f>PĒC!L58-PIRMS!L58</f>
        <v>41647000</v>
      </c>
      <c r="M58" s="11">
        <f>PĒC!M58-PIRMS!M58</f>
        <v>41647000</v>
      </c>
    </row>
    <row r="59" spans="1:13" x14ac:dyDescent="0.2">
      <c r="A59" s="31"/>
      <c r="B59" s="9" t="s">
        <v>32</v>
      </c>
      <c r="C59" s="35">
        <f>PĒC!C59-PIRMS!C59</f>
        <v>0</v>
      </c>
      <c r="D59" s="35">
        <f>PĒC!D59-PIRMS!D59</f>
        <v>0</v>
      </c>
      <c r="E59" s="35">
        <f>PĒC!E59-PIRMS!E59</f>
        <v>0</v>
      </c>
      <c r="F59" s="35">
        <f>PĒC!F59-PIRMS!F59</f>
        <v>0</v>
      </c>
      <c r="G59" s="10">
        <f>PĒC!G59-PIRMS!G59</f>
        <v>0</v>
      </c>
      <c r="H59" s="190">
        <f>PĒC!H59-PIRMS!H59</f>
        <v>0</v>
      </c>
      <c r="I59" s="10">
        <f>PĒC!I59-PIRMS!I59</f>
        <v>0</v>
      </c>
      <c r="J59" s="10">
        <f>PĒC!J59-PIRMS!J59</f>
        <v>0</v>
      </c>
      <c r="K59" s="10">
        <f>PĒC!K59-PIRMS!K59</f>
        <v>0</v>
      </c>
      <c r="L59" s="10">
        <f>PĒC!L59-PIRMS!L59</f>
        <v>0</v>
      </c>
      <c r="M59" s="11">
        <f>PĒC!M59-PIRMS!M59</f>
        <v>0</v>
      </c>
    </row>
    <row r="60" spans="1:13" x14ac:dyDescent="0.2">
      <c r="A60" s="31"/>
      <c r="B60" s="9" t="s">
        <v>33</v>
      </c>
      <c r="C60" s="35">
        <f>PĒC!C60-PIRMS!C60</f>
        <v>0</v>
      </c>
      <c r="D60" s="35">
        <f>PĒC!D60-PIRMS!D60</f>
        <v>0</v>
      </c>
      <c r="E60" s="35">
        <f>PĒC!E60-PIRMS!E60</f>
        <v>0</v>
      </c>
      <c r="F60" s="35">
        <f>PĒC!F60-PIRMS!F60</f>
        <v>0</v>
      </c>
      <c r="G60" s="10">
        <f>PĒC!G60-PIRMS!G60</f>
        <v>0</v>
      </c>
      <c r="H60" s="190">
        <f>PĒC!H60-PIRMS!H60</f>
        <v>0</v>
      </c>
      <c r="I60" s="10">
        <f>PĒC!I60-PIRMS!I60</f>
        <v>0</v>
      </c>
      <c r="J60" s="10">
        <f>PĒC!J60-PIRMS!J60</f>
        <v>-3332.3427661641617</v>
      </c>
      <c r="K60" s="10">
        <f>PĒC!K60-PIRMS!K60</f>
        <v>7704.680678080942</v>
      </c>
      <c r="L60" s="10">
        <f>PĒC!L60-PIRMS!L60</f>
        <v>21942.425846305388</v>
      </c>
      <c r="M60" s="11">
        <f>PĒC!M60-PIRMS!M60</f>
        <v>40361.932026167109</v>
      </c>
    </row>
    <row r="61" spans="1:13" x14ac:dyDescent="0.2">
      <c r="A61" s="31"/>
      <c r="B61" s="9" t="s">
        <v>34</v>
      </c>
      <c r="C61" s="18">
        <f>PĒC!C61-PIRMS!C61</f>
        <v>0</v>
      </c>
      <c r="D61" s="18">
        <f>PĒC!D61-PIRMS!D61</f>
        <v>0</v>
      </c>
      <c r="E61" s="18">
        <f>PĒC!E61-PIRMS!E61</f>
        <v>0</v>
      </c>
      <c r="F61" s="18">
        <f>PĒC!F61-PIRMS!F61</f>
        <v>0</v>
      </c>
      <c r="G61" s="18">
        <f>PĒC!G61-PIRMS!G61</f>
        <v>0</v>
      </c>
      <c r="H61" s="190">
        <f>PĒC!H61-PIRMS!H61</f>
        <v>0</v>
      </c>
      <c r="I61" s="10">
        <f>PĒC!I61-PIRMS!I61</f>
        <v>-3332.3427661641617</v>
      </c>
      <c r="J61" s="10">
        <f>PĒC!J61-PIRMS!J61</f>
        <v>11037.023444245104</v>
      </c>
      <c r="K61" s="10">
        <f>PĒC!K61-PIRMS!K61</f>
        <v>14237.745168224443</v>
      </c>
      <c r="L61" s="10">
        <f>PĒC!L61-PIRMS!L61</f>
        <v>18419.506179861724</v>
      </c>
      <c r="M61" s="11">
        <f>PĒC!M61-PIRMS!M61</f>
        <v>21963.043118892296</v>
      </c>
    </row>
    <row r="62" spans="1:13" ht="16" x14ac:dyDescent="0.2">
      <c r="A62" s="31"/>
      <c r="B62" s="20" t="s">
        <v>35</v>
      </c>
      <c r="C62" s="21">
        <f>PĒC!C62-PIRMS!C62</f>
        <v>0</v>
      </c>
      <c r="D62" s="21">
        <f>PĒC!D62-PIRMS!D62</f>
        <v>0</v>
      </c>
      <c r="E62" s="21">
        <f>PĒC!E62-PIRMS!E62</f>
        <v>0</v>
      </c>
      <c r="F62" s="21">
        <f>PĒC!F62-PIRMS!F62</f>
        <v>0</v>
      </c>
      <c r="G62" s="21">
        <f>PĒC!G62-PIRMS!G62</f>
        <v>0</v>
      </c>
      <c r="H62" s="193">
        <f>PĒC!H62-PIRMS!H62</f>
        <v>0</v>
      </c>
      <c r="I62" s="21">
        <f>PĒC!I62-PIRMS!I62</f>
        <v>41643667.657233834</v>
      </c>
      <c r="J62" s="21">
        <f>PĒC!J62-PIRMS!J62</f>
        <v>41654704.680678077</v>
      </c>
      <c r="K62" s="21">
        <f>PĒC!K62-PIRMS!K62</f>
        <v>41668942.425846308</v>
      </c>
      <c r="L62" s="21">
        <f>PĒC!L62-PIRMS!L62</f>
        <v>41687361.93202617</v>
      </c>
      <c r="M62" s="22">
        <f>PĒC!M62-PIRMS!M62</f>
        <v>41709324.975145064</v>
      </c>
    </row>
    <row r="63" spans="1:13" x14ac:dyDescent="0.2">
      <c r="A63" s="31"/>
      <c r="B63" s="9"/>
      <c r="C63" s="18">
        <f>PĒC!C63-PIRMS!C63</f>
        <v>0</v>
      </c>
      <c r="D63" s="18">
        <f>PĒC!D63-PIRMS!D63</f>
        <v>0</v>
      </c>
      <c r="E63" s="18">
        <f>PĒC!E63-PIRMS!E63</f>
        <v>0</v>
      </c>
      <c r="F63" s="18">
        <f>PĒC!F63-PIRMS!F63</f>
        <v>0</v>
      </c>
      <c r="G63" s="10">
        <f>PĒC!G63-PIRMS!G63</f>
        <v>0</v>
      </c>
      <c r="H63" s="190">
        <f>PĒC!H63-PIRMS!H63</f>
        <v>0</v>
      </c>
      <c r="I63" s="10">
        <f>PĒC!I63-PIRMS!I63</f>
        <v>0</v>
      </c>
      <c r="J63" s="10">
        <f>PĒC!J63-PIRMS!J63</f>
        <v>0</v>
      </c>
      <c r="K63" s="10">
        <f>PĒC!K63-PIRMS!K63</f>
        <v>0</v>
      </c>
      <c r="L63" s="10">
        <f>PĒC!L63-PIRMS!L63</f>
        <v>0</v>
      </c>
      <c r="M63" s="11">
        <f>PĒC!M63-PIRMS!M63</f>
        <v>0</v>
      </c>
    </row>
    <row r="64" spans="1:13" x14ac:dyDescent="0.2">
      <c r="A64" s="31"/>
      <c r="B64" s="9" t="s">
        <v>114</v>
      </c>
      <c r="C64" s="18">
        <f>PĒC!C64-PIRMS!C64</f>
        <v>0</v>
      </c>
      <c r="D64" s="18">
        <f>PĒC!D64-PIRMS!D64</f>
        <v>0</v>
      </c>
      <c r="E64" s="18">
        <f>PĒC!E64-PIRMS!E64</f>
        <v>0</v>
      </c>
      <c r="F64" s="18">
        <f>PĒC!F64-PIRMS!F64</f>
        <v>0</v>
      </c>
      <c r="G64" s="10">
        <f>PĒC!G64-PIRMS!G64</f>
        <v>0</v>
      </c>
      <c r="H64" s="190">
        <f>PĒC!H64-PIRMS!H64</f>
        <v>0</v>
      </c>
      <c r="I64" s="10">
        <f>PĒC!I64-PIRMS!I64</f>
        <v>0</v>
      </c>
      <c r="J64" s="10">
        <f>PĒC!J64-PIRMS!J64</f>
        <v>0</v>
      </c>
      <c r="K64" s="10">
        <f>PĒC!K64-PIRMS!K64</f>
        <v>0</v>
      </c>
      <c r="L64" s="10">
        <f>PĒC!L64-PIRMS!L64</f>
        <v>0</v>
      </c>
      <c r="M64" s="11">
        <f>PĒC!M64-PIRMS!M64</f>
        <v>0</v>
      </c>
    </row>
    <row r="65" spans="1:13" x14ac:dyDescent="0.2">
      <c r="A65" s="31"/>
      <c r="B65" s="9" t="s">
        <v>115</v>
      </c>
      <c r="C65" s="18">
        <f>PĒC!C65-PIRMS!C65</f>
        <v>0</v>
      </c>
      <c r="D65" s="18">
        <f>PĒC!D65-PIRMS!D65</f>
        <v>0</v>
      </c>
      <c r="E65" s="18">
        <f>PĒC!E65-PIRMS!E65</f>
        <v>0</v>
      </c>
      <c r="F65" s="18">
        <f>PĒC!F65-PIRMS!F65</f>
        <v>0</v>
      </c>
      <c r="G65" s="10">
        <f>PĒC!G65-PIRMS!G65</f>
        <v>0</v>
      </c>
      <c r="H65" s="190">
        <f>PĒC!H65-PIRMS!H65</f>
        <v>0</v>
      </c>
      <c r="I65" s="10">
        <f>PĒC!I65-PIRMS!I65</f>
        <v>-32348.53745456296</v>
      </c>
      <c r="J65" s="10">
        <f>PĒC!J65-PIRMS!J65</f>
        <v>178720.55099698983</v>
      </c>
      <c r="K65" s="10">
        <f>PĒC!K65-PIRMS!K65</f>
        <v>185869.37303686934</v>
      </c>
      <c r="L65" s="10">
        <f>PĒC!L65-PIRMS!L65</f>
        <v>193304.14795834408</v>
      </c>
      <c r="M65" s="11">
        <f>PĒC!M65-PIRMS!M65</f>
        <v>201036.313876678</v>
      </c>
    </row>
    <row r="66" spans="1:13" x14ac:dyDescent="0.2">
      <c r="A66" s="31"/>
      <c r="B66" s="9" t="s">
        <v>37</v>
      </c>
      <c r="C66" s="35">
        <f>PĒC!C66-PIRMS!C66</f>
        <v>0</v>
      </c>
      <c r="D66" s="35">
        <f>PĒC!D66-PIRMS!D66</f>
        <v>0</v>
      </c>
      <c r="E66" s="35">
        <f>PĒC!E66-PIRMS!E66</f>
        <v>0</v>
      </c>
      <c r="F66" s="35">
        <f>PĒC!F66-PIRMS!F66</f>
        <v>0</v>
      </c>
      <c r="G66" s="10">
        <f>PĒC!G66-PIRMS!G66</f>
        <v>0</v>
      </c>
      <c r="H66" s="190">
        <f>PĒC!H66-PIRMS!H66</f>
        <v>0</v>
      </c>
      <c r="I66" s="10">
        <f>PĒC!I66-PIRMS!I66</f>
        <v>-27885.000696298928</v>
      </c>
      <c r="J66" s="10">
        <f>PĒC!J66-PIRMS!J66</f>
        <v>-7344.3936172857357</v>
      </c>
      <c r="K66" s="10">
        <f>PĒC!K66-PIRMS!K66</f>
        <v>-6665.9695741046744</v>
      </c>
      <c r="L66" s="10">
        <f>PĒC!L66-PIRMS!L66</f>
        <v>-5983.7541325352504</v>
      </c>
      <c r="M66" s="11">
        <f>PĒC!M66-PIRMS!M66</f>
        <v>-5205.4971255343989</v>
      </c>
    </row>
    <row r="67" spans="1:13" x14ac:dyDescent="0.2">
      <c r="A67" s="31"/>
      <c r="B67" s="9" t="s">
        <v>36</v>
      </c>
      <c r="C67" s="35">
        <f>PĒC!C67-PIRMS!C67</f>
        <v>0</v>
      </c>
      <c r="D67" s="35">
        <f>PĒC!D67-PIRMS!D67</f>
        <v>0</v>
      </c>
      <c r="E67" s="35">
        <f>PĒC!E67-PIRMS!E67</f>
        <v>0</v>
      </c>
      <c r="F67" s="35">
        <f>PĒC!F67-PIRMS!F67</f>
        <v>0</v>
      </c>
      <c r="G67" s="10">
        <f>PĒC!G67-PIRMS!G67</f>
        <v>0</v>
      </c>
      <c r="H67" s="190">
        <f>PĒC!H67-PIRMS!H67</f>
        <v>0</v>
      </c>
      <c r="I67" s="10">
        <f>PĒC!I67-PIRMS!I67</f>
        <v>-8885.7384716127708</v>
      </c>
      <c r="J67" s="10">
        <f>PĒC!J67-PIRMS!J67</f>
        <v>3732.0101580773771</v>
      </c>
      <c r="K67" s="10">
        <f>PĒC!K67-PIRMS!K67</f>
        <v>3881.2905644004641</v>
      </c>
      <c r="L67" s="10">
        <f>PĒC!L67-PIRMS!L67</f>
        <v>4036.5421869764978</v>
      </c>
      <c r="M67" s="11">
        <f>PĒC!M67-PIRMS!M67</f>
        <v>4198.0038744555495</v>
      </c>
    </row>
    <row r="68" spans="1:13" x14ac:dyDescent="0.2">
      <c r="A68" s="31"/>
      <c r="B68" s="9" t="s">
        <v>116</v>
      </c>
      <c r="C68" s="35">
        <f>PĒC!C68-PIRMS!C68</f>
        <v>0</v>
      </c>
      <c r="D68" s="35">
        <f>PĒC!D68-PIRMS!D68</f>
        <v>0</v>
      </c>
      <c r="E68" s="35">
        <f>PĒC!E68-PIRMS!E68</f>
        <v>0</v>
      </c>
      <c r="F68" s="35">
        <f>PĒC!F68-PIRMS!F68</f>
        <v>0</v>
      </c>
      <c r="G68" s="10">
        <f>PĒC!G68-PIRMS!G68</f>
        <v>0</v>
      </c>
      <c r="H68" s="190">
        <f>PĒC!H68-PIRMS!H68</f>
        <v>0</v>
      </c>
      <c r="I68" s="10">
        <f>PĒC!I68-PIRMS!I68</f>
        <v>-8530.3089327482448</v>
      </c>
      <c r="J68" s="10">
        <f>PĒC!J68-PIRMS!J68</f>
        <v>3582.7297517542902</v>
      </c>
      <c r="K68" s="10">
        <f>PĒC!K68-PIRMS!K68</f>
        <v>3726.0389418244304</v>
      </c>
      <c r="L68" s="10">
        <f>PĒC!L68-PIRMS!L68</f>
        <v>3875.0804994974169</v>
      </c>
      <c r="M68" s="11">
        <f>PĒC!M68-PIRMS!M68</f>
        <v>4030.0837194773194</v>
      </c>
    </row>
    <row r="69" spans="1:13" x14ac:dyDescent="0.2">
      <c r="A69" s="31"/>
      <c r="B69" s="9" t="s">
        <v>117</v>
      </c>
      <c r="C69" s="35">
        <f>PĒC!C69-PIRMS!C69</f>
        <v>0</v>
      </c>
      <c r="D69" s="35">
        <f>PĒC!D69-PIRMS!D69</f>
        <v>0</v>
      </c>
      <c r="E69" s="35">
        <f>PĒC!E69-PIRMS!E69</f>
        <v>0</v>
      </c>
      <c r="F69" s="35">
        <f>PĒC!F69-PIRMS!F69</f>
        <v>0</v>
      </c>
      <c r="G69" s="10">
        <f>PĒC!G69-PIRMS!G69</f>
        <v>0</v>
      </c>
      <c r="H69" s="190">
        <f>PĒC!H69-PIRMS!H69</f>
        <v>0</v>
      </c>
      <c r="I69" s="10">
        <f>PĒC!I69-PIRMS!I69</f>
        <v>0</v>
      </c>
      <c r="J69" s="10">
        <f>PĒC!J69-PIRMS!J69</f>
        <v>0</v>
      </c>
      <c r="K69" s="10">
        <f>PĒC!K69-PIRMS!K69</f>
        <v>0</v>
      </c>
      <c r="L69" s="10">
        <f>PĒC!L69-PIRMS!L69</f>
        <v>0</v>
      </c>
      <c r="M69" s="11">
        <f>PĒC!M69-PIRMS!M69</f>
        <v>0</v>
      </c>
    </row>
    <row r="70" spans="1:13" x14ac:dyDescent="0.2">
      <c r="A70" s="31"/>
      <c r="B70" s="9" t="s">
        <v>118</v>
      </c>
      <c r="C70" s="35">
        <f>PĒC!C70-PIRMS!C70</f>
        <v>0</v>
      </c>
      <c r="D70" s="35">
        <f>PĒC!D70-PIRMS!D70</f>
        <v>0</v>
      </c>
      <c r="E70" s="35">
        <f>PĒC!E70-PIRMS!E70</f>
        <v>0</v>
      </c>
      <c r="F70" s="35">
        <f>PĒC!F70-PIRMS!F70</f>
        <v>0</v>
      </c>
      <c r="G70" s="10">
        <f>PĒC!G70-PIRMS!G70</f>
        <v>0</v>
      </c>
      <c r="H70" s="190">
        <f>PĒC!H70-PIRMS!H70</f>
        <v>0</v>
      </c>
      <c r="I70" s="10">
        <f>PĒC!I70-PIRMS!I70</f>
        <v>-25031.570754823071</v>
      </c>
      <c r="J70" s="10">
        <f>PĒC!J70-PIRMS!J70</f>
        <v>-1492.0794461050536</v>
      </c>
      <c r="K70" s="10">
        <f>PĒC!K70-PIRMS!K70</f>
        <v>-939.27675758948317</v>
      </c>
      <c r="L70" s="10">
        <f>PĒC!L70-PIRMS!L70</f>
        <v>-379.06966643693158</v>
      </c>
      <c r="M70" s="11">
        <f>PĒC!M70-PIRMS!M70</f>
        <v>246.86006545595592</v>
      </c>
    </row>
    <row r="71" spans="1:13" ht="16" x14ac:dyDescent="0.2">
      <c r="A71" s="31"/>
      <c r="B71" s="20" t="s">
        <v>38</v>
      </c>
      <c r="C71" s="21">
        <f>PĒC!C71-PIRMS!C71</f>
        <v>0</v>
      </c>
      <c r="D71" s="21">
        <f>PĒC!D71-PIRMS!D71</f>
        <v>0</v>
      </c>
      <c r="E71" s="21">
        <f>PĒC!E71-PIRMS!E71</f>
        <v>0</v>
      </c>
      <c r="F71" s="21">
        <f>PĒC!F71-PIRMS!F71</f>
        <v>0</v>
      </c>
      <c r="G71" s="21">
        <f>PĒC!G71-PIRMS!G71</f>
        <v>0</v>
      </c>
      <c r="H71" s="193">
        <f>PĒC!H71-PIRMS!H71</f>
        <v>0</v>
      </c>
      <c r="I71" s="21">
        <f>PĒC!I71-PIRMS!I71</f>
        <v>-102681.15631004609</v>
      </c>
      <c r="J71" s="21">
        <f>PĒC!J71-PIRMS!J71</f>
        <v>177198.81784343021</v>
      </c>
      <c r="K71" s="21">
        <f>PĒC!K71-PIRMS!K71</f>
        <v>185871.45621140022</v>
      </c>
      <c r="L71" s="21">
        <f>PĒC!L71-PIRMS!L71</f>
        <v>194852.94684584578</v>
      </c>
      <c r="M71" s="22">
        <f>PĒC!M71-PIRMS!M71</f>
        <v>204305.76441053208</v>
      </c>
    </row>
    <row r="72" spans="1:13" ht="16" x14ac:dyDescent="0.2">
      <c r="A72" s="31"/>
      <c r="B72" s="177" t="s">
        <v>39</v>
      </c>
      <c r="C72" s="178">
        <f>PĒC!C72-PIRMS!C72</f>
        <v>0</v>
      </c>
      <c r="D72" s="178">
        <f>PĒC!D72-PIRMS!D72</f>
        <v>0</v>
      </c>
      <c r="E72" s="178">
        <f>PĒC!E72-PIRMS!E72</f>
        <v>0</v>
      </c>
      <c r="F72" s="178">
        <f>PĒC!F72-PIRMS!F72</f>
        <v>0</v>
      </c>
      <c r="G72" s="178">
        <f>PĒC!G72-PIRMS!G72</f>
        <v>0</v>
      </c>
      <c r="H72" s="194">
        <f>PĒC!H72-PIRMS!H72</f>
        <v>0</v>
      </c>
      <c r="I72" s="178">
        <f>PĒC!I72-PIRMS!I72</f>
        <v>41540986.50092379</v>
      </c>
      <c r="J72" s="178">
        <f>PĒC!J72-PIRMS!J72</f>
        <v>41831903.498521514</v>
      </c>
      <c r="K72" s="178">
        <f>PĒC!K72-PIRMS!K72</f>
        <v>41854813.882057704</v>
      </c>
      <c r="L72" s="178">
        <f>PĒC!L72-PIRMS!L72</f>
        <v>41882214.878872022</v>
      </c>
      <c r="M72" s="179">
        <f>PĒC!M72-PIRMS!M72</f>
        <v>41913630.739555597</v>
      </c>
    </row>
    <row r="73" spans="1:13" x14ac:dyDescent="0.2">
      <c r="A73" s="31"/>
      <c r="B73" s="39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</row>
    <row r="74" spans="1:13" s="79" customFormat="1" x14ac:dyDescent="0.2">
      <c r="A74" s="77"/>
      <c r="B74" s="78" t="s">
        <v>119</v>
      </c>
      <c r="C74" s="111">
        <f>ROUND(C55-C72,2)</f>
        <v>0</v>
      </c>
      <c r="D74" s="111">
        <f t="shared" ref="D74:M74" si="1">ROUND(D55-D72,2)</f>
        <v>0</v>
      </c>
      <c r="E74" s="111">
        <f t="shared" si="1"/>
        <v>0</v>
      </c>
      <c r="F74" s="111">
        <f t="shared" si="1"/>
        <v>0</v>
      </c>
      <c r="G74" s="111">
        <f t="shared" si="1"/>
        <v>0</v>
      </c>
      <c r="H74" s="111">
        <f t="shared" si="1"/>
        <v>0</v>
      </c>
      <c r="I74" s="111">
        <f t="shared" si="1"/>
        <v>0</v>
      </c>
      <c r="J74" s="111">
        <f t="shared" si="1"/>
        <v>0</v>
      </c>
      <c r="K74" s="111">
        <f t="shared" si="1"/>
        <v>0</v>
      </c>
      <c r="L74" s="111">
        <f t="shared" si="1"/>
        <v>0</v>
      </c>
      <c r="M74" s="111">
        <f t="shared" si="1"/>
        <v>0</v>
      </c>
    </row>
    <row r="75" spans="1:13" x14ac:dyDescent="0.2">
      <c r="A75" s="31"/>
      <c r="B75" s="39"/>
      <c r="C75" s="40"/>
      <c r="D75" s="40"/>
      <c r="E75" s="116"/>
      <c r="F75" s="116"/>
      <c r="G75" s="116"/>
      <c r="H75" s="40"/>
      <c r="I75" s="40"/>
      <c r="J75" s="40"/>
      <c r="K75" s="40"/>
      <c r="L75" s="40"/>
      <c r="M75" s="40"/>
    </row>
    <row r="76" spans="1:13" x14ac:dyDescent="0.2">
      <c r="A76" s="31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</row>
    <row r="77" spans="1:13" x14ac:dyDescent="0.2">
      <c r="A77" s="31"/>
      <c r="B77" s="85" t="s">
        <v>40</v>
      </c>
      <c r="C77" s="86" t="str">
        <f>C5</f>
        <v xml:space="preserve"> F 2018</v>
      </c>
      <c r="D77" s="86" t="str">
        <f t="shared" ref="D77:M77" si="2">D5</f>
        <v xml:space="preserve"> F 2019</v>
      </c>
      <c r="E77" s="86" t="str">
        <f t="shared" si="2"/>
        <v xml:space="preserve"> F 2020</v>
      </c>
      <c r="F77" s="86" t="str">
        <f t="shared" si="2"/>
        <v xml:space="preserve"> F 2021</v>
      </c>
      <c r="G77" s="86" t="str">
        <f t="shared" si="2"/>
        <v xml:space="preserve"> F 2022</v>
      </c>
      <c r="H77" s="189" t="str">
        <f t="shared" si="2"/>
        <v xml:space="preserve"> P 2023</v>
      </c>
      <c r="I77" s="86" t="str">
        <f t="shared" si="2"/>
        <v xml:space="preserve"> P 2024</v>
      </c>
      <c r="J77" s="86" t="str">
        <f t="shared" si="2"/>
        <v xml:space="preserve"> P 2025</v>
      </c>
      <c r="K77" s="86" t="str">
        <f t="shared" si="2"/>
        <v xml:space="preserve"> P 2026</v>
      </c>
      <c r="L77" s="86" t="str">
        <f t="shared" si="2"/>
        <v xml:space="preserve"> P 2027</v>
      </c>
      <c r="M77" s="87" t="str">
        <f t="shared" si="2"/>
        <v xml:space="preserve"> P 2028</v>
      </c>
    </row>
    <row r="78" spans="1:13" x14ac:dyDescent="0.2">
      <c r="A78" s="31"/>
      <c r="B78" s="182" t="s">
        <v>41</v>
      </c>
      <c r="C78" s="48">
        <f>PĒC!C78-PIRMS!C78</f>
        <v>0</v>
      </c>
      <c r="D78" s="48">
        <f>PĒC!D78-PIRMS!D78</f>
        <v>0</v>
      </c>
      <c r="E78" s="48">
        <f>PĒC!E78-PIRMS!E78</f>
        <v>0</v>
      </c>
      <c r="F78" s="48">
        <f>PĒC!F78-PIRMS!F78</f>
        <v>0</v>
      </c>
      <c r="G78" s="48">
        <f>PĒC!G78-PIRMS!G78</f>
        <v>0</v>
      </c>
      <c r="H78" s="195">
        <f>PĒC!H78-PIRMS!H78</f>
        <v>0</v>
      </c>
      <c r="I78" s="48">
        <f>PĒC!I78-PIRMS!I78</f>
        <v>-3332.3427661641617</v>
      </c>
      <c r="J78" s="48">
        <f>PĒC!J78-PIRMS!J78</f>
        <v>11037.023444245104</v>
      </c>
      <c r="K78" s="48">
        <f>PĒC!K78-PIRMS!K78</f>
        <v>14237.745168224443</v>
      </c>
      <c r="L78" s="48">
        <f>PĒC!L78-PIRMS!L78</f>
        <v>18419.506179861724</v>
      </c>
      <c r="M78" s="183">
        <f>PĒC!M78-PIRMS!M78</f>
        <v>21963.043118892296</v>
      </c>
    </row>
    <row r="79" spans="1:13" x14ac:dyDescent="0.2">
      <c r="A79" s="31"/>
      <c r="B79" s="184" t="s">
        <v>42</v>
      </c>
      <c r="C79" s="49">
        <f>PĒC!C79-PIRMS!C79</f>
        <v>0</v>
      </c>
      <c r="D79" s="49">
        <f>PĒC!D79-PIRMS!D79</f>
        <v>0</v>
      </c>
      <c r="E79" s="49">
        <f>PĒC!E79-PIRMS!E79</f>
        <v>0</v>
      </c>
      <c r="F79" s="49">
        <f>PĒC!F79-PIRMS!F79</f>
        <v>0</v>
      </c>
      <c r="G79" s="12">
        <f>PĒC!G79-PIRMS!G79</f>
        <v>0</v>
      </c>
      <c r="H79" s="191">
        <f>PĒC!H79-PIRMS!H79</f>
        <v>0</v>
      </c>
      <c r="I79" s="12">
        <f>PĒC!I79-PIRMS!I79</f>
        <v>0</v>
      </c>
      <c r="J79" s="12">
        <f>PĒC!J79-PIRMS!J79</f>
        <v>0</v>
      </c>
      <c r="K79" s="12">
        <f>PĒC!K79-PIRMS!K79</f>
        <v>0</v>
      </c>
      <c r="L79" s="12">
        <f>PĒC!L79-PIRMS!L79</f>
        <v>0</v>
      </c>
      <c r="M79" s="13">
        <f>PĒC!M79-PIRMS!M79</f>
        <v>0</v>
      </c>
    </row>
    <row r="80" spans="1:13" x14ac:dyDescent="0.2">
      <c r="A80" s="31"/>
      <c r="B80" s="185" t="s">
        <v>43</v>
      </c>
      <c r="C80" s="49">
        <f>PĒC!C80-PIRMS!C80</f>
        <v>0</v>
      </c>
      <c r="D80" s="49">
        <f>PĒC!D80-PIRMS!D80</f>
        <v>0</v>
      </c>
      <c r="E80" s="49">
        <f>PĒC!E80-PIRMS!E80</f>
        <v>0</v>
      </c>
      <c r="F80" s="49">
        <f>PĒC!F80-PIRMS!F80</f>
        <v>0</v>
      </c>
      <c r="G80" s="49">
        <f>PĒC!G80-PIRMS!G80</f>
        <v>0</v>
      </c>
      <c r="H80" s="196">
        <f>PĒC!H80-PIRMS!H80</f>
        <v>0</v>
      </c>
      <c r="I80" s="49">
        <f>PĒC!I80-PIRMS!I80</f>
        <v>589125.92879999988</v>
      </c>
      <c r="J80" s="49">
        <f>PĒC!J80-PIRMS!J80</f>
        <v>824527.41760000004</v>
      </c>
      <c r="K80" s="49">
        <f>PĒC!K80-PIRMS!K80</f>
        <v>836078.90639999998</v>
      </c>
      <c r="L80" s="49">
        <f>PĒC!L80-PIRMS!L80</f>
        <v>847630.39519999991</v>
      </c>
      <c r="M80" s="186">
        <f>PĒC!M80-PIRMS!M80</f>
        <v>859181.88399999985</v>
      </c>
    </row>
    <row r="81" spans="1:13" x14ac:dyDescent="0.2">
      <c r="A81" s="31"/>
      <c r="B81" s="185" t="s">
        <v>44</v>
      </c>
      <c r="C81" s="49">
        <f>PĒC!C81-PIRMS!C81</f>
        <v>0</v>
      </c>
      <c r="D81" s="49">
        <f>PĒC!D81-PIRMS!D81</f>
        <v>0</v>
      </c>
      <c r="E81" s="49">
        <f>PĒC!E81-PIRMS!E81</f>
        <v>0</v>
      </c>
      <c r="F81" s="49">
        <f>PĒC!F81-PIRMS!F81</f>
        <v>0</v>
      </c>
      <c r="G81" s="49">
        <f>PĒC!G81-PIRMS!G81</f>
        <v>0</v>
      </c>
      <c r="H81" s="196">
        <f>PĒC!H81-PIRMS!H81</f>
        <v>0</v>
      </c>
      <c r="I81" s="49">
        <f>PĒC!I81-PIRMS!I81</f>
        <v>0</v>
      </c>
      <c r="J81" s="49">
        <f>PĒC!J81-PIRMS!J81</f>
        <v>0</v>
      </c>
      <c r="K81" s="49">
        <f>PĒC!K81-PIRMS!K81</f>
        <v>0</v>
      </c>
      <c r="L81" s="49">
        <f>PĒC!L81-PIRMS!L81</f>
        <v>0</v>
      </c>
      <c r="M81" s="186">
        <f>PĒC!M81-PIRMS!M81</f>
        <v>0</v>
      </c>
    </row>
    <row r="82" spans="1:13" x14ac:dyDescent="0.2">
      <c r="A82" s="31"/>
      <c r="B82" s="185" t="s">
        <v>45</v>
      </c>
      <c r="C82" s="49">
        <f>PĒC!C82-PIRMS!C82</f>
        <v>0</v>
      </c>
      <c r="D82" s="49">
        <f>PĒC!D82-PIRMS!D82</f>
        <v>0</v>
      </c>
      <c r="E82" s="49">
        <f>PĒC!E82-PIRMS!E82</f>
        <v>0</v>
      </c>
      <c r="F82" s="49">
        <f>PĒC!F82-PIRMS!F82</f>
        <v>0</v>
      </c>
      <c r="G82" s="49">
        <f>PĒC!G82-PIRMS!G82</f>
        <v>0</v>
      </c>
      <c r="H82" s="196">
        <f>PĒC!H82-PIRMS!H82</f>
        <v>0</v>
      </c>
      <c r="I82" s="49">
        <f>PĒC!I82-PIRMS!I82</f>
        <v>1797.140969697939</v>
      </c>
      <c r="J82" s="49">
        <f>PĒC!J82-PIRMS!J82</f>
        <v>-12810.10763257237</v>
      </c>
      <c r="K82" s="49">
        <f>PĒC!K82-PIRMS!K82</f>
        <v>-424.25795906934218</v>
      </c>
      <c r="L82" s="49">
        <f>PĒC!L82-PIRMS!L82</f>
        <v>-440.82175974599522</v>
      </c>
      <c r="M82" s="186">
        <f>PĒC!M82-PIRMS!M82</f>
        <v>-458.03794950753218</v>
      </c>
    </row>
    <row r="83" spans="1:13" x14ac:dyDescent="0.2">
      <c r="A83" s="31"/>
      <c r="B83" s="185" t="s">
        <v>46</v>
      </c>
      <c r="C83" s="49">
        <f>PĒC!C83-PIRMS!C83</f>
        <v>0</v>
      </c>
      <c r="D83" s="49">
        <f>PĒC!D83-PIRMS!D83</f>
        <v>0</v>
      </c>
      <c r="E83" s="49">
        <f>PĒC!E83-PIRMS!E83</f>
        <v>0</v>
      </c>
      <c r="F83" s="49">
        <f>PĒC!F83-PIRMS!F83</f>
        <v>0</v>
      </c>
      <c r="G83" s="49">
        <f>PĒC!G83-PIRMS!G83</f>
        <v>0</v>
      </c>
      <c r="H83" s="196">
        <f>PĒC!H83-PIRMS!H83</f>
        <v>0</v>
      </c>
      <c r="I83" s="49">
        <f>PĒC!I83-PIRMS!I83</f>
        <v>-102681.15631004609</v>
      </c>
      <c r="J83" s="49">
        <f>PĒC!J83-PIRMS!J83</f>
        <v>279879.97415347677</v>
      </c>
      <c r="K83" s="49">
        <f>PĒC!K83-PIRMS!K83</f>
        <v>8672.6383679690771</v>
      </c>
      <c r="L83" s="49">
        <f>PĒC!L83-PIRMS!L83</f>
        <v>8981.4906344460323</v>
      </c>
      <c r="M83" s="186">
        <f>PĒC!M83-PIRMS!M83</f>
        <v>9452.8175646862946</v>
      </c>
    </row>
    <row r="84" spans="1:13" ht="16" x14ac:dyDescent="0.2">
      <c r="A84" s="31"/>
      <c r="B84" s="20" t="s">
        <v>47</v>
      </c>
      <c r="C84" s="21">
        <f>PĒC!C84-PIRMS!C84</f>
        <v>0</v>
      </c>
      <c r="D84" s="21">
        <f>PĒC!D84-PIRMS!D84</f>
        <v>0</v>
      </c>
      <c r="E84" s="21">
        <f>PĒC!E84-PIRMS!E84</f>
        <v>0</v>
      </c>
      <c r="F84" s="21">
        <f>PĒC!F84-PIRMS!F84</f>
        <v>0</v>
      </c>
      <c r="G84" s="21">
        <f>PĒC!G84-PIRMS!G84</f>
        <v>0</v>
      </c>
      <c r="H84" s="193">
        <f>PĒC!H84-PIRMS!H84</f>
        <v>0</v>
      </c>
      <c r="I84" s="21">
        <f>PĒC!I84-PIRMS!I84</f>
        <v>484909.57069348771</v>
      </c>
      <c r="J84" s="21">
        <f>PĒC!J84-PIRMS!J84</f>
        <v>1102634.3075651496</v>
      </c>
      <c r="K84" s="21">
        <f>PĒC!K84-PIRMS!K84</f>
        <v>858565.03197712405</v>
      </c>
      <c r="L84" s="21">
        <f>PĒC!L84-PIRMS!L84</f>
        <v>874590.57025456149</v>
      </c>
      <c r="M84" s="22">
        <f>PĒC!M84-PIRMS!M84</f>
        <v>890139.70673407079</v>
      </c>
    </row>
    <row r="85" spans="1:13" x14ac:dyDescent="0.2">
      <c r="A85" s="31"/>
      <c r="B85" s="187"/>
      <c r="C85" s="50">
        <f>PĒC!C85-PIRMS!C85</f>
        <v>0</v>
      </c>
      <c r="D85" s="50">
        <f>PĒC!D85-PIRMS!D85</f>
        <v>0</v>
      </c>
      <c r="E85" s="50">
        <f>PĒC!E85-PIRMS!E85</f>
        <v>0</v>
      </c>
      <c r="F85" s="50">
        <f>PĒC!F85-PIRMS!F85</f>
        <v>0</v>
      </c>
      <c r="G85" s="12">
        <f>PĒC!G85-PIRMS!G85</f>
        <v>0</v>
      </c>
      <c r="H85" s="191">
        <f>PĒC!H85-PIRMS!H85</f>
        <v>0</v>
      </c>
      <c r="I85" s="12">
        <f>PĒC!I85-PIRMS!I85</f>
        <v>0</v>
      </c>
      <c r="J85" s="12">
        <f>PĒC!J85-PIRMS!J85</f>
        <v>0</v>
      </c>
      <c r="K85" s="12">
        <f>PĒC!K85-PIRMS!K85</f>
        <v>0</v>
      </c>
      <c r="L85" s="12">
        <f>PĒC!L85-PIRMS!L85</f>
        <v>0</v>
      </c>
      <c r="M85" s="13">
        <f>PĒC!M85-PIRMS!M85</f>
        <v>0</v>
      </c>
    </row>
    <row r="86" spans="1:13" x14ac:dyDescent="0.2">
      <c r="A86" s="31"/>
      <c r="B86" s="187" t="s">
        <v>48</v>
      </c>
      <c r="C86" s="50">
        <f>PĒC!C86-PIRMS!C86</f>
        <v>0</v>
      </c>
      <c r="D86" s="50">
        <f>PĒC!D86-PIRMS!D86</f>
        <v>0</v>
      </c>
      <c r="E86" s="50">
        <f>PĒC!E86-PIRMS!E86</f>
        <v>0</v>
      </c>
      <c r="F86" s="50">
        <f>PĒC!F86-PIRMS!F86</f>
        <v>0</v>
      </c>
      <c r="G86" s="50">
        <f>PĒC!G86-PIRMS!G86</f>
        <v>0</v>
      </c>
      <c r="H86" s="197">
        <f>PĒC!H86-PIRMS!H86</f>
        <v>0</v>
      </c>
      <c r="I86" s="50">
        <f>PĒC!I86-PIRMS!I86</f>
        <v>-42224574.439999998</v>
      </c>
      <c r="J86" s="50">
        <f>PĒC!J86-PIRMS!J86</f>
        <v>-577574.43999999599</v>
      </c>
      <c r="K86" s="50">
        <f>PĒC!K86-PIRMS!K86</f>
        <v>-577574.44000000297</v>
      </c>
      <c r="L86" s="50">
        <f>PĒC!L86-PIRMS!L86</f>
        <v>-577574.43999999599</v>
      </c>
      <c r="M86" s="188">
        <f>PĒC!M86-PIRMS!M86</f>
        <v>-577574.44000000332</v>
      </c>
    </row>
    <row r="87" spans="1:13" ht="16" x14ac:dyDescent="0.2">
      <c r="A87" s="31"/>
      <c r="B87" s="20" t="s">
        <v>49</v>
      </c>
      <c r="C87" s="21">
        <f>PĒC!C87-PIRMS!C87</f>
        <v>0</v>
      </c>
      <c r="D87" s="21">
        <f>PĒC!D87-PIRMS!D87</f>
        <v>0</v>
      </c>
      <c r="E87" s="21">
        <f>PĒC!E87-PIRMS!E87</f>
        <v>0</v>
      </c>
      <c r="F87" s="21">
        <f>PĒC!F87-PIRMS!F87</f>
        <v>0</v>
      </c>
      <c r="G87" s="21">
        <f>PĒC!G87-PIRMS!G87</f>
        <v>0</v>
      </c>
      <c r="H87" s="193">
        <f>PĒC!H87-PIRMS!H87</f>
        <v>0</v>
      </c>
      <c r="I87" s="21">
        <f>PĒC!I87-PIRMS!I87</f>
        <v>-42224574.439999998</v>
      </c>
      <c r="J87" s="21">
        <f>PĒC!J87-PIRMS!J87</f>
        <v>-577574.43999999599</v>
      </c>
      <c r="K87" s="21">
        <f>PĒC!K87-PIRMS!K87</f>
        <v>-577574.44000000297</v>
      </c>
      <c r="L87" s="21">
        <f>PĒC!L87-PIRMS!L87</f>
        <v>-577574.43999999599</v>
      </c>
      <c r="M87" s="22">
        <f>PĒC!M87-PIRMS!M87</f>
        <v>-577574.44000000332</v>
      </c>
    </row>
    <row r="88" spans="1:13" x14ac:dyDescent="0.2">
      <c r="A88" s="31"/>
      <c r="B88" s="187"/>
      <c r="C88" s="50">
        <f>PĒC!C88-PIRMS!C88</f>
        <v>0</v>
      </c>
      <c r="D88" s="50">
        <f>PĒC!D88-PIRMS!D88</f>
        <v>0</v>
      </c>
      <c r="E88" s="50">
        <f>PĒC!E88-PIRMS!E88</f>
        <v>0</v>
      </c>
      <c r="F88" s="50">
        <f>PĒC!F88-PIRMS!F88</f>
        <v>0</v>
      </c>
      <c r="G88" s="12">
        <f>PĒC!G88-PIRMS!G88</f>
        <v>0</v>
      </c>
      <c r="H88" s="191">
        <f>PĒC!H88-PIRMS!H88</f>
        <v>0</v>
      </c>
      <c r="I88" s="12">
        <f>PĒC!I88-PIRMS!I88</f>
        <v>0</v>
      </c>
      <c r="J88" s="12">
        <f>PĒC!J88-PIRMS!J88</f>
        <v>0</v>
      </c>
      <c r="K88" s="12">
        <f>PĒC!K88-PIRMS!K88</f>
        <v>0</v>
      </c>
      <c r="L88" s="12">
        <f>PĒC!L88-PIRMS!L88</f>
        <v>0</v>
      </c>
      <c r="M88" s="13">
        <f>PĒC!M88-PIRMS!M88</f>
        <v>0</v>
      </c>
    </row>
    <row r="89" spans="1:13" x14ac:dyDescent="0.2">
      <c r="A89" s="31"/>
      <c r="B89" s="187" t="s">
        <v>120</v>
      </c>
      <c r="C89" s="50">
        <f>PĒC!C89-PIRMS!C89</f>
        <v>0</v>
      </c>
      <c r="D89" s="50">
        <f>PĒC!D89-PIRMS!D89</f>
        <v>0</v>
      </c>
      <c r="E89" s="50">
        <f>PĒC!E89-PIRMS!E89</f>
        <v>0</v>
      </c>
      <c r="F89" s="50">
        <f>PĒC!F89-PIRMS!F89</f>
        <v>0</v>
      </c>
      <c r="G89" s="50">
        <f>PĒC!G89-PIRMS!G89</f>
        <v>0</v>
      </c>
      <c r="H89" s="197">
        <f>PĒC!H89-PIRMS!H89</f>
        <v>0</v>
      </c>
      <c r="I89" s="50">
        <f>PĒC!I89-PIRMS!I89</f>
        <v>0</v>
      </c>
      <c r="J89" s="50">
        <f>PĒC!J89-PIRMS!J89</f>
        <v>0</v>
      </c>
      <c r="K89" s="50">
        <f>PĒC!K89-PIRMS!K89</f>
        <v>0</v>
      </c>
      <c r="L89" s="50">
        <f>PĒC!L89-PIRMS!L89</f>
        <v>0</v>
      </c>
      <c r="M89" s="188">
        <f>PĒC!M89-PIRMS!M89</f>
        <v>0</v>
      </c>
    </row>
    <row r="90" spans="1:13" x14ac:dyDescent="0.2">
      <c r="A90" s="31"/>
      <c r="B90" s="187" t="s">
        <v>121</v>
      </c>
      <c r="C90" s="50">
        <f>PĒC!C90-PIRMS!C90</f>
        <v>0</v>
      </c>
      <c r="D90" s="50">
        <f>PĒC!D90-PIRMS!D90</f>
        <v>0</v>
      </c>
      <c r="E90" s="50">
        <f>PĒC!E90-PIRMS!E90</f>
        <v>0</v>
      </c>
      <c r="F90" s="50">
        <f>PĒC!F90-PIRMS!F90</f>
        <v>0</v>
      </c>
      <c r="G90" s="50">
        <f>PĒC!G90-PIRMS!G90</f>
        <v>0</v>
      </c>
      <c r="H90" s="197">
        <f>PĒC!H90-PIRMS!H90</f>
        <v>0</v>
      </c>
      <c r="I90" s="50">
        <f>PĒC!I90-PIRMS!I90</f>
        <v>41647000</v>
      </c>
      <c r="J90" s="50">
        <f>PĒC!J90-PIRMS!J90</f>
        <v>0</v>
      </c>
      <c r="K90" s="50">
        <f>PĒC!K90-PIRMS!K90</f>
        <v>0</v>
      </c>
      <c r="L90" s="50">
        <f>PĒC!L90-PIRMS!L90</f>
        <v>0</v>
      </c>
      <c r="M90" s="188">
        <f>PĒC!M90-PIRMS!M90</f>
        <v>0</v>
      </c>
    </row>
    <row r="91" spans="1:13" ht="16" x14ac:dyDescent="0.2">
      <c r="A91" s="31"/>
      <c r="B91" s="20" t="s">
        <v>50</v>
      </c>
      <c r="C91" s="21">
        <f>PĒC!C91-PIRMS!C91</f>
        <v>0</v>
      </c>
      <c r="D91" s="21">
        <f>PĒC!D91-PIRMS!D91</f>
        <v>0</v>
      </c>
      <c r="E91" s="21">
        <f>PĒC!E91-PIRMS!E91</f>
        <v>0</v>
      </c>
      <c r="F91" s="21">
        <f>PĒC!F91-PIRMS!F91</f>
        <v>0</v>
      </c>
      <c r="G91" s="21">
        <f>PĒC!G91-PIRMS!G91</f>
        <v>0</v>
      </c>
      <c r="H91" s="193">
        <f>PĒC!H91-PIRMS!H91</f>
        <v>0</v>
      </c>
      <c r="I91" s="21">
        <f>PĒC!I91-PIRMS!I91</f>
        <v>41647000</v>
      </c>
      <c r="J91" s="21">
        <f>PĒC!J91-PIRMS!J91</f>
        <v>0</v>
      </c>
      <c r="K91" s="21">
        <f>PĒC!K91-PIRMS!K91</f>
        <v>0</v>
      </c>
      <c r="L91" s="21">
        <f>PĒC!L91-PIRMS!L91</f>
        <v>0</v>
      </c>
      <c r="M91" s="22">
        <f>PĒC!M91-PIRMS!M91</f>
        <v>0</v>
      </c>
    </row>
    <row r="92" spans="1:13" x14ac:dyDescent="0.2">
      <c r="A92" s="31"/>
      <c r="B92" s="184"/>
      <c r="C92" s="49">
        <f>PĒC!C92-PIRMS!C92</f>
        <v>0</v>
      </c>
      <c r="D92" s="49">
        <f>PĒC!D92-PIRMS!D92</f>
        <v>0</v>
      </c>
      <c r="E92" s="49">
        <f>PĒC!E92-PIRMS!E92</f>
        <v>0</v>
      </c>
      <c r="F92" s="49">
        <f>PĒC!F92-PIRMS!F92</f>
        <v>0</v>
      </c>
      <c r="G92" s="12">
        <f>PĒC!G92-PIRMS!G92</f>
        <v>0</v>
      </c>
      <c r="H92" s="191">
        <f>PĒC!H92-PIRMS!H92</f>
        <v>0</v>
      </c>
      <c r="I92" s="12">
        <f>PĒC!I92-PIRMS!I92</f>
        <v>0</v>
      </c>
      <c r="J92" s="12">
        <f>PĒC!J92-PIRMS!J92</f>
        <v>0</v>
      </c>
      <c r="K92" s="12">
        <f>PĒC!K92-PIRMS!K92</f>
        <v>0</v>
      </c>
      <c r="L92" s="12">
        <f>PĒC!L92-PIRMS!L92</f>
        <v>0</v>
      </c>
      <c r="M92" s="13">
        <f>PĒC!M92-PIRMS!M92</f>
        <v>0</v>
      </c>
    </row>
    <row r="93" spans="1:13" ht="16" x14ac:dyDescent="0.2">
      <c r="A93" s="31"/>
      <c r="B93" s="20" t="s">
        <v>51</v>
      </c>
      <c r="C93" s="21">
        <f>PĒC!C93-PIRMS!C93</f>
        <v>0</v>
      </c>
      <c r="D93" s="21">
        <f>PĒC!D93-PIRMS!D93</f>
        <v>0</v>
      </c>
      <c r="E93" s="21">
        <f>PĒC!E93-PIRMS!E93</f>
        <v>0</v>
      </c>
      <c r="F93" s="21">
        <f>PĒC!F93-PIRMS!F93</f>
        <v>0</v>
      </c>
      <c r="G93" s="21">
        <f>PĒC!G93-PIRMS!G93</f>
        <v>0</v>
      </c>
      <c r="H93" s="193">
        <f>PĒC!H93-PIRMS!H93</f>
        <v>0</v>
      </c>
      <c r="I93" s="21">
        <f>PĒC!I93-PIRMS!I93</f>
        <v>-92664.869306513399</v>
      </c>
      <c r="J93" s="21">
        <f>PĒC!J93-PIRMS!J93</f>
        <v>525059.86756515363</v>
      </c>
      <c r="K93" s="21">
        <f>PĒC!K93-PIRMS!K93</f>
        <v>280990.59197712108</v>
      </c>
      <c r="L93" s="21">
        <f>PĒC!L93-PIRMS!L93</f>
        <v>297016.13025456556</v>
      </c>
      <c r="M93" s="22">
        <f>PĒC!M93-PIRMS!M93</f>
        <v>312565.26673406747</v>
      </c>
    </row>
    <row r="94" spans="1:13" x14ac:dyDescent="0.2">
      <c r="A94" s="31"/>
      <c r="B94" s="187"/>
      <c r="C94" s="50">
        <f>PĒC!C94-PIRMS!C94</f>
        <v>0</v>
      </c>
      <c r="D94" s="50">
        <f>PĒC!D94-PIRMS!D94</f>
        <v>0</v>
      </c>
      <c r="E94" s="50">
        <f>PĒC!E94-PIRMS!E94</f>
        <v>0</v>
      </c>
      <c r="F94" s="50">
        <f>PĒC!F94-PIRMS!F94</f>
        <v>0</v>
      </c>
      <c r="G94" s="12">
        <f>PĒC!G94-PIRMS!G94</f>
        <v>0</v>
      </c>
      <c r="H94" s="191">
        <f>PĒC!H94-PIRMS!H94</f>
        <v>0</v>
      </c>
      <c r="I94" s="12">
        <f>PĒC!I94-PIRMS!I94</f>
        <v>0</v>
      </c>
      <c r="J94" s="12">
        <f>PĒC!J94-PIRMS!J94</f>
        <v>0</v>
      </c>
      <c r="K94" s="12">
        <f>PĒC!K94-PIRMS!K94</f>
        <v>0</v>
      </c>
      <c r="L94" s="12">
        <f>PĒC!L94-PIRMS!L94</f>
        <v>0</v>
      </c>
      <c r="M94" s="13">
        <f>PĒC!M94-PIRMS!M94</f>
        <v>0</v>
      </c>
    </row>
    <row r="95" spans="1:13" ht="16" x14ac:dyDescent="0.2">
      <c r="A95" s="31"/>
      <c r="B95" s="20" t="s">
        <v>52</v>
      </c>
      <c r="C95" s="21">
        <f>PĒC!C95-PIRMS!C95</f>
        <v>0</v>
      </c>
      <c r="D95" s="21">
        <f>PĒC!D95-PIRMS!D95</f>
        <v>0</v>
      </c>
      <c r="E95" s="21">
        <f>PĒC!E95-PIRMS!E95</f>
        <v>0</v>
      </c>
      <c r="F95" s="21">
        <f>PĒC!F95-PIRMS!F95</f>
        <v>0</v>
      </c>
      <c r="G95" s="21">
        <f>PĒC!G95-PIRMS!G95</f>
        <v>0</v>
      </c>
      <c r="H95" s="193">
        <f>PĒC!H95-PIRMS!H95</f>
        <v>0</v>
      </c>
      <c r="I95" s="21">
        <f>PĒC!I95-PIRMS!I95</f>
        <v>0</v>
      </c>
      <c r="J95" s="21">
        <f>PĒC!J95-PIRMS!J95</f>
        <v>-92664.869306513341</v>
      </c>
      <c r="K95" s="21">
        <f>PĒC!K95-PIRMS!K95</f>
        <v>432394.99825864029</v>
      </c>
      <c r="L95" s="21">
        <f>PĒC!L95-PIRMS!L95</f>
        <v>713385.59023576137</v>
      </c>
      <c r="M95" s="22">
        <f>PĒC!M95-PIRMS!M95</f>
        <v>1010401.7204903269</v>
      </c>
    </row>
    <row r="96" spans="1:13" ht="16" x14ac:dyDescent="0.2">
      <c r="A96" s="31"/>
      <c r="B96" s="14" t="s">
        <v>53</v>
      </c>
      <c r="C96" s="15">
        <f>PĒC!C96-PIRMS!C96</f>
        <v>0</v>
      </c>
      <c r="D96" s="15">
        <f>PĒC!D96-PIRMS!D96</f>
        <v>0</v>
      </c>
      <c r="E96" s="15">
        <f>PĒC!E96-PIRMS!E96</f>
        <v>0</v>
      </c>
      <c r="F96" s="15">
        <f>PĒC!F96-PIRMS!F96</f>
        <v>0</v>
      </c>
      <c r="G96" s="15">
        <f>PĒC!G96-PIRMS!G96</f>
        <v>0</v>
      </c>
      <c r="H96" s="192">
        <f>PĒC!H96-PIRMS!H96</f>
        <v>0</v>
      </c>
      <c r="I96" s="15">
        <f>PĒC!I96-PIRMS!I96</f>
        <v>-92664.869306513341</v>
      </c>
      <c r="J96" s="15">
        <f>PĒC!J96-PIRMS!J96</f>
        <v>432394.99825864029</v>
      </c>
      <c r="K96" s="15">
        <f>PĒC!K96-PIRMS!K96</f>
        <v>713385.59023576137</v>
      </c>
      <c r="L96" s="15">
        <f>PĒC!L96-PIRMS!L96</f>
        <v>1010401.7204903269</v>
      </c>
      <c r="M96" s="16">
        <f>PĒC!M96-PIRMS!M96</f>
        <v>1322966.9872243945</v>
      </c>
    </row>
    <row r="97" spans="1:13" x14ac:dyDescent="0.2">
      <c r="A97" s="31"/>
      <c r="B97" s="51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</row>
    <row r="98" spans="1:13" x14ac:dyDescent="0.2">
      <c r="A98" s="31"/>
      <c r="B98" s="78" t="s">
        <v>119</v>
      </c>
      <c r="C98" s="80">
        <f>C96-C53</f>
        <v>0</v>
      </c>
      <c r="D98" s="80">
        <f t="shared" ref="D98:M98" si="3">D96-D53</f>
        <v>0</v>
      </c>
      <c r="E98" s="80">
        <f t="shared" si="3"/>
        <v>0</v>
      </c>
      <c r="F98" s="80">
        <f t="shared" si="3"/>
        <v>0</v>
      </c>
      <c r="G98" s="80">
        <f t="shared" si="3"/>
        <v>0</v>
      </c>
      <c r="H98" s="80">
        <f t="shared" si="3"/>
        <v>0</v>
      </c>
      <c r="I98" s="80">
        <f t="shared" si="3"/>
        <v>0</v>
      </c>
      <c r="J98" s="80">
        <f t="shared" si="3"/>
        <v>0</v>
      </c>
      <c r="K98" s="80">
        <f t="shared" si="3"/>
        <v>0</v>
      </c>
      <c r="L98" s="80">
        <f t="shared" si="3"/>
        <v>0</v>
      </c>
      <c r="M98" s="80">
        <f t="shared" si="3"/>
        <v>0</v>
      </c>
    </row>
    <row r="99" spans="1:13" x14ac:dyDescent="0.2">
      <c r="A99" s="31"/>
      <c r="B99" s="51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</row>
    <row r="100" spans="1:13" x14ac:dyDescent="0.2">
      <c r="A100" s="104"/>
      <c r="B100" s="166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</row>
    <row r="101" spans="1:13" x14ac:dyDescent="0.2">
      <c r="A101" s="104"/>
      <c r="B101" s="166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</row>
    <row r="102" spans="1:13" x14ac:dyDescent="0.2">
      <c r="A102" s="42"/>
      <c r="B102" s="43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</row>
  </sheetData>
  <conditionalFormatting sqref="C74:M74">
    <cfRule type="cellIs" dxfId="3" priority="1" stopIfTrue="1" operator="greaterThan">
      <formula>1</formula>
    </cfRule>
    <cfRule type="cellIs" dxfId="2" priority="2" stopIfTrue="1" operator="lessThan">
      <formula>-1</formula>
    </cfRule>
  </conditionalFormatting>
  <conditionalFormatting sqref="C98:M98">
    <cfRule type="cellIs" dxfId="1" priority="3" stopIfTrue="1" operator="greaterThan">
      <formula>1</formula>
    </cfRule>
    <cfRule type="cellIs" dxfId="0" priority="4" stopIfTrue="1" operator="lessThan">
      <formula>-1</formula>
    </cfRule>
  </conditionalFormatting>
  <pageMargins left="0.7" right="0.7" top="0.75" bottom="0.75" header="0.3" footer="0.3"/>
  <pageSetup paperSize="9" orientation="landscape" r:id="rId1"/>
  <ignoredErrors>
    <ignoredError sqref="C7:M96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30"/>
  <sheetViews>
    <sheetView topLeftCell="A23" workbookViewId="0">
      <selection activeCell="N23" sqref="N23"/>
    </sheetView>
  </sheetViews>
  <sheetFormatPr baseColWidth="10" defaultColWidth="9.1640625" defaultRowHeight="14" x14ac:dyDescent="0.2"/>
  <cols>
    <col min="1" max="1" width="21.1640625" style="45" customWidth="1"/>
    <col min="2" max="2" width="10.83203125" style="45" customWidth="1"/>
    <col min="3" max="3" width="21" style="45" bestFit="1" customWidth="1"/>
    <col min="4" max="4" width="8.83203125" style="45" bestFit="1" customWidth="1"/>
    <col min="5" max="5" width="9.33203125" style="45" bestFit="1" customWidth="1"/>
    <col min="6" max="6" width="9.6640625" style="45" bestFit="1" customWidth="1"/>
    <col min="7" max="8" width="11.1640625" style="45" customWidth="1"/>
    <col min="9" max="9" width="11" style="45" customWidth="1"/>
    <col min="10" max="10" width="11.5" style="45" customWidth="1"/>
    <col min="11" max="16384" width="9.1640625" style="45"/>
  </cols>
  <sheetData>
    <row r="2" spans="1:10" ht="16" x14ac:dyDescent="0.2">
      <c r="C2" s="46" t="s">
        <v>0</v>
      </c>
    </row>
    <row r="4" spans="1:10" ht="19" x14ac:dyDescent="0.25">
      <c r="B4" s="47" t="s">
        <v>91</v>
      </c>
    </row>
    <row r="7" spans="1:10" ht="12.75" customHeight="1" x14ac:dyDescent="0.2">
      <c r="A7" s="240" t="s">
        <v>69</v>
      </c>
      <c r="B7" s="240"/>
      <c r="C7" s="52" t="s">
        <v>70</v>
      </c>
      <c r="D7" s="53" t="s">
        <v>70</v>
      </c>
      <c r="E7" s="243" t="s">
        <v>71</v>
      </c>
      <c r="F7" s="244"/>
      <c r="G7" s="244"/>
      <c r="H7" s="244"/>
      <c r="I7" s="244"/>
      <c r="J7" s="245"/>
    </row>
    <row r="8" spans="1:10" ht="12.75" customHeight="1" x14ac:dyDescent="0.2">
      <c r="A8" s="240"/>
      <c r="B8" s="240"/>
      <c r="C8" s="52" t="s">
        <v>72</v>
      </c>
      <c r="D8" s="52" t="s">
        <v>73</v>
      </c>
      <c r="E8" s="54" t="s">
        <v>101</v>
      </c>
      <c r="F8" s="54" t="s">
        <v>98</v>
      </c>
      <c r="G8" s="54" t="s">
        <v>97</v>
      </c>
      <c r="H8" s="54" t="s">
        <v>99</v>
      </c>
      <c r="I8" s="54" t="s">
        <v>96</v>
      </c>
      <c r="J8" s="54" t="s">
        <v>100</v>
      </c>
    </row>
    <row r="9" spans="1:10" ht="22.5" customHeight="1" x14ac:dyDescent="0.2">
      <c r="A9" s="239" t="s">
        <v>74</v>
      </c>
      <c r="B9" s="242" t="s">
        <v>75</v>
      </c>
      <c r="C9" s="235">
        <f>PIRMS!C7+PIRMS!C20</f>
        <v>4629426</v>
      </c>
      <c r="D9" s="72">
        <f>PIRMS!E7+PIRMS!E20</f>
        <v>5035817</v>
      </c>
      <c r="E9" s="235">
        <f>PIRMS!G7+PIRMS!G20</f>
        <v>6765627</v>
      </c>
      <c r="F9" s="235">
        <f>PIRMS!H7+PIRMS!H20</f>
        <v>7187350</v>
      </c>
      <c r="G9" s="235">
        <f>PIRMS!I7+PIRMS!I20</f>
        <v>7820210.9190097395</v>
      </c>
      <c r="H9" s="235">
        <f>PIRMS!J7+PIRMS!J20</f>
        <v>8147597.8451927667</v>
      </c>
      <c r="I9" s="235">
        <f>PIRMS!K7+PIRMS!K20</f>
        <v>8435644.7340453044</v>
      </c>
      <c r="J9" s="235">
        <f>PIRMS!L7+PIRMS!L20</f>
        <v>8734998.8072625175</v>
      </c>
    </row>
    <row r="10" spans="1:10" x14ac:dyDescent="0.2">
      <c r="A10" s="239"/>
      <c r="B10" s="242"/>
      <c r="C10" s="236"/>
      <c r="D10" s="73"/>
      <c r="E10" s="236"/>
      <c r="F10" s="236"/>
      <c r="G10" s="236"/>
      <c r="H10" s="236"/>
      <c r="I10" s="236"/>
      <c r="J10" s="236"/>
    </row>
    <row r="11" spans="1:10" ht="15" x14ac:dyDescent="0.2">
      <c r="A11" s="55" t="s">
        <v>76</v>
      </c>
      <c r="B11" s="55"/>
      <c r="C11" s="56">
        <f>PIRMS!C18</f>
        <v>-1393965</v>
      </c>
      <c r="D11" s="56">
        <f>PIRMS!E18</f>
        <v>-2899614</v>
      </c>
      <c r="E11" s="56">
        <f>PIRMS!G18</f>
        <v>-2413136</v>
      </c>
      <c r="F11" s="56">
        <f>PIRMS!H18</f>
        <v>-2535909.2914980417</v>
      </c>
      <c r="G11" s="56">
        <f>PIRMS!I18</f>
        <v>-2314669.4235696862</v>
      </c>
      <c r="H11" s="56">
        <f>PIRMS!J18</f>
        <v>-2389743.5717267096</v>
      </c>
      <c r="I11" s="56">
        <f>PIRMS!K18</f>
        <v>-2465687.0303736851</v>
      </c>
      <c r="J11" s="56">
        <f>PIRMS!L18</f>
        <v>-2532497.9843265321</v>
      </c>
    </row>
    <row r="12" spans="1:10" ht="45" x14ac:dyDescent="0.2">
      <c r="A12" s="55" t="s">
        <v>77</v>
      </c>
      <c r="B12" s="55"/>
      <c r="C12" s="56">
        <f>PIRMS!C30</f>
        <v>114721</v>
      </c>
      <c r="D12" s="56">
        <f>PIRMS!E30</f>
        <v>104765</v>
      </c>
      <c r="E12" s="56">
        <f>PIRMS!G30</f>
        <v>328417</v>
      </c>
      <c r="F12" s="56">
        <f>PIRMS!H30</f>
        <v>378530.44046400883</v>
      </c>
      <c r="G12" s="56">
        <f>PIRMS!I30</f>
        <v>392435.45088945678</v>
      </c>
      <c r="H12" s="56">
        <f>PIRMS!J30</f>
        <v>362834.7366780031</v>
      </c>
      <c r="I12" s="56">
        <f>PIRMS!K30</f>
        <v>339380.09872912266</v>
      </c>
      <c r="J12" s="56">
        <f>PIRMS!L30</f>
        <v>325969.8090113427</v>
      </c>
    </row>
    <row r="13" spans="1:10" ht="45" x14ac:dyDescent="0.2">
      <c r="A13" s="55" t="s">
        <v>78</v>
      </c>
      <c r="B13" s="55"/>
      <c r="C13" s="56">
        <f>PIRMS!C34</f>
        <v>2068</v>
      </c>
      <c r="D13" s="56">
        <f>PIRMS!E34</f>
        <v>7075</v>
      </c>
      <c r="E13" s="56">
        <f>PIRMS!G34</f>
        <v>14947</v>
      </c>
      <c r="F13" s="56">
        <f>PIRMS!H34</f>
        <v>13017.213466763671</v>
      </c>
      <c r="G13" s="56">
        <f>PIRMS!I34</f>
        <v>28163.386096068367</v>
      </c>
      <c r="H13" s="56">
        <f>PIRMS!J34</f>
        <v>28866.904347424628</v>
      </c>
      <c r="I13" s="56">
        <f>PIRMS!K34</f>
        <v>26614.330054742517</v>
      </c>
      <c r="J13" s="56">
        <f>PIRMS!L34</f>
        <v>26198.749113160884</v>
      </c>
    </row>
    <row r="14" spans="1:10" ht="15" x14ac:dyDescent="0.2">
      <c r="A14" s="55" t="s">
        <v>79</v>
      </c>
      <c r="B14" s="55"/>
      <c r="C14" s="56">
        <f>PIRMS!C42</f>
        <v>1662</v>
      </c>
      <c r="D14" s="56">
        <f>PIRMS!E42</f>
        <v>4948</v>
      </c>
      <c r="E14" s="56">
        <f>PIRMS!G42</f>
        <v>5990</v>
      </c>
      <c r="F14" s="56">
        <f>PIRMS!H42</f>
        <v>2000.4253267636705</v>
      </c>
      <c r="G14" s="56">
        <f>PIRMS!I42</f>
        <v>4729.8092160683664</v>
      </c>
      <c r="H14" s="56">
        <f>PIRMS!J42</f>
        <v>8083.3274674246277</v>
      </c>
      <c r="I14" s="56">
        <f>PIRMS!K42</f>
        <v>8480.7531747425164</v>
      </c>
      <c r="J14" s="56">
        <f>PIRMS!L42</f>
        <v>10715.172233160883</v>
      </c>
    </row>
    <row r="15" spans="1:10" ht="15" x14ac:dyDescent="0.2">
      <c r="A15" s="55" t="s">
        <v>80</v>
      </c>
      <c r="B15" s="55"/>
      <c r="C15" s="56">
        <f>PIRMS!C58</f>
        <v>54228</v>
      </c>
      <c r="D15" s="56">
        <f>PIRMS!E58</f>
        <v>54228</v>
      </c>
      <c r="E15" s="56">
        <f>PIRMS!G58</f>
        <v>151318</v>
      </c>
      <c r="F15" s="56">
        <f>PIRMS!H58</f>
        <v>151318</v>
      </c>
      <c r="G15" s="56">
        <f>PIRMS!I58</f>
        <v>151318</v>
      </c>
      <c r="H15" s="56">
        <f>PIRMS!J58</f>
        <v>151318</v>
      </c>
      <c r="I15" s="56">
        <f>PIRMS!K58</f>
        <v>151318</v>
      </c>
      <c r="J15" s="56">
        <f>PIRMS!L58</f>
        <v>151318</v>
      </c>
    </row>
    <row r="16" spans="1:10" ht="15" x14ac:dyDescent="0.2">
      <c r="A16" s="55" t="s">
        <v>81</v>
      </c>
      <c r="B16" s="55"/>
      <c r="C16" s="56">
        <f>PIRMS!C62</f>
        <v>26516</v>
      </c>
      <c r="D16" s="56">
        <f>PIRMS!E62</f>
        <v>36227</v>
      </c>
      <c r="E16" s="56">
        <f>PIRMS!G62</f>
        <v>140731</v>
      </c>
      <c r="F16" s="56">
        <f>PIRMS!H62</f>
        <v>142731.42532676368</v>
      </c>
      <c r="G16" s="56">
        <f>PIRMS!I62</f>
        <v>147461.23454283204</v>
      </c>
      <c r="H16" s="56">
        <f>PIRMS!J62</f>
        <v>155544.56201025666</v>
      </c>
      <c r="I16" s="56">
        <f>PIRMS!K62</f>
        <v>164025.31518499917</v>
      </c>
      <c r="J16" s="56">
        <f>PIRMS!L62</f>
        <v>174740.48741816005</v>
      </c>
    </row>
    <row r="17" spans="1:10" ht="30" x14ac:dyDescent="0.2">
      <c r="A17" s="55" t="s">
        <v>82</v>
      </c>
      <c r="B17" s="55"/>
      <c r="C17" s="56">
        <f>PIRMS!C71</f>
        <v>879063</v>
      </c>
      <c r="D17" s="56">
        <f>PIRMS!E71</f>
        <v>1300309</v>
      </c>
      <c r="E17" s="56">
        <f>PIRMS!G71</f>
        <v>2966256</v>
      </c>
      <c r="F17" s="57">
        <f>PIRMS!H72</f>
        <v>3217023.2158798669</v>
      </c>
      <c r="G17" s="57">
        <f>PIRMS!I72</f>
        <v>3165515.1631531194</v>
      </c>
      <c r="H17" s="57">
        <f>PIRMS!J72</f>
        <v>2967257.7502595517</v>
      </c>
      <c r="I17" s="57">
        <f>PIRMS!K72</f>
        <v>2753813.4300280018</v>
      </c>
      <c r="J17" s="57">
        <f>PIRMS!L72</f>
        <v>2545137.8856166028</v>
      </c>
    </row>
    <row r="18" spans="1:10" ht="30" x14ac:dyDescent="0.2">
      <c r="A18" s="55" t="s">
        <v>83</v>
      </c>
      <c r="B18" s="55"/>
      <c r="C18" s="52" t="s">
        <v>59</v>
      </c>
      <c r="D18" s="52" t="s">
        <v>59</v>
      </c>
      <c r="E18" s="52" t="s">
        <v>59</v>
      </c>
      <c r="F18" s="52" t="s">
        <v>59</v>
      </c>
      <c r="G18" s="52" t="s">
        <v>59</v>
      </c>
      <c r="H18" s="52" t="s">
        <v>59</v>
      </c>
      <c r="I18" s="52" t="s">
        <v>59</v>
      </c>
      <c r="J18" s="52" t="s">
        <v>59</v>
      </c>
    </row>
    <row r="19" spans="1:10" ht="15" x14ac:dyDescent="0.2">
      <c r="A19" s="55" t="s">
        <v>84</v>
      </c>
      <c r="B19" s="239"/>
      <c r="C19" s="246">
        <f>PIRMS!C42/PIRMS!C62</f>
        <v>6.2679137124754869E-2</v>
      </c>
      <c r="D19" s="75">
        <f>PIRMS!E42/PIRMS!E62</f>
        <v>0.136583211416899</v>
      </c>
      <c r="E19" s="237">
        <f>PIRMS!G42/PIRMS!G62</f>
        <v>4.2563472156099222E-2</v>
      </c>
      <c r="F19" s="237">
        <f>PIRMS!H42/PIRMS!H62</f>
        <v>1.4015311079420497E-2</v>
      </c>
      <c r="G19" s="237">
        <f>PIRMS!I42/PIRMS!I62</f>
        <v>3.2074932986503185E-2</v>
      </c>
      <c r="H19" s="237">
        <f>PIRMS!J42/PIRMS!J62</f>
        <v>5.1967920722883323E-2</v>
      </c>
      <c r="I19" s="237">
        <f>PIRMS!K42/PIRMS!K62</f>
        <v>5.1703928537965814E-2</v>
      </c>
      <c r="J19" s="237">
        <f>PIRMS!L42/PIRMS!L62</f>
        <v>6.1320489552710841E-2</v>
      </c>
    </row>
    <row r="20" spans="1:10" ht="18.75" customHeight="1" x14ac:dyDescent="0.2">
      <c r="A20" s="52" t="s">
        <v>85</v>
      </c>
      <c r="B20" s="239"/>
      <c r="C20" s="246"/>
      <c r="D20" s="75"/>
      <c r="E20" s="237"/>
      <c r="F20" s="237"/>
      <c r="G20" s="237"/>
      <c r="H20" s="237"/>
      <c r="I20" s="237"/>
      <c r="J20" s="237"/>
    </row>
    <row r="21" spans="1:10" ht="30" x14ac:dyDescent="0.2">
      <c r="A21" s="58" t="s">
        <v>92</v>
      </c>
      <c r="B21" s="55"/>
      <c r="C21" s="59">
        <f>PIRMS!C42/PIRMS!C55</f>
        <v>1.835289908445315E-3</v>
      </c>
      <c r="D21" s="59">
        <f>PIRMS!E42/PIRMS!E55</f>
        <v>3.702107537694458E-3</v>
      </c>
      <c r="E21" s="76">
        <f>PIRMS!G42/PIRMS!G55</f>
        <v>1.9279127978327557E-3</v>
      </c>
      <c r="F21" s="76">
        <f>PIRMS!H42/PIRMS!H55</f>
        <v>6.2182495820644777E-4</v>
      </c>
      <c r="G21" s="76">
        <f>PIRMS!I42/PIRMS!I55</f>
        <v>1.4941672910380498E-3</v>
      </c>
      <c r="H21" s="76">
        <f>PIRMS!J42/PIRMS!J55</f>
        <v>2.724174354828988E-3</v>
      </c>
      <c r="I21" s="76">
        <f>PIRMS!K42/PIRMS!K55</f>
        <v>3.0796397033535715E-3</v>
      </c>
      <c r="J21" s="76">
        <f>PIRMS!L42/PIRMS!L55</f>
        <v>4.2100556884229288E-3</v>
      </c>
    </row>
    <row r="22" spans="1:10" ht="30" x14ac:dyDescent="0.2">
      <c r="A22" s="60" t="s">
        <v>93</v>
      </c>
      <c r="B22" s="61"/>
      <c r="C22" s="62">
        <v>0.7</v>
      </c>
      <c r="D22" s="62">
        <v>0.7</v>
      </c>
      <c r="E22" s="63">
        <f>PIRMS!G54/(PIRMS!G67+PIRMS!G70)</f>
        <v>3.9100677247851916</v>
      </c>
      <c r="F22" s="63">
        <f>PIRMS!H54/(PIRMS!H67+PIRMS!H70)</f>
        <v>3.418443989520791</v>
      </c>
      <c r="G22" s="63">
        <f>PIRMS!I54/(PIRMS!I67+PIRMS!I70)</f>
        <v>3.5512695118643052</v>
      </c>
      <c r="H22" s="63">
        <f>PIRMS!J54/(PIRMS!J67+PIRMS!J70)</f>
        <v>3.460707082480182</v>
      </c>
      <c r="I22" s="63">
        <f>PIRMS!K54/(PIRMS!K67+PIRMS!K70)</f>
        <v>3.3278695122096869</v>
      </c>
      <c r="J22" s="63">
        <f>PIRMS!L54/(PIRMS!L67+PIRMS!L70)</f>
        <v>3.1868828478902045</v>
      </c>
    </row>
    <row r="23" spans="1:10" ht="15" x14ac:dyDescent="0.2">
      <c r="A23" s="64" t="s">
        <v>86</v>
      </c>
      <c r="B23" s="241"/>
      <c r="C23" s="238">
        <f>(PIRMS!C54-PIRMS!C51)/PIRMS!C71</f>
        <v>8.517136997007041E-2</v>
      </c>
      <c r="D23" s="74">
        <f>(PIRMS!E54-PIRMS!E51)/PIRMS!E71</f>
        <v>0.4626892530929187</v>
      </c>
      <c r="E23" s="238">
        <f>(PIRMS!G54-PIRMS!G51)/PIRMS!G71</f>
        <v>0.24671707364435166</v>
      </c>
      <c r="F23" s="238">
        <f>(PIRMS!H54-PIRMS!H51)/PIRMS!H71</f>
        <v>0.20988556157647012</v>
      </c>
      <c r="G23" s="238">
        <f>(PIRMS!I54-PIRMS!I51)/PIRMS!I71</f>
        <v>0.27474492076842277</v>
      </c>
      <c r="H23" s="238">
        <f>(PIRMS!J54-PIRMS!J51)/PIRMS!J71</f>
        <v>0.29916147093175116</v>
      </c>
      <c r="I23" s="238">
        <f>(PIRMS!K54-PIRMS!K51)/PIRMS!K71</f>
        <v>0.31508032464460184</v>
      </c>
      <c r="J23" s="238">
        <f>(PIRMS!L54-PIRMS!L51)/PIRMS!L71</f>
        <v>0.32983540579948339</v>
      </c>
    </row>
    <row r="24" spans="1:10" ht="30" x14ac:dyDescent="0.2">
      <c r="A24" s="65" t="s">
        <v>94</v>
      </c>
      <c r="B24" s="241"/>
      <c r="C24" s="238"/>
      <c r="D24" s="74"/>
      <c r="E24" s="238"/>
      <c r="F24" s="238"/>
      <c r="G24" s="238"/>
      <c r="H24" s="238"/>
      <c r="I24" s="238"/>
      <c r="J24" s="238"/>
    </row>
    <row r="25" spans="1:10" ht="30" x14ac:dyDescent="0.2">
      <c r="A25" s="66" t="s">
        <v>87</v>
      </c>
      <c r="B25" s="55"/>
      <c r="C25" s="67">
        <f>PIRMS!C71/PIRMS!C62</f>
        <v>33.152172273344398</v>
      </c>
      <c r="D25" s="67">
        <f>PIRMS!E71/PIRMS!E62</f>
        <v>35.893366825848126</v>
      </c>
      <c r="E25" s="67">
        <f>PIRMS!G71/PIRMS!G62</f>
        <v>21.077488257739944</v>
      </c>
      <c r="F25" s="67">
        <f>PIRMS!H71/PIRMS!H62</f>
        <v>21.538997340739371</v>
      </c>
      <c r="G25" s="67">
        <f>PIRMS!I71/PIRMS!I62</f>
        <v>20.46676157274171</v>
      </c>
      <c r="H25" s="67">
        <f>PIRMS!J71/PIRMS!J62</f>
        <v>18.076576589439942</v>
      </c>
      <c r="I25" s="67">
        <f>PIRMS!K71/PIRMS!K62</f>
        <v>15.78895374730455</v>
      </c>
      <c r="J25" s="67">
        <f>PIRMS!L71/PIRMS!L62</f>
        <v>13.565244284376979</v>
      </c>
    </row>
    <row r="26" spans="1:10" ht="30" x14ac:dyDescent="0.2">
      <c r="A26" s="55" t="s">
        <v>88</v>
      </c>
      <c r="B26" s="55"/>
      <c r="C26" s="56">
        <v>32293</v>
      </c>
      <c r="D26" s="56">
        <v>99701</v>
      </c>
      <c r="E26" s="56" t="e">
        <f>PIRMS!#REF!</f>
        <v>#REF!</v>
      </c>
      <c r="F26" s="56" t="e">
        <f>PIRMS!#REF!</f>
        <v>#REF!</v>
      </c>
      <c r="G26" s="56" t="e">
        <f>PIRMS!#REF!</f>
        <v>#REF!</v>
      </c>
      <c r="H26" s="56" t="e">
        <f>PIRMS!#REF!</f>
        <v>#REF!</v>
      </c>
      <c r="I26" s="56" t="e">
        <f>PIRMS!#REF!</f>
        <v>#REF!</v>
      </c>
      <c r="J26" s="56" t="e">
        <f>PIRMS!#REF!</f>
        <v>#REF!</v>
      </c>
    </row>
    <row r="27" spans="1:10" ht="45.75" customHeight="1" x14ac:dyDescent="0.2">
      <c r="A27" s="239" t="s">
        <v>89</v>
      </c>
      <c r="B27" s="239"/>
      <c r="C27" s="240" t="s">
        <v>59</v>
      </c>
      <c r="D27" s="55">
        <v>280</v>
      </c>
      <c r="E27" s="234">
        <f>ROUND(PIRMS!G42*90%,2)</f>
        <v>5391</v>
      </c>
      <c r="F27" s="234">
        <f>ROUND(PIRMS!H42*90%,2)</f>
        <v>1800.38</v>
      </c>
      <c r="G27" s="234">
        <f>ROUND(PIRMS!I42*90%,2)</f>
        <v>4256.83</v>
      </c>
      <c r="H27" s="234">
        <f>ROUND(PIRMS!J42*90%,2)</f>
        <v>7274.99</v>
      </c>
      <c r="I27" s="234">
        <f>ROUND(PIRMS!K42*90%,2)</f>
        <v>7632.68</v>
      </c>
      <c r="J27" s="234">
        <f>ROUND(PIRMS!L42*90%,2)</f>
        <v>9643.66</v>
      </c>
    </row>
    <row r="28" spans="1:10" x14ac:dyDescent="0.2">
      <c r="A28" s="239"/>
      <c r="B28" s="239"/>
      <c r="C28" s="240"/>
      <c r="D28" s="55"/>
      <c r="E28" s="234"/>
      <c r="F28" s="234"/>
      <c r="G28" s="234"/>
      <c r="H28" s="234"/>
      <c r="I28" s="234"/>
      <c r="J28" s="234"/>
    </row>
    <row r="29" spans="1:10" x14ac:dyDescent="0.2">
      <c r="A29" s="239"/>
      <c r="B29" s="239"/>
      <c r="C29" s="240"/>
      <c r="D29" s="55"/>
      <c r="E29" s="234"/>
      <c r="F29" s="234"/>
      <c r="G29" s="234"/>
      <c r="H29" s="234"/>
      <c r="I29" s="234"/>
      <c r="J29" s="234"/>
    </row>
    <row r="30" spans="1:10" ht="30" x14ac:dyDescent="0.2">
      <c r="A30" s="55" t="s">
        <v>90</v>
      </c>
      <c r="B30" s="55"/>
      <c r="C30" s="56" t="e">
        <f>PIRMS!#REF!</f>
        <v>#REF!</v>
      </c>
      <c r="D30" s="56" t="e">
        <f>PIRMS!#REF!</f>
        <v>#REF!</v>
      </c>
      <c r="E30" s="56">
        <f>PIRMS!G21</f>
        <v>3315043</v>
      </c>
      <c r="F30" s="56">
        <f>PIRMS!H21</f>
        <v>3247258</v>
      </c>
      <c r="G30" s="56">
        <f>PIRMS!I21</f>
        <v>3318697.676</v>
      </c>
      <c r="H30" s="56">
        <f>PIRMS!J21</f>
        <v>3401665.1178999995</v>
      </c>
      <c r="I30" s="56">
        <f>PIRMS!K21</f>
        <v>3486706.745847499</v>
      </c>
      <c r="J30" s="56">
        <f>PIRMS!L21</f>
        <v>3573874.4144936861</v>
      </c>
    </row>
  </sheetData>
  <mergeCells count="37">
    <mergeCell ref="H19:H20"/>
    <mergeCell ref="I19:I20"/>
    <mergeCell ref="A7:A8"/>
    <mergeCell ref="B7:B8"/>
    <mergeCell ref="A9:A10"/>
    <mergeCell ref="B9:B10"/>
    <mergeCell ref="F9:F10"/>
    <mergeCell ref="G9:G10"/>
    <mergeCell ref="H9:H10"/>
    <mergeCell ref="E7:J7"/>
    <mergeCell ref="B19:B20"/>
    <mergeCell ref="C19:C20"/>
    <mergeCell ref="E19:E20"/>
    <mergeCell ref="F19:F20"/>
    <mergeCell ref="A27:A29"/>
    <mergeCell ref="B27:B29"/>
    <mergeCell ref="C27:C29"/>
    <mergeCell ref="E27:E29"/>
    <mergeCell ref="B23:B24"/>
    <mergeCell ref="C23:C24"/>
    <mergeCell ref="E23:E24"/>
    <mergeCell ref="G27:G29"/>
    <mergeCell ref="H27:H29"/>
    <mergeCell ref="I27:I29"/>
    <mergeCell ref="J27:J29"/>
    <mergeCell ref="C9:C10"/>
    <mergeCell ref="E9:E10"/>
    <mergeCell ref="F27:F29"/>
    <mergeCell ref="J19:J20"/>
    <mergeCell ref="G23:G24"/>
    <mergeCell ref="H23:H24"/>
    <mergeCell ref="I23:I24"/>
    <mergeCell ref="J23:J24"/>
    <mergeCell ref="I9:I10"/>
    <mergeCell ref="J9:J10"/>
    <mergeCell ref="G19:G20"/>
    <mergeCell ref="F23:F24"/>
  </mergeCells>
  <pageMargins left="0" right="0" top="0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FEDF9-A17B-40C5-B3EC-4652C40A010D}">
  <dimension ref="B2:H25"/>
  <sheetViews>
    <sheetView topLeftCell="A7" workbookViewId="0">
      <selection activeCell="O20" sqref="O20"/>
    </sheetView>
  </sheetViews>
  <sheetFormatPr baseColWidth="10" defaultColWidth="8.83203125" defaultRowHeight="15" x14ac:dyDescent="0.2"/>
  <cols>
    <col min="1" max="1" width="4" customWidth="1"/>
    <col min="2" max="2" width="15.6640625" customWidth="1"/>
    <col min="3" max="3" width="22.6640625" customWidth="1"/>
  </cols>
  <sheetData>
    <row r="2" spans="2:8" x14ac:dyDescent="0.2">
      <c r="D2" s="156" t="s">
        <v>158</v>
      </c>
      <c r="E2" s="156" t="s">
        <v>159</v>
      </c>
      <c r="F2" s="156" t="s">
        <v>160</v>
      </c>
      <c r="G2" s="156" t="s">
        <v>161</v>
      </c>
    </row>
    <row r="3" spans="2:8" x14ac:dyDescent="0.2">
      <c r="B3" s="156" t="s">
        <v>162</v>
      </c>
      <c r="C3" s="156" t="s">
        <v>128</v>
      </c>
      <c r="D3" s="68">
        <v>2989</v>
      </c>
      <c r="E3" s="68">
        <v>3003</v>
      </c>
      <c r="F3" s="68">
        <v>1522</v>
      </c>
      <c r="G3" s="68">
        <v>750</v>
      </c>
    </row>
    <row r="4" spans="2:8" x14ac:dyDescent="0.2">
      <c r="C4" s="156" t="s">
        <v>163</v>
      </c>
      <c r="D4" s="68">
        <v>682962</v>
      </c>
      <c r="E4" s="68">
        <v>730065</v>
      </c>
      <c r="F4" s="68">
        <v>289087</v>
      </c>
      <c r="G4" s="68">
        <v>176614</v>
      </c>
    </row>
    <row r="6" spans="2:8" x14ac:dyDescent="0.2">
      <c r="C6" t="s">
        <v>164</v>
      </c>
      <c r="D6" s="157">
        <f>PIRMS!C112/D3</f>
        <v>0.15858146537303447</v>
      </c>
      <c r="E6" s="157">
        <f>PIRMS!D112/E3</f>
        <v>0.16050616050616051</v>
      </c>
      <c r="F6" s="157">
        <f>PIRMS!E112/F3</f>
        <v>0.15965834428383704</v>
      </c>
      <c r="G6" s="157">
        <f>PIRMS!F112/G3</f>
        <v>0.11466666666666667</v>
      </c>
    </row>
    <row r="7" spans="2:8" x14ac:dyDescent="0.2">
      <c r="C7" t="s">
        <v>165</v>
      </c>
      <c r="D7" s="157">
        <f>PIRMS!C110/tirgus!D4</f>
        <v>0.2854902615372451</v>
      </c>
      <c r="E7" s="157">
        <f>PIRMS!D110/tirgus!E4</f>
        <v>0.26287248395690793</v>
      </c>
      <c r="F7" s="157">
        <f>PIRMS!E110/tirgus!F4</f>
        <v>0.25282354446931199</v>
      </c>
      <c r="G7" s="157">
        <f>PIRMS!F110/tirgus!G4</f>
        <v>0.17009410352520185</v>
      </c>
    </row>
    <row r="12" spans="2:8" x14ac:dyDescent="0.2">
      <c r="D12">
        <v>2018</v>
      </c>
      <c r="E12">
        <f>D12+1</f>
        <v>2019</v>
      </c>
      <c r="F12">
        <f t="shared" ref="F12:H12" si="0">E12+1</f>
        <v>2020</v>
      </c>
      <c r="G12">
        <f t="shared" si="0"/>
        <v>2021</v>
      </c>
      <c r="H12">
        <f t="shared" si="0"/>
        <v>2022</v>
      </c>
    </row>
    <row r="13" spans="2:8" x14ac:dyDescent="0.2">
      <c r="C13" t="s">
        <v>170</v>
      </c>
      <c r="D13">
        <v>12.45</v>
      </c>
      <c r="E13">
        <v>12.45</v>
      </c>
      <c r="F13">
        <v>15.79</v>
      </c>
      <c r="G13">
        <v>20.5</v>
      </c>
      <c r="H13">
        <v>26.74</v>
      </c>
    </row>
    <row r="17" spans="2:3" x14ac:dyDescent="0.2">
      <c r="B17" t="s">
        <v>173</v>
      </c>
    </row>
    <row r="18" spans="2:3" x14ac:dyDescent="0.2">
      <c r="B18" t="s">
        <v>6</v>
      </c>
      <c r="C18" s="68">
        <f>PIRMS!G12</f>
        <v>3537784</v>
      </c>
    </row>
    <row r="19" spans="2:3" x14ac:dyDescent="0.2">
      <c r="B19" t="s">
        <v>7</v>
      </c>
      <c r="C19" s="68">
        <f>PIRMS!G13</f>
        <v>430703</v>
      </c>
    </row>
    <row r="20" spans="2:3" x14ac:dyDescent="0.2">
      <c r="B20" t="s">
        <v>8</v>
      </c>
      <c r="C20" s="68">
        <f>PIRMS!G14</f>
        <v>666569</v>
      </c>
    </row>
    <row r="21" spans="2:3" x14ac:dyDescent="0.2">
      <c r="B21" t="s">
        <v>9</v>
      </c>
      <c r="C21" s="68">
        <f>PIRMS!G15</f>
        <v>510677</v>
      </c>
    </row>
    <row r="22" spans="2:3" x14ac:dyDescent="0.2">
      <c r="B22" t="s">
        <v>10</v>
      </c>
      <c r="C22" s="68">
        <f>PIRMS!G16</f>
        <v>319102</v>
      </c>
    </row>
    <row r="23" spans="2:3" x14ac:dyDescent="0.2">
      <c r="B23" t="s">
        <v>13</v>
      </c>
      <c r="C23" s="68">
        <f>PIRMS!G26</f>
        <v>512447</v>
      </c>
    </row>
    <row r="24" spans="2:3" x14ac:dyDescent="0.2">
      <c r="B24" t="s">
        <v>14</v>
      </c>
      <c r="C24" s="68">
        <f>PIRMS!G27</f>
        <v>281643</v>
      </c>
    </row>
    <row r="25" spans="2:3" x14ac:dyDescent="0.2">
      <c r="B25" t="s">
        <v>15</v>
      </c>
      <c r="C25" s="68">
        <f>PIRMS!G28</f>
        <v>178285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PIRMS</vt:lpstr>
      <vt:lpstr>PĒC</vt:lpstr>
      <vt:lpstr>IZMAIŅA</vt:lpstr>
      <vt:lpstr>raditaji</vt:lpstr>
      <vt:lpstr>tirgus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2023-11-30T08:59:11Z</dcterms:modified>
</cp:coreProperties>
</file>