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ociala rehabilitacija\SIVA\Maksas pakalpojumu cenradis\Aktuālais\"/>
    </mc:Choice>
  </mc:AlternateContent>
  <xr:revisionPtr revIDLastSave="0" documentId="8_{4140C168-B044-464E-A3FA-6EAEBAA58223}" xr6:coauthVersionLast="36" xr6:coauthVersionMax="36" xr10:uidLastSave="{00000000-0000-0000-0000-000000000000}"/>
  <bookViews>
    <workbookView xWindow="0" yWindow="0" windowWidth="24000" windowHeight="10920" tabRatio="783" activeTab="1"/>
  </bookViews>
  <sheets>
    <sheet name="Saturs" sheetId="75" r:id="rId1"/>
    <sheet name="4.1.1.1." sheetId="79" r:id="rId2"/>
    <sheet name="4.1.1.2.1." sheetId="78" r:id="rId3"/>
    <sheet name="4.1.1.2.2." sheetId="87" r:id="rId4"/>
    <sheet name="4.1.1.3." sheetId="77" r:id="rId5"/>
    <sheet name="4.1.1.4." sheetId="76" r:id="rId6"/>
    <sheet name="4.1.1.5." sheetId="81" state="hidden" r:id="rId7"/>
    <sheet name="4.1.1.6." sheetId="80" r:id="rId8"/>
    <sheet name="4.1.2.1." sheetId="84" r:id="rId9"/>
    <sheet name="4.1.2.2." sheetId="83" r:id="rId10"/>
    <sheet name="4.1.2.3." sheetId="85" r:id="rId11"/>
    <sheet name="4.1.2.4." sheetId="82" state="hidden" r:id="rId12"/>
    <sheet name="4.1.2.5." sheetId="86" r:id="rId13"/>
    <sheet name="4.2.1." sheetId="88" state="hidden" r:id="rId14"/>
    <sheet name="4.3.1.1." sheetId="89" r:id="rId15"/>
    <sheet name="4.3.1.2." sheetId="90" r:id="rId16"/>
    <sheet name="4.3.1.3." sheetId="95" r:id="rId17"/>
    <sheet name="4.3.1.4." sheetId="94" r:id="rId18"/>
    <sheet name="4.3.1.5." sheetId="99" r:id="rId19"/>
    <sheet name="4.3.1.6." sheetId="98" r:id="rId20"/>
    <sheet name="4.3.1.7." sheetId="97" r:id="rId21"/>
    <sheet name="4.3.1.8." sheetId="96" r:id="rId22"/>
    <sheet name="4.3.1.9." sheetId="101" r:id="rId23"/>
    <sheet name="4.3.1.10." sheetId="100" r:id="rId24"/>
    <sheet name="4.3.2.1." sheetId="91" r:id="rId25"/>
    <sheet name="4.3.2.2." sheetId="92" r:id="rId26"/>
    <sheet name="4.3.2.3." sheetId="93" r:id="rId27"/>
    <sheet name="4.3.2.4." sheetId="102" r:id="rId28"/>
    <sheet name="4.3.2.5." sheetId="103" r:id="rId29"/>
    <sheet name="4.3.2.6." sheetId="104" r:id="rId30"/>
    <sheet name="4.3.2.7." sheetId="105" r:id="rId31"/>
    <sheet name="4.3.2.8." sheetId="106" r:id="rId32"/>
    <sheet name="4.3.2.9." sheetId="107" r:id="rId33"/>
    <sheet name="4.3.2.10." sheetId="108" r:id="rId34"/>
  </sheets>
  <calcPr calcId="191029"/>
</workbook>
</file>

<file path=xl/calcChain.xml><?xml version="1.0" encoding="utf-8"?>
<calcChain xmlns="http://schemas.openxmlformats.org/spreadsheetml/2006/main">
  <c r="C74" i="94" l="1"/>
  <c r="D50" i="108"/>
  <c r="D74" i="108"/>
  <c r="D59" i="108"/>
  <c r="D61" i="108"/>
  <c r="D62" i="108"/>
  <c r="D63" i="108"/>
  <c r="D64" i="108"/>
  <c r="D65" i="108"/>
  <c r="D66" i="108"/>
  <c r="C33" i="108"/>
  <c r="C74" i="108"/>
  <c r="C34" i="108"/>
  <c r="D29" i="108"/>
  <c r="D28" i="108"/>
  <c r="D31" i="108"/>
  <c r="D75" i="108"/>
  <c r="D78" i="108"/>
  <c r="D50" i="107"/>
  <c r="D74" i="107"/>
  <c r="D59" i="107"/>
  <c r="D61" i="107"/>
  <c r="D62" i="107"/>
  <c r="D63" i="107"/>
  <c r="D64" i="107"/>
  <c r="D65" i="107"/>
  <c r="D66" i="107"/>
  <c r="C33" i="107"/>
  <c r="C74" i="107"/>
  <c r="C34" i="107"/>
  <c r="D29" i="107"/>
  <c r="D28" i="107"/>
  <c r="D31" i="107"/>
  <c r="D75" i="107"/>
  <c r="D78" i="107"/>
  <c r="D50" i="106"/>
  <c r="D74" i="106"/>
  <c r="D59" i="106"/>
  <c r="D61" i="106"/>
  <c r="D62" i="106"/>
  <c r="D63" i="106"/>
  <c r="D64" i="106"/>
  <c r="D65" i="106"/>
  <c r="D66" i="106"/>
  <c r="C33" i="106"/>
  <c r="C34" i="106"/>
  <c r="C74" i="106"/>
  <c r="D29" i="106"/>
  <c r="D31" i="106"/>
  <c r="D28" i="106"/>
  <c r="D50" i="105"/>
  <c r="D59" i="105"/>
  <c r="D74" i="105"/>
  <c r="D75" i="105"/>
  <c r="D78" i="105"/>
  <c r="D61" i="105"/>
  <c r="D62" i="105"/>
  <c r="D63" i="105"/>
  <c r="D64" i="105"/>
  <c r="D65" i="105"/>
  <c r="D66" i="105"/>
  <c r="C33" i="105"/>
  <c r="C34" i="105"/>
  <c r="D29" i="105"/>
  <c r="D28" i="105"/>
  <c r="D31" i="105"/>
  <c r="D74" i="104"/>
  <c r="D50" i="104"/>
  <c r="D59" i="104"/>
  <c r="D61" i="104"/>
  <c r="D62" i="104"/>
  <c r="D63" i="104"/>
  <c r="D64" i="104"/>
  <c r="D65" i="104"/>
  <c r="D66" i="104"/>
  <c r="C33" i="104"/>
  <c r="C34" i="104"/>
  <c r="C74" i="104"/>
  <c r="D29" i="104"/>
  <c r="D31" i="104"/>
  <c r="D75" i="104"/>
  <c r="D78" i="104"/>
  <c r="D28" i="104"/>
  <c r="D50" i="103"/>
  <c r="D59" i="103"/>
  <c r="D74" i="103"/>
  <c r="D61" i="103"/>
  <c r="D62" i="103"/>
  <c r="D63" i="103"/>
  <c r="D64" i="103"/>
  <c r="D65" i="103"/>
  <c r="D66" i="103"/>
  <c r="D24" i="103"/>
  <c r="D31" i="103"/>
  <c r="D75" i="103"/>
  <c r="D78" i="103"/>
  <c r="C33" i="103"/>
  <c r="C34" i="103"/>
  <c r="C74" i="103"/>
  <c r="D29" i="103"/>
  <c r="D28" i="103"/>
  <c r="D74" i="102"/>
  <c r="D50" i="102"/>
  <c r="D59" i="102"/>
  <c r="D61" i="102"/>
  <c r="D62" i="102"/>
  <c r="D63" i="102"/>
  <c r="D64" i="102"/>
  <c r="D65" i="102"/>
  <c r="D66" i="102"/>
  <c r="C33" i="102"/>
  <c r="C34" i="102"/>
  <c r="D31" i="102"/>
  <c r="D75" i="102"/>
  <c r="D78" i="102"/>
  <c r="D50" i="93"/>
  <c r="D74" i="93"/>
  <c r="D59" i="93"/>
  <c r="D61" i="93"/>
  <c r="D62" i="93"/>
  <c r="D63" i="93"/>
  <c r="D64" i="93"/>
  <c r="D65" i="93"/>
  <c r="D66" i="93"/>
  <c r="D21" i="92"/>
  <c r="D24" i="95"/>
  <c r="D31" i="95"/>
  <c r="C33" i="93"/>
  <c r="C34" i="93"/>
  <c r="D31" i="93"/>
  <c r="D50" i="92"/>
  <c r="D59" i="92"/>
  <c r="D74" i="92"/>
  <c r="D75" i="92"/>
  <c r="D78" i="92"/>
  <c r="D61" i="92"/>
  <c r="D62" i="92"/>
  <c r="D63" i="92"/>
  <c r="D64" i="92"/>
  <c r="D65" i="92"/>
  <c r="D66" i="92"/>
  <c r="D24" i="91"/>
  <c r="D31" i="91"/>
  <c r="D75" i="91"/>
  <c r="D78" i="91"/>
  <c r="C74" i="102"/>
  <c r="C33" i="92"/>
  <c r="C74" i="92"/>
  <c r="C34" i="92"/>
  <c r="D28" i="92"/>
  <c r="D31" i="92"/>
  <c r="D50" i="91"/>
  <c r="D59" i="91"/>
  <c r="D61" i="91"/>
  <c r="D62" i="91"/>
  <c r="D63" i="91"/>
  <c r="D64" i="91"/>
  <c r="D65" i="91"/>
  <c r="D66" i="91"/>
  <c r="D74" i="91"/>
  <c r="C33" i="91"/>
  <c r="C34" i="91"/>
  <c r="C74" i="91"/>
  <c r="D29" i="91"/>
  <c r="D28" i="91"/>
  <c r="D50" i="100"/>
  <c r="D59" i="100"/>
  <c r="D61" i="100"/>
  <c r="D62" i="100"/>
  <c r="D74" i="100"/>
  <c r="D63" i="100"/>
  <c r="D64" i="100"/>
  <c r="D65" i="100"/>
  <c r="D66" i="100"/>
  <c r="D24" i="100"/>
  <c r="C33" i="100"/>
  <c r="C74" i="100"/>
  <c r="C34" i="100"/>
  <c r="D29" i="100"/>
  <c r="D28" i="100"/>
  <c r="D31" i="100"/>
  <c r="D75" i="100"/>
  <c r="D78" i="100"/>
  <c r="D50" i="101"/>
  <c r="D59" i="101"/>
  <c r="D61" i="101"/>
  <c r="D74" i="101"/>
  <c r="D62" i="101"/>
  <c r="D63" i="101"/>
  <c r="D64" i="101"/>
  <c r="D65" i="101"/>
  <c r="D66" i="101"/>
  <c r="D29" i="101"/>
  <c r="D28" i="101"/>
  <c r="D24" i="101"/>
  <c r="C33" i="101"/>
  <c r="C34" i="101"/>
  <c r="D50" i="96"/>
  <c r="D74" i="96"/>
  <c r="D59" i="96"/>
  <c r="D61" i="96"/>
  <c r="D62" i="96"/>
  <c r="D63" i="96"/>
  <c r="D64" i="96"/>
  <c r="D65" i="96"/>
  <c r="D66" i="96"/>
  <c r="D24" i="96"/>
  <c r="C33" i="96"/>
  <c r="C34" i="96"/>
  <c r="D29" i="96"/>
  <c r="D28" i="96"/>
  <c r="D31" i="96"/>
  <c r="D50" i="97"/>
  <c r="D74" i="97"/>
  <c r="D59" i="97"/>
  <c r="D61" i="97"/>
  <c r="D62" i="97"/>
  <c r="D63" i="97"/>
  <c r="D64" i="97"/>
  <c r="D65" i="97"/>
  <c r="D66" i="97"/>
  <c r="D28" i="97"/>
  <c r="D28" i="99"/>
  <c r="D29" i="97"/>
  <c r="D24" i="97"/>
  <c r="C33" i="97"/>
  <c r="C34" i="97"/>
  <c r="D50" i="98"/>
  <c r="D59" i="98"/>
  <c r="D61" i="98"/>
  <c r="D62" i="98"/>
  <c r="D63" i="98"/>
  <c r="D64" i="98"/>
  <c r="D65" i="98"/>
  <c r="D66" i="98"/>
  <c r="D24" i="98"/>
  <c r="C34" i="98"/>
  <c r="C33" i="98"/>
  <c r="C74" i="98"/>
  <c r="D29" i="98"/>
  <c r="D28" i="98"/>
  <c r="D31" i="98"/>
  <c r="D75" i="98"/>
  <c r="D78" i="98"/>
  <c r="D50" i="99"/>
  <c r="D74" i="99"/>
  <c r="D59" i="99"/>
  <c r="D61" i="99"/>
  <c r="D62" i="99"/>
  <c r="D63" i="99"/>
  <c r="D64" i="99"/>
  <c r="D65" i="99"/>
  <c r="D66" i="99"/>
  <c r="D29" i="99"/>
  <c r="D29" i="89"/>
  <c r="D31" i="101"/>
  <c r="D75" i="101"/>
  <c r="D78" i="101"/>
  <c r="D31" i="97"/>
  <c r="D74" i="98"/>
  <c r="D24" i="99"/>
  <c r="C33" i="99"/>
  <c r="C34" i="99"/>
  <c r="C74" i="99"/>
  <c r="D31" i="99"/>
  <c r="D75" i="99"/>
  <c r="D78" i="99"/>
  <c r="D50" i="95"/>
  <c r="D59" i="95"/>
  <c r="D61" i="95"/>
  <c r="D62" i="95"/>
  <c r="D63" i="95"/>
  <c r="D74" i="95"/>
  <c r="D64" i="95"/>
  <c r="D65" i="95"/>
  <c r="D66" i="95"/>
  <c r="D50" i="90"/>
  <c r="D74" i="90"/>
  <c r="D59" i="90"/>
  <c r="D61" i="90"/>
  <c r="D62" i="90"/>
  <c r="D63" i="90"/>
  <c r="D64" i="90"/>
  <c r="D65" i="90"/>
  <c r="D66" i="90"/>
  <c r="D25" i="95"/>
  <c r="C33" i="95"/>
  <c r="C34" i="95"/>
  <c r="C74" i="95"/>
  <c r="D70" i="88"/>
  <c r="D46" i="88"/>
  <c r="D51" i="86"/>
  <c r="D75" i="86"/>
  <c r="D76" i="86"/>
  <c r="D79" i="86"/>
  <c r="D60" i="86"/>
  <c r="D62" i="86"/>
  <c r="D63" i="86"/>
  <c r="D64" i="86"/>
  <c r="D65" i="86"/>
  <c r="D66" i="86"/>
  <c r="D67" i="86"/>
  <c r="D20" i="86"/>
  <c r="D20" i="80"/>
  <c r="D32" i="80"/>
  <c r="D20" i="85"/>
  <c r="D20" i="83"/>
  <c r="D32" i="83"/>
  <c r="D46" i="80"/>
  <c r="D75" i="80"/>
  <c r="D76" i="80"/>
  <c r="D79" i="80"/>
  <c r="D74" i="76"/>
  <c r="D74" i="77"/>
  <c r="D20" i="76"/>
  <c r="D20" i="77"/>
  <c r="D21" i="87"/>
  <c r="D59" i="78"/>
  <c r="D76" i="78"/>
  <c r="D77" i="78"/>
  <c r="D80" i="78"/>
  <c r="D52" i="78"/>
  <c r="D61" i="78"/>
  <c r="D63" i="78"/>
  <c r="D64" i="78"/>
  <c r="D65" i="78"/>
  <c r="D66" i="78"/>
  <c r="D67" i="78"/>
  <c r="D68" i="78"/>
  <c r="C74" i="79"/>
  <c r="C73" i="79"/>
  <c r="C25" i="79"/>
  <c r="C24" i="79"/>
  <c r="C32" i="79"/>
  <c r="C76" i="79"/>
  <c r="C79" i="79"/>
  <c r="C23" i="79"/>
  <c r="C22" i="79"/>
  <c r="D21" i="78"/>
  <c r="D74" i="84"/>
  <c r="D73" i="84"/>
  <c r="D20" i="84"/>
  <c r="D32" i="84"/>
  <c r="C20" i="79"/>
  <c r="C40" i="79"/>
  <c r="C75" i="79"/>
  <c r="D48" i="87"/>
  <c r="D24" i="90"/>
  <c r="C24" i="94"/>
  <c r="C31" i="94"/>
  <c r="C75" i="94"/>
  <c r="C78" i="94"/>
  <c r="C33" i="90"/>
  <c r="C34" i="90"/>
  <c r="D28" i="90"/>
  <c r="D50" i="89"/>
  <c r="D74" i="89"/>
  <c r="D59" i="89"/>
  <c r="D61" i="89"/>
  <c r="D62" i="89"/>
  <c r="D63" i="89"/>
  <c r="D64" i="89"/>
  <c r="D65" i="89"/>
  <c r="D66" i="89"/>
  <c r="D28" i="89"/>
  <c r="D28" i="95"/>
  <c r="D24" i="89"/>
  <c r="D31" i="89"/>
  <c r="D75" i="89"/>
  <c r="D78" i="89"/>
  <c r="C33" i="89"/>
  <c r="C34" i="89"/>
  <c r="C74" i="89"/>
  <c r="D25" i="86"/>
  <c r="D26" i="86"/>
  <c r="D30" i="86"/>
  <c r="C34" i="86"/>
  <c r="C35" i="86"/>
  <c r="D29" i="86"/>
  <c r="D30" i="85"/>
  <c r="D29" i="85"/>
  <c r="D26" i="85"/>
  <c r="D25" i="85"/>
  <c r="D32" i="85"/>
  <c r="D46" i="84"/>
  <c r="D75" i="84"/>
  <c r="D76" i="84"/>
  <c r="D79" i="84"/>
  <c r="D73" i="77"/>
  <c r="D75" i="87"/>
  <c r="D76" i="87"/>
  <c r="D77" i="87"/>
  <c r="D80" i="87"/>
  <c r="D46" i="77"/>
  <c r="D75" i="85"/>
  <c r="C34" i="85"/>
  <c r="C35" i="85"/>
  <c r="D75" i="83"/>
  <c r="D76" i="83"/>
  <c r="D79" i="83"/>
  <c r="D30" i="83"/>
  <c r="D29" i="83"/>
  <c r="D26" i="83"/>
  <c r="D25" i="83"/>
  <c r="C34" i="83"/>
  <c r="C35" i="83"/>
  <c r="D30" i="84"/>
  <c r="D29" i="84"/>
  <c r="D26" i="84"/>
  <c r="D25" i="84"/>
  <c r="C34" i="84"/>
  <c r="C35" i="84"/>
  <c r="D26" i="80"/>
  <c r="D30" i="80"/>
  <c r="C35" i="80"/>
  <c r="C34" i="80"/>
  <c r="C19" i="81"/>
  <c r="C30" i="81"/>
  <c r="C20" i="81"/>
  <c r="D24" i="81"/>
  <c r="D27" i="81"/>
  <c r="D30" i="81"/>
  <c r="D32" i="81"/>
  <c r="D33" i="81"/>
  <c r="D75" i="81"/>
  <c r="D76" i="81"/>
  <c r="D79" i="81"/>
  <c r="D34" i="81"/>
  <c r="D35" i="81"/>
  <c r="D36" i="81"/>
  <c r="D37" i="81"/>
  <c r="D38" i="81"/>
  <c r="D39" i="81"/>
  <c r="D40" i="81"/>
  <c r="D41" i="81"/>
  <c r="D43" i="81"/>
  <c r="D44" i="81"/>
  <c r="D45" i="81"/>
  <c r="D46" i="81"/>
  <c r="D47" i="81"/>
  <c r="D48" i="81"/>
  <c r="D49" i="81"/>
  <c r="D50" i="81"/>
  <c r="D51" i="81"/>
  <c r="D52" i="81"/>
  <c r="D53" i="81"/>
  <c r="D54" i="81"/>
  <c r="D55" i="81"/>
  <c r="D56" i="81"/>
  <c r="D57" i="81"/>
  <c r="D58" i="81"/>
  <c r="D59" i="81"/>
  <c r="D60" i="81"/>
  <c r="D61" i="81"/>
  <c r="D62" i="81"/>
  <c r="D63" i="81"/>
  <c r="D64" i="81"/>
  <c r="D65" i="81"/>
  <c r="D66" i="81"/>
  <c r="D67" i="81"/>
  <c r="D68" i="81"/>
  <c r="D69" i="81"/>
  <c r="D70" i="81"/>
  <c r="D71" i="81"/>
  <c r="D72" i="81"/>
  <c r="C75" i="81"/>
  <c r="C76" i="81"/>
  <c r="C79" i="81"/>
  <c r="D75" i="76"/>
  <c r="D76" i="76"/>
  <c r="D79" i="76"/>
  <c r="D61" i="77"/>
  <c r="D75" i="77"/>
  <c r="D76" i="77"/>
  <c r="D79" i="77"/>
  <c r="D25" i="77"/>
  <c r="C34" i="76"/>
  <c r="C35" i="76"/>
  <c r="D30" i="77"/>
  <c r="D29" i="77"/>
  <c r="D30" i="78"/>
  <c r="D26" i="78"/>
  <c r="C34" i="77"/>
  <c r="C35" i="77"/>
  <c r="D32" i="77"/>
  <c r="C35" i="87"/>
  <c r="C36" i="87"/>
  <c r="C35" i="78"/>
  <c r="C36" i="78"/>
  <c r="D33" i="87"/>
  <c r="C29" i="79"/>
  <c r="D45" i="88"/>
  <c r="D47" i="88"/>
  <c r="D48" i="88"/>
  <c r="D49" i="88"/>
  <c r="D50" i="88"/>
  <c r="D39" i="88"/>
  <c r="D51" i="88"/>
  <c r="D52" i="88"/>
  <c r="D53" i="88"/>
  <c r="D54" i="88"/>
  <c r="D55" i="88"/>
  <c r="D56" i="88"/>
  <c r="D57" i="88"/>
  <c r="D58" i="88"/>
  <c r="D59" i="88"/>
  <c r="D60" i="88"/>
  <c r="D61" i="88"/>
  <c r="D62" i="88"/>
  <c r="D63" i="88"/>
  <c r="D64" i="88"/>
  <c r="D65" i="88"/>
  <c r="D66" i="88"/>
  <c r="D67" i="88"/>
  <c r="D68" i="88"/>
  <c r="D71" i="88"/>
  <c r="D44" i="88"/>
  <c r="D33" i="88"/>
  <c r="D72" i="88"/>
  <c r="D73" i="88"/>
  <c r="D76" i="88"/>
  <c r="D34" i="88"/>
  <c r="D35" i="88"/>
  <c r="D36" i="88"/>
  <c r="D37" i="88"/>
  <c r="D38" i="88"/>
  <c r="D40" i="88"/>
  <c r="D41" i="88"/>
  <c r="D42" i="88"/>
  <c r="D32" i="88"/>
  <c r="D20" i="88"/>
  <c r="D21" i="88"/>
  <c r="D30" i="88"/>
  <c r="D22" i="88"/>
  <c r="D23" i="88"/>
  <c r="D24" i="88"/>
  <c r="D25" i="88"/>
  <c r="D19" i="88"/>
  <c r="B15" i="82"/>
  <c r="C20" i="82"/>
  <c r="C30" i="82"/>
  <c r="C76" i="82"/>
  <c r="C79" i="82"/>
  <c r="C19" i="82"/>
  <c r="D74" i="82"/>
  <c r="D73" i="82"/>
  <c r="D72" i="82"/>
  <c r="D71" i="82"/>
  <c r="D70" i="82"/>
  <c r="D69" i="82"/>
  <c r="D68" i="82"/>
  <c r="D67" i="82"/>
  <c r="D66" i="82"/>
  <c r="D65" i="82"/>
  <c r="D64" i="82"/>
  <c r="D63" i="82"/>
  <c r="D62" i="82"/>
  <c r="D61" i="82"/>
  <c r="D60" i="82"/>
  <c r="D59" i="82"/>
  <c r="D58" i="82"/>
  <c r="D57" i="82"/>
  <c r="D56" i="82"/>
  <c r="D55" i="82"/>
  <c r="D54" i="82"/>
  <c r="D53" i="82"/>
  <c r="D52" i="82"/>
  <c r="D51" i="82"/>
  <c r="D50" i="82"/>
  <c r="D49" i="82"/>
  <c r="D48" i="82"/>
  <c r="D47" i="82"/>
  <c r="D46" i="82"/>
  <c r="D45" i="82"/>
  <c r="D44" i="82"/>
  <c r="D43" i="82"/>
  <c r="D41" i="82"/>
  <c r="D40" i="82"/>
  <c r="D39" i="82"/>
  <c r="D38" i="82"/>
  <c r="D37" i="82"/>
  <c r="D36" i="82"/>
  <c r="D35" i="82"/>
  <c r="D34" i="82"/>
  <c r="D33" i="82"/>
  <c r="D75" i="82"/>
  <c r="D76" i="82"/>
  <c r="D79" i="82"/>
  <c r="D32" i="82"/>
  <c r="D29" i="82"/>
  <c r="D27" i="82"/>
  <c r="D26" i="82"/>
  <c r="D25" i="82"/>
  <c r="D24" i="82"/>
  <c r="D23" i="82"/>
  <c r="D22" i="82"/>
  <c r="D30" i="82"/>
  <c r="D21" i="82"/>
  <c r="C75" i="82"/>
  <c r="C72" i="88"/>
  <c r="C73" i="88"/>
  <c r="C76" i="88"/>
  <c r="C30" i="88"/>
  <c r="D32" i="86"/>
  <c r="D33" i="78"/>
  <c r="C74" i="90"/>
  <c r="D32" i="76"/>
  <c r="D75" i="96"/>
  <c r="D78" i="96"/>
  <c r="D75" i="95"/>
  <c r="D78" i="95"/>
  <c r="D76" i="85"/>
  <c r="D79" i="85"/>
  <c r="D75" i="106"/>
  <c r="D78" i="106"/>
  <c r="D75" i="97"/>
  <c r="D78" i="97"/>
  <c r="D75" i="93"/>
  <c r="D78" i="93"/>
  <c r="D31" i="90"/>
  <c r="D75" i="90"/>
  <c r="D78" i="90"/>
  <c r="C74" i="97"/>
  <c r="C74" i="96"/>
  <c r="C74" i="101"/>
  <c r="C74" i="93"/>
  <c r="C74" i="105"/>
</calcChain>
</file>

<file path=xl/sharedStrings.xml><?xml version="1.0" encoding="utf-8"?>
<sst xmlns="http://schemas.openxmlformats.org/spreadsheetml/2006/main" count="2712" uniqueCount="239">
  <si>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</si>
  <si>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</si>
  <si>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</si>
  <si>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</si>
  <si>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</si>
  <si>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</si>
  <si>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 xml:space="preserve">Tiešās izmaksas </t>
  </si>
  <si>
    <t>Tiešās izmaksas kopā</t>
  </si>
  <si>
    <t xml:space="preserve">Netiešās izmaksas </t>
  </si>
  <si>
    <t>Netiešās izmaksas kopā</t>
  </si>
  <si>
    <t>Maksas pakalpojuma izcenojuma aprēķins</t>
  </si>
  <si>
    <t>Informācijas sistēmas licenču nomas izdevumi</t>
  </si>
  <si>
    <t> Ēku, būvju un telpu kārtējais remonts</t>
  </si>
  <si>
    <t> Transportlīdzekļu uzturēšana un remonts</t>
  </si>
  <si>
    <t> Iekārtas, inventāra un aparatūras remonts, tehniskā apkalpošana</t>
  </si>
  <si>
    <t> Ēku, būvju un telpu uzturēšana</t>
  </si>
  <si>
    <t> Pārējie remonta darbu un iestāžu uzturēšanas pakalpojumi</t>
  </si>
  <si>
    <t> Ēku, telpu īre un noma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</si>
  <si>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</si>
  <si>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</si>
  <si>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</si>
  <si>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</si>
  <si>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</si>
  <si>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</si>
  <si>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</si>
  <si>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</si>
  <si>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</si>
  <si>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</si>
  <si>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Kārtējā remonta un iestāžu uzturēšanas materiāli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</si>
  <si>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</si>
  <si>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</si>
  <si>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</si>
  <si>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</si>
  <si>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nekustamā īpašuma nodokļa (t.sk. zemes nodokļa parāda) maksājumi budžetā</t>
  </si>
  <si>
    <t> Datorprogrammas</t>
  </si>
  <si>
    <t xml:space="preserve"> Saimniecības pamatlīdzekļi</t>
  </si>
  <si>
    <t> Pārējie budžeta iestāžu pārskaitītie nodokļi un nodevas</t>
  </si>
  <si>
    <t> Datortehnika, sakaru un cita biroja tehnika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</si>
  <si>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</si>
  <si>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</si>
  <si>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</si>
  <si>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</si>
  <si>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</si>
  <si>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</si>
  <si>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Mācību, darba un dienesta komandējumi, dienesta, darba braucieni</t>
  </si>
  <si>
    <t> Izdevumi periodikas iegādei</t>
  </si>
  <si>
    <t>Pakalpojumu izmaksas kopā</t>
  </si>
  <si>
    <t>4. Rehabilitācijas pakalpojumi</t>
  </si>
  <si>
    <t xml:space="preserve">Bezdarbnieku stipendijas </t>
  </si>
  <si>
    <t>Stipendijas</t>
  </si>
  <si>
    <t>4.2. Citi pakalpojumi</t>
  </si>
  <si>
    <t>SASKAŅOTS</t>
  </si>
  <si>
    <t>Maksas pakalpojuma vienību skaits noteiktā laikposmā (gab.)</t>
  </si>
  <si>
    <t>Prognozētais maksas pakalpojumu skaits gadā (gab.)*</t>
  </si>
  <si>
    <t>Piezīme. *Ailes neaizpilda, ja izvēlētais laikposms ir viens gads.</t>
  </si>
  <si>
    <t>Sociālās integrācijas valsts aģentūras</t>
  </si>
  <si>
    <t>sākotnējās ietekmes novērtējuma ziņojumam (anotācijai)</t>
  </si>
  <si>
    <t>Satura rādītājs</t>
  </si>
  <si>
    <t xml:space="preserve">Maksas pakalpojuma vienību skaits noteiktā laikposmā </t>
  </si>
  <si>
    <t>Maksas pakalpojuma izcenojums (euro)</t>
  </si>
  <si>
    <t>4.1.1.1.</t>
  </si>
  <si>
    <t>4.1.1.3.</t>
  </si>
  <si>
    <t>4.1.1.4.</t>
  </si>
  <si>
    <t>4.1.1.6.</t>
  </si>
  <si>
    <t>4.1.1.5.</t>
  </si>
  <si>
    <t>4.1.2.1.</t>
  </si>
  <si>
    <t>4.1.2.2.</t>
  </si>
  <si>
    <t>4.1.2.3.</t>
  </si>
  <si>
    <t>4.1.2.4.</t>
  </si>
  <si>
    <t>4.1.2.5.</t>
  </si>
  <si>
    <t>4.1. Rehabilitācijas kurss  Dubultu prospektā 71, Jūrmalā,</t>
  </si>
  <si>
    <t>4.1.1. Rehabilitācijas kurss  Dubultu prospektā 71, 2.korpuss, Jūrmalā</t>
  </si>
  <si>
    <t>4.1.2. Rehabilitācijas kurss  Dubultu prospektā 71, 1.korpuss, Jūrmalā</t>
  </si>
  <si>
    <t>Aprēķinu sastādīja: SIVA Finanšu nodaļas vecākā finanšu ekonomiste Anita Ozoliņa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</si>
  <si>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</si>
  <si>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</si>
  <si>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</si>
  <si>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 xml:space="preserve">Izmaksu apjoms noteiktā laikposmā viena maksas pakalpojuma veida nodrošināšanai </t>
  </si>
  <si>
    <t xml:space="preserve">Maksas pakalpojuma izcenojums (euro) </t>
  </si>
  <si>
    <t>Prognozētie ieņēmumi gadā (euro)*</t>
  </si>
  <si>
    <t xml:space="preserve">Prognozētie ieņēmumi gadā (euro)* </t>
  </si>
  <si>
    <t>direktore I.Jurševska</t>
  </si>
  <si>
    <t>4.1.1.2.1.</t>
  </si>
  <si>
    <t>4.1.1.2.2.</t>
  </si>
  <si>
    <t xml:space="preserve"> Atalgojums</t>
  </si>
  <si>
    <t xml:space="preserve"> Darba devēja valsts sociālās apdrošināšanas obligātās iemaksas, sociāla rakstura pabalsti un kompensācijas</t>
  </si>
  <si>
    <t xml:space="preserve"> Apdrošināšanas izdevumi</t>
  </si>
  <si>
    <t xml:space="preserve"> Informācijas sistēmas uzturēšana</t>
  </si>
  <si>
    <t xml:space="preserve"> Pārējie informācijas tehnoloģiju pakalpojumi</t>
  </si>
  <si>
    <t xml:space="preserve"> Budžeta iestāžu dabas resursu nodokļa maksājumi</t>
  </si>
  <si>
    <t>4.2.1.</t>
  </si>
  <si>
    <t>4.2.1. Piemaksa par uzturēšanos vienvietīgā numurā personai, kura saņem sociālās rehabilitācijas pakalpojumus par valsts budžeta līdzekļiem</t>
  </si>
  <si>
    <t>4.3. Veselības veicināšanas programmas</t>
  </si>
  <si>
    <t>4.3.1. Dubultu prospektā 71, 2.korpuss, Jūrmalā</t>
  </si>
  <si>
    <t>4.3.1.1.</t>
  </si>
  <si>
    <t>4.3.1.3.</t>
  </si>
  <si>
    <t>4.3.1.2.</t>
  </si>
  <si>
    <t>4.3.1.4.</t>
  </si>
  <si>
    <t>4.3.1.5.</t>
  </si>
  <si>
    <t>4.3.1.6.</t>
  </si>
  <si>
    <t>4.3.1.7.</t>
  </si>
  <si>
    <t>4.3.1.8.</t>
  </si>
  <si>
    <t>4.3.1.9.</t>
  </si>
  <si>
    <t>4.3.1.10.</t>
  </si>
  <si>
    <t>4.3.2. Dubultu prospektā 71, 1.korpuss, Jūrmalā</t>
  </si>
  <si>
    <t>4.3.2.1.</t>
  </si>
  <si>
    <t xml:space="preserve">Rehabilitācijas kurss Dubultu prospektā 71, Jūrmalā, 2.korpuss (viena vieta vienvietīgā numurā) </t>
  </si>
  <si>
    <t xml:space="preserve">Rehabilitācijas kurss Dubultu prospektā 71, Jūrmalā, 2.korpuss (viena vieta vienvietīgā pielāgotā  numurā) </t>
  </si>
  <si>
    <t xml:space="preserve">Rehabilitācijas kurss Dubultu prospektā 71, Jūrmalā, 2.korpuss (viena vieta divvietīgā pielāgotā  numurā) </t>
  </si>
  <si>
    <t>Rehabilitācijas kurss Dubultu prospektā 71, Jūrmalā, 2.korpuss (viena vieta divvietīgā  numurā)</t>
  </si>
  <si>
    <t xml:space="preserve">Rehabilitācijas kurss Dubultu prospektā 71, Jūrmalā, 2.korpuss (viena vieta divvietīgā divistabu numurā) </t>
  </si>
  <si>
    <t xml:space="preserve">Rehabilitācijas kurss Dubultu prospektā 71, Jūrmalā, 2.korpuss bērnam no 2 līdz 14 gadu vecumam (papildus gultasvieta) </t>
  </si>
  <si>
    <t xml:space="preserve">Rehabilitācijas kurss Dubultu prospektā 71, Jūrmala, 2.korpuss,  programma Harmonija (viena vieta divvietīgā  numurā) </t>
  </si>
  <si>
    <t xml:space="preserve">Rehabilitācijas kurss Dubultu prospektā 71, Jūrmalā, 1.korpuss ( viena vieta vienvietīgā  numurā) </t>
  </si>
  <si>
    <t xml:space="preserve">Rehabilitācijas kurss Dubultu prospektā 71, Jūrmalā, 1.korpuss ( viena vieta divvietīgā  numurā) </t>
  </si>
  <si>
    <t xml:space="preserve"> Rehabilitācijas kurss Dubultu prospektā 71,Jūrmalā, 1.korpuss  (viena vieta divvietīgā divistabu numurā) </t>
  </si>
  <si>
    <t xml:space="preserve">Rehabilitācijas kurss Dubultu prospektā 71, Jūrmalā, 1.korpuss  bērnam no 2 līdz 14 gadu vecumam (papildus gultasvieta)  </t>
  </si>
  <si>
    <t xml:space="preserve">Rehabilitācijas kurss Dubultu prospektā 71, Jūrmalā, 1.korpuss programma Harmonija (viena vieta divvietīgā   numurā) </t>
  </si>
  <si>
    <t xml:space="preserve">Programma "Muguras veselība" Dubultu prospektā 71, Jūrmalā, 2.korpuss (viena vieta vienvietīgā  numurā) </t>
  </si>
  <si>
    <t xml:space="preserve">Programma "Muguras veselība" Dubultu prospektā 71, Jūrmalā, 2.korpuss  (viena vieta divvietīgā  numurā) </t>
  </si>
  <si>
    <t xml:space="preserve">Programma "Muguras veselība" Dubultu prospektā 71, Jūrmalā, 1.korpuss (viena vieta vienvietīgā  numurā) </t>
  </si>
  <si>
    <t xml:space="preserve">Programma "Muguras veselība" Dubultu prospektā 71, Jūrmalā, 1.korpuss  (viena vieta divvietīgā  numurā) </t>
  </si>
  <si>
    <t>4.3.2.2.</t>
  </si>
  <si>
    <t xml:space="preserve">Programma "Relaksācija" Dubultu prospektā 71, Jūrmalā, 2.korpuss (viena vieta vienvietīgā  numurā) </t>
  </si>
  <si>
    <t xml:space="preserve">Programma "Relaksācija" Dubultu prospektā 71, Jūrmalā, 2.korpuss  (viena vieta divvietīgā  numurā) </t>
  </si>
  <si>
    <t>4.3.2.3.</t>
  </si>
  <si>
    <t>4.3.2.4.</t>
  </si>
  <si>
    <t xml:space="preserve">Programma "Relaksācija" Dubultu prospektā 71, Jūrmalā, 1.korpuss (viena vieta vienvietīgā  numurā) </t>
  </si>
  <si>
    <t xml:space="preserve">Programma "Relaksācija" Dubultu prospektā 71, Jūrmalā, 1.korpuss  (viena vieta divvietīgā  numurā) </t>
  </si>
  <si>
    <t xml:space="preserve">Programma "Restartē darba spējas"  Dubultu prospektā 71, Jūrmalā, 2.korpuss (viena vieta vienvietīgā  numurā) </t>
  </si>
  <si>
    <t xml:space="preserve">Programma "Restartē darba spējas" Dubultu prospektā 71, Jūrmalā, 2.korpuss  (viena vieta divvietīgā  numurā) </t>
  </si>
  <si>
    <t xml:space="preserve">Programma "Restartē darba spējas"  Dubultu prospektā 71, Jūrmalā, 1.korpuss (viena vieta vienvietīgā  numurā) </t>
  </si>
  <si>
    <t xml:space="preserve">Programma "Restartē darba spējas" Dubultu prospektā 71, Jūrmalā, 1.korpuss  (viena vieta divvietīgā  numurā) </t>
  </si>
  <si>
    <t>4.3.2.9.</t>
  </si>
  <si>
    <t>4.3.2.10.</t>
  </si>
  <si>
    <t>4.3.2.7.</t>
  </si>
  <si>
    <t>4.3.2.8.</t>
  </si>
  <si>
    <t xml:space="preserve">Programma "Vitalitāte" Dubultu prospektā 71, Jūrmalā, 2.korpuss (viena vieta vienvietīgā  numurā) </t>
  </si>
  <si>
    <t xml:space="preserve">Programma "Vitalitāte"  Dubultu prospektā 71, Jūrmalā, 2.korpuss (viena vieta divvietīgā  numurā) </t>
  </si>
  <si>
    <t>4.3.2.5.</t>
  </si>
  <si>
    <t>4.3.2.6.</t>
  </si>
  <si>
    <t xml:space="preserve">Programma "Vitalitāte" Dubultu prospektā 71, Jūrmalā, 1.korpuss (viena vieta vienvietīgā  numurā) </t>
  </si>
  <si>
    <t xml:space="preserve">Programma "Vitalitāte"  Dubultu prospektā 71, Jūrmalā, 1.korpuss (viena vieta divvietīgā  numurā) </t>
  </si>
  <si>
    <t xml:space="preserve">4.3.1.2. Programma "Muguras veselība", 5 dienu kurss (viena vieta divvietīgā  numurā) </t>
  </si>
  <si>
    <t xml:space="preserve">4.3.1.1. Programma "Muguras veselība", 5 dienu kurss (viena vieta vienvietīgā  numurā) </t>
  </si>
  <si>
    <t xml:space="preserve">4.3.2.2. Programma "Muguras veselība", 5 dienu kurss (viena vieta divvietīgā  numurā) </t>
  </si>
  <si>
    <t>4.1.1.2. Rehabilitācijas kurss pielāgotā numurā</t>
  </si>
  <si>
    <t xml:space="preserve">4.1.1.2.1. Viena vieta vienvietīgā pielāgotā  numurā </t>
  </si>
  <si>
    <t>4.1.1.5. Rehabilitācijas kurss bērnam no 2 līdz 14 gadu vecumam (papildus gultasvieta)</t>
  </si>
  <si>
    <t>4.1.2.4. Rehabilitācijas kurss bērnam no 2 līdz 14 gadu vecumam (papildus gultasvieta)</t>
  </si>
  <si>
    <t>Rehabilitāciajs pakalpojumi</t>
  </si>
  <si>
    <t>Piemaksa par uzturēšanos vienvietīgā numurā personai, kura saņem sociālās rehabilitācijas pakalpojumus par valsts budžeta līdzekļiem</t>
  </si>
  <si>
    <t xml:space="preserve">Programma "Organisma attīrīšanas kūre" Dubultu prospektā 71, Jūrmalā, 2.korpuss (viena vieta vienvietīgā  numurā) </t>
  </si>
  <si>
    <t xml:space="preserve">Programma "Organisma attīrīšanas kūre" Dubultu prospektā 71, Jūrmalā, 2.korpuss (viena vieta divvietīgā  numurā) </t>
  </si>
  <si>
    <t xml:space="preserve">Programma "Organisma attīrīšanas kūre" Dubultu prospektā 71, Jūrmalā, 1.korpuss (viena vieta vienvietīgā  numurā) </t>
  </si>
  <si>
    <t xml:space="preserve">Programma "Organisma attīrīšanas kūre" Dubultu prospektā 71, Jūrmalā, 1.korpuss (viena vieta divvietīgā  numurā) </t>
  </si>
  <si>
    <t>direktores p.i. G.Apele</t>
  </si>
  <si>
    <t>2019. gada 15. martā</t>
  </si>
  <si>
    <t>2021.gadā un turpmāk</t>
  </si>
  <si>
    <t>Atalgojums</t>
  </si>
  <si>
    <t>Darba devēja valsts sociālās apdrošināšanas obligātās iemaksas, pabalsti un kompensācijas</t>
  </si>
  <si>
    <t>Zāles, ķimikālijas, laboratorijas preces</t>
  </si>
  <si>
    <t>Iestāžu uzturēšanas materiāli un preces</t>
  </si>
  <si>
    <t>Izdevumi par sakaru pakalpojumiem</t>
  </si>
  <si>
    <t>Izdevumi par ūdensapgādi un kanalizāciju</t>
  </si>
  <si>
    <t>Izdevumi par elektroenerģiju</t>
  </si>
  <si>
    <t>Izdevumi par atkritumu savākšanu, izvešanu no apdzīvotām vietām un teritorijām ārpus apdzīvotām vietām un atkritumu utilizāciju</t>
  </si>
  <si>
    <t>Izdevumi iestādes sabiedrisko aktivitāšu īstenošanai</t>
  </si>
  <si>
    <t>Izdevumi par saņemtajiem mācību pakalpojumiem</t>
  </si>
  <si>
    <t>Pārējie neklasificētie pakalpojumi</t>
  </si>
  <si>
    <t>Ēku, būvju un telpu būvdarbi</t>
  </si>
  <si>
    <t>Transportlīdzekļu uzturēšana un remonts</t>
  </si>
  <si>
    <t>Iekārtas, inventāra un aparatūras remonts, tehniskā apkalpošana</t>
  </si>
  <si>
    <t>Nekustamā īpašuma uzturēšana</t>
  </si>
  <si>
    <t>Apdrošināšanas izdevumi</t>
  </si>
  <si>
    <t>Pārējie remontdarbu un iestāžu uzturēšanas pakalpojum</t>
  </si>
  <si>
    <t>Informācijas tehnoloģiju pakalpojumi</t>
  </si>
  <si>
    <t>Transportlīdzekļu noma</t>
  </si>
  <si>
    <t>Zemes noma</t>
  </si>
  <si>
    <t>Iekārtu, aparatūras un inventāra īre un noma</t>
  </si>
  <si>
    <t>Biroja preces</t>
  </si>
  <si>
    <t>Inventārs</t>
  </si>
  <si>
    <t>Izdevumi par precēm iestādes sabiedrisko aktivitāšu īstenošanai</t>
  </si>
  <si>
    <t>Kurināmais</t>
  </si>
  <si>
    <t>Degviela</t>
  </si>
  <si>
    <t>Budžeta iestāžu nekustamā īpašuma nodokļa maksājumi</t>
  </si>
  <si>
    <t>Budžeta iestāžu dabas resursu nodokļa maksājumi</t>
  </si>
  <si>
    <t>Pārējie budžeta iestāžu pārskaitītie nodokļi un nodevas</t>
  </si>
  <si>
    <t>Tehnoloģiskās iekārtas un mašīnas</t>
  </si>
  <si>
    <t>Datortehnika, sakaru un cita biroja tehnika</t>
  </si>
  <si>
    <t>Pārējie iepriekš neklasificētie pamatlīdzekļi un ieguldījuma īpašumi</t>
  </si>
  <si>
    <t>Kapitālais remonts un rekonstrukcija</t>
  </si>
  <si>
    <t xml:space="preserve"> Netiešās izmaksas kopā</t>
  </si>
  <si>
    <t xml:space="preserve"> Pakalpojumu izmaksas kopā</t>
  </si>
  <si>
    <t>4.1.Rehabilitācijas kurss  Dubultu prospektā 71, Jūrmalā,</t>
  </si>
  <si>
    <t xml:space="preserve">4.1.1.1. Rehabilitācijas kurss (viena vieta vienvietīgā numurā) </t>
  </si>
  <si>
    <t>Ēku, telpu īre un noma</t>
  </si>
  <si>
    <t>Mīkstais inventārs</t>
  </si>
  <si>
    <t>Virtuves inventārs, trauki un galda piederumi</t>
  </si>
  <si>
    <t>Ēdināšanas izdevumi</t>
  </si>
  <si>
    <t>Mācību līdzekļi un materiāli</t>
  </si>
  <si>
    <t>Izdevumi periodikas iegādei</t>
  </si>
  <si>
    <t>Budžeta iestāžu pievienotās vērtības nodokļa maksājumi</t>
  </si>
  <si>
    <t xml:space="preserve">4.1.1.2.2. Viena vieta divvietīgā pielāgotā  numurā </t>
  </si>
  <si>
    <t>4.1.1.3. Rehabilitācijas kurss (viena vieta divvietīgā numurā)</t>
  </si>
  <si>
    <t>4.1.1.4. Rehabilitācijas kurss (viena vieta divvietīgā divistabu numurā)</t>
  </si>
  <si>
    <t>4.1.2. Rehabilitācijas kurss – Dubultu prospekts 71, 1. korpuss, Jūrmala</t>
  </si>
  <si>
    <t>4.1.2.1. Rehabilitācijas kurss (viena vieta vienvietīgā numurā)</t>
  </si>
  <si>
    <t>4.1.2.2. Rehabilitācijas kurss (viena vieta divvvietīgā numurā)</t>
  </si>
  <si>
    <t>4.1.2.3. Rehabilitācijas kurss (viena vieta divvvietīgā divistabu numurā)</t>
  </si>
  <si>
    <t>4.1.1.6. Rehabilitācijas programma "Harmonija" (viena vieta divvietīgā numurā)</t>
  </si>
  <si>
    <t>4.1.2.5. Rehabilitācijas programma "Harmonija"(viena vieta divvvietīgā numurā)</t>
  </si>
  <si>
    <t xml:space="preserve">2021. gada </t>
  </si>
  <si>
    <t xml:space="preserve">Budžeta iestāžu nekustamā īpašuma nodokļa maksājumi </t>
  </si>
  <si>
    <t xml:space="preserve">4.3.1.3. Programma "Relaksācija" , 5 dienu kurss (viena vieta vienvietīgā  numurā) </t>
  </si>
  <si>
    <t xml:space="preserve">4.3.1.4. Programma "Relaksācija" , 5 dienu kurss (viena vieta divvietīgā  numurā) </t>
  </si>
  <si>
    <t xml:space="preserve">4.3.2.1. Programma "Muguras veselība", 5 dienu kurss (viena vieta vienvietīgā  numurā) </t>
  </si>
  <si>
    <t xml:space="preserve">4.3.2.3. Programma "Relaksācija" , 5 dienu kurss (viena vieta vienvietīgā  numurā) </t>
  </si>
  <si>
    <t xml:space="preserve">4.3.2.4. Programma "Relaksācija" , 5 dienu kurss (viena vieta divvietīgā  numurā) </t>
  </si>
  <si>
    <t xml:space="preserve">4.3.2.7. Programma "Organisma attīrīšanas kūre" , 10 dienu kurss (vieta vienvietīgā  numurā) </t>
  </si>
  <si>
    <t xml:space="preserve">4.3.2.8. Programma "Organisma attīrīšanas kūre" , 10 dienu kurss (vieta divvietīgā  numurā) </t>
  </si>
  <si>
    <t xml:space="preserve">4.3.2.6. Programma "Vitalitāte" , 7 dienu kurss (viena vieta divvietīgā  numurā) </t>
  </si>
  <si>
    <t xml:space="preserve">4.3.2.5. Programma "Vitalitāte" , 7 dienu kurss (viena vieta vienvietīgā  numurā) </t>
  </si>
  <si>
    <t xml:space="preserve">4.3.2.9. Programma "Restartē darba spējas" , 3 dienu kurss (viena vieta vienvietīgā  numurā) </t>
  </si>
  <si>
    <t xml:space="preserve">4.3.1.9. Programma "Restartē darba spējas" , 3 dienu kurss (viena vieta vienvietīgā  numurā) </t>
  </si>
  <si>
    <t xml:space="preserve">4.3.2.10. Programma "Restartē darba spējas" , 3 dienu kurss (viena vieta divvietīgā  numurā) </t>
  </si>
  <si>
    <t xml:space="preserve">4.3.1.10. Programma "Restartē darba spējas" , 3 dienu kurss (viena vieta divvietīgā  numurā) </t>
  </si>
  <si>
    <t xml:space="preserve">4.3.1.5. Programma "Vitalitāte" , 7 dienu kurss (viena vieta vienvietīgā  numurā) </t>
  </si>
  <si>
    <t xml:space="preserve">4.3.1.6. Programma "Vitalitāte" , 7 dienu kurss (viena vieta divvietīgā  numurā) </t>
  </si>
  <si>
    <t xml:space="preserve">4.3.1.7. Programma "Organisma attīrīšanas kūre" , 10 dienu kurss (viena vieta vienvietīgā  numurā) </t>
  </si>
  <si>
    <t xml:space="preserve">4.3.1.8. Programma "Organisma attīrīšanas kūre" , 10 dienu kurss (viena vieta divvietīgā  numurā) </t>
  </si>
  <si>
    <t>2021. gada 30.augustā</t>
  </si>
  <si>
    <t>2022.gadā un turpmāk</t>
  </si>
  <si>
    <t xml:space="preserve">2021. gada  30.augustā    </t>
  </si>
  <si>
    <t xml:space="preserve"> 2021. gada  30. augustā    </t>
  </si>
  <si>
    <t>2021. gada    30.  augustā</t>
  </si>
  <si>
    <t>2021. gada    30. augustā</t>
  </si>
  <si>
    <t>2021. gada   30. augustā</t>
  </si>
  <si>
    <t>1.pielikums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</si>
</sst>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90" formatCode="0.000"/>
  </numFmts>
  <fonts count="12" x14ac:knownFonts="1">
    <font>
      <sz val="10"/>
      <name val="Arial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/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1" xfId="1" applyFont="1" applyBorder="1" applyAlignment="1">
      <alignment wrapText="1"/>
    </xf>
    <xf numFmtId="0" fontId="5" fillId="0" borderId="0" xfId="1" applyFont="1"/>
    <xf numFmtId="0" fontId="5" fillId="0" borderId="0" xfId="1" applyFont="1" applyBorder="1"/>
    <xf numFmtId="0" fontId="5" fillId="0" borderId="0" xfId="1" applyFont="1" applyAlignment="1">
      <alignment horizontal="center"/>
    </xf>
    <xf numFmtId="0" fontId="5" fillId="0" borderId="0" xfId="0" applyFont="1" applyBorder="1"/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vertical="top"/>
    </xf>
    <xf numFmtId="2" fontId="5" fillId="0" borderId="2" xfId="0" applyNumberFormat="1" applyFont="1" applyBorder="1" applyAlignment="1">
      <alignment horizontal="center" vertical="top"/>
    </xf>
    <xf numFmtId="0" fontId="5" fillId="0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2" fontId="7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vertical="top"/>
    </xf>
    <xf numFmtId="0" fontId="5" fillId="0" borderId="0" xfId="0" applyFont="1" applyBorder="1" applyAlignment="1">
      <alignment horizontal="right"/>
    </xf>
    <xf numFmtId="2" fontId="7" fillId="0" borderId="0" xfId="0" applyNumberFormat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5" fillId="0" borderId="2" xfId="1" applyFont="1" applyBorder="1"/>
    <xf numFmtId="0" fontId="5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vertical="top"/>
    </xf>
    <xf numFmtId="2" fontId="7" fillId="0" borderId="0" xfId="0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2" fontId="0" fillId="0" borderId="0" xfId="0" applyNumberFormat="1"/>
    <xf numFmtId="2" fontId="7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right" wrapText="1"/>
    </xf>
    <xf numFmtId="43" fontId="0" fillId="0" borderId="0" xfId="0" applyNumberFormat="1"/>
    <xf numFmtId="2" fontId="5" fillId="0" borderId="0" xfId="1" applyNumberFormat="1" applyFont="1"/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wrapText="1"/>
    </xf>
    <xf numFmtId="2" fontId="5" fillId="0" borderId="0" xfId="0" applyNumberFormat="1" applyFont="1"/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2" xfId="0" applyFont="1" applyBorder="1"/>
    <xf numFmtId="0" fontId="5" fillId="0" borderId="2" xfId="0" applyFont="1" applyFill="1" applyBorder="1" applyAlignment="1">
      <alignment horizontal="left" wrapText="1"/>
    </xf>
    <xf numFmtId="0" fontId="7" fillId="0" borderId="2" xfId="0" applyFont="1" applyBorder="1" applyAlignment="1">
      <alignment horizontal="left"/>
    </xf>
    <xf numFmtId="0" fontId="5" fillId="0" borderId="2" xfId="0" applyFont="1" applyFill="1" applyBorder="1" applyAlignment="1">
      <alignment vertical="top" wrapText="1"/>
    </xf>
    <xf numFmtId="0" fontId="7" fillId="0" borderId="2" xfId="0" applyFont="1" applyBorder="1" applyAlignment="1"/>
    <xf numFmtId="2" fontId="5" fillId="0" borderId="0" xfId="0" applyNumberFormat="1" applyFont="1" applyBorder="1" applyAlignment="1">
      <alignment horizontal="center"/>
    </xf>
    <xf numFmtId="0" fontId="5" fillId="0" borderId="0" xfId="1" applyFont="1" applyBorder="1" applyAlignment="1">
      <alignment wrapText="1"/>
    </xf>
    <xf numFmtId="0" fontId="5" fillId="0" borderId="0" xfId="1" applyFont="1" applyBorder="1" applyAlignment="1">
      <alignment vertical="top" wrapText="1"/>
    </xf>
    <xf numFmtId="0" fontId="5" fillId="0" borderId="0" xfId="0" applyFont="1" applyAlignment="1">
      <alignment horizontal="left"/>
    </xf>
    <xf numFmtId="190" fontId="5" fillId="0" borderId="0" xfId="0" applyNumberFormat="1" applyFont="1"/>
    <xf numFmtId="0" fontId="6" fillId="0" borderId="0" xfId="0" applyFont="1" applyAlignme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2" fontId="6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/>
    <xf numFmtId="2" fontId="6" fillId="0" borderId="0" xfId="0" applyNumberFormat="1" applyFont="1" applyBorder="1"/>
    <xf numFmtId="2" fontId="2" fillId="0" borderId="0" xfId="1" applyNumberFormat="1" applyFont="1"/>
    <xf numFmtId="2" fontId="5" fillId="0" borderId="2" xfId="1" applyNumberFormat="1" applyFont="1" applyBorder="1"/>
    <xf numFmtId="2" fontId="5" fillId="0" borderId="0" xfId="0" applyNumberFormat="1" applyFont="1" applyBorder="1" applyAlignment="1">
      <alignment horizontal="center" vertical="top"/>
    </xf>
    <xf numFmtId="2" fontId="5" fillId="0" borderId="0" xfId="0" applyNumberFormat="1" applyFont="1" applyBorder="1" applyAlignment="1">
      <alignment vertical="top"/>
    </xf>
    <xf numFmtId="2" fontId="7" fillId="0" borderId="3" xfId="0" applyNumberFormat="1" applyFont="1" applyBorder="1" applyAlignment="1">
      <alignment horizontal="center" vertical="top"/>
    </xf>
    <xf numFmtId="2" fontId="7" fillId="0" borderId="2" xfId="0" applyNumberFormat="1" applyFont="1" applyBorder="1" applyAlignment="1">
      <alignment horizontal="left"/>
    </xf>
    <xf numFmtId="0" fontId="9" fillId="0" borderId="0" xfId="0" applyFont="1" applyAlignment="1">
      <alignment horizontal="right"/>
    </xf>
    <xf numFmtId="4" fontId="9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4" fontId="9" fillId="0" borderId="0" xfId="0" applyNumberFormat="1" applyFont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justify"/>
    </xf>
    <xf numFmtId="4" fontId="9" fillId="0" borderId="0" xfId="0" applyNumberFormat="1" applyFont="1" applyAlignment="1">
      <alignment horizontal="right"/>
    </xf>
    <xf numFmtId="0" fontId="10" fillId="0" borderId="0" xfId="0" applyFont="1" applyAlignment="1">
      <alignment horizontal="justify" vertical="top" wrapText="1"/>
    </xf>
    <xf numFmtId="0" fontId="10" fillId="0" borderId="0" xfId="0" applyFont="1" applyAlignment="1">
      <alignment horizontal="justify" wrapText="1"/>
    </xf>
    <xf numFmtId="0" fontId="10" fillId="0" borderId="0" xfId="0" applyFont="1" applyBorder="1" applyAlignment="1">
      <alignment horizontal="justify" vertical="top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5" fillId="0" borderId="0" xfId="1" applyFont="1" applyBorder="1" applyAlignment="1">
      <alignment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5" fillId="0" borderId="0" xfId="1" applyFont="1" applyBorder="1" applyAlignment="1">
      <alignment wrapText="1"/>
    </xf>
    <xf numFmtId="0" fontId="5" fillId="0" borderId="0" xfId="1" applyFont="1" applyAlignment="1">
      <alignment wrapText="1"/>
    </xf>
    <xf numFmtId="0" fontId="5" fillId="0" borderId="1" xfId="1" applyFont="1" applyBorder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right" wrapText="1"/>
    </xf>
    <xf numFmtId="0" fontId="5" fillId="0" borderId="0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/>
    <xf numFmtId="0" fontId="5" fillId="0" borderId="0" xfId="0" applyFont="1" applyBorder="1" applyAlignment="1">
      <alignment horizontal="left" vertical="top" wrapText="1"/>
    </xf>
    <xf numFmtId="0" fontId="5" fillId="0" borderId="0" xfId="1" applyFont="1" applyAlignment="1">
      <alignment vertical="top" wrapText="1"/>
    </xf>
    <xf numFmtId="0" fontId="5" fillId="0" borderId="1" xfId="1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view="pageLayout" topLeftCell="B1" zoomScale="90" zoomScaleNormal="100" zoomScalePageLayoutView="90" workbookViewId="0">
      <selection activeCell="C44" sqref="C44:J44"/>
    </sheetView>
  </sheetViews>
  <sheetFormatPr defaultRowHeight="12" x14ac:dyDescent="0.2"/>
  <cols>
    <col min="1" max="1" width="3.28515625" style="92" hidden="1" customWidth="1"/>
    <col min="2" max="2" width="9.42578125" style="92" customWidth="1"/>
    <col min="3" max="8" width="9.140625" style="92"/>
    <col min="9" max="9" width="21.85546875" style="92" customWidth="1"/>
    <col min="10" max="10" width="3.85546875" style="92" hidden="1" customWidth="1"/>
    <col min="11" max="16384" width="9.140625" style="92"/>
  </cols>
  <sheetData>
    <row r="1" spans="1:18" ht="12.75" customHeight="1" x14ac:dyDescent="0.2">
      <c r="A1" s="88"/>
      <c r="B1" s="98" t="s">
        <v>238</v>
      </c>
      <c r="C1" s="98"/>
      <c r="D1" s="98"/>
      <c r="E1" s="98"/>
      <c r="F1" s="98"/>
      <c r="G1" s="98"/>
      <c r="H1" s="98"/>
      <c r="I1" s="98"/>
      <c r="J1" s="98"/>
      <c r="K1" s="98"/>
      <c r="L1" s="91"/>
      <c r="M1" s="91"/>
      <c r="N1" s="91"/>
      <c r="O1" s="91"/>
      <c r="P1" s="91"/>
      <c r="Q1" s="91"/>
      <c r="R1" s="91"/>
    </row>
    <row r="2" spans="1:18" x14ac:dyDescent="0.2">
      <c r="A2" s="88"/>
      <c r="B2" s="98" t="s">
        <v>74</v>
      </c>
      <c r="C2" s="98"/>
      <c r="D2" s="98"/>
      <c r="E2" s="98"/>
      <c r="F2" s="98"/>
      <c r="G2" s="98"/>
      <c r="H2" s="98"/>
      <c r="I2" s="98"/>
      <c r="J2" s="98"/>
      <c r="K2" s="98"/>
      <c r="L2" s="91"/>
      <c r="M2" s="91"/>
      <c r="N2" s="91"/>
      <c r="O2" s="91"/>
      <c r="P2" s="91"/>
      <c r="Q2" s="91"/>
      <c r="R2" s="91"/>
    </row>
    <row r="3" spans="1:18" x14ac:dyDescent="0.2">
      <c r="A3" s="98" t="s">
        <v>75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1"/>
      <c r="M3" s="91"/>
      <c r="N3" s="91"/>
      <c r="O3" s="91"/>
      <c r="P3" s="91"/>
      <c r="Q3" s="91"/>
      <c r="R3" s="91"/>
    </row>
    <row r="4" spans="1:18" x14ac:dyDescent="0.2">
      <c r="A4" s="88"/>
      <c r="B4" s="98" t="s">
        <v>76</v>
      </c>
      <c r="C4" s="98"/>
      <c r="D4" s="98"/>
      <c r="E4" s="98"/>
      <c r="F4" s="98"/>
      <c r="G4" s="98"/>
      <c r="H4" s="98"/>
      <c r="I4" s="98"/>
      <c r="J4" s="98"/>
      <c r="K4" s="98"/>
      <c r="L4" s="91"/>
      <c r="M4" s="91"/>
      <c r="N4" s="91"/>
      <c r="O4" s="91"/>
      <c r="P4" s="91"/>
      <c r="Q4" s="91"/>
      <c r="R4" s="91"/>
    </row>
    <row r="5" spans="1:18" ht="12.75" customHeight="1" x14ac:dyDescent="0.2">
      <c r="A5" s="88"/>
      <c r="B5" s="98" t="s">
        <v>56</v>
      </c>
      <c r="C5" s="98"/>
      <c r="D5" s="98"/>
      <c r="E5" s="98"/>
      <c r="F5" s="98"/>
      <c r="G5" s="98"/>
      <c r="H5" s="98"/>
      <c r="I5" s="98"/>
      <c r="J5" s="98"/>
      <c r="K5" s="98"/>
      <c r="L5" s="91"/>
      <c r="M5" s="91"/>
      <c r="N5" s="91"/>
      <c r="O5" s="91"/>
      <c r="P5" s="91"/>
      <c r="Q5" s="91"/>
      <c r="R5" s="91"/>
    </row>
    <row r="6" spans="1:18" ht="12.75" customHeight="1" x14ac:dyDescent="0.2">
      <c r="A6" s="88"/>
      <c r="B6" s="88"/>
      <c r="C6" s="88"/>
      <c r="D6" s="88"/>
      <c r="E6" s="89"/>
      <c r="F6" s="89"/>
      <c r="G6" s="89"/>
      <c r="H6" s="89"/>
      <c r="I6" s="89"/>
      <c r="J6" s="89"/>
      <c r="K6" s="91"/>
      <c r="L6" s="91"/>
      <c r="M6" s="91"/>
      <c r="N6" s="91"/>
      <c r="O6" s="91"/>
      <c r="P6" s="91"/>
      <c r="Q6" s="91"/>
      <c r="R6" s="91"/>
    </row>
    <row r="8" spans="1:18" x14ac:dyDescent="0.2">
      <c r="B8" s="104" t="s">
        <v>57</v>
      </c>
      <c r="C8" s="104"/>
      <c r="D8" s="104"/>
      <c r="E8" s="104"/>
      <c r="F8" s="104"/>
      <c r="G8" s="104"/>
      <c r="H8" s="104"/>
      <c r="I8" s="104"/>
      <c r="J8" s="104"/>
    </row>
    <row r="9" spans="1:18" x14ac:dyDescent="0.2">
      <c r="B9" s="93"/>
      <c r="C9" s="93"/>
      <c r="D9" s="93"/>
      <c r="E9" s="93"/>
      <c r="F9" s="93"/>
      <c r="G9" s="93"/>
      <c r="H9" s="93"/>
      <c r="I9" s="93"/>
      <c r="J9" s="93"/>
    </row>
    <row r="10" spans="1:18" ht="12.75" x14ac:dyDescent="0.2">
      <c r="B10" s="90">
        <v>4</v>
      </c>
      <c r="C10" s="95" t="s">
        <v>150</v>
      </c>
      <c r="D10" s="95"/>
      <c r="E10" s="95"/>
      <c r="F10" s="95"/>
      <c r="G10" s="95"/>
      <c r="H10" s="95"/>
      <c r="I10" s="95"/>
      <c r="J10" s="95"/>
    </row>
    <row r="11" spans="1:18" ht="17.25" customHeight="1" x14ac:dyDescent="0.2">
      <c r="B11" s="96" t="s">
        <v>60</v>
      </c>
      <c r="C11" s="101" t="s">
        <v>106</v>
      </c>
      <c r="D11" s="101"/>
      <c r="E11" s="101"/>
      <c r="F11" s="101"/>
      <c r="G11" s="101"/>
      <c r="H11" s="101"/>
      <c r="I11" s="101"/>
      <c r="J11" s="101"/>
    </row>
    <row r="12" spans="1:18" ht="26.25" customHeight="1" x14ac:dyDescent="0.2">
      <c r="B12" s="96" t="s">
        <v>82</v>
      </c>
      <c r="C12" s="101" t="s">
        <v>107</v>
      </c>
      <c r="D12" s="101"/>
      <c r="E12" s="101"/>
      <c r="F12" s="101"/>
      <c r="G12" s="101"/>
      <c r="H12" s="101"/>
      <c r="I12" s="101"/>
      <c r="J12" s="101"/>
    </row>
    <row r="13" spans="1:18" ht="25.5" customHeight="1" x14ac:dyDescent="0.2">
      <c r="B13" s="96" t="s">
        <v>83</v>
      </c>
      <c r="C13" s="101" t="s">
        <v>108</v>
      </c>
      <c r="D13" s="101"/>
      <c r="E13" s="101"/>
      <c r="F13" s="101"/>
      <c r="G13" s="101"/>
      <c r="H13" s="101"/>
      <c r="I13" s="101"/>
      <c r="J13" s="101"/>
    </row>
    <row r="14" spans="1:18" ht="17.25" customHeight="1" x14ac:dyDescent="0.2">
      <c r="B14" s="96" t="s">
        <v>61</v>
      </c>
      <c r="C14" s="101" t="s">
        <v>109</v>
      </c>
      <c r="D14" s="101"/>
      <c r="E14" s="101"/>
      <c r="F14" s="101"/>
      <c r="G14" s="101"/>
      <c r="H14" s="101"/>
      <c r="I14" s="101"/>
      <c r="J14" s="101"/>
    </row>
    <row r="15" spans="1:18" ht="29.25" customHeight="1" x14ac:dyDescent="0.2">
      <c r="B15" s="96" t="s">
        <v>62</v>
      </c>
      <c r="C15" s="101" t="s">
        <v>110</v>
      </c>
      <c r="D15" s="101"/>
      <c r="E15" s="101"/>
      <c r="F15" s="101"/>
      <c r="G15" s="101"/>
      <c r="H15" s="101"/>
      <c r="I15" s="101"/>
      <c r="J15" s="101"/>
    </row>
    <row r="16" spans="1:18" ht="26.25" hidden="1" customHeight="1" x14ac:dyDescent="0.2">
      <c r="B16" s="96" t="s">
        <v>64</v>
      </c>
      <c r="C16" s="101" t="s">
        <v>111</v>
      </c>
      <c r="D16" s="101"/>
      <c r="E16" s="101"/>
      <c r="F16" s="101"/>
      <c r="G16" s="101"/>
      <c r="H16" s="101"/>
      <c r="I16" s="101"/>
      <c r="J16" s="101"/>
    </row>
    <row r="17" spans="2:10" ht="30" customHeight="1" x14ac:dyDescent="0.2">
      <c r="B17" s="96" t="s">
        <v>63</v>
      </c>
      <c r="C17" s="101" t="s">
        <v>112</v>
      </c>
      <c r="D17" s="101"/>
      <c r="E17" s="101"/>
      <c r="F17" s="101"/>
      <c r="G17" s="101"/>
      <c r="H17" s="101"/>
      <c r="I17" s="101"/>
      <c r="J17" s="101"/>
    </row>
    <row r="18" spans="2:10" ht="18.75" customHeight="1" x14ac:dyDescent="0.2">
      <c r="B18" s="96" t="s">
        <v>65</v>
      </c>
      <c r="C18" s="101" t="s">
        <v>113</v>
      </c>
      <c r="D18" s="101"/>
      <c r="E18" s="101"/>
      <c r="F18" s="101"/>
      <c r="G18" s="101"/>
      <c r="H18" s="101"/>
      <c r="I18" s="101"/>
      <c r="J18" s="101"/>
    </row>
    <row r="19" spans="2:10" ht="16.5" customHeight="1" x14ac:dyDescent="0.2">
      <c r="B19" s="96" t="s">
        <v>66</v>
      </c>
      <c r="C19" s="101" t="s">
        <v>114</v>
      </c>
      <c r="D19" s="101"/>
      <c r="E19" s="101"/>
      <c r="F19" s="101"/>
      <c r="G19" s="101"/>
      <c r="H19" s="101"/>
      <c r="I19" s="101"/>
      <c r="J19" s="101"/>
    </row>
    <row r="20" spans="2:10" ht="27.75" customHeight="1" x14ac:dyDescent="0.2">
      <c r="B20" s="96" t="s">
        <v>67</v>
      </c>
      <c r="C20" s="101" t="s">
        <v>115</v>
      </c>
      <c r="D20" s="101"/>
      <c r="E20" s="101"/>
      <c r="F20" s="101"/>
      <c r="G20" s="101"/>
      <c r="H20" s="101"/>
      <c r="I20" s="101"/>
      <c r="J20" s="101"/>
    </row>
    <row r="21" spans="2:10" ht="26.25" hidden="1" customHeight="1" x14ac:dyDescent="0.2">
      <c r="B21" s="96" t="s">
        <v>68</v>
      </c>
      <c r="C21" s="101" t="s">
        <v>116</v>
      </c>
      <c r="D21" s="101"/>
      <c r="E21" s="101"/>
      <c r="F21" s="101"/>
      <c r="G21" s="101"/>
      <c r="H21" s="101"/>
      <c r="I21" s="101"/>
      <c r="J21" s="101"/>
    </row>
    <row r="22" spans="2:10" ht="29.25" customHeight="1" x14ac:dyDescent="0.2">
      <c r="B22" s="96" t="s">
        <v>69</v>
      </c>
      <c r="C22" s="101" t="s">
        <v>117</v>
      </c>
      <c r="D22" s="101"/>
      <c r="E22" s="101"/>
      <c r="F22" s="101"/>
      <c r="G22" s="101"/>
      <c r="H22" s="101"/>
      <c r="I22" s="101"/>
      <c r="J22" s="101"/>
    </row>
    <row r="23" spans="2:10" ht="26.25" hidden="1" customHeight="1" x14ac:dyDescent="0.2">
      <c r="B23" s="96" t="s">
        <v>90</v>
      </c>
      <c r="C23" s="101" t="s">
        <v>151</v>
      </c>
      <c r="D23" s="99"/>
      <c r="E23" s="99"/>
      <c r="F23" s="99"/>
      <c r="G23" s="99"/>
      <c r="H23" s="99"/>
      <c r="I23" s="99"/>
      <c r="J23" s="99"/>
    </row>
    <row r="24" spans="2:10" ht="26.25" hidden="1" customHeight="1" x14ac:dyDescent="0.2">
      <c r="B24" s="96"/>
      <c r="C24" s="99"/>
      <c r="D24" s="99"/>
      <c r="E24" s="99"/>
      <c r="F24" s="99"/>
      <c r="G24" s="99"/>
      <c r="H24" s="99"/>
      <c r="I24" s="99"/>
      <c r="J24" s="97"/>
    </row>
    <row r="25" spans="2:10" ht="25.5" customHeight="1" x14ac:dyDescent="0.2">
      <c r="B25" s="96" t="s">
        <v>94</v>
      </c>
      <c r="C25" s="99" t="s">
        <v>118</v>
      </c>
      <c r="D25" s="99"/>
      <c r="E25" s="99"/>
      <c r="F25" s="99"/>
      <c r="G25" s="99"/>
      <c r="H25" s="99"/>
      <c r="I25" s="99"/>
      <c r="J25" s="100"/>
    </row>
    <row r="26" spans="2:10" ht="25.5" customHeight="1" x14ac:dyDescent="0.2">
      <c r="B26" s="96" t="s">
        <v>96</v>
      </c>
      <c r="C26" s="99" t="s">
        <v>119</v>
      </c>
      <c r="D26" s="99"/>
      <c r="E26" s="99"/>
      <c r="F26" s="99"/>
      <c r="G26" s="99"/>
      <c r="H26" s="99"/>
      <c r="I26" s="99"/>
      <c r="J26" s="102"/>
    </row>
    <row r="27" spans="2:10" ht="16.5" customHeight="1" x14ac:dyDescent="0.2">
      <c r="B27" s="96" t="s">
        <v>95</v>
      </c>
      <c r="C27" s="99" t="s">
        <v>123</v>
      </c>
      <c r="D27" s="99"/>
      <c r="E27" s="99"/>
      <c r="F27" s="99"/>
      <c r="G27" s="99"/>
      <c r="H27" s="99"/>
      <c r="I27" s="99"/>
      <c r="J27" s="100"/>
    </row>
    <row r="28" spans="2:10" ht="16.5" customHeight="1" x14ac:dyDescent="0.2">
      <c r="B28" s="96" t="s">
        <v>97</v>
      </c>
      <c r="C28" s="99" t="s">
        <v>124</v>
      </c>
      <c r="D28" s="99"/>
      <c r="E28" s="99"/>
      <c r="F28" s="99"/>
      <c r="G28" s="99"/>
      <c r="H28" s="99"/>
      <c r="I28" s="99"/>
      <c r="J28" s="102"/>
    </row>
    <row r="29" spans="2:10" ht="16.5" customHeight="1" x14ac:dyDescent="0.2">
      <c r="B29" s="96" t="s">
        <v>98</v>
      </c>
      <c r="C29" s="99" t="s">
        <v>137</v>
      </c>
      <c r="D29" s="99"/>
      <c r="E29" s="99"/>
      <c r="F29" s="99"/>
      <c r="G29" s="99"/>
      <c r="H29" s="99"/>
      <c r="I29" s="99"/>
      <c r="J29" s="100"/>
    </row>
    <row r="30" spans="2:10" ht="16.5" customHeight="1" x14ac:dyDescent="0.2">
      <c r="B30" s="96" t="s">
        <v>99</v>
      </c>
      <c r="C30" s="99" t="s">
        <v>138</v>
      </c>
      <c r="D30" s="99"/>
      <c r="E30" s="99"/>
      <c r="F30" s="99"/>
      <c r="G30" s="99"/>
      <c r="H30" s="99"/>
      <c r="I30" s="99"/>
      <c r="J30" s="102"/>
    </row>
    <row r="31" spans="2:10" ht="26.25" customHeight="1" x14ac:dyDescent="0.2">
      <c r="B31" s="96" t="s">
        <v>100</v>
      </c>
      <c r="C31" s="99" t="s">
        <v>152</v>
      </c>
      <c r="D31" s="99"/>
      <c r="E31" s="99"/>
      <c r="F31" s="99"/>
      <c r="G31" s="99"/>
      <c r="H31" s="99"/>
      <c r="I31" s="99"/>
      <c r="J31" s="100"/>
    </row>
    <row r="32" spans="2:10" ht="25.5" customHeight="1" x14ac:dyDescent="0.2">
      <c r="B32" s="96" t="s">
        <v>101</v>
      </c>
      <c r="C32" s="99" t="s">
        <v>153</v>
      </c>
      <c r="D32" s="99"/>
      <c r="E32" s="99"/>
      <c r="F32" s="99"/>
      <c r="G32" s="99"/>
      <c r="H32" s="99"/>
      <c r="I32" s="99"/>
      <c r="J32" s="102"/>
    </row>
    <row r="33" spans="2:10" ht="26.25" customHeight="1" x14ac:dyDescent="0.2">
      <c r="B33" s="96" t="s">
        <v>102</v>
      </c>
      <c r="C33" s="99" t="s">
        <v>129</v>
      </c>
      <c r="D33" s="99"/>
      <c r="E33" s="99"/>
      <c r="F33" s="99"/>
      <c r="G33" s="99"/>
      <c r="H33" s="99"/>
      <c r="I33" s="99"/>
      <c r="J33" s="100"/>
    </row>
    <row r="34" spans="2:10" ht="26.25" customHeight="1" x14ac:dyDescent="0.2">
      <c r="B34" s="96" t="s">
        <v>103</v>
      </c>
      <c r="C34" s="99" t="s">
        <v>130</v>
      </c>
      <c r="D34" s="99"/>
      <c r="E34" s="99"/>
      <c r="F34" s="99"/>
      <c r="G34" s="99"/>
      <c r="H34" s="99"/>
      <c r="I34" s="99"/>
      <c r="J34" s="102"/>
    </row>
    <row r="35" spans="2:10" ht="25.5" customHeight="1" x14ac:dyDescent="0.2">
      <c r="B35" s="96" t="s">
        <v>105</v>
      </c>
      <c r="C35" s="99" t="s">
        <v>120</v>
      </c>
      <c r="D35" s="99"/>
      <c r="E35" s="99"/>
      <c r="F35" s="99"/>
      <c r="G35" s="99"/>
      <c r="H35" s="99"/>
      <c r="I35" s="99"/>
      <c r="J35" s="100"/>
    </row>
    <row r="36" spans="2:10" ht="24.75" customHeight="1" x14ac:dyDescent="0.2">
      <c r="B36" s="96" t="s">
        <v>122</v>
      </c>
      <c r="C36" s="99" t="s">
        <v>121</v>
      </c>
      <c r="D36" s="99"/>
      <c r="E36" s="99"/>
      <c r="F36" s="99"/>
      <c r="G36" s="99"/>
      <c r="H36" s="99"/>
      <c r="I36" s="99"/>
      <c r="J36" s="102"/>
    </row>
    <row r="37" spans="2:10" ht="15.75" customHeight="1" x14ac:dyDescent="0.2">
      <c r="B37" s="96" t="s">
        <v>125</v>
      </c>
      <c r="C37" s="99" t="s">
        <v>127</v>
      </c>
      <c r="D37" s="99"/>
      <c r="E37" s="99"/>
      <c r="F37" s="99"/>
      <c r="G37" s="99"/>
      <c r="H37" s="99"/>
      <c r="I37" s="99"/>
      <c r="J37" s="100"/>
    </row>
    <row r="38" spans="2:10" ht="15.75" customHeight="1" x14ac:dyDescent="0.2">
      <c r="B38" s="96" t="s">
        <v>126</v>
      </c>
      <c r="C38" s="99" t="s">
        <v>128</v>
      </c>
      <c r="D38" s="99"/>
      <c r="E38" s="99"/>
      <c r="F38" s="99"/>
      <c r="G38" s="99"/>
      <c r="H38" s="99"/>
      <c r="I38" s="99"/>
      <c r="J38" s="102"/>
    </row>
    <row r="39" spans="2:10" ht="15.75" customHeight="1" x14ac:dyDescent="0.2">
      <c r="B39" s="96" t="s">
        <v>139</v>
      </c>
      <c r="C39" s="99" t="s">
        <v>141</v>
      </c>
      <c r="D39" s="99"/>
      <c r="E39" s="99"/>
      <c r="F39" s="99"/>
      <c r="G39" s="99"/>
      <c r="H39" s="99"/>
      <c r="I39" s="99"/>
      <c r="J39" s="100"/>
    </row>
    <row r="40" spans="2:10" ht="15.75" customHeight="1" x14ac:dyDescent="0.2">
      <c r="B40" s="96" t="s">
        <v>140</v>
      </c>
      <c r="C40" s="99" t="s">
        <v>142</v>
      </c>
      <c r="D40" s="99"/>
      <c r="E40" s="99"/>
      <c r="F40" s="99"/>
      <c r="G40" s="99"/>
      <c r="H40" s="99"/>
      <c r="I40" s="99"/>
      <c r="J40" s="102"/>
    </row>
    <row r="41" spans="2:10" ht="28.5" customHeight="1" x14ac:dyDescent="0.2">
      <c r="B41" s="96" t="s">
        <v>135</v>
      </c>
      <c r="C41" s="99" t="s">
        <v>154</v>
      </c>
      <c r="D41" s="99"/>
      <c r="E41" s="99"/>
      <c r="F41" s="99"/>
      <c r="G41" s="99"/>
      <c r="H41" s="99"/>
      <c r="I41" s="99"/>
      <c r="J41" s="100"/>
    </row>
    <row r="42" spans="2:10" ht="27" customHeight="1" x14ac:dyDescent="0.2">
      <c r="B42" s="96" t="s">
        <v>136</v>
      </c>
      <c r="C42" s="99" t="s">
        <v>155</v>
      </c>
      <c r="D42" s="99"/>
      <c r="E42" s="99"/>
      <c r="F42" s="99"/>
      <c r="G42" s="99"/>
      <c r="H42" s="99"/>
      <c r="I42" s="99"/>
      <c r="J42" s="102"/>
    </row>
    <row r="43" spans="2:10" ht="27.75" customHeight="1" x14ac:dyDescent="0.2">
      <c r="B43" s="96" t="s">
        <v>133</v>
      </c>
      <c r="C43" s="99" t="s">
        <v>131</v>
      </c>
      <c r="D43" s="99"/>
      <c r="E43" s="99"/>
      <c r="F43" s="99"/>
      <c r="G43" s="99"/>
      <c r="H43" s="99"/>
      <c r="I43" s="99"/>
      <c r="J43" s="100"/>
    </row>
    <row r="44" spans="2:10" ht="27" customHeight="1" x14ac:dyDescent="0.2">
      <c r="B44" s="96" t="s">
        <v>134</v>
      </c>
      <c r="C44" s="99" t="s">
        <v>132</v>
      </c>
      <c r="D44" s="99"/>
      <c r="E44" s="99"/>
      <c r="F44" s="99"/>
      <c r="G44" s="99"/>
      <c r="H44" s="99"/>
      <c r="I44" s="99"/>
      <c r="J44" s="102"/>
    </row>
    <row r="45" spans="2:10" ht="38.25" customHeight="1" x14ac:dyDescent="0.2">
      <c r="B45" s="103"/>
      <c r="C45" s="103"/>
      <c r="D45" s="103"/>
      <c r="E45" s="103"/>
      <c r="F45" s="103"/>
      <c r="G45" s="103"/>
      <c r="H45" s="103"/>
      <c r="I45" s="103"/>
      <c r="J45" s="103"/>
    </row>
    <row r="82" spans="2:2" x14ac:dyDescent="0.2">
      <c r="B82" s="94"/>
    </row>
  </sheetData>
  <mergeCells count="41">
    <mergeCell ref="C38:J38"/>
    <mergeCell ref="C13:J13"/>
    <mergeCell ref="C44:J44"/>
    <mergeCell ref="C42:J42"/>
    <mergeCell ref="C43:J43"/>
    <mergeCell ref="C34:J34"/>
    <mergeCell ref="C37:J37"/>
    <mergeCell ref="C33:J33"/>
    <mergeCell ref="C41:J41"/>
    <mergeCell ref="C39:J39"/>
    <mergeCell ref="C40:J40"/>
    <mergeCell ref="B8:J8"/>
    <mergeCell ref="C17:J17"/>
    <mergeCell ref="C14:J14"/>
    <mergeCell ref="C11:J11"/>
    <mergeCell ref="C28:J28"/>
    <mergeCell ref="C24:I24"/>
    <mergeCell ref="C19:J19"/>
    <mergeCell ref="C23:J23"/>
    <mergeCell ref="C15:J15"/>
    <mergeCell ref="C12:J12"/>
    <mergeCell ref="B45:J45"/>
    <mergeCell ref="C35:J35"/>
    <mergeCell ref="C36:J36"/>
    <mergeCell ref="C20:J20"/>
    <mergeCell ref="C22:J22"/>
    <mergeCell ref="C21:J21"/>
    <mergeCell ref="C32:J32"/>
    <mergeCell ref="C29:J29"/>
    <mergeCell ref="C31:J31"/>
    <mergeCell ref="C30:J30"/>
    <mergeCell ref="B2:K2"/>
    <mergeCell ref="A3:K3"/>
    <mergeCell ref="B4:K4"/>
    <mergeCell ref="B5:K5"/>
    <mergeCell ref="B1:K1"/>
    <mergeCell ref="C27:J27"/>
    <mergeCell ref="C16:J16"/>
    <mergeCell ref="C18:J18"/>
    <mergeCell ref="C25:J25"/>
    <mergeCell ref="C26:J26"/>
  </mergeCells>
  <pageMargins left="0.7" right="0.48958333333333331" top="0.45" bottom="0.75" header="0.3" footer="0.3"/>
  <pageSetup paperSize="9" scale="92" orientation="portrait" r:id="rId1"/>
  <headerFooter>
    <oddFooter>&amp;C&amp;"Times New Roman,Regular"&amp;8&amp;F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9"/>
  <sheetViews>
    <sheetView tabSelected="1" view="pageLayout" zoomScale="90" zoomScaleNormal="90" zoomScalePageLayoutView="90" workbookViewId="0">
      <selection activeCell="C6" sqref="C6"/>
    </sheetView>
  </sheetViews>
  <sheetFormatPr defaultRowHeight="15.75" x14ac:dyDescent="0.25"/>
  <cols>
    <col min="1" max="1" width="19.28515625" style="14" customWidth="1"/>
    <col min="2" max="2" width="90.5703125" style="14" customWidth="1"/>
    <col min="3" max="3" width="25.140625" style="14" customWidth="1"/>
    <col min="4" max="16384" width="9.140625" style="14"/>
  </cols>
  <sheetData>
    <row r="1" spans="1:3" ht="15.75" customHeight="1" x14ac:dyDescent="0.25">
      <c r="B1" s="12"/>
      <c r="C1" s="57" t="s">
        <v>51</v>
      </c>
    </row>
    <row r="2" spans="1:3" x14ac:dyDescent="0.25">
      <c r="B2" s="106" t="s">
        <v>55</v>
      </c>
      <c r="C2" s="107"/>
    </row>
    <row r="3" spans="1:3" x14ac:dyDescent="0.25">
      <c r="B3" s="13"/>
      <c r="C3" s="53" t="s">
        <v>81</v>
      </c>
    </row>
    <row r="4" spans="1:3" x14ac:dyDescent="0.25">
      <c r="B4" s="12"/>
      <c r="C4" s="39"/>
    </row>
    <row r="5" spans="1:3" x14ac:dyDescent="0.25">
      <c r="B5" s="59"/>
    </row>
    <row r="6" spans="1:3" x14ac:dyDescent="0.25">
      <c r="B6" s="59"/>
      <c r="C6" s="39" t="s">
        <v>231</v>
      </c>
    </row>
    <row r="7" spans="1:3" x14ac:dyDescent="0.25">
      <c r="C7" s="22"/>
    </row>
    <row r="8" spans="1:3" x14ac:dyDescent="0.25">
      <c r="A8" s="108" t="s">
        <v>10</v>
      </c>
      <c r="B8" s="108"/>
      <c r="C8" s="108"/>
    </row>
    <row r="9" spans="1:3" x14ac:dyDescent="0.25">
      <c r="B9" s="61"/>
      <c r="C9" s="22"/>
    </row>
    <row r="10" spans="1:3" x14ac:dyDescent="0.25">
      <c r="A10" s="109" t="s">
        <v>1</v>
      </c>
      <c r="B10" s="109"/>
      <c r="C10" s="22"/>
    </row>
    <row r="11" spans="1:3" x14ac:dyDescent="0.25">
      <c r="A11" s="109" t="s">
        <v>0</v>
      </c>
      <c r="B11" s="109"/>
      <c r="C11" s="22"/>
    </row>
    <row r="12" spans="1:3" x14ac:dyDescent="0.25">
      <c r="A12" s="11"/>
      <c r="B12" s="11" t="s">
        <v>47</v>
      </c>
      <c r="C12" s="22"/>
    </row>
    <row r="13" spans="1:3" x14ac:dyDescent="0.25">
      <c r="A13" s="11"/>
      <c r="B13" s="11" t="s">
        <v>194</v>
      </c>
      <c r="C13" s="22"/>
    </row>
    <row r="14" spans="1:3" x14ac:dyDescent="0.25">
      <c r="A14" s="11"/>
      <c r="B14" s="11" t="s">
        <v>71</v>
      </c>
      <c r="C14" s="22"/>
    </row>
    <row r="15" spans="1:3" x14ac:dyDescent="0.25">
      <c r="A15" s="11"/>
      <c r="B15" s="11" t="s">
        <v>195</v>
      </c>
      <c r="C15" s="22"/>
    </row>
    <row r="16" spans="1:3" x14ac:dyDescent="0.25">
      <c r="A16" s="11" t="s">
        <v>2</v>
      </c>
      <c r="B16" s="11" t="s">
        <v>232</v>
      </c>
      <c r="C16" s="22"/>
    </row>
    <row r="17" spans="1:3" ht="69.75" customHeight="1" x14ac:dyDescent="0.25">
      <c r="A17" s="47" t="s">
        <v>3</v>
      </c>
      <c r="B17" s="47" t="s">
        <v>4</v>
      </c>
      <c r="C17" s="47" t="s">
        <v>5</v>
      </c>
    </row>
    <row r="18" spans="1:3" x14ac:dyDescent="0.25">
      <c r="A18" s="24">
        <v>1</v>
      </c>
      <c r="B18" s="25">
        <v>2</v>
      </c>
      <c r="C18" s="25">
        <v>3</v>
      </c>
    </row>
    <row r="19" spans="1:3" x14ac:dyDescent="0.25">
      <c r="A19" s="24"/>
      <c r="B19" s="62" t="s">
        <v>6</v>
      </c>
      <c r="C19" s="63"/>
    </row>
    <row r="20" spans="1:3" x14ac:dyDescent="0.25">
      <c r="A20" s="29">
        <v>1100</v>
      </c>
      <c r="B20" s="29" t="s">
        <v>159</v>
      </c>
      <c r="C20" s="30">
        <f>23.91*50</f>
        <v>1195.5</v>
      </c>
    </row>
    <row r="21" spans="1:3" x14ac:dyDescent="0.25">
      <c r="A21" s="29">
        <v>1200</v>
      </c>
      <c r="B21" s="63" t="s">
        <v>160</v>
      </c>
      <c r="C21" s="30">
        <v>282.02</v>
      </c>
    </row>
    <row r="22" spans="1:3" x14ac:dyDescent="0.25">
      <c r="A22" s="29">
        <v>2222</v>
      </c>
      <c r="B22" s="64" t="s">
        <v>164</v>
      </c>
      <c r="C22" s="30">
        <f>1.17*50</f>
        <v>58.5</v>
      </c>
    </row>
    <row r="23" spans="1:3" x14ac:dyDescent="0.25">
      <c r="A23" s="29">
        <v>2223</v>
      </c>
      <c r="B23" s="64" t="s">
        <v>165</v>
      </c>
      <c r="C23" s="30">
        <f>1.27*50</f>
        <v>63.5</v>
      </c>
    </row>
    <row r="24" spans="1:3" x14ac:dyDescent="0.25">
      <c r="A24" s="29">
        <v>2243</v>
      </c>
      <c r="B24" s="62" t="s">
        <v>172</v>
      </c>
      <c r="C24" s="30">
        <f>0.28*50</f>
        <v>14.000000000000002</v>
      </c>
    </row>
    <row r="25" spans="1:3" x14ac:dyDescent="0.25">
      <c r="A25" s="29">
        <v>2244</v>
      </c>
      <c r="B25" s="62" t="s">
        <v>173</v>
      </c>
      <c r="C25" s="30">
        <f>2.12*50</f>
        <v>106</v>
      </c>
    </row>
    <row r="26" spans="1:3" x14ac:dyDescent="0.25">
      <c r="A26" s="29">
        <v>2312</v>
      </c>
      <c r="B26" s="62" t="s">
        <v>181</v>
      </c>
      <c r="C26" s="30">
        <v>14.2</v>
      </c>
    </row>
    <row r="27" spans="1:3" x14ac:dyDescent="0.25">
      <c r="A27" s="29">
        <v>2321</v>
      </c>
      <c r="B27" s="64" t="s">
        <v>183</v>
      </c>
      <c r="C27" s="30">
        <v>76</v>
      </c>
    </row>
    <row r="28" spans="1:3" x14ac:dyDescent="0.25">
      <c r="A28" s="29">
        <v>2341</v>
      </c>
      <c r="B28" s="64" t="s">
        <v>161</v>
      </c>
      <c r="C28" s="30">
        <v>113.08</v>
      </c>
    </row>
    <row r="29" spans="1:3" x14ac:dyDescent="0.25">
      <c r="A29" s="29">
        <v>2361</v>
      </c>
      <c r="B29" s="64" t="s">
        <v>197</v>
      </c>
      <c r="C29" s="30">
        <f>0.28*50+1.97*50</f>
        <v>112.5</v>
      </c>
    </row>
    <row r="30" spans="1:3" x14ac:dyDescent="0.25">
      <c r="A30" s="29">
        <v>2363</v>
      </c>
      <c r="B30" s="64" t="s">
        <v>199</v>
      </c>
      <c r="C30" s="30">
        <v>406</v>
      </c>
    </row>
    <row r="31" spans="1:3" x14ac:dyDescent="0.25">
      <c r="A31" s="29">
        <v>5239</v>
      </c>
      <c r="B31" s="63" t="s">
        <v>190</v>
      </c>
      <c r="C31" s="30">
        <v>62.6</v>
      </c>
    </row>
    <row r="32" spans="1:3" x14ac:dyDescent="0.25">
      <c r="A32" s="29"/>
      <c r="B32" s="65" t="s">
        <v>7</v>
      </c>
      <c r="C32" s="33">
        <f>SUM(C20:C31)</f>
        <v>2503.9</v>
      </c>
    </row>
    <row r="33" spans="1:3" x14ac:dyDescent="0.25">
      <c r="A33" s="34"/>
      <c r="B33" s="65" t="s">
        <v>8</v>
      </c>
      <c r="C33" s="30"/>
    </row>
    <row r="34" spans="1:3" x14ac:dyDescent="0.25">
      <c r="A34" s="29">
        <v>1100</v>
      </c>
      <c r="B34" s="62" t="s">
        <v>159</v>
      </c>
      <c r="C34" s="30">
        <v>851.32</v>
      </c>
    </row>
    <row r="35" spans="1:3" ht="16.5" customHeight="1" x14ac:dyDescent="0.25">
      <c r="A35" s="29">
        <v>1200</v>
      </c>
      <c r="B35" s="62" t="s">
        <v>160</v>
      </c>
      <c r="C35" s="30">
        <v>200.83</v>
      </c>
    </row>
    <row r="36" spans="1:3" ht="16.5" customHeight="1" x14ac:dyDescent="0.25">
      <c r="A36" s="29">
        <v>2100</v>
      </c>
      <c r="B36" s="35" t="s">
        <v>44</v>
      </c>
      <c r="C36" s="30">
        <v>2.41</v>
      </c>
    </row>
    <row r="37" spans="1:3" x14ac:dyDescent="0.25">
      <c r="A37" s="36">
        <v>2210</v>
      </c>
      <c r="B37" s="64" t="s">
        <v>163</v>
      </c>
      <c r="C37" s="30">
        <v>15.7</v>
      </c>
    </row>
    <row r="38" spans="1:3" x14ac:dyDescent="0.25">
      <c r="A38" s="29">
        <v>2222</v>
      </c>
      <c r="B38" s="64" t="s">
        <v>164</v>
      </c>
      <c r="C38" s="30">
        <v>19.63</v>
      </c>
    </row>
    <row r="39" spans="1:3" x14ac:dyDescent="0.25">
      <c r="A39" s="29">
        <v>2223</v>
      </c>
      <c r="B39" s="64" t="s">
        <v>165</v>
      </c>
      <c r="C39" s="30">
        <v>39.299999999999997</v>
      </c>
    </row>
    <row r="40" spans="1:3" ht="31.5" x14ac:dyDescent="0.25">
      <c r="A40" s="29">
        <v>2224</v>
      </c>
      <c r="B40" s="64" t="s">
        <v>166</v>
      </c>
      <c r="C40" s="30">
        <f>10.23</f>
        <v>10.23</v>
      </c>
    </row>
    <row r="41" spans="1:3" ht="15.75" customHeight="1" x14ac:dyDescent="0.25">
      <c r="A41" s="29">
        <v>2231</v>
      </c>
      <c r="B41" s="62" t="s">
        <v>167</v>
      </c>
      <c r="C41" s="30">
        <v>3.2</v>
      </c>
    </row>
    <row r="42" spans="1:3" ht="15.75" customHeight="1" x14ac:dyDescent="0.25">
      <c r="A42" s="29">
        <v>2235</v>
      </c>
      <c r="B42" s="66" t="s">
        <v>168</v>
      </c>
      <c r="C42" s="30">
        <v>3.41</v>
      </c>
    </row>
    <row r="43" spans="1:3" x14ac:dyDescent="0.25">
      <c r="A43" s="29">
        <v>2239</v>
      </c>
      <c r="B43" s="62" t="s">
        <v>169</v>
      </c>
      <c r="C43" s="30">
        <v>9.11</v>
      </c>
    </row>
    <row r="44" spans="1:3" x14ac:dyDescent="0.25">
      <c r="A44" s="29">
        <v>2241</v>
      </c>
      <c r="B44" s="62" t="s">
        <v>170</v>
      </c>
      <c r="C44" s="30">
        <v>34.090000000000003</v>
      </c>
    </row>
    <row r="45" spans="1:3" x14ac:dyDescent="0.25">
      <c r="A45" s="29">
        <v>2242</v>
      </c>
      <c r="B45" s="64" t="s">
        <v>171</v>
      </c>
      <c r="C45" s="30">
        <v>4.67</v>
      </c>
    </row>
    <row r="46" spans="1:3" ht="15.75" customHeight="1" x14ac:dyDescent="0.25">
      <c r="A46" s="29">
        <v>2243</v>
      </c>
      <c r="B46" s="62" t="s">
        <v>172</v>
      </c>
      <c r="C46" s="30">
        <v>67.36</v>
      </c>
    </row>
    <row r="47" spans="1:3" x14ac:dyDescent="0.25">
      <c r="A47" s="29">
        <v>2244</v>
      </c>
      <c r="B47" s="62" t="s">
        <v>173</v>
      </c>
      <c r="C47" s="30">
        <v>421.47</v>
      </c>
    </row>
    <row r="48" spans="1:3" x14ac:dyDescent="0.25">
      <c r="A48" s="29">
        <v>2247</v>
      </c>
      <c r="B48" s="62" t="s">
        <v>174</v>
      </c>
      <c r="C48" s="30">
        <v>1.49</v>
      </c>
    </row>
    <row r="49" spans="1:3" x14ac:dyDescent="0.25">
      <c r="A49" s="29">
        <v>2249</v>
      </c>
      <c r="B49" s="62" t="s">
        <v>175</v>
      </c>
      <c r="C49" s="30">
        <v>0.48</v>
      </c>
    </row>
    <row r="50" spans="1:3" x14ac:dyDescent="0.25">
      <c r="A50" s="29">
        <v>2250</v>
      </c>
      <c r="B50" s="62" t="s">
        <v>176</v>
      </c>
      <c r="C50" s="30">
        <v>49.65</v>
      </c>
    </row>
    <row r="51" spans="1:3" hidden="1" x14ac:dyDescent="0.25">
      <c r="A51" s="29">
        <v>2261</v>
      </c>
      <c r="B51" s="64" t="s">
        <v>196</v>
      </c>
      <c r="C51" s="30">
        <v>0</v>
      </c>
    </row>
    <row r="52" spans="1:3" x14ac:dyDescent="0.25">
      <c r="A52" s="29">
        <v>2262</v>
      </c>
      <c r="B52" s="64" t="s">
        <v>177</v>
      </c>
      <c r="C52" s="30">
        <v>12.94</v>
      </c>
    </row>
    <row r="53" spans="1:3" x14ac:dyDescent="0.25">
      <c r="A53" s="29">
        <v>2263</v>
      </c>
      <c r="B53" s="64" t="s">
        <v>178</v>
      </c>
      <c r="C53" s="30">
        <v>94.64</v>
      </c>
    </row>
    <row r="54" spans="1:3" x14ac:dyDescent="0.25">
      <c r="A54" s="29">
        <v>2264</v>
      </c>
      <c r="B54" s="62" t="s">
        <v>179</v>
      </c>
      <c r="C54" s="30">
        <v>3.08</v>
      </c>
    </row>
    <row r="55" spans="1:3" x14ac:dyDescent="0.25">
      <c r="A55" s="29">
        <v>2311</v>
      </c>
      <c r="B55" s="64" t="s">
        <v>180</v>
      </c>
      <c r="C55" s="30">
        <v>9.86</v>
      </c>
    </row>
    <row r="56" spans="1:3" x14ac:dyDescent="0.25">
      <c r="A56" s="29">
        <v>2312</v>
      </c>
      <c r="B56" s="64" t="s">
        <v>181</v>
      </c>
      <c r="C56" s="30">
        <v>11.96</v>
      </c>
    </row>
    <row r="57" spans="1:3" x14ac:dyDescent="0.25">
      <c r="A57" s="29">
        <v>2314</v>
      </c>
      <c r="B57" s="66" t="s">
        <v>182</v>
      </c>
      <c r="C57" s="30">
        <v>4.59</v>
      </c>
    </row>
    <row r="58" spans="1:3" x14ac:dyDescent="0.25">
      <c r="A58" s="29">
        <v>2321</v>
      </c>
      <c r="B58" s="64" t="s">
        <v>183</v>
      </c>
      <c r="C58" s="30">
        <v>50.91</v>
      </c>
    </row>
    <row r="59" spans="1:3" x14ac:dyDescent="0.25">
      <c r="A59" s="29">
        <v>2322</v>
      </c>
      <c r="B59" s="64" t="s">
        <v>184</v>
      </c>
      <c r="C59" s="30">
        <v>7.23</v>
      </c>
    </row>
    <row r="60" spans="1:3" hidden="1" x14ac:dyDescent="0.25">
      <c r="A60" s="29">
        <v>2341</v>
      </c>
      <c r="B60" s="64" t="s">
        <v>161</v>
      </c>
      <c r="C60" s="30">
        <v>0</v>
      </c>
    </row>
    <row r="61" spans="1:3" x14ac:dyDescent="0.25">
      <c r="A61" s="29">
        <v>2350</v>
      </c>
      <c r="B61" s="63" t="s">
        <v>162</v>
      </c>
      <c r="C61" s="30">
        <v>17.559999999999999</v>
      </c>
    </row>
    <row r="62" spans="1:3" hidden="1" x14ac:dyDescent="0.25">
      <c r="A62" s="29">
        <v>2361</v>
      </c>
      <c r="B62" s="64" t="s">
        <v>197</v>
      </c>
      <c r="C62" s="30">
        <v>0</v>
      </c>
    </row>
    <row r="63" spans="1:3" hidden="1" x14ac:dyDescent="0.25">
      <c r="A63" s="29">
        <v>2362</v>
      </c>
      <c r="B63" s="64" t="s">
        <v>198</v>
      </c>
      <c r="C63" s="30">
        <v>0</v>
      </c>
    </row>
    <row r="64" spans="1:3" hidden="1" x14ac:dyDescent="0.25">
      <c r="A64" s="29">
        <v>2363</v>
      </c>
      <c r="B64" s="64" t="s">
        <v>199</v>
      </c>
      <c r="C64" s="30">
        <v>0</v>
      </c>
    </row>
    <row r="65" spans="1:3" hidden="1" x14ac:dyDescent="0.25">
      <c r="A65" s="29">
        <v>2370</v>
      </c>
      <c r="B65" s="64" t="s">
        <v>200</v>
      </c>
      <c r="C65" s="30">
        <v>0</v>
      </c>
    </row>
    <row r="66" spans="1:3" hidden="1" x14ac:dyDescent="0.25">
      <c r="A66" s="29">
        <v>2400</v>
      </c>
      <c r="B66" s="64" t="s">
        <v>201</v>
      </c>
      <c r="C66" s="30">
        <v>0</v>
      </c>
    </row>
    <row r="67" spans="1:3" hidden="1" x14ac:dyDescent="0.25">
      <c r="A67" s="29">
        <v>2512</v>
      </c>
      <c r="B67" s="64" t="s">
        <v>202</v>
      </c>
      <c r="C67" s="30">
        <v>0</v>
      </c>
    </row>
    <row r="68" spans="1:3" ht="15.75" customHeight="1" x14ac:dyDescent="0.25">
      <c r="A68" s="29">
        <v>2513</v>
      </c>
      <c r="B68" s="63" t="s">
        <v>185</v>
      </c>
      <c r="C68" s="30">
        <v>3.02</v>
      </c>
    </row>
    <row r="69" spans="1:3" x14ac:dyDescent="0.25">
      <c r="A69" s="29">
        <v>2515</v>
      </c>
      <c r="B69" s="64" t="s">
        <v>186</v>
      </c>
      <c r="C69" s="30">
        <v>3.93</v>
      </c>
    </row>
    <row r="70" spans="1:3" x14ac:dyDescent="0.25">
      <c r="A70" s="29">
        <v>2519</v>
      </c>
      <c r="B70" s="64" t="s">
        <v>187</v>
      </c>
      <c r="C70" s="30">
        <v>4.13</v>
      </c>
    </row>
    <row r="71" spans="1:3" x14ac:dyDescent="0.25">
      <c r="A71" s="29">
        <v>5220</v>
      </c>
      <c r="B71" s="64" t="s">
        <v>188</v>
      </c>
      <c r="C71" s="30">
        <v>21.9</v>
      </c>
    </row>
    <row r="72" spans="1:3" x14ac:dyDescent="0.25">
      <c r="A72" s="29">
        <v>5238</v>
      </c>
      <c r="B72" s="63" t="s">
        <v>189</v>
      </c>
      <c r="C72" s="30">
        <v>3.41</v>
      </c>
    </row>
    <row r="73" spans="1:3" x14ac:dyDescent="0.25">
      <c r="A73" s="29">
        <v>5239</v>
      </c>
      <c r="B73" s="63" t="s">
        <v>190</v>
      </c>
      <c r="C73" s="30">
        <f>35.91-2.43-7</f>
        <v>26.479999999999997</v>
      </c>
    </row>
    <row r="74" spans="1:3" x14ac:dyDescent="0.25">
      <c r="A74" s="29">
        <v>5250</v>
      </c>
      <c r="B74" s="64" t="s">
        <v>191</v>
      </c>
      <c r="C74" s="30">
        <f>40.17-3.01-7-0.05</f>
        <v>30.110000000000003</v>
      </c>
    </row>
    <row r="75" spans="1:3" x14ac:dyDescent="0.25">
      <c r="A75" s="34"/>
      <c r="B75" s="67" t="s">
        <v>192</v>
      </c>
      <c r="C75" s="33">
        <f>SUM(C34:C74)</f>
        <v>2040.1000000000006</v>
      </c>
    </row>
    <row r="76" spans="1:3" x14ac:dyDescent="0.25">
      <c r="A76" s="34"/>
      <c r="B76" s="67" t="s">
        <v>193</v>
      </c>
      <c r="C76" s="33">
        <f>C32+C75</f>
        <v>4544.0000000000009</v>
      </c>
    </row>
    <row r="77" spans="1:3" ht="12.75" customHeight="1" x14ac:dyDescent="0.25">
      <c r="A77" s="39"/>
      <c r="B77" s="22"/>
      <c r="C77" s="68"/>
    </row>
    <row r="78" spans="1:3" ht="15.75" customHeight="1" x14ac:dyDescent="0.25">
      <c r="A78" s="110" t="s">
        <v>52</v>
      </c>
      <c r="B78" s="110"/>
      <c r="C78" s="51">
        <v>50</v>
      </c>
    </row>
    <row r="79" spans="1:3" ht="15.75" customHeight="1" x14ac:dyDescent="0.25">
      <c r="A79" s="110" t="s">
        <v>59</v>
      </c>
      <c r="B79" s="110"/>
      <c r="C79" s="52">
        <f>C76/C78</f>
        <v>90.880000000000024</v>
      </c>
    </row>
    <row r="80" spans="1:3" ht="9.75" customHeight="1" x14ac:dyDescent="0.25">
      <c r="A80" s="44"/>
      <c r="B80" s="46"/>
    </row>
    <row r="81" spans="1:3" ht="15.75" customHeight="1" x14ac:dyDescent="0.25">
      <c r="A81" s="105" t="s">
        <v>53</v>
      </c>
      <c r="B81" s="105"/>
      <c r="C81" s="42"/>
    </row>
    <row r="82" spans="1:3" ht="15.75" customHeight="1" x14ac:dyDescent="0.25">
      <c r="A82" s="105" t="s">
        <v>79</v>
      </c>
      <c r="B82" s="105"/>
      <c r="C82" s="42"/>
    </row>
    <row r="83" spans="1:3" ht="8.25" customHeight="1" x14ac:dyDescent="0.25">
      <c r="A83" s="19"/>
      <c r="B83" s="19"/>
      <c r="C83" s="19"/>
    </row>
    <row r="84" spans="1:3" x14ac:dyDescent="0.25">
      <c r="A84" s="19" t="s">
        <v>54</v>
      </c>
      <c r="B84" s="19"/>
      <c r="C84" s="55"/>
    </row>
    <row r="85" spans="1:3" x14ac:dyDescent="0.25">
      <c r="A85" s="19"/>
      <c r="B85" s="19"/>
      <c r="C85" s="55"/>
    </row>
    <row r="86" spans="1:3" x14ac:dyDescent="0.25">
      <c r="A86" s="19" t="s">
        <v>73</v>
      </c>
      <c r="B86" s="20"/>
      <c r="C86" s="19"/>
    </row>
    <row r="87" spans="1:3" x14ac:dyDescent="0.25">
      <c r="B87" s="71"/>
      <c r="C87" s="72"/>
    </row>
    <row r="89" spans="1:3" x14ac:dyDescent="0.25">
      <c r="C89" s="60"/>
    </row>
  </sheetData>
  <mergeCells count="8">
    <mergeCell ref="A82:B82"/>
    <mergeCell ref="B2:C2"/>
    <mergeCell ref="A8:C8"/>
    <mergeCell ref="A10:B10"/>
    <mergeCell ref="A11:B11"/>
    <mergeCell ref="A78:B78"/>
    <mergeCell ref="A79:B79"/>
    <mergeCell ref="A81:B81"/>
  </mergeCells>
  <pageMargins left="0.9055118110236221" right="0.62992125984251968" top="0.35" bottom="0.49" header="0.31496062992125984" footer="0.16"/>
  <pageSetup paperSize="9" scale="62" firstPageNumber="2" orientation="portrait" useFirstPageNumber="1" r:id="rId1"/>
  <headerFooter>
    <oddFooter>&amp;C&amp;"Times New Roman,Regular"&amp;8&amp;F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view="pageLayout" zoomScale="90" zoomScaleNormal="90" zoomScalePageLayoutView="90" workbookViewId="0">
      <selection activeCell="B14" sqref="B14:D14"/>
    </sheetView>
  </sheetViews>
  <sheetFormatPr defaultRowHeight="14.25" x14ac:dyDescent="0.2"/>
  <cols>
    <col min="1" max="1" width="12.140625" style="2" customWidth="1"/>
    <col min="2" max="2" width="97.28515625" style="2" customWidth="1"/>
    <col min="3" max="3" width="11.28515625" style="2" hidden="1" customWidth="1"/>
    <col min="4" max="4" width="28.28515625" style="2" customWidth="1"/>
  </cols>
  <sheetData>
    <row r="1" spans="1:4" ht="15.75" customHeight="1" x14ac:dyDescent="0.25">
      <c r="A1" s="5"/>
      <c r="B1" s="39"/>
      <c r="C1" s="39"/>
      <c r="D1" s="57" t="s">
        <v>51</v>
      </c>
    </row>
    <row r="2" spans="1:4" ht="15.75" x14ac:dyDescent="0.25">
      <c r="A2" s="5"/>
      <c r="B2" s="116" t="s">
        <v>55</v>
      </c>
      <c r="C2" s="116"/>
      <c r="D2" s="116"/>
    </row>
    <row r="3" spans="1:4" ht="15.75" x14ac:dyDescent="0.25">
      <c r="A3" s="5"/>
      <c r="B3" s="117" t="s">
        <v>81</v>
      </c>
      <c r="C3" s="117"/>
      <c r="D3" s="117"/>
    </row>
    <row r="4" spans="1:4" ht="15.75" x14ac:dyDescent="0.25">
      <c r="A4" s="5"/>
      <c r="B4" s="39"/>
      <c r="C4" s="39"/>
      <c r="D4" s="12"/>
    </row>
    <row r="5" spans="1:4" ht="15.75" x14ac:dyDescent="0.25">
      <c r="A5" s="5"/>
      <c r="B5" s="39"/>
      <c r="C5" s="39"/>
      <c r="D5" s="12"/>
    </row>
    <row r="6" spans="1:4" ht="15.75" x14ac:dyDescent="0.25">
      <c r="A6" s="5"/>
      <c r="B6" s="118" t="s">
        <v>233</v>
      </c>
      <c r="C6" s="118"/>
      <c r="D6" s="118"/>
    </row>
    <row r="7" spans="1:4" ht="15" x14ac:dyDescent="0.25">
      <c r="A7" s="5"/>
      <c r="B7" s="1"/>
      <c r="C7" s="1"/>
      <c r="D7" s="1"/>
    </row>
    <row r="8" spans="1:4" ht="17.25" customHeight="1" x14ac:dyDescent="0.3">
      <c r="A8" s="115" t="s">
        <v>10</v>
      </c>
      <c r="B8" s="115"/>
      <c r="C8" s="115"/>
      <c r="D8" s="115"/>
    </row>
    <row r="9" spans="1:4" x14ac:dyDescent="0.2">
      <c r="A9" s="9"/>
      <c r="B9" s="10"/>
      <c r="C9" s="10"/>
    </row>
    <row r="10" spans="1:4" ht="15" customHeight="1" x14ac:dyDescent="0.2">
      <c r="A10" s="109" t="s">
        <v>1</v>
      </c>
      <c r="B10" s="113"/>
      <c r="C10" s="56"/>
      <c r="D10" s="8"/>
    </row>
    <row r="11" spans="1:4" ht="15" customHeight="1" x14ac:dyDescent="0.2">
      <c r="A11" s="109" t="s">
        <v>0</v>
      </c>
      <c r="B11" s="113"/>
      <c r="C11" s="56"/>
      <c r="D11" s="8"/>
    </row>
    <row r="12" spans="1:4" ht="15" customHeight="1" x14ac:dyDescent="0.2">
      <c r="A12" s="11"/>
      <c r="B12" s="11" t="s">
        <v>47</v>
      </c>
      <c r="C12" s="11"/>
      <c r="D12" s="8"/>
    </row>
    <row r="13" spans="1:4" ht="15" customHeight="1" x14ac:dyDescent="0.2">
      <c r="A13" s="11"/>
      <c r="B13" s="109" t="s">
        <v>70</v>
      </c>
      <c r="C13" s="109"/>
      <c r="D13" s="16"/>
    </row>
    <row r="14" spans="1:4" ht="15.75" customHeight="1" x14ac:dyDescent="0.2">
      <c r="A14" s="11"/>
      <c r="B14" s="109" t="s">
        <v>71</v>
      </c>
      <c r="C14" s="109"/>
      <c r="D14" s="114"/>
    </row>
    <row r="15" spans="1:4" ht="15.75" customHeight="1" x14ac:dyDescent="0.2">
      <c r="A15" s="11"/>
      <c r="B15" s="109" t="s">
        <v>146</v>
      </c>
      <c r="C15" s="109"/>
      <c r="D15" s="113"/>
    </row>
    <row r="16" spans="1:4" ht="15" customHeight="1" x14ac:dyDescent="0.2">
      <c r="A16" s="11"/>
      <c r="B16" s="109" t="s">
        <v>147</v>
      </c>
      <c r="C16" s="109"/>
      <c r="D16" s="113"/>
    </row>
    <row r="17" spans="1:6" ht="15.75" customHeight="1" x14ac:dyDescent="0.2">
      <c r="A17" s="11" t="s">
        <v>2</v>
      </c>
      <c r="B17" s="11" t="s">
        <v>232</v>
      </c>
      <c r="C17" s="11"/>
      <c r="D17" s="8"/>
    </row>
    <row r="18" spans="1:6" ht="63" customHeight="1" x14ac:dyDescent="0.2">
      <c r="A18" s="47" t="s">
        <v>3</v>
      </c>
      <c r="B18" s="47" t="s">
        <v>4</v>
      </c>
      <c r="C18" s="47"/>
      <c r="D18" s="47" t="s">
        <v>77</v>
      </c>
    </row>
    <row r="19" spans="1:6" ht="15.75" x14ac:dyDescent="0.2">
      <c r="A19" s="24">
        <v>1</v>
      </c>
      <c r="B19" s="25">
        <v>2</v>
      </c>
      <c r="C19" s="25"/>
      <c r="D19" s="25">
        <v>3</v>
      </c>
    </row>
    <row r="20" spans="1:6" ht="15.75" x14ac:dyDescent="0.2">
      <c r="A20" s="26"/>
      <c r="B20" s="27" t="s">
        <v>6</v>
      </c>
      <c r="C20" s="27"/>
      <c r="D20" s="28"/>
    </row>
    <row r="21" spans="1:6" ht="15" customHeight="1" x14ac:dyDescent="0.2">
      <c r="A21" s="29">
        <v>1100</v>
      </c>
      <c r="B21" s="29" t="s">
        <v>159</v>
      </c>
      <c r="C21" s="29"/>
      <c r="D21" s="30">
        <f>23.91*290</f>
        <v>6933.9</v>
      </c>
      <c r="E21" s="49"/>
      <c r="F21" s="49"/>
    </row>
    <row r="22" spans="1:6" ht="15.75" x14ac:dyDescent="0.25">
      <c r="A22" s="29">
        <v>1200</v>
      </c>
      <c r="B22" s="63" t="s">
        <v>160</v>
      </c>
      <c r="C22" s="63"/>
      <c r="D22" s="30">
        <v>1635.71</v>
      </c>
    </row>
    <row r="23" spans="1:6" ht="15.75" x14ac:dyDescent="0.25">
      <c r="A23" s="29">
        <v>2222</v>
      </c>
      <c r="B23" s="64" t="s">
        <v>164</v>
      </c>
      <c r="C23" s="64"/>
      <c r="D23" s="30">
        <v>339.1</v>
      </c>
    </row>
    <row r="24" spans="1:6" ht="15.75" x14ac:dyDescent="0.25">
      <c r="A24" s="29">
        <v>2223</v>
      </c>
      <c r="B24" s="64" t="s">
        <v>165</v>
      </c>
      <c r="C24" s="64"/>
      <c r="D24" s="30">
        <v>368.16</v>
      </c>
    </row>
    <row r="25" spans="1:6" ht="15.75" hidden="1" x14ac:dyDescent="0.25">
      <c r="A25" s="29">
        <v>2243</v>
      </c>
      <c r="B25" s="62" t="s">
        <v>172</v>
      </c>
      <c r="C25" s="62"/>
      <c r="D25" s="30">
        <v>0</v>
      </c>
    </row>
    <row r="26" spans="1:6" ht="15.75" x14ac:dyDescent="0.25">
      <c r="A26" s="29">
        <v>2244</v>
      </c>
      <c r="B26" s="62" t="s">
        <v>173</v>
      </c>
      <c r="C26" s="62"/>
      <c r="D26" s="30">
        <f>106/50*290</f>
        <v>614.80000000000007</v>
      </c>
    </row>
    <row r="27" spans="1:6" ht="15.75" x14ac:dyDescent="0.25">
      <c r="A27" s="29">
        <v>2312</v>
      </c>
      <c r="B27" s="64" t="s">
        <v>181</v>
      </c>
      <c r="C27" s="62"/>
      <c r="D27" s="30">
        <v>88.27</v>
      </c>
    </row>
    <row r="28" spans="1:6" ht="15.75" x14ac:dyDescent="0.25">
      <c r="A28" s="29">
        <v>2321</v>
      </c>
      <c r="B28" s="64" t="s">
        <v>183</v>
      </c>
      <c r="C28" s="64"/>
      <c r="D28" s="30">
        <v>440.8</v>
      </c>
    </row>
    <row r="29" spans="1:6" ht="15.75" x14ac:dyDescent="0.25">
      <c r="A29" s="29">
        <v>2341</v>
      </c>
      <c r="B29" s="64" t="s">
        <v>161</v>
      </c>
      <c r="C29" s="64"/>
      <c r="D29" s="30">
        <v>655.84</v>
      </c>
    </row>
    <row r="30" spans="1:6" ht="15.75" x14ac:dyDescent="0.25">
      <c r="A30" s="29">
        <v>2361</v>
      </c>
      <c r="B30" s="64" t="s">
        <v>197</v>
      </c>
      <c r="C30" s="64"/>
      <c r="D30" s="30">
        <f>112.5/50*290</f>
        <v>652.5</v>
      </c>
    </row>
    <row r="31" spans="1:6" ht="15.75" x14ac:dyDescent="0.25">
      <c r="A31" s="29">
        <v>2363</v>
      </c>
      <c r="B31" s="64" t="s">
        <v>199</v>
      </c>
      <c r="C31" s="64"/>
      <c r="D31" s="30">
        <v>2354.8000000000002</v>
      </c>
    </row>
    <row r="32" spans="1:6" ht="15" customHeight="1" x14ac:dyDescent="0.25">
      <c r="A32" s="29">
        <v>5239</v>
      </c>
      <c r="B32" s="63" t="s">
        <v>190</v>
      </c>
      <c r="C32" s="63"/>
      <c r="D32" s="30">
        <v>378.57</v>
      </c>
    </row>
    <row r="33" spans="1:4" ht="15" customHeight="1" x14ac:dyDescent="0.2">
      <c r="A33" s="29"/>
      <c r="B33" s="32" t="s">
        <v>7</v>
      </c>
      <c r="C33" s="32"/>
      <c r="D33" s="33">
        <f>SUM(D21:D32)</f>
        <v>14462.45</v>
      </c>
    </row>
    <row r="34" spans="1:4" ht="15" customHeight="1" x14ac:dyDescent="0.2">
      <c r="A34" s="34"/>
      <c r="B34" s="29" t="s">
        <v>8</v>
      </c>
      <c r="C34" s="29"/>
      <c r="D34" s="30"/>
    </row>
    <row r="35" spans="1:4" ht="15" customHeight="1" x14ac:dyDescent="0.25">
      <c r="A35" s="29">
        <v>1100</v>
      </c>
      <c r="B35" s="62" t="s">
        <v>159</v>
      </c>
      <c r="C35" s="63">
        <f>0.388+0.024</f>
        <v>0.41200000000000003</v>
      </c>
      <c r="D35" s="30">
        <v>4917.74</v>
      </c>
    </row>
    <row r="36" spans="1:4" ht="15.75" x14ac:dyDescent="0.25">
      <c r="A36" s="29">
        <v>1200</v>
      </c>
      <c r="B36" s="62" t="s">
        <v>160</v>
      </c>
      <c r="C36" s="63">
        <f>C35*0.2359</f>
        <v>9.7190800000000008E-2</v>
      </c>
      <c r="D36" s="30">
        <v>1160.0899999999999</v>
      </c>
    </row>
    <row r="37" spans="1:4" ht="15.75" x14ac:dyDescent="0.25">
      <c r="A37" s="29">
        <v>2100</v>
      </c>
      <c r="B37" s="35" t="s">
        <v>44</v>
      </c>
      <c r="C37" s="63">
        <v>1.1659999999999999E-3</v>
      </c>
      <c r="D37" s="30">
        <v>13.92</v>
      </c>
    </row>
    <row r="38" spans="1:4" ht="15.75" x14ac:dyDescent="0.25">
      <c r="A38" s="36">
        <v>2210</v>
      </c>
      <c r="B38" s="64" t="s">
        <v>163</v>
      </c>
      <c r="C38" s="63">
        <v>7.6E-3</v>
      </c>
      <c r="D38" s="30">
        <v>90.72</v>
      </c>
    </row>
    <row r="39" spans="1:4" ht="15" customHeight="1" x14ac:dyDescent="0.25">
      <c r="A39" s="29">
        <v>2222</v>
      </c>
      <c r="B39" s="64" t="s">
        <v>164</v>
      </c>
      <c r="C39" s="63">
        <v>9.4999999999999998E-3</v>
      </c>
      <c r="D39" s="30">
        <v>113.39</v>
      </c>
    </row>
    <row r="40" spans="1:4" ht="15" customHeight="1" x14ac:dyDescent="0.25">
      <c r="A40" s="29">
        <v>2223</v>
      </c>
      <c r="B40" s="64" t="s">
        <v>165</v>
      </c>
      <c r="C40" s="63">
        <v>1.9019999999999999E-2</v>
      </c>
      <c r="D40" s="30">
        <v>227.03</v>
      </c>
    </row>
    <row r="41" spans="1:4" ht="31.5" x14ac:dyDescent="0.25">
      <c r="A41" s="29">
        <v>2224</v>
      </c>
      <c r="B41" s="64" t="s">
        <v>166</v>
      </c>
      <c r="C41" s="63">
        <v>4.9500000000000004E-3</v>
      </c>
      <c r="D41" s="30">
        <v>59.08</v>
      </c>
    </row>
    <row r="42" spans="1:4" ht="15.75" x14ac:dyDescent="0.25">
      <c r="A42" s="29">
        <v>2231</v>
      </c>
      <c r="B42" s="62" t="s">
        <v>167</v>
      </c>
      <c r="C42" s="63">
        <v>1.5499999999999999E-3</v>
      </c>
      <c r="D42" s="30">
        <v>18.5</v>
      </c>
    </row>
    <row r="43" spans="1:4" ht="15.75" x14ac:dyDescent="0.25">
      <c r="A43" s="29">
        <v>2235</v>
      </c>
      <c r="B43" s="66" t="s">
        <v>168</v>
      </c>
      <c r="C43" s="63">
        <v>1.65E-3</v>
      </c>
      <c r="D43" s="30">
        <v>19.690000000000001</v>
      </c>
    </row>
    <row r="44" spans="1:4" ht="15" customHeight="1" x14ac:dyDescent="0.25">
      <c r="A44" s="29">
        <v>2239</v>
      </c>
      <c r="B44" s="62" t="s">
        <v>169</v>
      </c>
      <c r="C44" s="63">
        <v>4.4099999999999999E-3</v>
      </c>
      <c r="D44" s="30">
        <v>52.64</v>
      </c>
    </row>
    <row r="45" spans="1:4" ht="15.75" x14ac:dyDescent="0.25">
      <c r="A45" s="29">
        <v>2241</v>
      </c>
      <c r="B45" s="62" t="s">
        <v>170</v>
      </c>
      <c r="C45" s="63">
        <v>1.6500000000000001E-2</v>
      </c>
      <c r="D45" s="30">
        <v>196.95</v>
      </c>
    </row>
    <row r="46" spans="1:4" ht="15.75" x14ac:dyDescent="0.25">
      <c r="A46" s="29">
        <v>2242</v>
      </c>
      <c r="B46" s="64" t="s">
        <v>171</v>
      </c>
      <c r="C46" s="63">
        <v>2.2599999999999999E-3</v>
      </c>
      <c r="D46" s="30">
        <v>26.98</v>
      </c>
    </row>
    <row r="47" spans="1:4" ht="14.25" customHeight="1" x14ac:dyDescent="0.25">
      <c r="A47" s="29">
        <v>2243</v>
      </c>
      <c r="B47" s="62" t="s">
        <v>172</v>
      </c>
      <c r="C47" s="63">
        <v>3.2599999999999997E-2</v>
      </c>
      <c r="D47" s="30">
        <v>389.12</v>
      </c>
    </row>
    <row r="48" spans="1:4" ht="15" customHeight="1" x14ac:dyDescent="0.25">
      <c r="A48" s="29">
        <v>2244</v>
      </c>
      <c r="B48" s="62" t="s">
        <v>173</v>
      </c>
      <c r="C48" s="63">
        <v>0.20397000000000001</v>
      </c>
      <c r="D48" s="30">
        <v>2434.64</v>
      </c>
    </row>
    <row r="49" spans="1:4" ht="15" customHeight="1" x14ac:dyDescent="0.25">
      <c r="A49" s="29">
        <v>2247</v>
      </c>
      <c r="B49" s="62" t="s">
        <v>174</v>
      </c>
      <c r="C49" s="63">
        <v>7.1900000000000002E-4</v>
      </c>
      <c r="D49" s="30">
        <v>8.58</v>
      </c>
    </row>
    <row r="50" spans="1:4" ht="15.75" x14ac:dyDescent="0.25">
      <c r="A50" s="29">
        <v>2249</v>
      </c>
      <c r="B50" s="62" t="s">
        <v>175</v>
      </c>
      <c r="C50" s="63">
        <v>2.32E-4</v>
      </c>
      <c r="D50" s="30">
        <v>2.77</v>
      </c>
    </row>
    <row r="51" spans="1:4" ht="15.75" x14ac:dyDescent="0.25">
      <c r="A51" s="29">
        <v>2250</v>
      </c>
      <c r="B51" s="62" t="s">
        <v>176</v>
      </c>
      <c r="C51" s="63">
        <v>2.4025999999999999E-2</v>
      </c>
      <c r="D51" s="30">
        <v>286.77999999999997</v>
      </c>
    </row>
    <row r="52" spans="1:4" ht="15.75" hidden="1" x14ac:dyDescent="0.25">
      <c r="A52" s="29">
        <v>2261</v>
      </c>
      <c r="B52" s="64" t="s">
        <v>196</v>
      </c>
      <c r="C52" s="63">
        <v>0</v>
      </c>
      <c r="D52" s="30">
        <f>C52*11936.25</f>
        <v>0</v>
      </c>
    </row>
    <row r="53" spans="1:4" ht="15.75" x14ac:dyDescent="0.25">
      <c r="A53" s="29">
        <v>2262</v>
      </c>
      <c r="B53" s="64" t="s">
        <v>177</v>
      </c>
      <c r="C53" s="63">
        <v>6.2599999999999999E-3</v>
      </c>
      <c r="D53" s="30">
        <v>74.72</v>
      </c>
    </row>
    <row r="54" spans="1:4" ht="15.75" x14ac:dyDescent="0.25">
      <c r="A54" s="29">
        <v>2263</v>
      </c>
      <c r="B54" s="64" t="s">
        <v>178</v>
      </c>
      <c r="C54" s="63">
        <v>4.58E-2</v>
      </c>
      <c r="D54" s="30">
        <v>546.67999999999995</v>
      </c>
    </row>
    <row r="55" spans="1:4" ht="15.75" x14ac:dyDescent="0.25">
      <c r="A55" s="29">
        <v>2264</v>
      </c>
      <c r="B55" s="62" t="s">
        <v>179</v>
      </c>
      <c r="C55" s="63">
        <v>1.49E-3</v>
      </c>
      <c r="D55" s="30">
        <v>17.79</v>
      </c>
    </row>
    <row r="56" spans="1:4" ht="15" customHeight="1" x14ac:dyDescent="0.25">
      <c r="A56" s="29">
        <v>2311</v>
      </c>
      <c r="B56" s="64" t="s">
        <v>180</v>
      </c>
      <c r="C56" s="63">
        <v>4.7699999999999999E-3</v>
      </c>
      <c r="D56" s="30">
        <v>56.94</v>
      </c>
    </row>
    <row r="57" spans="1:4" ht="15" customHeight="1" x14ac:dyDescent="0.25">
      <c r="A57" s="29">
        <v>2312</v>
      </c>
      <c r="B57" s="64" t="s">
        <v>181</v>
      </c>
      <c r="C57" s="63">
        <v>5.79E-3</v>
      </c>
      <c r="D57" s="30">
        <v>69.11</v>
      </c>
    </row>
    <row r="58" spans="1:4" ht="15" customHeight="1" x14ac:dyDescent="0.25">
      <c r="A58" s="29">
        <v>2314</v>
      </c>
      <c r="B58" s="66" t="s">
        <v>182</v>
      </c>
      <c r="C58" s="63">
        <v>2.2200000000000002E-3</v>
      </c>
      <c r="D58" s="30">
        <v>26.5</v>
      </c>
    </row>
    <row r="59" spans="1:4" ht="15" customHeight="1" x14ac:dyDescent="0.25">
      <c r="A59" s="29">
        <v>2321</v>
      </c>
      <c r="B59" s="64" t="s">
        <v>183</v>
      </c>
      <c r="C59" s="63">
        <v>1.9800000000000002E-2</v>
      </c>
      <c r="D59" s="30">
        <f>236.34+1.37</f>
        <v>237.71</v>
      </c>
    </row>
    <row r="60" spans="1:4" ht="15" customHeight="1" x14ac:dyDescent="0.25">
      <c r="A60" s="29">
        <v>2322</v>
      </c>
      <c r="B60" s="64" t="s">
        <v>184</v>
      </c>
      <c r="C60" s="63">
        <v>3.5000000000000001E-3</v>
      </c>
      <c r="D60" s="30">
        <v>41.78</v>
      </c>
    </row>
    <row r="61" spans="1:4" ht="15" hidden="1" customHeight="1" x14ac:dyDescent="0.25">
      <c r="A61" s="29">
        <v>2341</v>
      </c>
      <c r="B61" s="64" t="s">
        <v>161</v>
      </c>
      <c r="C61" s="63"/>
      <c r="D61" s="30">
        <f>C61*11936.25</f>
        <v>0</v>
      </c>
    </row>
    <row r="62" spans="1:4" ht="15.75" customHeight="1" x14ac:dyDescent="0.25">
      <c r="A62" s="29">
        <v>2350</v>
      </c>
      <c r="B62" s="63" t="s">
        <v>162</v>
      </c>
      <c r="C62" s="63">
        <v>8.5000000000000006E-3</v>
      </c>
      <c r="D62" s="30">
        <v>101.46</v>
      </c>
    </row>
    <row r="63" spans="1:4" ht="15.75" hidden="1" x14ac:dyDescent="0.25">
      <c r="A63" s="29">
        <v>2361</v>
      </c>
      <c r="B63" s="64" t="s">
        <v>197</v>
      </c>
      <c r="C63" s="63">
        <v>0</v>
      </c>
      <c r="D63" s="30">
        <f t="shared" ref="D63:D68" si="0">C63*11936.25</f>
        <v>0</v>
      </c>
    </row>
    <row r="64" spans="1:4" ht="15.75" hidden="1" x14ac:dyDescent="0.25">
      <c r="A64" s="29">
        <v>2362</v>
      </c>
      <c r="B64" s="64" t="s">
        <v>198</v>
      </c>
      <c r="C64" s="63">
        <v>0</v>
      </c>
      <c r="D64" s="30">
        <f t="shared" si="0"/>
        <v>0</v>
      </c>
    </row>
    <row r="65" spans="1:5" ht="15.75" hidden="1" x14ac:dyDescent="0.25">
      <c r="A65" s="29">
        <v>2363</v>
      </c>
      <c r="B65" s="64" t="s">
        <v>199</v>
      </c>
      <c r="C65" s="63">
        <v>0</v>
      </c>
      <c r="D65" s="30">
        <f t="shared" si="0"/>
        <v>0</v>
      </c>
    </row>
    <row r="66" spans="1:5" ht="15.75" hidden="1" x14ac:dyDescent="0.25">
      <c r="A66" s="29">
        <v>2370</v>
      </c>
      <c r="B66" s="64" t="s">
        <v>200</v>
      </c>
      <c r="C66" s="63">
        <v>0</v>
      </c>
      <c r="D66" s="30">
        <f t="shared" si="0"/>
        <v>0</v>
      </c>
    </row>
    <row r="67" spans="1:5" ht="15.75" hidden="1" x14ac:dyDescent="0.25">
      <c r="A67" s="29">
        <v>2400</v>
      </c>
      <c r="B67" s="64" t="s">
        <v>201</v>
      </c>
      <c r="C67" s="63">
        <v>0</v>
      </c>
      <c r="D67" s="30">
        <f t="shared" si="0"/>
        <v>0</v>
      </c>
    </row>
    <row r="68" spans="1:5" ht="15" hidden="1" customHeight="1" x14ac:dyDescent="0.25">
      <c r="A68" s="29">
        <v>2512</v>
      </c>
      <c r="B68" s="64" t="s">
        <v>202</v>
      </c>
      <c r="C68" s="63">
        <v>0</v>
      </c>
      <c r="D68" s="30">
        <f t="shared" si="0"/>
        <v>0</v>
      </c>
    </row>
    <row r="69" spans="1:5" ht="15.75" x14ac:dyDescent="0.25">
      <c r="A69" s="29">
        <v>2513</v>
      </c>
      <c r="B69" s="63" t="s">
        <v>185</v>
      </c>
      <c r="C69" s="63">
        <v>1.4599999999999999E-3</v>
      </c>
      <c r="D69" s="30">
        <v>17.43</v>
      </c>
    </row>
    <row r="70" spans="1:5" ht="15.75" x14ac:dyDescent="0.25">
      <c r="A70" s="29">
        <v>2515</v>
      </c>
      <c r="B70" s="64" t="s">
        <v>186</v>
      </c>
      <c r="C70" s="63">
        <v>1.9E-3</v>
      </c>
      <c r="D70" s="30">
        <v>22.68</v>
      </c>
    </row>
    <row r="71" spans="1:5" ht="15.75" x14ac:dyDescent="0.25">
      <c r="A71" s="29">
        <v>2519</v>
      </c>
      <c r="B71" s="64" t="s">
        <v>187</v>
      </c>
      <c r="C71" s="63">
        <v>2E-3</v>
      </c>
      <c r="D71" s="30">
        <v>23.87</v>
      </c>
    </row>
    <row r="72" spans="1:5" ht="15.75" x14ac:dyDescent="0.25">
      <c r="A72" s="29">
        <v>5220</v>
      </c>
      <c r="B72" s="64" t="s">
        <v>188</v>
      </c>
      <c r="C72" s="63">
        <v>1.06E-2</v>
      </c>
      <c r="D72" s="30">
        <v>126.52</v>
      </c>
    </row>
    <row r="73" spans="1:5" ht="15.75" x14ac:dyDescent="0.25">
      <c r="A73" s="29">
        <v>5238</v>
      </c>
      <c r="B73" s="63" t="s">
        <v>189</v>
      </c>
      <c r="C73" s="63">
        <v>1.65E-3</v>
      </c>
      <c r="D73" s="30">
        <v>19.690000000000001</v>
      </c>
    </row>
    <row r="74" spans="1:5" ht="15.75" x14ac:dyDescent="0.25">
      <c r="A74" s="29">
        <v>5239</v>
      </c>
      <c r="B74" s="63" t="s">
        <v>190</v>
      </c>
      <c r="C74" s="63">
        <v>1.9800000000000002E-2</v>
      </c>
      <c r="D74" s="30">
        <v>236.34</v>
      </c>
    </row>
    <row r="75" spans="1:5" ht="15.75" x14ac:dyDescent="0.25">
      <c r="A75" s="29">
        <v>5250</v>
      </c>
      <c r="B75" s="64" t="s">
        <v>191</v>
      </c>
      <c r="C75" s="63">
        <v>2.5000000000000001E-2</v>
      </c>
      <c r="D75" s="30">
        <v>298.41000000000003</v>
      </c>
    </row>
    <row r="76" spans="1:5" ht="15.75" x14ac:dyDescent="0.2">
      <c r="A76" s="34"/>
      <c r="B76" s="38" t="s">
        <v>9</v>
      </c>
      <c r="C76" s="38"/>
      <c r="D76" s="33">
        <f>SUM(D35:D75)</f>
        <v>11936.250000000004</v>
      </c>
    </row>
    <row r="77" spans="1:5" ht="15.75" x14ac:dyDescent="0.2">
      <c r="A77" s="34"/>
      <c r="B77" s="38" t="s">
        <v>46</v>
      </c>
      <c r="C77" s="38"/>
      <c r="D77" s="33">
        <f>D76+D33</f>
        <v>26398.700000000004</v>
      </c>
    </row>
    <row r="78" spans="1:5" ht="15.75" x14ac:dyDescent="0.2">
      <c r="A78" s="43"/>
      <c r="B78" s="44"/>
      <c r="C78" s="44"/>
      <c r="D78" s="46"/>
    </row>
    <row r="79" spans="1:5" ht="15" customHeight="1" x14ac:dyDescent="0.25">
      <c r="A79" s="111" t="s">
        <v>52</v>
      </c>
      <c r="B79" s="112"/>
      <c r="C79" s="69"/>
      <c r="D79" s="37">
        <v>290</v>
      </c>
    </row>
    <row r="80" spans="1:5" ht="15.75" customHeight="1" x14ac:dyDescent="0.25">
      <c r="A80" s="111" t="s">
        <v>78</v>
      </c>
      <c r="B80" s="112"/>
      <c r="C80" s="69"/>
      <c r="D80" s="50">
        <f>D77/D79</f>
        <v>91.030000000000015</v>
      </c>
      <c r="E80" s="49"/>
    </row>
    <row r="81" spans="1:4" ht="15.75" customHeight="1" x14ac:dyDescent="0.25">
      <c r="A81" s="22"/>
      <c r="B81" s="15"/>
      <c r="C81" s="15"/>
      <c r="D81" s="45"/>
    </row>
    <row r="82" spans="1:4" s="3" customFormat="1" ht="15.75" customHeight="1" x14ac:dyDescent="0.25">
      <c r="A82" s="111" t="s">
        <v>53</v>
      </c>
      <c r="B82" s="112"/>
      <c r="C82" s="18"/>
      <c r="D82" s="42"/>
    </row>
    <row r="83" spans="1:4" s="3" customFormat="1" ht="15.75" customHeight="1" x14ac:dyDescent="0.25">
      <c r="A83" s="111" t="s">
        <v>80</v>
      </c>
      <c r="B83" s="112"/>
      <c r="C83" s="18"/>
      <c r="D83" s="83"/>
    </row>
    <row r="84" spans="1:4" s="3" customFormat="1" ht="15.75" x14ac:dyDescent="0.25">
      <c r="A84" s="48"/>
      <c r="B84" s="15"/>
      <c r="C84" s="15"/>
      <c r="D84" s="19"/>
    </row>
    <row r="85" spans="1:4" s="3" customFormat="1" ht="15.75" x14ac:dyDescent="0.25">
      <c r="A85" s="19" t="s">
        <v>54</v>
      </c>
      <c r="B85" s="19"/>
      <c r="C85" s="19"/>
      <c r="D85" s="55"/>
    </row>
    <row r="86" spans="1:4" s="3" customFormat="1" ht="15.75" x14ac:dyDescent="0.25">
      <c r="A86" s="19"/>
      <c r="B86" s="19"/>
      <c r="C86" s="19"/>
      <c r="D86" s="19"/>
    </row>
    <row r="87" spans="1:4" s="3" customFormat="1" ht="15.75" x14ac:dyDescent="0.25">
      <c r="A87" s="19" t="s">
        <v>73</v>
      </c>
      <c r="B87" s="20"/>
      <c r="C87" s="20"/>
      <c r="D87" s="20"/>
    </row>
    <row r="88" spans="1:4" s="3" customFormat="1" ht="13.9" customHeight="1" x14ac:dyDescent="0.25">
      <c r="A88" s="19"/>
      <c r="B88" s="21"/>
      <c r="C88" s="21"/>
      <c r="D88" s="19"/>
    </row>
    <row r="89" spans="1:4" s="3" customFormat="1" ht="13.9" customHeight="1" x14ac:dyDescent="0.25">
      <c r="B89" s="4"/>
      <c r="C89" s="4"/>
    </row>
    <row r="90" spans="1:4" s="2" customFormat="1" x14ac:dyDescent="0.2"/>
  </sheetData>
  <mergeCells count="14">
    <mergeCell ref="A8:D8"/>
    <mergeCell ref="B15:D15"/>
    <mergeCell ref="A82:B82"/>
    <mergeCell ref="B2:D2"/>
    <mergeCell ref="B3:D3"/>
    <mergeCell ref="B6:D6"/>
    <mergeCell ref="A83:B83"/>
    <mergeCell ref="A79:B79"/>
    <mergeCell ref="A80:B80"/>
    <mergeCell ref="A10:B10"/>
    <mergeCell ref="A11:B11"/>
    <mergeCell ref="B16:D16"/>
    <mergeCell ref="B13:C13"/>
    <mergeCell ref="B14:D14"/>
  </mergeCells>
  <pageMargins left="0.94488188976377963" right="0.55118110236220474" top="0.62992125984251968" bottom="0.62992125984251968" header="0.31496062992125984" footer="0.31496062992125984"/>
  <pageSetup paperSize="9" scale="61" firstPageNumber="3" orientation="portrait" useFirstPageNumber="1" r:id="rId1"/>
  <headerFoot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0"/>
  <sheetViews>
    <sheetView view="pageLayout" topLeftCell="A9" zoomScale="90" zoomScaleNormal="90" zoomScalePageLayoutView="90" workbookViewId="0">
      <selection activeCell="B9" sqref="B9"/>
    </sheetView>
  </sheetViews>
  <sheetFormatPr defaultRowHeight="14.25" x14ac:dyDescent="0.2"/>
  <cols>
    <col min="1" max="1" width="20" style="2" customWidth="1"/>
    <col min="2" max="2" width="97.28515625" style="2" customWidth="1"/>
    <col min="3" max="3" width="11.28515625" style="2" hidden="1" customWidth="1"/>
    <col min="4" max="4" width="27.7109375" style="2" customWidth="1"/>
  </cols>
  <sheetData>
    <row r="1" spans="1:4" ht="15.75" customHeight="1" x14ac:dyDescent="0.25">
      <c r="A1" s="5"/>
      <c r="B1" s="39"/>
      <c r="C1" s="39"/>
      <c r="D1" s="57" t="s">
        <v>51</v>
      </c>
    </row>
    <row r="2" spans="1:4" ht="15.75" x14ac:dyDescent="0.25">
      <c r="A2" s="5"/>
      <c r="B2" s="106" t="s">
        <v>55</v>
      </c>
      <c r="C2" s="106"/>
      <c r="D2" s="106"/>
    </row>
    <row r="3" spans="1:4" ht="15.75" x14ac:dyDescent="0.25">
      <c r="A3" s="5"/>
      <c r="B3" s="117" t="s">
        <v>81</v>
      </c>
      <c r="C3" s="117"/>
      <c r="D3" s="117"/>
    </row>
    <row r="4" spans="1:4" ht="15.75" x14ac:dyDescent="0.25">
      <c r="A4" s="5"/>
      <c r="B4" s="117"/>
      <c r="C4" s="117"/>
      <c r="D4" s="117"/>
    </row>
    <row r="5" spans="1:4" ht="15.75" x14ac:dyDescent="0.25">
      <c r="A5" s="5"/>
      <c r="B5" s="117"/>
      <c r="C5" s="117"/>
      <c r="D5" s="117"/>
    </row>
    <row r="6" spans="1:4" ht="15.75" x14ac:dyDescent="0.25">
      <c r="A6" s="5"/>
      <c r="B6" s="118" t="s">
        <v>234</v>
      </c>
      <c r="C6" s="118"/>
      <c r="D6" s="118"/>
    </row>
    <row r="7" spans="1:4" ht="15" x14ac:dyDescent="0.25">
      <c r="A7" s="5"/>
      <c r="B7" s="1"/>
      <c r="C7" s="1"/>
      <c r="D7" s="1"/>
    </row>
    <row r="8" spans="1:4" ht="17.25" customHeight="1" x14ac:dyDescent="0.3">
      <c r="A8" s="115" t="s">
        <v>10</v>
      </c>
      <c r="B8" s="115"/>
      <c r="C8" s="115"/>
      <c r="D8" s="115"/>
    </row>
    <row r="9" spans="1:4" x14ac:dyDescent="0.2">
      <c r="A9" s="9"/>
      <c r="B9" s="10"/>
      <c r="C9" s="10"/>
    </row>
    <row r="10" spans="1:4" ht="15" customHeight="1" x14ac:dyDescent="0.2">
      <c r="A10" s="109" t="s">
        <v>1</v>
      </c>
      <c r="B10" s="113"/>
      <c r="C10" s="56"/>
      <c r="D10" s="8"/>
    </row>
    <row r="11" spans="1:4" ht="15" customHeight="1" x14ac:dyDescent="0.2">
      <c r="A11" s="109" t="s">
        <v>0</v>
      </c>
      <c r="B11" s="113"/>
      <c r="C11" s="56"/>
      <c r="D11" s="8"/>
    </row>
    <row r="12" spans="1:4" ht="15" customHeight="1" x14ac:dyDescent="0.2">
      <c r="A12" s="11"/>
      <c r="B12" s="11" t="s">
        <v>47</v>
      </c>
      <c r="C12" s="11"/>
      <c r="D12" s="8"/>
    </row>
    <row r="13" spans="1:4" ht="15" customHeight="1" x14ac:dyDescent="0.2">
      <c r="A13" s="11"/>
      <c r="B13" s="109" t="s">
        <v>70</v>
      </c>
      <c r="C13" s="109"/>
      <c r="D13" s="16"/>
    </row>
    <row r="14" spans="1:4" ht="15.75" customHeight="1" x14ac:dyDescent="0.2">
      <c r="A14" s="11"/>
      <c r="B14" s="109" t="s">
        <v>71</v>
      </c>
      <c r="C14" s="109"/>
      <c r="D14" s="114"/>
    </row>
    <row r="15" spans="1:4" ht="15.75" customHeight="1" x14ac:dyDescent="0.2">
      <c r="A15" s="11"/>
      <c r="B15" s="109" t="s">
        <v>146</v>
      </c>
      <c r="C15" s="109"/>
      <c r="D15" s="113"/>
    </row>
    <row r="16" spans="1:4" ht="15" customHeight="1" x14ac:dyDescent="0.2">
      <c r="A16" s="11"/>
      <c r="B16" s="109" t="s">
        <v>203</v>
      </c>
      <c r="C16" s="109"/>
      <c r="D16" s="113"/>
    </row>
    <row r="17" spans="1:8" ht="15.75" customHeight="1" x14ac:dyDescent="0.2">
      <c r="A17" s="11" t="s">
        <v>2</v>
      </c>
      <c r="B17" s="11" t="s">
        <v>232</v>
      </c>
      <c r="C17" s="11"/>
      <c r="D17" s="8"/>
    </row>
    <row r="18" spans="1:8" ht="63" customHeight="1" x14ac:dyDescent="0.2">
      <c r="A18" s="47" t="s">
        <v>3</v>
      </c>
      <c r="B18" s="47" t="s">
        <v>4</v>
      </c>
      <c r="C18" s="47"/>
      <c r="D18" s="47" t="s">
        <v>77</v>
      </c>
    </row>
    <row r="19" spans="1:8" ht="15.75" x14ac:dyDescent="0.2">
      <c r="A19" s="24">
        <v>1</v>
      </c>
      <c r="B19" s="25">
        <v>2</v>
      </c>
      <c r="C19" s="25"/>
      <c r="D19" s="25">
        <v>3</v>
      </c>
    </row>
    <row r="20" spans="1:8" ht="15.75" x14ac:dyDescent="0.2">
      <c r="A20" s="26"/>
      <c r="B20" s="27" t="s">
        <v>6</v>
      </c>
      <c r="C20" s="27"/>
      <c r="D20" s="28"/>
      <c r="E20" s="49"/>
    </row>
    <row r="21" spans="1:8" ht="15" customHeight="1" x14ac:dyDescent="0.2">
      <c r="A21" s="29">
        <v>1100</v>
      </c>
      <c r="B21" s="29" t="s">
        <v>159</v>
      </c>
      <c r="C21" s="29"/>
      <c r="D21" s="30">
        <f>23.91*20</f>
        <v>478.2</v>
      </c>
      <c r="G21" s="49"/>
      <c r="H21" s="49"/>
    </row>
    <row r="22" spans="1:8" ht="15.75" x14ac:dyDescent="0.25">
      <c r="A22" s="29">
        <v>1200</v>
      </c>
      <c r="B22" s="63" t="s">
        <v>160</v>
      </c>
      <c r="C22" s="63"/>
      <c r="D22" s="30">
        <v>112.81</v>
      </c>
    </row>
    <row r="23" spans="1:8" ht="15.75" x14ac:dyDescent="0.25">
      <c r="A23" s="29">
        <v>2222</v>
      </c>
      <c r="B23" s="64" t="s">
        <v>164</v>
      </c>
      <c r="C23" s="64"/>
      <c r="D23" s="30">
        <v>22.25</v>
      </c>
    </row>
    <row r="24" spans="1:8" ht="15.75" x14ac:dyDescent="0.25">
      <c r="A24" s="29">
        <v>2223</v>
      </c>
      <c r="B24" s="64" t="s">
        <v>165</v>
      </c>
      <c r="C24" s="64"/>
      <c r="D24" s="30">
        <v>26.51</v>
      </c>
    </row>
    <row r="25" spans="1:8" ht="15.75" hidden="1" x14ac:dyDescent="0.25">
      <c r="A25" s="29">
        <v>2243</v>
      </c>
      <c r="B25" s="62" t="s">
        <v>172</v>
      </c>
      <c r="C25" s="62"/>
      <c r="D25" s="30">
        <v>0</v>
      </c>
    </row>
    <row r="26" spans="1:8" ht="15.75" x14ac:dyDescent="0.25">
      <c r="A26" s="29">
        <v>2244</v>
      </c>
      <c r="B26" s="62" t="s">
        <v>173</v>
      </c>
      <c r="C26" s="62"/>
      <c r="D26" s="30">
        <v>21.2</v>
      </c>
    </row>
    <row r="27" spans="1:8" ht="15.75" x14ac:dyDescent="0.25">
      <c r="A27" s="29">
        <v>2312</v>
      </c>
      <c r="B27" s="64" t="s">
        <v>181</v>
      </c>
      <c r="C27" s="62"/>
      <c r="D27" s="30">
        <v>5.68</v>
      </c>
    </row>
    <row r="28" spans="1:8" ht="15.75" x14ac:dyDescent="0.25">
      <c r="A28" s="29">
        <v>2321</v>
      </c>
      <c r="B28" s="64" t="s">
        <v>183</v>
      </c>
      <c r="C28" s="64"/>
      <c r="D28" s="30">
        <v>31.25</v>
      </c>
      <c r="E28" s="49"/>
    </row>
    <row r="29" spans="1:8" ht="15.75" x14ac:dyDescent="0.25">
      <c r="A29" s="29">
        <v>2341</v>
      </c>
      <c r="B29" s="64" t="s">
        <v>161</v>
      </c>
      <c r="C29" s="64"/>
      <c r="D29" s="30">
        <v>45.18</v>
      </c>
    </row>
    <row r="30" spans="1:8" ht="15.75" x14ac:dyDescent="0.25">
      <c r="A30" s="29">
        <v>2361</v>
      </c>
      <c r="B30" s="64" t="s">
        <v>197</v>
      </c>
      <c r="C30" s="64"/>
      <c r="D30" s="30">
        <v>45</v>
      </c>
    </row>
    <row r="31" spans="1:8" ht="15.75" x14ac:dyDescent="0.25">
      <c r="A31" s="29">
        <v>2363</v>
      </c>
      <c r="B31" s="64" t="s">
        <v>199</v>
      </c>
      <c r="C31" s="64"/>
      <c r="D31" s="30">
        <v>162.4</v>
      </c>
    </row>
    <row r="32" spans="1:8" ht="15" customHeight="1" x14ac:dyDescent="0.25">
      <c r="A32" s="29">
        <v>5239</v>
      </c>
      <c r="B32" s="63" t="s">
        <v>190</v>
      </c>
      <c r="C32" s="63"/>
      <c r="D32" s="30">
        <v>13.05</v>
      </c>
      <c r="E32" s="49"/>
    </row>
    <row r="33" spans="1:7" ht="15" customHeight="1" x14ac:dyDescent="0.2">
      <c r="A33" s="29"/>
      <c r="B33" s="32" t="s">
        <v>7</v>
      </c>
      <c r="C33" s="32"/>
      <c r="D33" s="33">
        <f>SUM(D21:D32)</f>
        <v>963.52999999999986</v>
      </c>
      <c r="G33" s="49"/>
    </row>
    <row r="34" spans="1:7" ht="15" customHeight="1" x14ac:dyDescent="0.2">
      <c r="A34" s="34"/>
      <c r="B34" s="29" t="s">
        <v>8</v>
      </c>
      <c r="C34" s="29"/>
      <c r="D34" s="28"/>
    </row>
    <row r="35" spans="1:7" ht="15" customHeight="1" x14ac:dyDescent="0.25">
      <c r="A35" s="29">
        <v>1100</v>
      </c>
      <c r="B35" s="62" t="s">
        <v>159</v>
      </c>
      <c r="C35" s="63">
        <f>0.388+0.024</f>
        <v>0.41200000000000003</v>
      </c>
      <c r="D35" s="30">
        <v>243.08</v>
      </c>
    </row>
    <row r="36" spans="1:7" ht="15.75" x14ac:dyDescent="0.25">
      <c r="A36" s="29">
        <v>1200</v>
      </c>
      <c r="B36" s="62" t="s">
        <v>160</v>
      </c>
      <c r="C36" s="63">
        <f>C35*0.2359</f>
        <v>9.7190800000000008E-2</v>
      </c>
      <c r="D36" s="30">
        <v>57.34</v>
      </c>
    </row>
    <row r="37" spans="1:7" ht="15.75" x14ac:dyDescent="0.25">
      <c r="A37" s="29">
        <v>2100</v>
      </c>
      <c r="B37" s="35" t="s">
        <v>44</v>
      </c>
      <c r="C37" s="63">
        <v>1.1659999999999999E-3</v>
      </c>
      <c r="D37" s="30">
        <v>0.66</v>
      </c>
    </row>
    <row r="38" spans="1:7" ht="15.75" x14ac:dyDescent="0.25">
      <c r="A38" s="36">
        <v>2210</v>
      </c>
      <c r="B38" s="64" t="s">
        <v>163</v>
      </c>
      <c r="C38" s="63">
        <v>7.6E-3</v>
      </c>
      <c r="D38" s="30">
        <v>4.3</v>
      </c>
    </row>
    <row r="39" spans="1:7" ht="15" customHeight="1" x14ac:dyDescent="0.25">
      <c r="A39" s="29">
        <v>2222</v>
      </c>
      <c r="B39" s="64" t="s">
        <v>164</v>
      </c>
      <c r="C39" s="63">
        <v>9.4999999999999998E-3</v>
      </c>
      <c r="D39" s="30">
        <v>5.37</v>
      </c>
    </row>
    <row r="40" spans="1:7" ht="15" customHeight="1" x14ac:dyDescent="0.25">
      <c r="A40" s="29">
        <v>2223</v>
      </c>
      <c r="B40" s="64" t="s">
        <v>165</v>
      </c>
      <c r="C40" s="63">
        <v>1.9019999999999999E-2</v>
      </c>
      <c r="D40" s="30">
        <v>10.76</v>
      </c>
    </row>
    <row r="41" spans="1:7" ht="31.5" x14ac:dyDescent="0.25">
      <c r="A41" s="29">
        <v>2224</v>
      </c>
      <c r="B41" s="64" t="s">
        <v>166</v>
      </c>
      <c r="C41" s="63">
        <v>4.9500000000000004E-3</v>
      </c>
      <c r="D41" s="30">
        <v>2.8</v>
      </c>
    </row>
    <row r="42" spans="1:7" ht="15.75" x14ac:dyDescent="0.25">
      <c r="A42" s="29">
        <v>2231</v>
      </c>
      <c r="B42" s="62" t="s">
        <v>167</v>
      </c>
      <c r="C42" s="63">
        <v>1.5499999999999999E-3</v>
      </c>
      <c r="D42" s="30">
        <v>0.88</v>
      </c>
    </row>
    <row r="43" spans="1:7" ht="15.75" x14ac:dyDescent="0.25">
      <c r="A43" s="29">
        <v>2235</v>
      </c>
      <c r="B43" s="66" t="s">
        <v>168</v>
      </c>
      <c r="C43" s="63">
        <v>1.65E-3</v>
      </c>
      <c r="D43" s="30">
        <v>0.93</v>
      </c>
    </row>
    <row r="44" spans="1:7" ht="15" customHeight="1" x14ac:dyDescent="0.25">
      <c r="A44" s="29">
        <v>2239</v>
      </c>
      <c r="B44" s="62" t="s">
        <v>169</v>
      </c>
      <c r="C44" s="63">
        <v>4.4099999999999999E-3</v>
      </c>
      <c r="D44" s="30">
        <v>2.4900000000000002</v>
      </c>
    </row>
    <row r="45" spans="1:7" ht="15.75" x14ac:dyDescent="0.25">
      <c r="A45" s="29">
        <v>2241</v>
      </c>
      <c r="B45" s="62" t="s">
        <v>170</v>
      </c>
      <c r="C45" s="63">
        <v>1.6500000000000001E-2</v>
      </c>
      <c r="D45" s="30">
        <v>9.33</v>
      </c>
      <c r="E45" s="54"/>
    </row>
    <row r="46" spans="1:7" ht="15.75" x14ac:dyDescent="0.25">
      <c r="A46" s="29">
        <v>2242</v>
      </c>
      <c r="B46" s="64" t="s">
        <v>171</v>
      </c>
      <c r="C46" s="63">
        <v>2.2599999999999999E-3</v>
      </c>
      <c r="D46" s="30">
        <v>1.28</v>
      </c>
    </row>
    <row r="47" spans="1:7" ht="14.25" customHeight="1" x14ac:dyDescent="0.25">
      <c r="A47" s="29">
        <v>2243</v>
      </c>
      <c r="B47" s="62" t="s">
        <v>172</v>
      </c>
      <c r="C47" s="63">
        <v>3.2599999999999997E-2</v>
      </c>
      <c r="D47" s="30">
        <v>18.440000000000001</v>
      </c>
    </row>
    <row r="48" spans="1:7" ht="15" customHeight="1" x14ac:dyDescent="0.25">
      <c r="A48" s="29">
        <v>2244</v>
      </c>
      <c r="B48" s="62" t="s">
        <v>173</v>
      </c>
      <c r="C48" s="63">
        <v>0.20397000000000001</v>
      </c>
      <c r="D48" s="30">
        <f>115.39-29.63</f>
        <v>85.76</v>
      </c>
    </row>
    <row r="49" spans="1:4" ht="15" customHeight="1" x14ac:dyDescent="0.25">
      <c r="A49" s="29">
        <v>2247</v>
      </c>
      <c r="B49" s="62" t="s">
        <v>174</v>
      </c>
      <c r="C49" s="63">
        <v>7.1900000000000002E-4</v>
      </c>
      <c r="D49" s="30">
        <v>0.41</v>
      </c>
    </row>
    <row r="50" spans="1:4" ht="15.75" x14ac:dyDescent="0.25">
      <c r="A50" s="29">
        <v>2249</v>
      </c>
      <c r="B50" s="62" t="s">
        <v>175</v>
      </c>
      <c r="C50" s="63">
        <v>2.32E-4</v>
      </c>
      <c r="D50" s="30">
        <v>0.13</v>
      </c>
    </row>
    <row r="51" spans="1:4" ht="15.75" x14ac:dyDescent="0.25">
      <c r="A51" s="29">
        <v>2250</v>
      </c>
      <c r="B51" s="62" t="s">
        <v>176</v>
      </c>
      <c r="C51" s="63">
        <v>2.4025999999999999E-2</v>
      </c>
      <c r="D51" s="30">
        <v>13.59</v>
      </c>
    </row>
    <row r="52" spans="1:4" ht="15.75" hidden="1" x14ac:dyDescent="0.25">
      <c r="A52" s="29">
        <v>2261</v>
      </c>
      <c r="B52" s="64" t="s">
        <v>196</v>
      </c>
      <c r="C52" s="63">
        <v>0</v>
      </c>
      <c r="D52" s="30">
        <v>0</v>
      </c>
    </row>
    <row r="53" spans="1:4" ht="15.75" x14ac:dyDescent="0.25">
      <c r="A53" s="29">
        <v>2262</v>
      </c>
      <c r="B53" s="64" t="s">
        <v>177</v>
      </c>
      <c r="C53" s="63">
        <v>6.2599999999999999E-3</v>
      </c>
      <c r="D53" s="30">
        <v>3.54</v>
      </c>
    </row>
    <row r="54" spans="1:4" ht="15.75" x14ac:dyDescent="0.25">
      <c r="A54" s="29">
        <v>2263</v>
      </c>
      <c r="B54" s="64" t="s">
        <v>178</v>
      </c>
      <c r="C54" s="63">
        <v>4.58E-2</v>
      </c>
      <c r="D54" s="30">
        <v>25.91</v>
      </c>
    </row>
    <row r="55" spans="1:4" ht="15.75" x14ac:dyDescent="0.25">
      <c r="A55" s="29">
        <v>2264</v>
      </c>
      <c r="B55" s="62" t="s">
        <v>179</v>
      </c>
      <c r="C55" s="63">
        <v>1.49E-3</v>
      </c>
      <c r="D55" s="30">
        <v>0.84</v>
      </c>
    </row>
    <row r="56" spans="1:4" ht="15" customHeight="1" x14ac:dyDescent="0.25">
      <c r="A56" s="29">
        <v>2311</v>
      </c>
      <c r="B56" s="64" t="s">
        <v>180</v>
      </c>
      <c r="C56" s="63">
        <v>4.7699999999999999E-3</v>
      </c>
      <c r="D56" s="30">
        <v>2.7</v>
      </c>
    </row>
    <row r="57" spans="1:4" ht="15" customHeight="1" x14ac:dyDescent="0.25">
      <c r="A57" s="29">
        <v>2312</v>
      </c>
      <c r="B57" s="64" t="s">
        <v>181</v>
      </c>
      <c r="C57" s="63">
        <v>5.79E-3</v>
      </c>
      <c r="D57" s="30">
        <v>10.08</v>
      </c>
    </row>
    <row r="58" spans="1:4" ht="15" customHeight="1" x14ac:dyDescent="0.25">
      <c r="A58" s="29">
        <v>2314</v>
      </c>
      <c r="B58" s="66" t="s">
        <v>182</v>
      </c>
      <c r="C58" s="63">
        <v>2.2200000000000002E-3</v>
      </c>
      <c r="D58" s="30">
        <v>1.26</v>
      </c>
    </row>
    <row r="59" spans="1:4" ht="15" customHeight="1" x14ac:dyDescent="0.25">
      <c r="A59" s="29">
        <v>2321</v>
      </c>
      <c r="B59" s="64" t="s">
        <v>183</v>
      </c>
      <c r="C59" s="63">
        <v>1.9800000000000002E-2</v>
      </c>
      <c r="D59" s="30">
        <v>21.2</v>
      </c>
    </row>
    <row r="60" spans="1:4" ht="15" customHeight="1" x14ac:dyDescent="0.25">
      <c r="A60" s="29">
        <v>2322</v>
      </c>
      <c r="B60" s="64" t="s">
        <v>184</v>
      </c>
      <c r="C60" s="63">
        <v>3.5000000000000001E-3</v>
      </c>
      <c r="D60" s="30">
        <v>1.98</v>
      </c>
    </row>
    <row r="61" spans="1:4" ht="15" hidden="1" customHeight="1" x14ac:dyDescent="0.25">
      <c r="A61" s="29">
        <v>2341</v>
      </c>
      <c r="B61" s="64" t="s">
        <v>161</v>
      </c>
      <c r="C61" s="63"/>
      <c r="D61" s="30">
        <v>0</v>
      </c>
    </row>
    <row r="62" spans="1:4" ht="15.75" customHeight="1" x14ac:dyDescent="0.25">
      <c r="A62" s="29">
        <v>2350</v>
      </c>
      <c r="B62" s="63" t="s">
        <v>162</v>
      </c>
      <c r="C62" s="63">
        <v>8.5000000000000006E-3</v>
      </c>
      <c r="D62" s="30">
        <v>4.8099999999999996</v>
      </c>
    </row>
    <row r="63" spans="1:4" ht="15.75" hidden="1" x14ac:dyDescent="0.25">
      <c r="A63" s="29">
        <v>2361</v>
      </c>
      <c r="B63" s="64" t="s">
        <v>197</v>
      </c>
      <c r="C63" s="63">
        <v>0</v>
      </c>
      <c r="D63" s="30">
        <v>0</v>
      </c>
    </row>
    <row r="64" spans="1:4" ht="15.75" hidden="1" x14ac:dyDescent="0.25">
      <c r="A64" s="29">
        <v>2362</v>
      </c>
      <c r="B64" s="64" t="s">
        <v>198</v>
      </c>
      <c r="C64" s="63">
        <v>0</v>
      </c>
      <c r="D64" s="30">
        <v>0</v>
      </c>
    </row>
    <row r="65" spans="1:7" ht="15.75" hidden="1" x14ac:dyDescent="0.25">
      <c r="A65" s="29">
        <v>2363</v>
      </c>
      <c r="B65" s="64" t="s">
        <v>199</v>
      </c>
      <c r="C65" s="63">
        <v>0</v>
      </c>
      <c r="D65" s="30">
        <v>0</v>
      </c>
    </row>
    <row r="66" spans="1:7" ht="15.75" hidden="1" x14ac:dyDescent="0.25">
      <c r="A66" s="29">
        <v>2370</v>
      </c>
      <c r="B66" s="64" t="s">
        <v>200</v>
      </c>
      <c r="C66" s="63">
        <v>0</v>
      </c>
      <c r="D66" s="30">
        <v>0</v>
      </c>
    </row>
    <row r="67" spans="1:7" ht="15.75" hidden="1" x14ac:dyDescent="0.25">
      <c r="A67" s="29">
        <v>2400</v>
      </c>
      <c r="B67" s="64" t="s">
        <v>201</v>
      </c>
      <c r="C67" s="63">
        <v>0</v>
      </c>
      <c r="D67" s="30">
        <v>0</v>
      </c>
    </row>
    <row r="68" spans="1:7" ht="15" hidden="1" customHeight="1" x14ac:dyDescent="0.25">
      <c r="A68" s="29">
        <v>2512</v>
      </c>
      <c r="B68" s="64" t="s">
        <v>202</v>
      </c>
      <c r="C68" s="63">
        <v>0</v>
      </c>
      <c r="D68" s="30">
        <v>0</v>
      </c>
    </row>
    <row r="69" spans="1:7" ht="15.75" x14ac:dyDescent="0.25">
      <c r="A69" s="29">
        <v>2513</v>
      </c>
      <c r="B69" s="63" t="s">
        <v>185</v>
      </c>
      <c r="C69" s="63">
        <v>1.4599999999999999E-3</v>
      </c>
      <c r="D69" s="30">
        <v>0.83</v>
      </c>
    </row>
    <row r="70" spans="1:7" ht="15.75" x14ac:dyDescent="0.25">
      <c r="A70" s="29">
        <v>2515</v>
      </c>
      <c r="B70" s="64" t="s">
        <v>186</v>
      </c>
      <c r="C70" s="63">
        <v>1.9E-3</v>
      </c>
      <c r="D70" s="30">
        <v>1.07</v>
      </c>
    </row>
    <row r="71" spans="1:7" ht="15.75" x14ac:dyDescent="0.25">
      <c r="A71" s="29">
        <v>2519</v>
      </c>
      <c r="B71" s="64" t="s">
        <v>187</v>
      </c>
      <c r="C71" s="63">
        <v>2E-3</v>
      </c>
      <c r="D71" s="30">
        <v>1.1299999999999999</v>
      </c>
    </row>
    <row r="72" spans="1:7" ht="15.75" x14ac:dyDescent="0.25">
      <c r="A72" s="29">
        <v>5220</v>
      </c>
      <c r="B72" s="64" t="s">
        <v>188</v>
      </c>
      <c r="C72" s="63">
        <v>1.06E-2</v>
      </c>
      <c r="D72" s="30">
        <v>6</v>
      </c>
    </row>
    <row r="73" spans="1:7" ht="15.75" x14ac:dyDescent="0.25">
      <c r="A73" s="29">
        <v>5238</v>
      </c>
      <c r="B73" s="63" t="s">
        <v>189</v>
      </c>
      <c r="C73" s="63">
        <v>1.65E-3</v>
      </c>
      <c r="D73" s="30">
        <v>1.03</v>
      </c>
    </row>
    <row r="74" spans="1:7" ht="15.75" x14ac:dyDescent="0.25">
      <c r="A74" s="29">
        <v>5239</v>
      </c>
      <c r="B74" s="63" t="s">
        <v>190</v>
      </c>
      <c r="C74" s="63">
        <v>1.9800000000000002E-2</v>
      </c>
      <c r="D74" s="30">
        <v>11.2</v>
      </c>
    </row>
    <row r="75" spans="1:7" ht="15.75" x14ac:dyDescent="0.25">
      <c r="A75" s="29">
        <v>5250</v>
      </c>
      <c r="B75" s="64" t="s">
        <v>191</v>
      </c>
      <c r="C75" s="63">
        <v>2.5000000000000001E-2</v>
      </c>
      <c r="D75" s="30">
        <f>14.14</f>
        <v>14.14</v>
      </c>
    </row>
    <row r="76" spans="1:7" ht="15.75" x14ac:dyDescent="0.2">
      <c r="A76" s="34"/>
      <c r="B76" s="38" t="s">
        <v>9</v>
      </c>
      <c r="C76" s="38"/>
      <c r="D76" s="33">
        <f>SUM(D35:D75)</f>
        <v>565.2700000000001</v>
      </c>
      <c r="E76" s="49"/>
    </row>
    <row r="77" spans="1:7" ht="15.75" x14ac:dyDescent="0.2">
      <c r="A77" s="34"/>
      <c r="B77" s="38" t="s">
        <v>46</v>
      </c>
      <c r="C77" s="38"/>
      <c r="D77" s="33">
        <f>D76+D33</f>
        <v>1528.8</v>
      </c>
      <c r="G77" s="49"/>
    </row>
    <row r="78" spans="1:7" ht="15.75" x14ac:dyDescent="0.2">
      <c r="A78" s="43"/>
      <c r="B78" s="44"/>
      <c r="C78" s="44"/>
      <c r="D78" s="84"/>
    </row>
    <row r="79" spans="1:7" ht="15" customHeight="1" x14ac:dyDescent="0.25">
      <c r="A79" s="111" t="s">
        <v>52</v>
      </c>
      <c r="B79" s="112"/>
      <c r="C79" s="69"/>
      <c r="D79" s="37">
        <v>20</v>
      </c>
    </row>
    <row r="80" spans="1:7" ht="15.75" customHeight="1" x14ac:dyDescent="0.25">
      <c r="A80" s="111" t="s">
        <v>78</v>
      </c>
      <c r="B80" s="112"/>
      <c r="C80" s="69"/>
      <c r="D80" s="50">
        <f>D77/D79</f>
        <v>76.44</v>
      </c>
      <c r="E80" s="49"/>
      <c r="F80" s="49"/>
      <c r="G80" s="49"/>
    </row>
    <row r="81" spans="1:5" ht="15.75" customHeight="1" x14ac:dyDescent="0.25">
      <c r="A81" s="22"/>
      <c r="B81" s="15"/>
      <c r="C81" s="15"/>
      <c r="D81" s="45"/>
      <c r="E81" s="49"/>
    </row>
    <row r="82" spans="1:5" s="3" customFormat="1" ht="15.75" customHeight="1" x14ac:dyDescent="0.25">
      <c r="A82" s="111" t="s">
        <v>53</v>
      </c>
      <c r="B82" s="112"/>
      <c r="C82" s="18"/>
      <c r="D82" s="42"/>
    </row>
    <row r="83" spans="1:5" s="3" customFormat="1" ht="15.75" customHeight="1" x14ac:dyDescent="0.25">
      <c r="A83" s="111" t="s">
        <v>80</v>
      </c>
      <c r="B83" s="112"/>
      <c r="C83" s="18"/>
      <c r="D83" s="42"/>
    </row>
    <row r="84" spans="1:5" s="3" customFormat="1" ht="15.75" x14ac:dyDescent="0.25">
      <c r="A84" s="48"/>
      <c r="B84" s="15"/>
      <c r="C84" s="15"/>
      <c r="D84" s="19"/>
    </row>
    <row r="85" spans="1:5" s="3" customFormat="1" ht="15.75" x14ac:dyDescent="0.25">
      <c r="A85" s="19" t="s">
        <v>54</v>
      </c>
      <c r="B85" s="19"/>
      <c r="C85" s="19"/>
      <c r="D85" s="19"/>
    </row>
    <row r="86" spans="1:5" s="3" customFormat="1" ht="15.75" x14ac:dyDescent="0.25">
      <c r="A86" s="19"/>
      <c r="B86" s="19"/>
      <c r="C86" s="19"/>
      <c r="D86" s="19"/>
    </row>
    <row r="87" spans="1:5" s="3" customFormat="1" ht="15.75" x14ac:dyDescent="0.25">
      <c r="A87" s="19" t="s">
        <v>73</v>
      </c>
      <c r="B87" s="20"/>
      <c r="C87" s="20"/>
      <c r="D87" s="20"/>
    </row>
    <row r="88" spans="1:5" s="3" customFormat="1" ht="13.9" customHeight="1" x14ac:dyDescent="0.25">
      <c r="A88" s="19"/>
      <c r="B88" s="21"/>
      <c r="C88" s="21"/>
      <c r="D88" s="19"/>
    </row>
    <row r="89" spans="1:5" s="3" customFormat="1" ht="13.9" customHeight="1" x14ac:dyDescent="0.25">
      <c r="B89" s="4"/>
      <c r="C89" s="4"/>
    </row>
    <row r="90" spans="1:5" s="2" customFormat="1" x14ac:dyDescent="0.2"/>
  </sheetData>
  <mergeCells count="16">
    <mergeCell ref="A8:D8"/>
    <mergeCell ref="A10:B10"/>
    <mergeCell ref="A11:B11"/>
    <mergeCell ref="A79:B79"/>
    <mergeCell ref="A80:B80"/>
    <mergeCell ref="B2:D2"/>
    <mergeCell ref="B3:D3"/>
    <mergeCell ref="B6:D6"/>
    <mergeCell ref="B4:D4"/>
    <mergeCell ref="B5:D5"/>
    <mergeCell ref="A82:B82"/>
    <mergeCell ref="A83:B83"/>
    <mergeCell ref="B13:C13"/>
    <mergeCell ref="B15:D15"/>
    <mergeCell ref="B16:D16"/>
    <mergeCell ref="B14:D14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headerFooter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topLeftCell="A46" zoomScale="90" zoomScaleNormal="90" zoomScalePageLayoutView="90" workbookViewId="0">
      <selection activeCell="B21" sqref="B21"/>
    </sheetView>
  </sheetViews>
  <sheetFormatPr defaultRowHeight="14.25" x14ac:dyDescent="0.2"/>
  <cols>
    <col min="1" max="1" width="12.140625" style="2" customWidth="1"/>
    <col min="2" max="2" width="97.28515625" style="2" customWidth="1"/>
    <col min="3" max="3" width="11.28515625" style="2" hidden="1" customWidth="1"/>
    <col min="4" max="4" width="31.5703125" style="2" customWidth="1"/>
  </cols>
  <sheetData>
    <row r="1" spans="1:4" ht="15.75" customHeight="1" x14ac:dyDescent="0.25">
      <c r="A1" s="5"/>
      <c r="B1" s="39"/>
      <c r="C1" s="39"/>
      <c r="D1" s="57" t="s">
        <v>51</v>
      </c>
    </row>
    <row r="2" spans="1:4" ht="15.75" x14ac:dyDescent="0.25">
      <c r="A2" s="5"/>
      <c r="B2" s="39"/>
      <c r="C2" s="106" t="s">
        <v>55</v>
      </c>
      <c r="D2" s="106"/>
    </row>
    <row r="3" spans="1:4" ht="15.75" x14ac:dyDescent="0.25">
      <c r="A3" s="5"/>
      <c r="B3" s="48"/>
      <c r="C3" s="48"/>
      <c r="D3" s="53" t="s">
        <v>81</v>
      </c>
    </row>
    <row r="4" spans="1:4" ht="15.75" x14ac:dyDescent="0.25">
      <c r="A4" s="5"/>
      <c r="B4" s="39"/>
      <c r="C4" s="39"/>
      <c r="D4" s="12"/>
    </row>
    <row r="5" spans="1:4" ht="15.75" x14ac:dyDescent="0.25">
      <c r="A5" s="5"/>
      <c r="B5" s="39"/>
      <c r="C5" s="39"/>
      <c r="D5" s="39" t="s">
        <v>235</v>
      </c>
    </row>
    <row r="6" spans="1:4" ht="15" x14ac:dyDescent="0.25">
      <c r="A6" s="5"/>
      <c r="B6" s="1"/>
      <c r="C6" s="1"/>
      <c r="D6" s="1"/>
    </row>
    <row r="7" spans="1:4" ht="17.25" customHeight="1" x14ac:dyDescent="0.3">
      <c r="A7" s="115" t="s">
        <v>10</v>
      </c>
      <c r="B7" s="115"/>
      <c r="C7" s="115"/>
      <c r="D7" s="115"/>
    </row>
    <row r="8" spans="1:4" x14ac:dyDescent="0.2">
      <c r="A8" s="9"/>
      <c r="B8" s="10"/>
      <c r="C8" s="10"/>
    </row>
    <row r="9" spans="1:4" ht="15" customHeight="1" x14ac:dyDescent="0.2">
      <c r="A9" s="109" t="s">
        <v>1</v>
      </c>
      <c r="B9" s="113"/>
      <c r="C9" s="56"/>
      <c r="D9" s="8"/>
    </row>
    <row r="10" spans="1:4" ht="15" customHeight="1" x14ac:dyDescent="0.2">
      <c r="A10" s="109" t="s">
        <v>0</v>
      </c>
      <c r="B10" s="113"/>
      <c r="C10" s="56"/>
      <c r="D10" s="8"/>
    </row>
    <row r="11" spans="1:4" ht="15" customHeight="1" x14ac:dyDescent="0.2">
      <c r="A11" s="11"/>
      <c r="B11" s="11" t="s">
        <v>47</v>
      </c>
      <c r="C11" s="11"/>
      <c r="D11" s="8"/>
    </row>
    <row r="12" spans="1:4" ht="15" customHeight="1" x14ac:dyDescent="0.2">
      <c r="A12" s="11"/>
      <c r="B12" s="109" t="s">
        <v>70</v>
      </c>
      <c r="C12" s="109"/>
      <c r="D12" s="16"/>
    </row>
    <row r="13" spans="1:4" ht="15.75" customHeight="1" x14ac:dyDescent="0.2">
      <c r="A13" s="11"/>
      <c r="B13" s="109" t="s">
        <v>71</v>
      </c>
      <c r="C13" s="109"/>
      <c r="D13" s="114"/>
    </row>
    <row r="14" spans="1:4" ht="15.75" customHeight="1" x14ac:dyDescent="0.2">
      <c r="A14" s="11"/>
      <c r="B14" s="109" t="s">
        <v>204</v>
      </c>
      <c r="C14" s="109"/>
      <c r="D14" s="113"/>
    </row>
    <row r="15" spans="1:4" ht="15" customHeight="1" x14ac:dyDescent="0.2">
      <c r="A15" s="11"/>
      <c r="B15" s="109"/>
      <c r="C15" s="109"/>
      <c r="D15" s="113"/>
    </row>
    <row r="16" spans="1:4" ht="15.75" customHeight="1" x14ac:dyDescent="0.2">
      <c r="A16" s="11" t="s">
        <v>2</v>
      </c>
      <c r="B16" s="11" t="s">
        <v>232</v>
      </c>
      <c r="C16" s="11"/>
      <c r="D16" s="8"/>
    </row>
    <row r="17" spans="1:7" ht="63" customHeight="1" x14ac:dyDescent="0.2">
      <c r="A17" s="47" t="s">
        <v>3</v>
      </c>
      <c r="B17" s="47" t="s">
        <v>4</v>
      </c>
      <c r="C17" s="47"/>
      <c r="D17" s="47" t="s">
        <v>77</v>
      </c>
    </row>
    <row r="18" spans="1:7" ht="15.75" x14ac:dyDescent="0.2">
      <c r="A18" s="24">
        <v>1</v>
      </c>
      <c r="B18" s="25">
        <v>2</v>
      </c>
      <c r="C18" s="25"/>
      <c r="D18" s="25">
        <v>3</v>
      </c>
    </row>
    <row r="19" spans="1:7" ht="15.75" x14ac:dyDescent="0.2">
      <c r="A19" s="26"/>
      <c r="B19" s="27" t="s">
        <v>6</v>
      </c>
      <c r="C19" s="27"/>
      <c r="D19" s="28"/>
      <c r="E19" s="49"/>
    </row>
    <row r="20" spans="1:7" ht="15" customHeight="1" x14ac:dyDescent="0.2">
      <c r="A20" s="29">
        <v>1100</v>
      </c>
      <c r="B20" s="29" t="s">
        <v>159</v>
      </c>
      <c r="C20" s="29"/>
      <c r="D20" s="30">
        <f>23.91*250</f>
        <v>5977.5</v>
      </c>
      <c r="E20" s="49"/>
      <c r="F20" s="49"/>
      <c r="G20" s="49"/>
    </row>
    <row r="21" spans="1:7" ht="15.75" x14ac:dyDescent="0.25">
      <c r="A21" s="29">
        <v>1200</v>
      </c>
      <c r="B21" s="63" t="s">
        <v>160</v>
      </c>
      <c r="C21" s="63"/>
      <c r="D21" s="30">
        <v>1410.09</v>
      </c>
    </row>
    <row r="22" spans="1:7" ht="15.75" x14ac:dyDescent="0.25">
      <c r="A22" s="29">
        <v>2222</v>
      </c>
      <c r="B22" s="64" t="s">
        <v>164</v>
      </c>
      <c r="C22" s="64"/>
      <c r="D22" s="30">
        <v>278.08999999999997</v>
      </c>
    </row>
    <row r="23" spans="1:7" ht="15.75" x14ac:dyDescent="0.25">
      <c r="A23" s="29">
        <v>2223</v>
      </c>
      <c r="B23" s="64" t="s">
        <v>165</v>
      </c>
      <c r="C23" s="64"/>
      <c r="D23" s="30">
        <v>331.41</v>
      </c>
    </row>
    <row r="24" spans="1:7" ht="15.75" hidden="1" x14ac:dyDescent="0.25">
      <c r="A24" s="29">
        <v>2243</v>
      </c>
      <c r="B24" s="62" t="s">
        <v>172</v>
      </c>
      <c r="C24" s="62"/>
      <c r="D24" s="30">
        <v>0</v>
      </c>
    </row>
    <row r="25" spans="1:7" ht="15.75" x14ac:dyDescent="0.25">
      <c r="A25" s="29">
        <v>2244</v>
      </c>
      <c r="B25" s="62" t="s">
        <v>173</v>
      </c>
      <c r="C25" s="62"/>
      <c r="D25" s="30">
        <f>2.12*250/2</f>
        <v>265</v>
      </c>
    </row>
    <row r="26" spans="1:7" ht="15.75" x14ac:dyDescent="0.25">
      <c r="A26" s="29">
        <v>2312</v>
      </c>
      <c r="B26" s="64" t="s">
        <v>181</v>
      </c>
      <c r="C26" s="62"/>
      <c r="D26" s="30">
        <v>70.959999999999994</v>
      </c>
    </row>
    <row r="27" spans="1:7" ht="15.75" x14ac:dyDescent="0.25">
      <c r="A27" s="29">
        <v>2321</v>
      </c>
      <c r="B27" s="64" t="s">
        <v>183</v>
      </c>
      <c r="C27" s="64"/>
      <c r="D27" s="30">
        <v>390.63</v>
      </c>
    </row>
    <row r="28" spans="1:7" ht="15.75" x14ac:dyDescent="0.25">
      <c r="A28" s="29">
        <v>2341</v>
      </c>
      <c r="B28" s="64" t="s">
        <v>161</v>
      </c>
      <c r="C28" s="64"/>
      <c r="D28" s="30">
        <v>564.75</v>
      </c>
    </row>
    <row r="29" spans="1:7" ht="15.75" x14ac:dyDescent="0.25">
      <c r="A29" s="29">
        <v>2361</v>
      </c>
      <c r="B29" s="64" t="s">
        <v>197</v>
      </c>
      <c r="C29" s="64"/>
      <c r="D29" s="30">
        <f>2.25*250</f>
        <v>562.5</v>
      </c>
    </row>
    <row r="30" spans="1:7" ht="15.75" x14ac:dyDescent="0.25">
      <c r="A30" s="29">
        <v>2363</v>
      </c>
      <c r="B30" s="64" t="s">
        <v>199</v>
      </c>
      <c r="C30" s="64"/>
      <c r="D30" s="30">
        <f>8.12*250</f>
        <v>2029.9999999999998</v>
      </c>
    </row>
    <row r="31" spans="1:7" ht="15" customHeight="1" x14ac:dyDescent="0.25">
      <c r="A31" s="29">
        <v>5239</v>
      </c>
      <c r="B31" s="63" t="s">
        <v>190</v>
      </c>
      <c r="C31" s="63"/>
      <c r="D31" s="30">
        <v>320.81</v>
      </c>
    </row>
    <row r="32" spans="1:7" ht="15" customHeight="1" x14ac:dyDescent="0.2">
      <c r="A32" s="29"/>
      <c r="B32" s="32" t="s">
        <v>7</v>
      </c>
      <c r="C32" s="32"/>
      <c r="D32" s="33">
        <f>SUM(D20:D31)</f>
        <v>12201.739999999998</v>
      </c>
      <c r="G32" s="49"/>
    </row>
    <row r="33" spans="1:5" ht="15" customHeight="1" x14ac:dyDescent="0.2">
      <c r="A33" s="34"/>
      <c r="B33" s="29" t="s">
        <v>8</v>
      </c>
      <c r="C33" s="29"/>
      <c r="D33" s="28"/>
    </row>
    <row r="34" spans="1:5" ht="15" customHeight="1" x14ac:dyDescent="0.25">
      <c r="A34" s="29">
        <v>1100</v>
      </c>
      <c r="B34" s="62" t="s">
        <v>159</v>
      </c>
      <c r="C34" s="63">
        <f>0.388+0.024</f>
        <v>0.41200000000000003</v>
      </c>
      <c r="D34" s="30">
        <v>2707.48</v>
      </c>
      <c r="E34" s="49"/>
    </row>
    <row r="35" spans="1:5" ht="15.75" x14ac:dyDescent="0.25">
      <c r="A35" s="29">
        <v>1200</v>
      </c>
      <c r="B35" s="62" t="s">
        <v>160</v>
      </c>
      <c r="C35" s="63">
        <f>C34*0.2359</f>
        <v>9.7190800000000008E-2</v>
      </c>
      <c r="D35" s="30">
        <v>638.69000000000005</v>
      </c>
    </row>
    <row r="36" spans="1:5" ht="15.75" x14ac:dyDescent="0.25">
      <c r="A36" s="29">
        <v>2100</v>
      </c>
      <c r="B36" s="35" t="s">
        <v>44</v>
      </c>
      <c r="C36" s="63">
        <v>1.1659999999999999E-3</v>
      </c>
      <c r="D36" s="30">
        <v>7.66</v>
      </c>
    </row>
    <row r="37" spans="1:5" ht="15.75" x14ac:dyDescent="0.25">
      <c r="A37" s="36">
        <v>2210</v>
      </c>
      <c r="B37" s="64" t="s">
        <v>163</v>
      </c>
      <c r="C37" s="63">
        <v>7.6E-3</v>
      </c>
      <c r="D37" s="30">
        <v>49.94</v>
      </c>
    </row>
    <row r="38" spans="1:5" ht="15" customHeight="1" x14ac:dyDescent="0.25">
      <c r="A38" s="29">
        <v>2222</v>
      </c>
      <c r="B38" s="64" t="s">
        <v>164</v>
      </c>
      <c r="C38" s="63">
        <v>9.4999999999999998E-3</v>
      </c>
      <c r="D38" s="30">
        <v>62.43</v>
      </c>
    </row>
    <row r="39" spans="1:5" ht="15" customHeight="1" x14ac:dyDescent="0.25">
      <c r="A39" s="29">
        <v>2223</v>
      </c>
      <c r="B39" s="64" t="s">
        <v>165</v>
      </c>
      <c r="C39" s="63">
        <v>1.9019999999999999E-2</v>
      </c>
      <c r="D39" s="30">
        <v>124.99</v>
      </c>
    </row>
    <row r="40" spans="1:5" ht="31.5" x14ac:dyDescent="0.25">
      <c r="A40" s="29">
        <v>2224</v>
      </c>
      <c r="B40" s="64" t="s">
        <v>166</v>
      </c>
      <c r="C40" s="63">
        <v>4.9500000000000004E-3</v>
      </c>
      <c r="D40" s="30">
        <v>32.53</v>
      </c>
    </row>
    <row r="41" spans="1:5" ht="15.75" x14ac:dyDescent="0.25">
      <c r="A41" s="29">
        <v>2231</v>
      </c>
      <c r="B41" s="62" t="s">
        <v>167</v>
      </c>
      <c r="C41" s="63">
        <v>1.5499999999999999E-3</v>
      </c>
      <c r="D41" s="30">
        <v>10.19</v>
      </c>
    </row>
    <row r="42" spans="1:5" ht="15.75" x14ac:dyDescent="0.25">
      <c r="A42" s="29">
        <v>2235</v>
      </c>
      <c r="B42" s="66" t="s">
        <v>168</v>
      </c>
      <c r="C42" s="63">
        <v>1.65E-3</v>
      </c>
      <c r="D42" s="30">
        <v>10.84</v>
      </c>
    </row>
    <row r="43" spans="1:5" ht="15" customHeight="1" x14ac:dyDescent="0.25">
      <c r="A43" s="29">
        <v>2239</v>
      </c>
      <c r="B43" s="62" t="s">
        <v>169</v>
      </c>
      <c r="C43" s="63">
        <v>4.4099999999999999E-3</v>
      </c>
      <c r="D43" s="30">
        <v>28.98</v>
      </c>
    </row>
    <row r="44" spans="1:5" ht="15.75" x14ac:dyDescent="0.25">
      <c r="A44" s="29">
        <v>2241</v>
      </c>
      <c r="B44" s="62" t="s">
        <v>170</v>
      </c>
      <c r="C44" s="63">
        <v>1.6500000000000001E-2</v>
      </c>
      <c r="D44" s="30">
        <v>108.43</v>
      </c>
      <c r="E44" s="54"/>
    </row>
    <row r="45" spans="1:5" ht="15.75" x14ac:dyDescent="0.25">
      <c r="A45" s="29">
        <v>2242</v>
      </c>
      <c r="B45" s="64" t="s">
        <v>171</v>
      </c>
      <c r="C45" s="63">
        <v>2.2599999999999999E-3</v>
      </c>
      <c r="D45" s="30">
        <v>14.85</v>
      </c>
    </row>
    <row r="46" spans="1:5" ht="14.25" customHeight="1" x14ac:dyDescent="0.25">
      <c r="A46" s="29">
        <v>2243</v>
      </c>
      <c r="B46" s="62" t="s">
        <v>172</v>
      </c>
      <c r="C46" s="63">
        <v>3.2599999999999997E-2</v>
      </c>
      <c r="D46" s="30">
        <f>214.23+24.72</f>
        <v>238.95</v>
      </c>
    </row>
    <row r="47" spans="1:5" ht="15" customHeight="1" x14ac:dyDescent="0.25">
      <c r="A47" s="29">
        <v>2244</v>
      </c>
      <c r="B47" s="62" t="s">
        <v>173</v>
      </c>
      <c r="C47" s="63">
        <v>0.20397000000000001</v>
      </c>
      <c r="D47" s="30">
        <v>1340.4</v>
      </c>
    </row>
    <row r="48" spans="1:5" ht="15" customHeight="1" x14ac:dyDescent="0.25">
      <c r="A48" s="29">
        <v>2247</v>
      </c>
      <c r="B48" s="62" t="s">
        <v>174</v>
      </c>
      <c r="C48" s="63">
        <v>7.1900000000000002E-4</v>
      </c>
      <c r="D48" s="30">
        <v>4.72</v>
      </c>
    </row>
    <row r="49" spans="1:4" ht="15.75" x14ac:dyDescent="0.25">
      <c r="A49" s="29">
        <v>2249</v>
      </c>
      <c r="B49" s="62" t="s">
        <v>175</v>
      </c>
      <c r="C49" s="63">
        <v>2.32E-4</v>
      </c>
      <c r="D49" s="30">
        <v>1.52</v>
      </c>
    </row>
    <row r="50" spans="1:4" ht="15.75" x14ac:dyDescent="0.25">
      <c r="A50" s="29">
        <v>2250</v>
      </c>
      <c r="B50" s="62" t="s">
        <v>176</v>
      </c>
      <c r="C50" s="63">
        <v>2.4025999999999999E-2</v>
      </c>
      <c r="D50" s="30">
        <v>157.88999999999999</v>
      </c>
    </row>
    <row r="51" spans="1:4" ht="15.75" hidden="1" x14ac:dyDescent="0.25">
      <c r="A51" s="29">
        <v>2261</v>
      </c>
      <c r="B51" s="64" t="s">
        <v>196</v>
      </c>
      <c r="C51" s="63">
        <v>0</v>
      </c>
      <c r="D51" s="30">
        <v>0</v>
      </c>
    </row>
    <row r="52" spans="1:4" ht="15.75" x14ac:dyDescent="0.25">
      <c r="A52" s="29">
        <v>2262</v>
      </c>
      <c r="B52" s="64" t="s">
        <v>177</v>
      </c>
      <c r="C52" s="63">
        <v>6.2599999999999999E-3</v>
      </c>
      <c r="D52" s="30">
        <v>41.14</v>
      </c>
    </row>
    <row r="53" spans="1:4" ht="15.75" x14ac:dyDescent="0.25">
      <c r="A53" s="29">
        <v>2263</v>
      </c>
      <c r="B53" s="64" t="s">
        <v>178</v>
      </c>
      <c r="C53" s="63">
        <v>4.58E-2</v>
      </c>
      <c r="D53" s="30">
        <v>300.98</v>
      </c>
    </row>
    <row r="54" spans="1:4" ht="15.75" x14ac:dyDescent="0.25">
      <c r="A54" s="29">
        <v>2264</v>
      </c>
      <c r="B54" s="62" t="s">
        <v>179</v>
      </c>
      <c r="C54" s="63">
        <v>1.49E-3</v>
      </c>
      <c r="D54" s="30">
        <v>9.7899999999999991</v>
      </c>
    </row>
    <row r="55" spans="1:4" ht="15" customHeight="1" x14ac:dyDescent="0.25">
      <c r="A55" s="29">
        <v>2311</v>
      </c>
      <c r="B55" s="64" t="s">
        <v>180</v>
      </c>
      <c r="C55" s="63">
        <v>4.7699999999999999E-3</v>
      </c>
      <c r="D55" s="30">
        <v>31.35</v>
      </c>
    </row>
    <row r="56" spans="1:4" ht="15" customHeight="1" x14ac:dyDescent="0.25">
      <c r="A56" s="29">
        <v>2312</v>
      </c>
      <c r="B56" s="64" t="s">
        <v>181</v>
      </c>
      <c r="C56" s="63">
        <v>5.79E-3</v>
      </c>
      <c r="D56" s="30">
        <v>38.049999999999997</v>
      </c>
    </row>
    <row r="57" spans="1:4" ht="15" customHeight="1" x14ac:dyDescent="0.25">
      <c r="A57" s="29">
        <v>2314</v>
      </c>
      <c r="B57" s="66" t="s">
        <v>182</v>
      </c>
      <c r="C57" s="63">
        <v>2.2200000000000002E-3</v>
      </c>
      <c r="D57" s="30">
        <v>14.59</v>
      </c>
    </row>
    <row r="58" spans="1:4" ht="15" customHeight="1" x14ac:dyDescent="0.25">
      <c r="A58" s="29">
        <v>2321</v>
      </c>
      <c r="B58" s="64" t="s">
        <v>183</v>
      </c>
      <c r="C58" s="63">
        <v>1.9800000000000002E-2</v>
      </c>
      <c r="D58" s="30">
        <v>130.12</v>
      </c>
    </row>
    <row r="59" spans="1:4" ht="15" customHeight="1" x14ac:dyDescent="0.25">
      <c r="A59" s="29">
        <v>2322</v>
      </c>
      <c r="B59" s="64" t="s">
        <v>184</v>
      </c>
      <c r="C59" s="63">
        <v>3.5000000000000001E-3</v>
      </c>
      <c r="D59" s="30">
        <v>23</v>
      </c>
    </row>
    <row r="60" spans="1:4" ht="15" hidden="1" customHeight="1" x14ac:dyDescent="0.25">
      <c r="A60" s="29">
        <v>2341</v>
      </c>
      <c r="B60" s="64" t="s">
        <v>161</v>
      </c>
      <c r="C60" s="63"/>
      <c r="D60" s="30">
        <v>0</v>
      </c>
    </row>
    <row r="61" spans="1:4" ht="15.75" customHeight="1" x14ac:dyDescent="0.25">
      <c r="A61" s="29">
        <v>2350</v>
      </c>
      <c r="B61" s="63" t="s">
        <v>162</v>
      </c>
      <c r="C61" s="63">
        <v>8.5000000000000006E-3</v>
      </c>
      <c r="D61" s="30">
        <f>55.86+0.77</f>
        <v>56.63</v>
      </c>
    </row>
    <row r="62" spans="1:4" ht="15.75" hidden="1" x14ac:dyDescent="0.25">
      <c r="A62" s="29">
        <v>2361</v>
      </c>
      <c r="B62" s="64" t="s">
        <v>197</v>
      </c>
      <c r="C62" s="63">
        <v>0</v>
      </c>
      <c r="D62" s="30">
        <v>0</v>
      </c>
    </row>
    <row r="63" spans="1:4" ht="15.75" hidden="1" x14ac:dyDescent="0.25">
      <c r="A63" s="29">
        <v>2362</v>
      </c>
      <c r="B63" s="64" t="s">
        <v>198</v>
      </c>
      <c r="C63" s="63">
        <v>0</v>
      </c>
      <c r="D63" s="30">
        <v>0</v>
      </c>
    </row>
    <row r="64" spans="1:4" ht="15.75" hidden="1" x14ac:dyDescent="0.25">
      <c r="A64" s="29">
        <v>2363</v>
      </c>
      <c r="B64" s="64" t="s">
        <v>199</v>
      </c>
      <c r="C64" s="63">
        <v>0</v>
      </c>
      <c r="D64" s="30">
        <v>0</v>
      </c>
    </row>
    <row r="65" spans="1:7" ht="15.75" hidden="1" x14ac:dyDescent="0.25">
      <c r="A65" s="29">
        <v>2370</v>
      </c>
      <c r="B65" s="64" t="s">
        <v>200</v>
      </c>
      <c r="C65" s="63">
        <v>0</v>
      </c>
      <c r="D65" s="30">
        <v>0</v>
      </c>
    </row>
    <row r="66" spans="1:7" ht="15.75" hidden="1" x14ac:dyDescent="0.25">
      <c r="A66" s="29">
        <v>2400</v>
      </c>
      <c r="B66" s="64" t="s">
        <v>201</v>
      </c>
      <c r="C66" s="63">
        <v>0</v>
      </c>
      <c r="D66" s="30">
        <v>0</v>
      </c>
    </row>
    <row r="67" spans="1:7" ht="15" hidden="1" customHeight="1" x14ac:dyDescent="0.25">
      <c r="A67" s="29">
        <v>2512</v>
      </c>
      <c r="B67" s="64" t="s">
        <v>202</v>
      </c>
      <c r="C67" s="63">
        <v>0</v>
      </c>
      <c r="D67" s="30">
        <v>0</v>
      </c>
    </row>
    <row r="68" spans="1:7" ht="15.75" x14ac:dyDescent="0.25">
      <c r="A68" s="29">
        <v>2513</v>
      </c>
      <c r="B68" s="63" t="s">
        <v>185</v>
      </c>
      <c r="C68" s="63">
        <v>1.4599999999999999E-3</v>
      </c>
      <c r="D68" s="30">
        <v>9.59</v>
      </c>
    </row>
    <row r="69" spans="1:7" ht="15.75" x14ac:dyDescent="0.25">
      <c r="A69" s="29">
        <v>2515</v>
      </c>
      <c r="B69" s="64" t="s">
        <v>186</v>
      </c>
      <c r="C69" s="63">
        <v>1.9E-3</v>
      </c>
      <c r="D69" s="30">
        <v>12.49</v>
      </c>
    </row>
    <row r="70" spans="1:7" ht="15.75" x14ac:dyDescent="0.25">
      <c r="A70" s="29">
        <v>2519</v>
      </c>
      <c r="B70" s="64" t="s">
        <v>187</v>
      </c>
      <c r="C70" s="63">
        <v>2E-3</v>
      </c>
      <c r="D70" s="30">
        <v>13.14</v>
      </c>
    </row>
    <row r="71" spans="1:7" ht="15.75" x14ac:dyDescent="0.25">
      <c r="A71" s="29">
        <v>5220</v>
      </c>
      <c r="B71" s="64" t="s">
        <v>188</v>
      </c>
      <c r="C71" s="63">
        <v>1.06E-2</v>
      </c>
      <c r="D71" s="30">
        <v>69.66</v>
      </c>
    </row>
    <row r="72" spans="1:7" ht="15.75" x14ac:dyDescent="0.25">
      <c r="A72" s="29">
        <v>5238</v>
      </c>
      <c r="B72" s="63" t="s">
        <v>189</v>
      </c>
      <c r="C72" s="63">
        <v>1.65E-3</v>
      </c>
      <c r="D72" s="30">
        <v>10.84</v>
      </c>
    </row>
    <row r="73" spans="1:7" ht="15.75" x14ac:dyDescent="0.25">
      <c r="A73" s="29">
        <v>5239</v>
      </c>
      <c r="B73" s="63" t="s">
        <v>190</v>
      </c>
      <c r="C73" s="63">
        <v>1.9800000000000002E-2</v>
      </c>
      <c r="D73" s="30">
        <f>130.12-12</f>
        <v>118.12</v>
      </c>
    </row>
    <row r="74" spans="1:7" ht="15.75" x14ac:dyDescent="0.25">
      <c r="A74" s="29">
        <v>5250</v>
      </c>
      <c r="B74" s="64" t="s">
        <v>191</v>
      </c>
      <c r="C74" s="63">
        <v>2.5000000000000001E-2</v>
      </c>
      <c r="D74" s="30">
        <f>164.29-12.72-8.29</f>
        <v>143.28</v>
      </c>
    </row>
    <row r="75" spans="1:7" ht="15.75" x14ac:dyDescent="0.2">
      <c r="A75" s="34"/>
      <c r="B75" s="38" t="s">
        <v>9</v>
      </c>
      <c r="C75" s="38"/>
      <c r="D75" s="33">
        <f>SUM(D34:D74)</f>
        <v>6563.2600000000011</v>
      </c>
      <c r="E75" s="49"/>
      <c r="F75" s="49"/>
    </row>
    <row r="76" spans="1:7" ht="15.75" x14ac:dyDescent="0.2">
      <c r="A76" s="34"/>
      <c r="B76" s="38" t="s">
        <v>46</v>
      </c>
      <c r="C76" s="38"/>
      <c r="D76" s="33">
        <f>D75+D32</f>
        <v>18765</v>
      </c>
    </row>
    <row r="77" spans="1:7" ht="15.75" x14ac:dyDescent="0.2">
      <c r="A77" s="43"/>
      <c r="B77" s="44"/>
      <c r="C77" s="44"/>
      <c r="D77" s="46"/>
    </row>
    <row r="78" spans="1:7" ht="15" customHeight="1" x14ac:dyDescent="0.25">
      <c r="A78" s="111" t="s">
        <v>52</v>
      </c>
      <c r="B78" s="112"/>
      <c r="C78" s="69"/>
      <c r="D78" s="37">
        <v>250</v>
      </c>
    </row>
    <row r="79" spans="1:7" ht="15.75" customHeight="1" x14ac:dyDescent="0.25">
      <c r="A79" s="111" t="s">
        <v>78</v>
      </c>
      <c r="B79" s="112"/>
      <c r="C79" s="69"/>
      <c r="D79" s="50">
        <f>D76/D78</f>
        <v>75.06</v>
      </c>
      <c r="E79" s="49"/>
      <c r="F79" s="49"/>
      <c r="G79" s="49"/>
    </row>
    <row r="80" spans="1:7" ht="15.75" customHeight="1" x14ac:dyDescent="0.25">
      <c r="A80" s="22"/>
      <c r="B80" s="15"/>
      <c r="C80" s="15"/>
      <c r="D80" s="45"/>
      <c r="E80" s="49"/>
    </row>
    <row r="81" spans="1:4" s="3" customFormat="1" ht="15.75" customHeight="1" x14ac:dyDescent="0.25">
      <c r="A81" s="111" t="s">
        <v>53</v>
      </c>
      <c r="B81" s="112"/>
      <c r="C81" s="18"/>
      <c r="D81" s="42"/>
    </row>
    <row r="82" spans="1:4" s="3" customFormat="1" ht="15.75" customHeight="1" x14ac:dyDescent="0.25">
      <c r="A82" s="111" t="s">
        <v>80</v>
      </c>
      <c r="B82" s="112"/>
      <c r="C82" s="18"/>
      <c r="D82" s="42"/>
    </row>
    <row r="83" spans="1:4" s="3" customFormat="1" ht="15.75" x14ac:dyDescent="0.25">
      <c r="A83" s="48"/>
      <c r="B83" s="15"/>
      <c r="C83" s="15"/>
      <c r="D83" s="19"/>
    </row>
    <row r="84" spans="1:4" s="3" customFormat="1" ht="15.75" x14ac:dyDescent="0.25">
      <c r="A84" s="19" t="s">
        <v>54</v>
      </c>
      <c r="B84" s="19"/>
      <c r="C84" s="19"/>
      <c r="D84" s="19"/>
    </row>
    <row r="85" spans="1:4" s="3" customFormat="1" ht="15.75" x14ac:dyDescent="0.25">
      <c r="A85" s="19"/>
      <c r="B85" s="19"/>
      <c r="C85" s="19"/>
      <c r="D85" s="19"/>
    </row>
    <row r="86" spans="1:4" s="3" customFormat="1" ht="15.75" x14ac:dyDescent="0.25">
      <c r="A86" s="19" t="s">
        <v>73</v>
      </c>
      <c r="B86" s="20"/>
      <c r="C86" s="20"/>
      <c r="D86" s="20"/>
    </row>
    <row r="87" spans="1:4" s="3" customFormat="1" ht="13.9" customHeight="1" x14ac:dyDescent="0.25">
      <c r="A87" s="19"/>
      <c r="B87" s="21"/>
      <c r="C87" s="21"/>
      <c r="D87" s="19"/>
    </row>
    <row r="88" spans="1:4" s="3" customFormat="1" ht="13.9" customHeight="1" x14ac:dyDescent="0.25">
      <c r="B88" s="4"/>
      <c r="C88" s="4"/>
    </row>
    <row r="89" spans="1:4" s="2" customFormat="1" x14ac:dyDescent="0.2"/>
  </sheetData>
  <mergeCells count="12">
    <mergeCell ref="C2:D2"/>
    <mergeCell ref="A7:D7"/>
    <mergeCell ref="A9:B9"/>
    <mergeCell ref="A10:B10"/>
    <mergeCell ref="B12:C12"/>
    <mergeCell ref="B13:D13"/>
    <mergeCell ref="A78:B78"/>
    <mergeCell ref="A81:B81"/>
    <mergeCell ref="B14:D14"/>
    <mergeCell ref="B15:D15"/>
    <mergeCell ref="A79:B79"/>
    <mergeCell ref="A82:B82"/>
  </mergeCells>
  <pageMargins left="0.94488188976377963" right="0.55118110236220474" top="0.62992125984251968" bottom="0.55118110236220474" header="0.31496062992125984" footer="0.31496062992125984"/>
  <pageSetup paperSize="9" scale="61" firstPageNumber="4" orientation="portrait" useFirstPageNumber="1" r:id="rId1"/>
  <headerFooter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view="pageLayout" zoomScale="90" zoomScaleNormal="90" zoomScalePageLayoutView="90" workbookViewId="0">
      <selection activeCell="D6" sqref="D6"/>
    </sheetView>
  </sheetViews>
  <sheetFormatPr defaultRowHeight="14.25" x14ac:dyDescent="0.2"/>
  <cols>
    <col min="1" max="1" width="12.140625" style="2" customWidth="1"/>
    <col min="2" max="2" width="97.28515625" style="2" customWidth="1"/>
    <col min="3" max="3" width="11.28515625" style="2" hidden="1" customWidth="1"/>
    <col min="4" max="4" width="26.140625" customWidth="1"/>
  </cols>
  <sheetData>
    <row r="1" spans="1:4" ht="15.75" customHeight="1" x14ac:dyDescent="0.25">
      <c r="A1" s="5"/>
      <c r="B1" s="39"/>
      <c r="C1" s="39"/>
      <c r="D1" s="57" t="s">
        <v>51</v>
      </c>
    </row>
    <row r="2" spans="1:4" ht="15.75" customHeight="1" x14ac:dyDescent="0.25">
      <c r="A2" s="5"/>
      <c r="B2" s="39"/>
      <c r="D2" s="12" t="s">
        <v>55</v>
      </c>
    </row>
    <row r="3" spans="1:4" ht="15.75" x14ac:dyDescent="0.25">
      <c r="A3" s="5"/>
      <c r="B3" s="48"/>
      <c r="C3" s="48"/>
      <c r="D3" s="53" t="s">
        <v>81</v>
      </c>
    </row>
    <row r="4" spans="1:4" ht="15.75" x14ac:dyDescent="0.25">
      <c r="A4" s="5"/>
      <c r="B4" s="39"/>
      <c r="C4" s="39"/>
    </row>
    <row r="5" spans="1:4" ht="15.75" x14ac:dyDescent="0.25">
      <c r="A5" s="5"/>
      <c r="B5" s="39"/>
      <c r="C5" s="39"/>
      <c r="D5" s="39" t="s">
        <v>233</v>
      </c>
    </row>
    <row r="6" spans="1:4" ht="15" x14ac:dyDescent="0.25">
      <c r="A6" s="5"/>
      <c r="B6" s="1"/>
      <c r="C6" s="1"/>
    </row>
    <row r="7" spans="1:4" ht="17.25" customHeight="1" x14ac:dyDescent="0.3">
      <c r="A7" s="115" t="s">
        <v>10</v>
      </c>
      <c r="B7" s="115"/>
      <c r="C7" s="115"/>
    </row>
    <row r="8" spans="1:4" x14ac:dyDescent="0.2">
      <c r="A8" s="9"/>
      <c r="B8" s="10"/>
      <c r="C8" s="10"/>
    </row>
    <row r="9" spans="1:4" ht="15" customHeight="1" x14ac:dyDescent="0.2">
      <c r="A9" s="109" t="s">
        <v>1</v>
      </c>
      <c r="B9" s="113"/>
      <c r="C9" s="56"/>
    </row>
    <row r="10" spans="1:4" ht="15" customHeight="1" x14ac:dyDescent="0.2">
      <c r="A10" s="109" t="s">
        <v>0</v>
      </c>
      <c r="B10" s="113"/>
      <c r="C10" s="56"/>
    </row>
    <row r="11" spans="1:4" ht="15" customHeight="1" x14ac:dyDescent="0.2">
      <c r="A11" s="11"/>
      <c r="B11" s="11" t="s">
        <v>47</v>
      </c>
      <c r="C11" s="11"/>
    </row>
    <row r="12" spans="1:4" ht="15" customHeight="1" x14ac:dyDescent="0.2">
      <c r="A12" s="11"/>
      <c r="B12" s="109" t="s">
        <v>70</v>
      </c>
      <c r="C12" s="109"/>
    </row>
    <row r="13" spans="1:4" ht="15.75" customHeight="1" x14ac:dyDescent="0.2">
      <c r="A13" s="11"/>
      <c r="B13" s="109" t="s">
        <v>71</v>
      </c>
      <c r="C13" s="109"/>
    </row>
    <row r="14" spans="1:4" ht="15.75" customHeight="1" x14ac:dyDescent="0.2">
      <c r="A14" s="11"/>
      <c r="B14" s="109" t="s">
        <v>205</v>
      </c>
      <c r="C14" s="109"/>
    </row>
    <row r="15" spans="1:4" ht="15" customHeight="1" x14ac:dyDescent="0.2">
      <c r="A15" s="11"/>
      <c r="B15" s="109"/>
      <c r="C15" s="109"/>
    </row>
    <row r="16" spans="1:4" ht="15.75" customHeight="1" x14ac:dyDescent="0.2">
      <c r="A16" s="11" t="s">
        <v>2</v>
      </c>
      <c r="B16" s="11" t="s">
        <v>232</v>
      </c>
      <c r="C16" s="11"/>
    </row>
    <row r="17" spans="1:4" ht="63" customHeight="1" x14ac:dyDescent="0.2">
      <c r="A17" s="47" t="s">
        <v>3</v>
      </c>
      <c r="B17" s="47" t="s">
        <v>4</v>
      </c>
      <c r="C17" s="47"/>
      <c r="D17" s="47" t="s">
        <v>77</v>
      </c>
    </row>
    <row r="18" spans="1:4" ht="15.75" x14ac:dyDescent="0.2">
      <c r="A18" s="24">
        <v>1</v>
      </c>
      <c r="B18" s="25">
        <v>2</v>
      </c>
      <c r="C18" s="25"/>
      <c r="D18" s="25">
        <v>3</v>
      </c>
    </row>
    <row r="19" spans="1:4" ht="15.75" x14ac:dyDescent="0.2">
      <c r="A19" s="26"/>
      <c r="B19" s="27" t="s">
        <v>6</v>
      </c>
      <c r="C19" s="27"/>
      <c r="D19" s="28"/>
    </row>
    <row r="20" spans="1:4" ht="15" customHeight="1" x14ac:dyDescent="0.2">
      <c r="A20" s="29">
        <v>1100</v>
      </c>
      <c r="B20" s="29" t="s">
        <v>159</v>
      </c>
      <c r="C20" s="29"/>
      <c r="D20" s="30">
        <f>23.91*50</f>
        <v>1195.5</v>
      </c>
    </row>
    <row r="21" spans="1:4" ht="15.75" x14ac:dyDescent="0.25">
      <c r="A21" s="29">
        <v>1200</v>
      </c>
      <c r="B21" s="63" t="s">
        <v>160</v>
      </c>
      <c r="C21" s="63"/>
      <c r="D21" s="30">
        <v>282.02</v>
      </c>
    </row>
    <row r="22" spans="1:4" ht="15.75" x14ac:dyDescent="0.25">
      <c r="A22" s="29">
        <v>2222</v>
      </c>
      <c r="B22" s="64" t="s">
        <v>164</v>
      </c>
      <c r="C22" s="64"/>
      <c r="D22" s="30">
        <v>55.17</v>
      </c>
    </row>
    <row r="23" spans="1:4" ht="15.75" x14ac:dyDescent="0.25">
      <c r="A23" s="29">
        <v>2223</v>
      </c>
      <c r="B23" s="64" t="s">
        <v>165</v>
      </c>
      <c r="C23" s="64"/>
      <c r="D23" s="30">
        <v>75.650000000000006</v>
      </c>
    </row>
    <row r="24" spans="1:4" ht="15.75" x14ac:dyDescent="0.25">
      <c r="A24" s="29">
        <v>2243</v>
      </c>
      <c r="B24" s="62" t="s">
        <v>172</v>
      </c>
      <c r="C24" s="62"/>
      <c r="D24" s="30">
        <v>0</v>
      </c>
    </row>
    <row r="25" spans="1:4" ht="15.75" x14ac:dyDescent="0.25">
      <c r="A25" s="29">
        <v>2244</v>
      </c>
      <c r="B25" s="62" t="s">
        <v>173</v>
      </c>
      <c r="C25" s="62"/>
      <c r="D25" s="30">
        <v>106</v>
      </c>
    </row>
    <row r="26" spans="1:4" ht="15.75" x14ac:dyDescent="0.25">
      <c r="A26" s="29">
        <v>2312</v>
      </c>
      <c r="B26" s="64" t="s">
        <v>181</v>
      </c>
      <c r="C26" s="62"/>
      <c r="D26" s="30">
        <v>14.18</v>
      </c>
    </row>
    <row r="27" spans="1:4" ht="15.75" x14ac:dyDescent="0.25">
      <c r="A27" s="29">
        <v>2321</v>
      </c>
      <c r="B27" s="64" t="s">
        <v>183</v>
      </c>
      <c r="C27" s="64"/>
      <c r="D27" s="30">
        <v>82.5</v>
      </c>
    </row>
    <row r="28" spans="1:4" ht="15.75" x14ac:dyDescent="0.25">
      <c r="A28" s="29">
        <v>2341</v>
      </c>
      <c r="B28" s="64" t="s">
        <v>161</v>
      </c>
      <c r="C28" s="64"/>
      <c r="D28" s="30">
        <v>113.08</v>
      </c>
    </row>
    <row r="29" spans="1:4" ht="15.75" x14ac:dyDescent="0.25">
      <c r="A29" s="29">
        <v>2361</v>
      </c>
      <c r="B29" s="64" t="s">
        <v>197</v>
      </c>
      <c r="C29" s="64"/>
      <c r="D29" s="30">
        <v>112.5</v>
      </c>
    </row>
    <row r="30" spans="1:4" ht="15.75" x14ac:dyDescent="0.25">
      <c r="A30" s="29">
        <v>2363</v>
      </c>
      <c r="B30" s="64" t="s">
        <v>199</v>
      </c>
      <c r="C30" s="64"/>
      <c r="D30" s="30">
        <v>406</v>
      </c>
    </row>
    <row r="31" spans="1:4" ht="15" customHeight="1" x14ac:dyDescent="0.25">
      <c r="A31" s="29">
        <v>5239</v>
      </c>
      <c r="B31" s="63" t="s">
        <v>190</v>
      </c>
      <c r="C31" s="63"/>
      <c r="D31" s="30">
        <v>57.5</v>
      </c>
    </row>
    <row r="32" spans="1:4" ht="15" customHeight="1" x14ac:dyDescent="0.2">
      <c r="A32" s="29"/>
      <c r="B32" s="32" t="s">
        <v>7</v>
      </c>
      <c r="C32" s="32"/>
      <c r="D32" s="33">
        <f>SUM(D20:D31)</f>
        <v>2500.1000000000004</v>
      </c>
    </row>
    <row r="33" spans="1:4" ht="15" customHeight="1" x14ac:dyDescent="0.2">
      <c r="A33" s="34"/>
      <c r="B33" s="29" t="s">
        <v>8</v>
      </c>
      <c r="C33" s="29"/>
      <c r="D33" s="28"/>
    </row>
    <row r="34" spans="1:4" ht="15" customHeight="1" x14ac:dyDescent="0.25">
      <c r="A34" s="29">
        <v>1100</v>
      </c>
      <c r="B34" s="62" t="s">
        <v>159</v>
      </c>
      <c r="C34" s="63">
        <f>0.388+0.024</f>
        <v>0.41200000000000003</v>
      </c>
      <c r="D34" s="30">
        <v>572.42999999999995</v>
      </c>
    </row>
    <row r="35" spans="1:4" ht="15.75" x14ac:dyDescent="0.25">
      <c r="A35" s="29">
        <v>1200</v>
      </c>
      <c r="B35" s="62" t="s">
        <v>160</v>
      </c>
      <c r="C35" s="63">
        <f>C34*0.2359</f>
        <v>9.7190800000000008E-2</v>
      </c>
      <c r="D35" s="30">
        <v>135.04</v>
      </c>
    </row>
    <row r="36" spans="1:4" ht="15.75" x14ac:dyDescent="0.25">
      <c r="A36" s="29">
        <v>2100</v>
      </c>
      <c r="B36" s="35" t="s">
        <v>44</v>
      </c>
      <c r="C36" s="63">
        <v>1.1659999999999999E-3</v>
      </c>
      <c r="D36" s="30">
        <v>1.62</v>
      </c>
    </row>
    <row r="37" spans="1:4" ht="15.75" x14ac:dyDescent="0.25">
      <c r="A37" s="36">
        <v>2210</v>
      </c>
      <c r="B37" s="64" t="s">
        <v>163</v>
      </c>
      <c r="C37" s="63">
        <v>7.6E-3</v>
      </c>
      <c r="D37" s="30">
        <v>10.56</v>
      </c>
    </row>
    <row r="38" spans="1:4" ht="15" customHeight="1" x14ac:dyDescent="0.25">
      <c r="A38" s="29">
        <v>2222</v>
      </c>
      <c r="B38" s="64" t="s">
        <v>164</v>
      </c>
      <c r="C38" s="63">
        <v>9.4999999999999998E-3</v>
      </c>
      <c r="D38" s="30">
        <v>13.7</v>
      </c>
    </row>
    <row r="39" spans="1:4" ht="15" customHeight="1" x14ac:dyDescent="0.25">
      <c r="A39" s="29">
        <v>2223</v>
      </c>
      <c r="B39" s="64" t="s">
        <v>165</v>
      </c>
      <c r="C39" s="63">
        <v>1.9019999999999999E-2</v>
      </c>
      <c r="D39" s="30">
        <v>26.43</v>
      </c>
    </row>
    <row r="40" spans="1:4" ht="31.5" x14ac:dyDescent="0.25">
      <c r="A40" s="29">
        <v>2224</v>
      </c>
      <c r="B40" s="64" t="s">
        <v>166</v>
      </c>
      <c r="C40" s="63">
        <v>4.9500000000000004E-3</v>
      </c>
      <c r="D40" s="30">
        <v>6.88</v>
      </c>
    </row>
    <row r="41" spans="1:4" ht="15.75" x14ac:dyDescent="0.25">
      <c r="A41" s="29">
        <v>2231</v>
      </c>
      <c r="B41" s="62" t="s">
        <v>167</v>
      </c>
      <c r="C41" s="63">
        <v>1.5499999999999999E-3</v>
      </c>
      <c r="D41" s="30">
        <v>2.15</v>
      </c>
    </row>
    <row r="42" spans="1:4" ht="15.75" x14ac:dyDescent="0.25">
      <c r="A42" s="29">
        <v>2235</v>
      </c>
      <c r="B42" s="66" t="s">
        <v>168</v>
      </c>
      <c r="C42" s="63">
        <v>1.65E-3</v>
      </c>
      <c r="D42" s="30">
        <v>2.29</v>
      </c>
    </row>
    <row r="43" spans="1:4" ht="15" customHeight="1" x14ac:dyDescent="0.25">
      <c r="A43" s="29">
        <v>2239</v>
      </c>
      <c r="B43" s="62" t="s">
        <v>169</v>
      </c>
      <c r="C43" s="63">
        <v>4.4099999999999999E-3</v>
      </c>
      <c r="D43" s="30">
        <v>6.13</v>
      </c>
    </row>
    <row r="44" spans="1:4" ht="15.75" x14ac:dyDescent="0.25">
      <c r="A44" s="29">
        <v>2241</v>
      </c>
      <c r="B44" s="62" t="s">
        <v>170</v>
      </c>
      <c r="C44" s="63">
        <v>1.6500000000000001E-2</v>
      </c>
      <c r="D44" s="30">
        <v>22.93</v>
      </c>
    </row>
    <row r="45" spans="1:4" ht="15.75" x14ac:dyDescent="0.25">
      <c r="A45" s="29">
        <v>2242</v>
      </c>
      <c r="B45" s="64" t="s">
        <v>171</v>
      </c>
      <c r="C45" s="63">
        <v>2.2599999999999999E-3</v>
      </c>
      <c r="D45" s="30">
        <v>3.14</v>
      </c>
    </row>
    <row r="46" spans="1:4" ht="14.25" customHeight="1" x14ac:dyDescent="0.25">
      <c r="A46" s="29">
        <v>2243</v>
      </c>
      <c r="B46" s="62" t="s">
        <v>172</v>
      </c>
      <c r="C46" s="63">
        <v>3.2599999999999997E-2</v>
      </c>
      <c r="D46" s="30">
        <v>45.29</v>
      </c>
    </row>
    <row r="47" spans="1:4" ht="15" customHeight="1" x14ac:dyDescent="0.25">
      <c r="A47" s="29">
        <v>2244</v>
      </c>
      <c r="B47" s="62" t="s">
        <v>173</v>
      </c>
      <c r="C47" s="63">
        <v>0.20397000000000001</v>
      </c>
      <c r="D47" s="30">
        <v>283.39999999999998</v>
      </c>
    </row>
    <row r="48" spans="1:4" ht="15" customHeight="1" x14ac:dyDescent="0.25">
      <c r="A48" s="29">
        <v>2247</v>
      </c>
      <c r="B48" s="62" t="s">
        <v>174</v>
      </c>
      <c r="C48" s="63">
        <v>7.1900000000000002E-4</v>
      </c>
      <c r="D48" s="30">
        <v>1</v>
      </c>
    </row>
    <row r="49" spans="1:4" ht="15.75" x14ac:dyDescent="0.25">
      <c r="A49" s="29">
        <v>2249</v>
      </c>
      <c r="B49" s="62" t="s">
        <v>175</v>
      </c>
      <c r="C49" s="63">
        <v>2.32E-4</v>
      </c>
      <c r="D49" s="30">
        <v>0.32</v>
      </c>
    </row>
    <row r="50" spans="1:4" ht="15.75" x14ac:dyDescent="0.25">
      <c r="A50" s="29">
        <v>2250</v>
      </c>
      <c r="B50" s="62" t="s">
        <v>176</v>
      </c>
      <c r="C50" s="63">
        <v>2.4025999999999999E-2</v>
      </c>
      <c r="D50" s="30">
        <v>33.380000000000003</v>
      </c>
    </row>
    <row r="51" spans="1:4" ht="15.75" hidden="1" x14ac:dyDescent="0.25">
      <c r="A51" s="29">
        <v>2261</v>
      </c>
      <c r="B51" s="64" t="s">
        <v>196</v>
      </c>
      <c r="C51" s="63">
        <v>0</v>
      </c>
      <c r="D51" s="30">
        <v>0</v>
      </c>
    </row>
    <row r="52" spans="1:4" ht="15.75" x14ac:dyDescent="0.25">
      <c r="A52" s="29">
        <v>2262</v>
      </c>
      <c r="B52" s="64" t="s">
        <v>177</v>
      </c>
      <c r="C52" s="63">
        <v>6.2599999999999999E-3</v>
      </c>
      <c r="D52" s="30">
        <v>8.6999999999999993</v>
      </c>
    </row>
    <row r="53" spans="1:4" ht="15.75" x14ac:dyDescent="0.25">
      <c r="A53" s="29">
        <v>2263</v>
      </c>
      <c r="B53" s="64" t="s">
        <v>178</v>
      </c>
      <c r="C53" s="63">
        <v>4.58E-2</v>
      </c>
      <c r="D53" s="30">
        <v>63.63</v>
      </c>
    </row>
    <row r="54" spans="1:4" ht="15.75" x14ac:dyDescent="0.25">
      <c r="A54" s="29">
        <v>2264</v>
      </c>
      <c r="B54" s="62" t="s">
        <v>179</v>
      </c>
      <c r="C54" s="63">
        <v>1.49E-3</v>
      </c>
      <c r="D54" s="30">
        <v>2.0699999999999998</v>
      </c>
    </row>
    <row r="55" spans="1:4" ht="15" customHeight="1" x14ac:dyDescent="0.25">
      <c r="A55" s="29">
        <v>2311</v>
      </c>
      <c r="B55" s="64" t="s">
        <v>180</v>
      </c>
      <c r="C55" s="63">
        <v>4.7699999999999999E-3</v>
      </c>
      <c r="D55" s="30">
        <v>6.63</v>
      </c>
    </row>
    <row r="56" spans="1:4" ht="15" customHeight="1" x14ac:dyDescent="0.25">
      <c r="A56" s="29">
        <v>2312</v>
      </c>
      <c r="B56" s="64" t="s">
        <v>181</v>
      </c>
      <c r="C56" s="63">
        <v>5.79E-3</v>
      </c>
      <c r="D56" s="30">
        <v>8.0399999999999991</v>
      </c>
    </row>
    <row r="57" spans="1:4" ht="15" customHeight="1" x14ac:dyDescent="0.25">
      <c r="A57" s="29">
        <v>2314</v>
      </c>
      <c r="B57" s="66" t="s">
        <v>182</v>
      </c>
      <c r="C57" s="63">
        <v>2.2200000000000002E-3</v>
      </c>
      <c r="D57" s="30">
        <v>3.08</v>
      </c>
    </row>
    <row r="58" spans="1:4" ht="15" customHeight="1" x14ac:dyDescent="0.25">
      <c r="A58" s="29">
        <v>2321</v>
      </c>
      <c r="B58" s="64" t="s">
        <v>183</v>
      </c>
      <c r="C58" s="63">
        <v>1.9800000000000002E-2</v>
      </c>
      <c r="D58" s="30">
        <v>27.51</v>
      </c>
    </row>
    <row r="59" spans="1:4" ht="15" customHeight="1" x14ac:dyDescent="0.25">
      <c r="A59" s="29">
        <v>2322</v>
      </c>
      <c r="B59" s="64" t="s">
        <v>184</v>
      </c>
      <c r="C59" s="63">
        <v>3.5000000000000001E-3</v>
      </c>
      <c r="D59" s="30">
        <v>4.8600000000000003</v>
      </c>
    </row>
    <row r="60" spans="1:4" ht="15" hidden="1" customHeight="1" x14ac:dyDescent="0.25">
      <c r="A60" s="29">
        <v>2341</v>
      </c>
      <c r="B60" s="64" t="s">
        <v>161</v>
      </c>
      <c r="C60" s="63"/>
      <c r="D60" s="30">
        <v>0</v>
      </c>
    </row>
    <row r="61" spans="1:4" ht="15.75" customHeight="1" x14ac:dyDescent="0.25">
      <c r="A61" s="29">
        <v>2350</v>
      </c>
      <c r="B61" s="63" t="s">
        <v>162</v>
      </c>
      <c r="C61" s="63">
        <v>8.5000000000000006E-3</v>
      </c>
      <c r="D61" s="30">
        <v>11.81</v>
      </c>
    </row>
    <row r="62" spans="1:4" ht="15.75" hidden="1" x14ac:dyDescent="0.25">
      <c r="A62" s="29">
        <v>2361</v>
      </c>
      <c r="B62" s="64" t="s">
        <v>197</v>
      </c>
      <c r="C62" s="63">
        <v>0</v>
      </c>
      <c r="D62" s="30">
        <v>0</v>
      </c>
    </row>
    <row r="63" spans="1:4" ht="15.75" hidden="1" x14ac:dyDescent="0.25">
      <c r="A63" s="29">
        <v>2362</v>
      </c>
      <c r="B63" s="64" t="s">
        <v>198</v>
      </c>
      <c r="C63" s="63">
        <v>0</v>
      </c>
      <c r="D63" s="30">
        <v>0</v>
      </c>
    </row>
    <row r="64" spans="1:4" ht="15.75" hidden="1" x14ac:dyDescent="0.25">
      <c r="A64" s="29">
        <v>2363</v>
      </c>
      <c r="B64" s="64" t="s">
        <v>199</v>
      </c>
      <c r="C64" s="63">
        <v>0</v>
      </c>
      <c r="D64" s="30">
        <v>0</v>
      </c>
    </row>
    <row r="65" spans="1:6" ht="15.75" hidden="1" x14ac:dyDescent="0.25">
      <c r="A65" s="29">
        <v>2370</v>
      </c>
      <c r="B65" s="64" t="s">
        <v>200</v>
      </c>
      <c r="C65" s="63">
        <v>0</v>
      </c>
      <c r="D65" s="30">
        <v>0</v>
      </c>
    </row>
    <row r="66" spans="1:6" ht="15.75" hidden="1" x14ac:dyDescent="0.25">
      <c r="A66" s="29">
        <v>2400</v>
      </c>
      <c r="B66" s="64" t="s">
        <v>201</v>
      </c>
      <c r="C66" s="63">
        <v>0</v>
      </c>
      <c r="D66" s="30">
        <v>0</v>
      </c>
    </row>
    <row r="67" spans="1:6" ht="15" hidden="1" customHeight="1" x14ac:dyDescent="0.25">
      <c r="A67" s="29">
        <v>2512</v>
      </c>
      <c r="B67" s="64" t="s">
        <v>202</v>
      </c>
      <c r="C67" s="63">
        <v>0</v>
      </c>
      <c r="D67" s="30">
        <v>0</v>
      </c>
    </row>
    <row r="68" spans="1:6" ht="15.75" x14ac:dyDescent="0.25">
      <c r="A68" s="29">
        <v>2513</v>
      </c>
      <c r="B68" s="63" t="s">
        <v>185</v>
      </c>
      <c r="C68" s="63">
        <v>1.4599999999999999E-3</v>
      </c>
      <c r="D68" s="30">
        <v>2.0299999999999998</v>
      </c>
    </row>
    <row r="69" spans="1:6" ht="15.75" x14ac:dyDescent="0.25">
      <c r="A69" s="29">
        <v>2515</v>
      </c>
      <c r="B69" s="64" t="s">
        <v>186</v>
      </c>
      <c r="C69" s="63">
        <v>1.9E-3</v>
      </c>
      <c r="D69" s="30">
        <v>2.64</v>
      </c>
    </row>
    <row r="70" spans="1:6" ht="15.75" x14ac:dyDescent="0.25">
      <c r="A70" s="29">
        <v>2519</v>
      </c>
      <c r="B70" s="64" t="s">
        <v>187</v>
      </c>
      <c r="C70" s="63">
        <v>2E-3</v>
      </c>
      <c r="D70" s="30">
        <v>2.78</v>
      </c>
    </row>
    <row r="71" spans="1:6" ht="15.75" x14ac:dyDescent="0.25">
      <c r="A71" s="29">
        <v>5220</v>
      </c>
      <c r="B71" s="64" t="s">
        <v>188</v>
      </c>
      <c r="C71" s="63">
        <v>1.06E-2</v>
      </c>
      <c r="D71" s="30">
        <v>14.73</v>
      </c>
    </row>
    <row r="72" spans="1:6" ht="15.75" x14ac:dyDescent="0.25">
      <c r="A72" s="29">
        <v>5238</v>
      </c>
      <c r="B72" s="63" t="s">
        <v>189</v>
      </c>
      <c r="C72" s="63">
        <v>1.65E-3</v>
      </c>
      <c r="D72" s="30">
        <v>2.29</v>
      </c>
    </row>
    <row r="73" spans="1:6" ht="15.75" x14ac:dyDescent="0.25">
      <c r="A73" s="29">
        <v>5239</v>
      </c>
      <c r="B73" s="63" t="s">
        <v>190</v>
      </c>
      <c r="C73" s="63">
        <v>1.9800000000000002E-2</v>
      </c>
      <c r="D73" s="30">
        <v>27.51</v>
      </c>
    </row>
    <row r="74" spans="1:6" ht="15.75" x14ac:dyDescent="0.25">
      <c r="A74" s="29">
        <v>5250</v>
      </c>
      <c r="B74" s="64" t="s">
        <v>191</v>
      </c>
      <c r="C74" s="63">
        <v>2.5000000000000001E-2</v>
      </c>
      <c r="D74" s="30">
        <f>34.74-0.34</f>
        <v>34.4</v>
      </c>
    </row>
    <row r="75" spans="1:6" ht="15.75" x14ac:dyDescent="0.2">
      <c r="A75" s="34"/>
      <c r="B75" s="38" t="s">
        <v>9</v>
      </c>
      <c r="C75" s="38"/>
      <c r="D75" s="33">
        <f>SUM(D34:D74)</f>
        <v>1389.3999999999999</v>
      </c>
    </row>
    <row r="76" spans="1:6" ht="15.75" x14ac:dyDescent="0.2">
      <c r="A76" s="34"/>
      <c r="B76" s="38" t="s">
        <v>46</v>
      </c>
      <c r="C76" s="38"/>
      <c r="D76" s="33">
        <f>D75+D32</f>
        <v>3889.5</v>
      </c>
    </row>
    <row r="77" spans="1:6" ht="15.75" x14ac:dyDescent="0.2">
      <c r="A77" s="43"/>
      <c r="B77" s="44"/>
      <c r="C77" s="85"/>
      <c r="D77" s="84"/>
    </row>
    <row r="78" spans="1:6" ht="15" customHeight="1" x14ac:dyDescent="0.25">
      <c r="A78" s="111" t="s">
        <v>52</v>
      </c>
      <c r="B78" s="112"/>
      <c r="C78" s="69"/>
      <c r="D78" s="37">
        <v>50</v>
      </c>
    </row>
    <row r="79" spans="1:6" ht="15.75" customHeight="1" x14ac:dyDescent="0.25">
      <c r="A79" s="111" t="s">
        <v>78</v>
      </c>
      <c r="B79" s="112"/>
      <c r="C79" s="69"/>
      <c r="D79" s="50">
        <f>D76/D78</f>
        <v>77.790000000000006</v>
      </c>
      <c r="F79" s="49"/>
    </row>
    <row r="80" spans="1:6" ht="15.75" customHeight="1" x14ac:dyDescent="0.25">
      <c r="A80" s="22"/>
      <c r="B80" s="15"/>
      <c r="C80" s="15"/>
      <c r="D80" s="45"/>
    </row>
    <row r="81" spans="1:4" s="3" customFormat="1" ht="15.75" customHeight="1" x14ac:dyDescent="0.25">
      <c r="A81" s="111" t="s">
        <v>53</v>
      </c>
      <c r="B81" s="112"/>
      <c r="C81" s="18"/>
      <c r="D81" s="83"/>
    </row>
    <row r="82" spans="1:4" s="3" customFormat="1" ht="15.75" customHeight="1" x14ac:dyDescent="0.25">
      <c r="A82" s="111" t="s">
        <v>80</v>
      </c>
      <c r="B82" s="112"/>
      <c r="C82" s="18"/>
      <c r="D82" s="83"/>
    </row>
    <row r="83" spans="1:4" s="3" customFormat="1" ht="15.75" x14ac:dyDescent="0.25">
      <c r="A83" s="48"/>
      <c r="B83" s="15"/>
      <c r="C83" s="15"/>
    </row>
    <row r="84" spans="1:4" s="3" customFormat="1" ht="15.75" x14ac:dyDescent="0.25">
      <c r="A84" s="19" t="s">
        <v>54</v>
      </c>
      <c r="B84" s="19"/>
      <c r="C84" s="19"/>
    </row>
    <row r="85" spans="1:4" s="3" customFormat="1" ht="15.75" x14ac:dyDescent="0.25">
      <c r="A85" s="19"/>
      <c r="B85" s="19"/>
      <c r="C85" s="19"/>
    </row>
    <row r="86" spans="1:4" s="3" customFormat="1" ht="15.75" x14ac:dyDescent="0.25">
      <c r="A86" s="19" t="s">
        <v>73</v>
      </c>
      <c r="B86" s="20"/>
      <c r="C86" s="20"/>
    </row>
    <row r="87" spans="1:4" s="3" customFormat="1" ht="13.9" customHeight="1" x14ac:dyDescent="0.25">
      <c r="A87" s="19"/>
      <c r="B87" s="21"/>
      <c r="C87" s="21"/>
    </row>
    <row r="88" spans="1:4" s="3" customFormat="1" ht="13.9" customHeight="1" x14ac:dyDescent="0.25">
      <c r="B88" s="4"/>
      <c r="C88" s="4"/>
    </row>
    <row r="89" spans="1:4" s="2" customFormat="1" x14ac:dyDescent="0.2"/>
  </sheetData>
  <mergeCells count="11">
    <mergeCell ref="B15:C15"/>
    <mergeCell ref="A78:B78"/>
    <mergeCell ref="A81:B81"/>
    <mergeCell ref="A82:B82"/>
    <mergeCell ref="A7:C7"/>
    <mergeCell ref="A9:B9"/>
    <mergeCell ref="A10:B10"/>
    <mergeCell ref="B12:C12"/>
    <mergeCell ref="A79:B79"/>
    <mergeCell ref="B13:C13"/>
    <mergeCell ref="B14:C14"/>
  </mergeCells>
  <pageMargins left="0.94488188976377963" right="0.55118110236220474" top="0.55118110236220474" bottom="0.55118110236220474" header="0.31496062992125984" footer="0.31496062992125984"/>
  <pageSetup paperSize="9" scale="61" firstPageNumber="5" orientation="portrait" useFirstPageNumber="1" r:id="rId1"/>
  <headerFooter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zoomScale="90" zoomScaleNormal="90" zoomScalePageLayoutView="90" workbookViewId="0">
      <selection activeCell="B16" sqref="B16"/>
    </sheetView>
  </sheetViews>
  <sheetFormatPr defaultColWidth="9.140625" defaultRowHeight="12.75" x14ac:dyDescent="0.2"/>
  <cols>
    <col min="1" max="1" width="12.42578125" customWidth="1"/>
    <col min="2" max="2" width="99.7109375" customWidth="1"/>
    <col min="3" max="3" width="26.42578125" hidden="1" customWidth="1"/>
    <col min="4" max="4" width="33.5703125" style="7" bestFit="1" customWidth="1"/>
  </cols>
  <sheetData>
    <row r="1" spans="1:4" ht="15.75" customHeight="1" x14ac:dyDescent="0.25">
      <c r="A1" s="5"/>
      <c r="B1" s="106" t="s">
        <v>51</v>
      </c>
      <c r="C1" s="106"/>
      <c r="D1" s="106"/>
    </row>
    <row r="2" spans="1:4" ht="15.75" x14ac:dyDescent="0.25">
      <c r="A2" s="5"/>
      <c r="B2" s="116" t="s">
        <v>55</v>
      </c>
      <c r="C2" s="116"/>
      <c r="D2" s="116"/>
    </row>
    <row r="3" spans="1:4" ht="15.75" x14ac:dyDescent="0.25">
      <c r="A3" s="5"/>
      <c r="B3" s="12"/>
      <c r="C3" s="12"/>
      <c r="D3" s="53" t="s">
        <v>156</v>
      </c>
    </row>
    <row r="4" spans="1:4" ht="15.75" x14ac:dyDescent="0.25">
      <c r="A4" s="5"/>
      <c r="B4" s="12"/>
      <c r="C4" s="12"/>
      <c r="D4" s="39"/>
    </row>
    <row r="5" spans="1:4" ht="15.75" x14ac:dyDescent="0.25">
      <c r="A5" s="5"/>
      <c r="B5" s="17"/>
      <c r="C5" s="17"/>
      <c r="D5" s="39" t="s">
        <v>157</v>
      </c>
    </row>
    <row r="6" spans="1:4" ht="15" x14ac:dyDescent="0.25">
      <c r="A6" s="5"/>
      <c r="B6" s="1"/>
      <c r="C6" s="1"/>
      <c r="D6" s="1"/>
    </row>
    <row r="7" spans="1:4" ht="18.75" x14ac:dyDescent="0.3">
      <c r="A7" s="119" t="s">
        <v>10</v>
      </c>
      <c r="B7" s="119"/>
      <c r="C7" s="119"/>
      <c r="D7" s="119"/>
    </row>
    <row r="8" spans="1:4" ht="14.25" x14ac:dyDescent="0.2">
      <c r="A8" s="6"/>
      <c r="B8" s="6"/>
      <c r="C8" s="6"/>
      <c r="D8" s="2"/>
    </row>
    <row r="9" spans="1:4" ht="15.75" customHeight="1" x14ac:dyDescent="0.2">
      <c r="A9" s="109" t="s">
        <v>1</v>
      </c>
      <c r="B9" s="109"/>
      <c r="C9" s="11"/>
      <c r="D9" s="8"/>
    </row>
    <row r="10" spans="1:4" ht="15.75" customHeight="1" x14ac:dyDescent="0.2">
      <c r="A10" s="109" t="s">
        <v>0</v>
      </c>
      <c r="B10" s="109"/>
      <c r="C10" s="11"/>
      <c r="D10" s="8"/>
    </row>
    <row r="11" spans="1:4" ht="15" customHeight="1" x14ac:dyDescent="0.2">
      <c r="A11" s="11"/>
      <c r="B11" s="11" t="s">
        <v>47</v>
      </c>
      <c r="C11" s="11"/>
      <c r="D11" s="8"/>
    </row>
    <row r="12" spans="1:4" ht="15" customHeight="1" x14ac:dyDescent="0.2">
      <c r="A12" s="11"/>
      <c r="B12" s="11" t="s">
        <v>70</v>
      </c>
      <c r="C12" s="11"/>
      <c r="D12" s="16"/>
    </row>
    <row r="13" spans="1:4" ht="15" customHeight="1" x14ac:dyDescent="0.2">
      <c r="A13" s="11"/>
      <c r="B13" s="109" t="s">
        <v>71</v>
      </c>
      <c r="C13" s="109"/>
      <c r="D13" s="109"/>
    </row>
    <row r="14" spans="1:4" ht="15" customHeight="1" x14ac:dyDescent="0.2">
      <c r="A14" s="11"/>
      <c r="B14" s="109" t="s">
        <v>148</v>
      </c>
      <c r="C14" s="109"/>
      <c r="D14" s="109"/>
    </row>
    <row r="15" spans="1:4" ht="18" customHeight="1" x14ac:dyDescent="0.2">
      <c r="A15" s="11" t="s">
        <v>2</v>
      </c>
      <c r="B15" s="11">
        <v>2019</v>
      </c>
      <c r="C15" s="11"/>
      <c r="D15" s="8"/>
    </row>
    <row r="16" spans="1:4" ht="67.5" customHeight="1" x14ac:dyDescent="0.2">
      <c r="A16" s="47" t="s">
        <v>3</v>
      </c>
      <c r="B16" s="47" t="s">
        <v>4</v>
      </c>
      <c r="C16" s="47"/>
      <c r="D16" s="47" t="s">
        <v>77</v>
      </c>
    </row>
    <row r="17" spans="1:6" ht="15.75" x14ac:dyDescent="0.2">
      <c r="A17" s="24">
        <v>1</v>
      </c>
      <c r="B17" s="25">
        <v>2</v>
      </c>
      <c r="C17" s="25"/>
      <c r="D17" s="25">
        <v>3</v>
      </c>
    </row>
    <row r="18" spans="1:6" ht="15" customHeight="1" x14ac:dyDescent="0.2">
      <c r="A18" s="26"/>
      <c r="B18" s="27" t="s">
        <v>6</v>
      </c>
      <c r="C18" s="27"/>
      <c r="D18" s="28"/>
    </row>
    <row r="19" spans="1:6" ht="15" customHeight="1" x14ac:dyDescent="0.2">
      <c r="A19" s="29">
        <v>1100</v>
      </c>
      <c r="B19" s="29" t="s">
        <v>84</v>
      </c>
      <c r="C19" s="30">
        <f>789.02+100*0.96</f>
        <v>885.02</v>
      </c>
      <c r="D19" s="30">
        <v>536.5</v>
      </c>
      <c r="F19" s="54"/>
    </row>
    <row r="20" spans="1:6" ht="15.75" x14ac:dyDescent="0.2">
      <c r="A20" s="29">
        <v>1200</v>
      </c>
      <c r="B20" s="31" t="s">
        <v>85</v>
      </c>
      <c r="C20" s="30">
        <f>190.08+100*0.23</f>
        <v>213.08</v>
      </c>
      <c r="D20" s="30">
        <v>129.24</v>
      </c>
    </row>
    <row r="21" spans="1:6" ht="15" customHeight="1" x14ac:dyDescent="0.2">
      <c r="A21" s="29">
        <v>2222</v>
      </c>
      <c r="B21" s="31" t="s">
        <v>41</v>
      </c>
      <c r="C21" s="30">
        <v>55.49</v>
      </c>
      <c r="D21" s="30">
        <v>27.75</v>
      </c>
    </row>
    <row r="22" spans="1:6" ht="15" customHeight="1" x14ac:dyDescent="0.2">
      <c r="A22" s="29">
        <v>2223</v>
      </c>
      <c r="B22" s="31" t="s">
        <v>42</v>
      </c>
      <c r="C22" s="30">
        <v>52.91</v>
      </c>
      <c r="D22" s="30">
        <v>26.46</v>
      </c>
    </row>
    <row r="23" spans="1:6" ht="15" customHeight="1" x14ac:dyDescent="0.2">
      <c r="A23" s="29">
        <v>2243</v>
      </c>
      <c r="B23" s="31" t="s">
        <v>14</v>
      </c>
      <c r="C23" s="30">
        <v>14.2</v>
      </c>
      <c r="D23" s="30">
        <v>7.1</v>
      </c>
    </row>
    <row r="24" spans="1:6" ht="15" hidden="1" customHeight="1" x14ac:dyDescent="0.2">
      <c r="A24" s="29">
        <v>2249</v>
      </c>
      <c r="B24" s="31" t="s">
        <v>16</v>
      </c>
      <c r="C24" s="30">
        <v>0</v>
      </c>
      <c r="D24" s="30">
        <f>C24/100*50</f>
        <v>0</v>
      </c>
    </row>
    <row r="25" spans="1:6" ht="15" customHeight="1" x14ac:dyDescent="0.2">
      <c r="A25" s="29">
        <v>2321</v>
      </c>
      <c r="B25" s="31" t="s">
        <v>24</v>
      </c>
      <c r="C25" s="30">
        <v>78.34</v>
      </c>
      <c r="D25" s="30">
        <v>39.17</v>
      </c>
    </row>
    <row r="26" spans="1:6" ht="15" customHeight="1" x14ac:dyDescent="0.2">
      <c r="A26" s="29">
        <v>2341</v>
      </c>
      <c r="B26" s="31" t="s">
        <v>26</v>
      </c>
      <c r="C26" s="30">
        <v>35.659999999999997</v>
      </c>
      <c r="D26" s="30">
        <v>17.829999999999998</v>
      </c>
    </row>
    <row r="27" spans="1:6" ht="15" hidden="1" customHeight="1" x14ac:dyDescent="0.2">
      <c r="A27" s="29">
        <v>2350</v>
      </c>
      <c r="B27" s="31" t="s">
        <v>28</v>
      </c>
      <c r="C27" s="30">
        <v>0</v>
      </c>
      <c r="D27" s="30">
        <f>C27/100*50</f>
        <v>0</v>
      </c>
    </row>
    <row r="28" spans="1:6" ht="15" customHeight="1" x14ac:dyDescent="0.2">
      <c r="A28" s="29">
        <v>2363</v>
      </c>
      <c r="B28" s="31" t="s">
        <v>31</v>
      </c>
      <c r="C28" s="30">
        <v>352</v>
      </c>
      <c r="D28" s="30">
        <v>196</v>
      </c>
    </row>
    <row r="29" spans="1:6" ht="15" customHeight="1" x14ac:dyDescent="0.2">
      <c r="A29" s="29">
        <v>5232</v>
      </c>
      <c r="B29" s="31" t="s">
        <v>35</v>
      </c>
      <c r="C29" s="30">
        <v>22.27</v>
      </c>
      <c r="D29" s="30">
        <v>11.14</v>
      </c>
    </row>
    <row r="30" spans="1:6" ht="15" customHeight="1" x14ac:dyDescent="0.2">
      <c r="A30" s="29"/>
      <c r="B30" s="32" t="s">
        <v>7</v>
      </c>
      <c r="C30" s="33">
        <f>SUM(C19:C29)</f>
        <v>1708.97</v>
      </c>
      <c r="D30" s="33">
        <f>SUM(D19:D29)</f>
        <v>991.19</v>
      </c>
    </row>
    <row r="31" spans="1:6" ht="15" customHeight="1" x14ac:dyDescent="0.2">
      <c r="A31" s="34"/>
      <c r="B31" s="29" t="s">
        <v>8</v>
      </c>
      <c r="C31" s="28"/>
      <c r="D31" s="28"/>
    </row>
    <row r="32" spans="1:6" ht="15" customHeight="1" x14ac:dyDescent="0.2">
      <c r="A32" s="29">
        <v>1100</v>
      </c>
      <c r="B32" s="29" t="s">
        <v>84</v>
      </c>
      <c r="C32" s="30">
        <v>713.12</v>
      </c>
      <c r="D32" s="30">
        <f t="shared" ref="D32:D72" si="0">C32/100*50</f>
        <v>356.56</v>
      </c>
    </row>
    <row r="33" spans="1:4" ht="15.75" x14ac:dyDescent="0.2">
      <c r="A33" s="29">
        <v>1200</v>
      </c>
      <c r="B33" s="31" t="s">
        <v>85</v>
      </c>
      <c r="C33" s="30">
        <v>171.79</v>
      </c>
      <c r="D33" s="30">
        <f t="shared" si="0"/>
        <v>85.894999999999996</v>
      </c>
    </row>
    <row r="34" spans="1:4" ht="15.75" hidden="1" customHeight="1" x14ac:dyDescent="0.2">
      <c r="A34" s="29">
        <v>2100</v>
      </c>
      <c r="B34" s="35" t="s">
        <v>44</v>
      </c>
      <c r="C34" s="30">
        <v>0</v>
      </c>
      <c r="D34" s="30">
        <f t="shared" si="0"/>
        <v>0</v>
      </c>
    </row>
    <row r="35" spans="1:4" ht="15" customHeight="1" x14ac:dyDescent="0.2">
      <c r="A35" s="36">
        <v>2210</v>
      </c>
      <c r="B35" s="31" t="s">
        <v>40</v>
      </c>
      <c r="C35" s="30">
        <v>11.22</v>
      </c>
      <c r="D35" s="30">
        <f t="shared" si="0"/>
        <v>5.61</v>
      </c>
    </row>
    <row r="36" spans="1:4" ht="15" customHeight="1" x14ac:dyDescent="0.2">
      <c r="A36" s="29">
        <v>2222</v>
      </c>
      <c r="B36" s="31" t="s">
        <v>41</v>
      </c>
      <c r="C36" s="30">
        <v>88.35</v>
      </c>
      <c r="D36" s="30">
        <f t="shared" si="0"/>
        <v>44.174999999999997</v>
      </c>
    </row>
    <row r="37" spans="1:4" ht="15" customHeight="1" x14ac:dyDescent="0.2">
      <c r="A37" s="29">
        <v>2223</v>
      </c>
      <c r="B37" s="31" t="s">
        <v>42</v>
      </c>
      <c r="C37" s="30">
        <v>112.41</v>
      </c>
      <c r="D37" s="30">
        <f t="shared" si="0"/>
        <v>56.204999999999991</v>
      </c>
    </row>
    <row r="38" spans="1:4" ht="15" customHeight="1" x14ac:dyDescent="0.2">
      <c r="A38" s="29">
        <v>2230</v>
      </c>
      <c r="B38" s="31" t="s">
        <v>43</v>
      </c>
      <c r="C38" s="30">
        <v>7.64</v>
      </c>
      <c r="D38" s="30">
        <f t="shared" si="0"/>
        <v>3.82</v>
      </c>
    </row>
    <row r="39" spans="1:4" ht="15.75" hidden="1" customHeight="1" x14ac:dyDescent="0.2">
      <c r="A39" s="29">
        <v>2241</v>
      </c>
      <c r="B39" s="31" t="s">
        <v>12</v>
      </c>
      <c r="C39" s="30">
        <v>0</v>
      </c>
      <c r="D39" s="30">
        <f t="shared" si="0"/>
        <v>0</v>
      </c>
    </row>
    <row r="40" spans="1:4" ht="15" customHeight="1" x14ac:dyDescent="0.2">
      <c r="A40" s="29">
        <v>2242</v>
      </c>
      <c r="B40" s="31" t="s">
        <v>13</v>
      </c>
      <c r="C40" s="30">
        <v>2.0699999999999998</v>
      </c>
      <c r="D40" s="30">
        <f t="shared" si="0"/>
        <v>1.0349999999999999</v>
      </c>
    </row>
    <row r="41" spans="1:4" ht="15" customHeight="1" x14ac:dyDescent="0.2">
      <c r="A41" s="29">
        <v>2243</v>
      </c>
      <c r="B41" s="31" t="s">
        <v>14</v>
      </c>
      <c r="C41" s="30">
        <v>11</v>
      </c>
      <c r="D41" s="30">
        <f t="shared" si="0"/>
        <v>5.5</v>
      </c>
    </row>
    <row r="42" spans="1:4" ht="15" customHeight="1" x14ac:dyDescent="0.2">
      <c r="A42" s="29">
        <v>2244</v>
      </c>
      <c r="B42" s="31" t="s">
        <v>15</v>
      </c>
      <c r="C42" s="30">
        <v>224.42</v>
      </c>
      <c r="D42" s="30">
        <v>179</v>
      </c>
    </row>
    <row r="43" spans="1:4" ht="15" customHeight="1" x14ac:dyDescent="0.2">
      <c r="A43" s="29">
        <v>2247</v>
      </c>
      <c r="B43" s="27" t="s">
        <v>86</v>
      </c>
      <c r="C43" s="30">
        <v>0.69</v>
      </c>
      <c r="D43" s="30">
        <f t="shared" si="0"/>
        <v>0.34499999999999997</v>
      </c>
    </row>
    <row r="44" spans="1:4" ht="15" customHeight="1" x14ac:dyDescent="0.2">
      <c r="A44" s="29">
        <v>2249</v>
      </c>
      <c r="B44" s="31" t="s">
        <v>16</v>
      </c>
      <c r="C44" s="30">
        <v>2.86</v>
      </c>
      <c r="D44" s="30">
        <f t="shared" si="0"/>
        <v>1.43</v>
      </c>
    </row>
    <row r="45" spans="1:4" ht="15" customHeight="1" x14ac:dyDescent="0.2">
      <c r="A45" s="29">
        <v>2251</v>
      </c>
      <c r="B45" s="31" t="s">
        <v>87</v>
      </c>
      <c r="C45" s="30">
        <v>28.72</v>
      </c>
      <c r="D45" s="30">
        <f t="shared" si="0"/>
        <v>14.360000000000001</v>
      </c>
    </row>
    <row r="46" spans="1:4" ht="15.75" hidden="1" customHeight="1" x14ac:dyDescent="0.2">
      <c r="A46" s="29">
        <v>2252</v>
      </c>
      <c r="B46" s="31" t="s">
        <v>11</v>
      </c>
      <c r="C46" s="30">
        <v>0</v>
      </c>
      <c r="D46" s="30">
        <f t="shared" si="0"/>
        <v>0</v>
      </c>
    </row>
    <row r="47" spans="1:4" ht="15" customHeight="1" x14ac:dyDescent="0.2">
      <c r="A47" s="29">
        <v>2259</v>
      </c>
      <c r="B47" s="31" t="s">
        <v>88</v>
      </c>
      <c r="C47" s="30">
        <v>0.08</v>
      </c>
      <c r="D47" s="30">
        <f t="shared" si="0"/>
        <v>0.04</v>
      </c>
    </row>
    <row r="48" spans="1:4" ht="15" hidden="1" customHeight="1" x14ac:dyDescent="0.2">
      <c r="A48" s="29">
        <v>2261</v>
      </c>
      <c r="B48" s="31" t="s">
        <v>17</v>
      </c>
      <c r="C48" s="30">
        <v>0</v>
      </c>
      <c r="D48" s="30">
        <f t="shared" si="0"/>
        <v>0</v>
      </c>
    </row>
    <row r="49" spans="1:4" ht="15" customHeight="1" x14ac:dyDescent="0.2">
      <c r="A49" s="29">
        <v>2262</v>
      </c>
      <c r="B49" s="31" t="s">
        <v>18</v>
      </c>
      <c r="C49" s="30">
        <v>8.0399999999999991</v>
      </c>
      <c r="D49" s="30">
        <f t="shared" si="0"/>
        <v>4.0199999999999996</v>
      </c>
    </row>
    <row r="50" spans="1:4" ht="15" customHeight="1" x14ac:dyDescent="0.2">
      <c r="A50" s="29">
        <v>2263</v>
      </c>
      <c r="B50" s="31" t="s">
        <v>19</v>
      </c>
      <c r="C50" s="30">
        <v>28.68</v>
      </c>
      <c r="D50" s="30">
        <f t="shared" si="0"/>
        <v>14.34</v>
      </c>
    </row>
    <row r="51" spans="1:4" ht="15.75" customHeight="1" x14ac:dyDescent="0.2">
      <c r="A51" s="29">
        <v>2264</v>
      </c>
      <c r="B51" s="31" t="s">
        <v>20</v>
      </c>
      <c r="C51" s="30">
        <v>0.08</v>
      </c>
      <c r="D51" s="30">
        <f t="shared" si="0"/>
        <v>0.04</v>
      </c>
    </row>
    <row r="52" spans="1:4" ht="15.75" customHeight="1" x14ac:dyDescent="0.2">
      <c r="A52" s="29">
        <v>2279</v>
      </c>
      <c r="B52" s="31" t="s">
        <v>21</v>
      </c>
      <c r="C52" s="30">
        <v>38.340000000000003</v>
      </c>
      <c r="D52" s="30">
        <f t="shared" si="0"/>
        <v>19.170000000000002</v>
      </c>
    </row>
    <row r="53" spans="1:4" ht="15" customHeight="1" x14ac:dyDescent="0.2">
      <c r="A53" s="29">
        <v>2311</v>
      </c>
      <c r="B53" s="31" t="s">
        <v>22</v>
      </c>
      <c r="C53" s="30">
        <v>12.53</v>
      </c>
      <c r="D53" s="30">
        <f t="shared" si="0"/>
        <v>6.2649999999999997</v>
      </c>
    </row>
    <row r="54" spans="1:4" ht="15" customHeight="1" x14ac:dyDescent="0.2">
      <c r="A54" s="29">
        <v>2312</v>
      </c>
      <c r="B54" s="31" t="s">
        <v>23</v>
      </c>
      <c r="C54" s="30">
        <v>38.68</v>
      </c>
      <c r="D54" s="30">
        <f t="shared" si="0"/>
        <v>19.34</v>
      </c>
    </row>
    <row r="55" spans="1:4" ht="15" customHeight="1" x14ac:dyDescent="0.2">
      <c r="A55" s="29">
        <v>2321</v>
      </c>
      <c r="B55" s="31" t="s">
        <v>24</v>
      </c>
      <c r="C55" s="30">
        <v>195.41</v>
      </c>
      <c r="D55" s="30">
        <f t="shared" si="0"/>
        <v>97.704999999999998</v>
      </c>
    </row>
    <row r="56" spans="1:4" ht="15" customHeight="1" x14ac:dyDescent="0.2">
      <c r="A56" s="29">
        <v>2322</v>
      </c>
      <c r="B56" s="31" t="s">
        <v>25</v>
      </c>
      <c r="C56" s="30">
        <v>19.350000000000001</v>
      </c>
      <c r="D56" s="30">
        <f t="shared" si="0"/>
        <v>9.6750000000000007</v>
      </c>
    </row>
    <row r="57" spans="1:4" ht="15" customHeight="1" x14ac:dyDescent="0.2">
      <c r="A57" s="29">
        <v>2341</v>
      </c>
      <c r="B57" s="31" t="s">
        <v>26</v>
      </c>
      <c r="C57" s="30">
        <v>1.32</v>
      </c>
      <c r="D57" s="30">
        <f t="shared" si="0"/>
        <v>0.66</v>
      </c>
    </row>
    <row r="58" spans="1:4" ht="15" customHeight="1" x14ac:dyDescent="0.2">
      <c r="A58" s="29">
        <v>2344</v>
      </c>
      <c r="B58" s="31" t="s">
        <v>27</v>
      </c>
      <c r="C58" s="30">
        <v>0.03</v>
      </c>
      <c r="D58" s="30">
        <f t="shared" si="0"/>
        <v>1.4999999999999999E-2</v>
      </c>
    </row>
    <row r="59" spans="1:4" ht="15" customHeight="1" x14ac:dyDescent="0.2">
      <c r="A59" s="29">
        <v>2350</v>
      </c>
      <c r="B59" s="31" t="s">
        <v>28</v>
      </c>
      <c r="C59" s="30">
        <v>27.92</v>
      </c>
      <c r="D59" s="30">
        <f t="shared" si="0"/>
        <v>13.96</v>
      </c>
    </row>
    <row r="60" spans="1:4" ht="15" customHeight="1" x14ac:dyDescent="0.2">
      <c r="A60" s="29">
        <v>2361</v>
      </c>
      <c r="B60" s="31" t="s">
        <v>29</v>
      </c>
      <c r="C60" s="30">
        <v>20.85</v>
      </c>
      <c r="D60" s="30">
        <f t="shared" si="0"/>
        <v>10.425000000000001</v>
      </c>
    </row>
    <row r="61" spans="1:4" ht="15" customHeight="1" x14ac:dyDescent="0.2">
      <c r="A61" s="29">
        <v>2362</v>
      </c>
      <c r="B61" s="31" t="s">
        <v>30</v>
      </c>
      <c r="C61" s="30">
        <v>14.69</v>
      </c>
      <c r="D61" s="30">
        <f t="shared" si="0"/>
        <v>7.3449999999999998</v>
      </c>
    </row>
    <row r="62" spans="1:4" ht="15" hidden="1" customHeight="1" x14ac:dyDescent="0.2">
      <c r="A62" s="29">
        <v>2363</v>
      </c>
      <c r="B62" s="31" t="s">
        <v>31</v>
      </c>
      <c r="C62" s="30">
        <v>0</v>
      </c>
      <c r="D62" s="30">
        <f t="shared" si="0"/>
        <v>0</v>
      </c>
    </row>
    <row r="63" spans="1:4" ht="15.75" hidden="1" customHeight="1" x14ac:dyDescent="0.2">
      <c r="A63" s="29">
        <v>2370</v>
      </c>
      <c r="B63" s="31" t="s">
        <v>32</v>
      </c>
      <c r="C63" s="30">
        <v>0</v>
      </c>
      <c r="D63" s="30">
        <f t="shared" si="0"/>
        <v>0</v>
      </c>
    </row>
    <row r="64" spans="1:4" ht="15" customHeight="1" x14ac:dyDescent="0.2">
      <c r="A64" s="29">
        <v>2400</v>
      </c>
      <c r="B64" s="31" t="s">
        <v>45</v>
      </c>
      <c r="C64" s="30">
        <v>0.96</v>
      </c>
      <c r="D64" s="30">
        <f t="shared" si="0"/>
        <v>0.48</v>
      </c>
    </row>
    <row r="65" spans="1:4" ht="15" customHeight="1" x14ac:dyDescent="0.2">
      <c r="A65" s="29">
        <v>2513</v>
      </c>
      <c r="B65" s="31" t="s">
        <v>33</v>
      </c>
      <c r="C65" s="30">
        <v>17.260000000000002</v>
      </c>
      <c r="D65" s="30">
        <f t="shared" si="0"/>
        <v>8.6300000000000008</v>
      </c>
    </row>
    <row r="66" spans="1:4" ht="15" customHeight="1" x14ac:dyDescent="0.2">
      <c r="A66" s="29">
        <v>2515</v>
      </c>
      <c r="B66" s="31" t="s">
        <v>89</v>
      </c>
      <c r="C66" s="30">
        <v>2.3199999999999998</v>
      </c>
      <c r="D66" s="30">
        <f t="shared" si="0"/>
        <v>1.1599999999999999</v>
      </c>
    </row>
    <row r="67" spans="1:4" ht="15" customHeight="1" x14ac:dyDescent="0.2">
      <c r="A67" s="29">
        <v>2519</v>
      </c>
      <c r="B67" s="31" t="s">
        <v>36</v>
      </c>
      <c r="C67" s="30">
        <v>4.3099999999999996</v>
      </c>
      <c r="D67" s="30">
        <f t="shared" si="0"/>
        <v>2.1549999999999998</v>
      </c>
    </row>
    <row r="68" spans="1:4" ht="15.75" hidden="1" customHeight="1" x14ac:dyDescent="0.2">
      <c r="A68" s="29">
        <v>6240</v>
      </c>
      <c r="B68" s="31" t="s">
        <v>48</v>
      </c>
      <c r="C68" s="30">
        <v>0</v>
      </c>
      <c r="D68" s="30">
        <f t="shared" si="0"/>
        <v>0</v>
      </c>
    </row>
    <row r="69" spans="1:4" ht="15.75" hidden="1" customHeight="1" x14ac:dyDescent="0.2">
      <c r="A69" s="29">
        <v>6290</v>
      </c>
      <c r="B69" s="31" t="s">
        <v>49</v>
      </c>
      <c r="C69" s="30">
        <v>0</v>
      </c>
      <c r="D69" s="30">
        <f t="shared" si="0"/>
        <v>0</v>
      </c>
    </row>
    <row r="70" spans="1:4" ht="15" customHeight="1" x14ac:dyDescent="0.2">
      <c r="A70" s="29">
        <v>5121</v>
      </c>
      <c r="B70" s="31" t="s">
        <v>34</v>
      </c>
      <c r="C70" s="30">
        <v>3.07</v>
      </c>
      <c r="D70" s="30">
        <f t="shared" si="0"/>
        <v>1.5349999999999999</v>
      </c>
    </row>
    <row r="71" spans="1:4" ht="15" customHeight="1" x14ac:dyDescent="0.2">
      <c r="A71" s="29">
        <v>5232</v>
      </c>
      <c r="B71" s="31" t="s">
        <v>35</v>
      </c>
      <c r="C71" s="30">
        <v>11.48</v>
      </c>
      <c r="D71" s="30">
        <f t="shared" si="0"/>
        <v>5.74</v>
      </c>
    </row>
    <row r="72" spans="1:4" ht="12.75" hidden="1" customHeight="1" x14ac:dyDescent="0.2">
      <c r="A72" s="29">
        <v>5238</v>
      </c>
      <c r="B72" s="31" t="s">
        <v>37</v>
      </c>
      <c r="C72" s="30">
        <v>0</v>
      </c>
      <c r="D72" s="30">
        <f t="shared" si="0"/>
        <v>0</v>
      </c>
    </row>
    <row r="73" spans="1:4" ht="15" customHeight="1" x14ac:dyDescent="0.2">
      <c r="A73" s="29">
        <v>5240</v>
      </c>
      <c r="B73" s="31" t="s">
        <v>38</v>
      </c>
      <c r="C73" s="30">
        <v>15.34</v>
      </c>
      <c r="D73" s="30">
        <v>7.67</v>
      </c>
    </row>
    <row r="74" spans="1:4" ht="15.75" x14ac:dyDescent="0.2">
      <c r="A74" s="29">
        <v>5250</v>
      </c>
      <c r="B74" s="31" t="s">
        <v>39</v>
      </c>
      <c r="C74" s="37"/>
      <c r="D74" s="37"/>
    </row>
    <row r="75" spans="1:4" ht="15" customHeight="1" x14ac:dyDescent="0.2">
      <c r="A75" s="34"/>
      <c r="B75" s="38" t="s">
        <v>9</v>
      </c>
      <c r="C75" s="33">
        <f>SUM(C32:C74)</f>
        <v>1835.0299999999997</v>
      </c>
      <c r="D75" s="33">
        <f>SUM(D32:D74)</f>
        <v>984.30499999999984</v>
      </c>
    </row>
    <row r="76" spans="1:4" ht="15" customHeight="1" x14ac:dyDescent="0.2">
      <c r="A76" s="34"/>
      <c r="B76" s="38" t="s">
        <v>46</v>
      </c>
      <c r="C76" s="33">
        <f>C75+C30</f>
        <v>3544</v>
      </c>
      <c r="D76" s="33">
        <f>D75+D30</f>
        <v>1975.4949999999999</v>
      </c>
    </row>
    <row r="77" spans="1:4" ht="15.75" x14ac:dyDescent="0.25">
      <c r="A77" s="39"/>
      <c r="B77" s="22"/>
      <c r="C77" s="8"/>
      <c r="D77" s="8"/>
    </row>
    <row r="78" spans="1:4" ht="15.75" customHeight="1" x14ac:dyDescent="0.2">
      <c r="A78" s="109" t="s">
        <v>58</v>
      </c>
      <c r="B78" s="120"/>
      <c r="C78" s="23">
        <v>100</v>
      </c>
      <c r="D78" s="51">
        <v>50</v>
      </c>
    </row>
    <row r="79" spans="1:4" ht="15.75" customHeight="1" x14ac:dyDescent="0.25">
      <c r="A79" s="109" t="s">
        <v>59</v>
      </c>
      <c r="B79" s="120"/>
      <c r="C79" s="41">
        <f>C76/C78</f>
        <v>35.44</v>
      </c>
      <c r="D79" s="52">
        <f>D76/D78</f>
        <v>39.509899999999995</v>
      </c>
    </row>
    <row r="80" spans="1:4" ht="15.75" customHeight="1" x14ac:dyDescent="0.25">
      <c r="A80" s="11"/>
      <c r="B80" s="11"/>
      <c r="C80" s="40"/>
      <c r="D80" s="40"/>
    </row>
    <row r="81" spans="1:4" s="3" customFormat="1" ht="15.75" customHeight="1" x14ac:dyDescent="0.25">
      <c r="A81" s="111" t="s">
        <v>53</v>
      </c>
      <c r="B81" s="112"/>
      <c r="C81" s="18">
        <v>34.25</v>
      </c>
      <c r="D81" s="42"/>
    </row>
    <row r="82" spans="1:4" s="3" customFormat="1" ht="15.75" customHeight="1" x14ac:dyDescent="0.25">
      <c r="A82" s="111" t="s">
        <v>79</v>
      </c>
      <c r="B82" s="112"/>
      <c r="C82" s="18"/>
      <c r="D82" s="42"/>
    </row>
    <row r="83" spans="1:4" s="3" customFormat="1" ht="15.75" x14ac:dyDescent="0.25">
      <c r="A83" s="19"/>
      <c r="B83" s="19"/>
      <c r="C83" s="19"/>
      <c r="D83" s="19"/>
    </row>
    <row r="84" spans="1:4" s="3" customFormat="1" ht="15.75" x14ac:dyDescent="0.25">
      <c r="A84" s="19" t="s">
        <v>54</v>
      </c>
      <c r="B84" s="19"/>
      <c r="C84" s="19"/>
      <c r="D84" s="19"/>
    </row>
    <row r="85" spans="1:4" s="3" customFormat="1" ht="15.75" x14ac:dyDescent="0.25">
      <c r="A85" s="19"/>
      <c r="B85" s="19"/>
      <c r="C85" s="19"/>
      <c r="D85" s="19"/>
    </row>
    <row r="86" spans="1:4" s="3" customFormat="1" ht="15.75" x14ac:dyDescent="0.25">
      <c r="A86" s="19" t="s">
        <v>73</v>
      </c>
      <c r="B86" s="20"/>
      <c r="C86" s="20"/>
      <c r="D86" s="20"/>
    </row>
    <row r="87" spans="1:4" s="3" customFormat="1" ht="13.9" customHeight="1" x14ac:dyDescent="0.25">
      <c r="A87" s="19"/>
      <c r="B87" s="21"/>
      <c r="C87" s="21"/>
      <c r="D87" s="19"/>
    </row>
    <row r="88" spans="1:4" s="3" customFormat="1" ht="13.9" customHeight="1" x14ac:dyDescent="0.25">
      <c r="B88" s="4"/>
      <c r="C88" s="4"/>
    </row>
    <row r="89" spans="1:4" s="2" customFormat="1" ht="14.25" x14ac:dyDescent="0.2"/>
  </sheetData>
  <mergeCells count="11">
    <mergeCell ref="B14:D14"/>
    <mergeCell ref="A78:B78"/>
    <mergeCell ref="A79:B79"/>
    <mergeCell ref="A81:B81"/>
    <mergeCell ref="A82:B82"/>
    <mergeCell ref="B1:D1"/>
    <mergeCell ref="B2:D2"/>
    <mergeCell ref="A9:B9"/>
    <mergeCell ref="A10:B10"/>
    <mergeCell ref="A7:D7"/>
    <mergeCell ref="B13:D13"/>
  </mergeCells>
  <pageMargins left="0.94488188976377963" right="0.55118110236220474" top="0.62992125984251968" bottom="0.62992125984251968" header="0.31496062992125984" footer="0.31496062992125984"/>
  <pageSetup paperSize="9" scale="60" firstPageNumber="6" fitToHeight="0" orientation="portrait" useFirstPageNumber="1" r:id="rId1"/>
  <headerFooter>
    <oddFooter>&amp;C&amp;"Times New Roman,Regular"LManotp2_150319_MK1002; Grozījumi MK 24.09.2013. noteikumos Nr.1002 "Sociālās integrācijas valsts aģēntūras sniegto maksas pakalpojumu cenrādis"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topLeftCell="A40" zoomScale="90" zoomScaleNormal="90" zoomScalePageLayoutView="90" workbookViewId="0">
      <selection activeCell="B17" sqref="B17"/>
    </sheetView>
  </sheetViews>
  <sheetFormatPr defaultRowHeight="14.25" x14ac:dyDescent="0.2"/>
  <cols>
    <col min="1" max="1" width="12.140625" style="2" customWidth="1"/>
    <col min="2" max="2" width="97.28515625" style="2" customWidth="1"/>
    <col min="3" max="3" width="11.28515625" style="2" hidden="1" customWidth="1"/>
    <col min="4" max="4" width="26.140625" customWidth="1"/>
  </cols>
  <sheetData>
    <row r="1" spans="1:4" ht="15.75" customHeight="1" x14ac:dyDescent="0.25">
      <c r="A1" s="5"/>
      <c r="B1" s="39"/>
      <c r="C1" s="39"/>
      <c r="D1" s="57" t="s">
        <v>51</v>
      </c>
    </row>
    <row r="2" spans="1:4" ht="15.75" customHeight="1" x14ac:dyDescent="0.25">
      <c r="A2" s="5"/>
      <c r="B2" s="39"/>
      <c r="D2" s="12" t="s">
        <v>55</v>
      </c>
    </row>
    <row r="3" spans="1:4" ht="15.75" x14ac:dyDescent="0.25">
      <c r="A3" s="5"/>
      <c r="B3" s="48"/>
      <c r="C3" s="48"/>
      <c r="D3" s="53" t="s">
        <v>81</v>
      </c>
    </row>
    <row r="4" spans="1:4" ht="15.75" x14ac:dyDescent="0.25">
      <c r="A4" s="5"/>
      <c r="B4" s="39"/>
      <c r="C4" s="39"/>
    </row>
    <row r="5" spans="1:4" ht="15.75" x14ac:dyDescent="0.25">
      <c r="A5" s="5"/>
      <c r="B5" s="39"/>
      <c r="C5" s="39"/>
      <c r="D5" s="39" t="s">
        <v>236</v>
      </c>
    </row>
    <row r="6" spans="1:4" ht="15" x14ac:dyDescent="0.25">
      <c r="A6" s="5"/>
      <c r="B6" s="1"/>
      <c r="C6" s="1"/>
    </row>
    <row r="7" spans="1:4" ht="17.25" customHeight="1" x14ac:dyDescent="0.3">
      <c r="A7" s="115" t="s">
        <v>10</v>
      </c>
      <c r="B7" s="115"/>
      <c r="C7" s="115"/>
    </row>
    <row r="8" spans="1:4" x14ac:dyDescent="0.2">
      <c r="A8" s="9"/>
      <c r="B8" s="10"/>
      <c r="C8" s="10"/>
    </row>
    <row r="9" spans="1:4" ht="15" customHeight="1" x14ac:dyDescent="0.2">
      <c r="A9" s="109" t="s">
        <v>1</v>
      </c>
      <c r="B9" s="113"/>
      <c r="C9" s="56"/>
    </row>
    <row r="10" spans="1:4" ht="15" customHeight="1" x14ac:dyDescent="0.2">
      <c r="A10" s="109" t="s">
        <v>0</v>
      </c>
      <c r="B10" s="113"/>
      <c r="C10" s="56"/>
    </row>
    <row r="11" spans="1:4" ht="15" customHeight="1" x14ac:dyDescent="0.2">
      <c r="A11" s="11"/>
      <c r="B11" s="11" t="s">
        <v>47</v>
      </c>
      <c r="C11" s="11"/>
    </row>
    <row r="12" spans="1:4" ht="15" customHeight="1" x14ac:dyDescent="0.2">
      <c r="A12" s="11"/>
      <c r="B12" s="109" t="s">
        <v>70</v>
      </c>
      <c r="C12" s="109"/>
    </row>
    <row r="13" spans="1:4" ht="15.75" customHeight="1" x14ac:dyDescent="0.2">
      <c r="A13" s="11"/>
      <c r="B13" s="109" t="s">
        <v>71</v>
      </c>
      <c r="C13" s="109"/>
    </row>
    <row r="14" spans="1:4" ht="15.75" customHeight="1" x14ac:dyDescent="0.2">
      <c r="A14" s="11"/>
      <c r="B14" s="109" t="s">
        <v>210</v>
      </c>
      <c r="C14" s="109"/>
    </row>
    <row r="15" spans="1:4" ht="15" customHeight="1" x14ac:dyDescent="0.2">
      <c r="A15" s="11"/>
      <c r="B15" s="109"/>
      <c r="C15" s="109"/>
    </row>
    <row r="16" spans="1:4" ht="15.75" customHeight="1" x14ac:dyDescent="0.2">
      <c r="A16" s="11" t="s">
        <v>2</v>
      </c>
      <c r="B16" s="11" t="s">
        <v>232</v>
      </c>
      <c r="C16" s="11"/>
    </row>
    <row r="17" spans="1:7" ht="63" customHeight="1" x14ac:dyDescent="0.2">
      <c r="A17" s="47" t="s">
        <v>3</v>
      </c>
      <c r="B17" s="47" t="s">
        <v>4</v>
      </c>
      <c r="C17" s="47"/>
      <c r="D17" s="47" t="s">
        <v>77</v>
      </c>
    </row>
    <row r="18" spans="1:7" ht="15.75" x14ac:dyDescent="0.2">
      <c r="A18" s="24">
        <v>1</v>
      </c>
      <c r="B18" s="25">
        <v>2</v>
      </c>
      <c r="C18" s="25"/>
      <c r="D18" s="25">
        <v>3</v>
      </c>
    </row>
    <row r="19" spans="1:7" ht="15.75" x14ac:dyDescent="0.2">
      <c r="A19" s="26"/>
      <c r="B19" s="27" t="s">
        <v>6</v>
      </c>
      <c r="C19" s="27"/>
      <c r="D19" s="28"/>
    </row>
    <row r="20" spans="1:7" ht="15" customHeight="1" x14ac:dyDescent="0.2">
      <c r="A20" s="29">
        <v>1100</v>
      </c>
      <c r="B20" s="29" t="s">
        <v>159</v>
      </c>
      <c r="C20" s="29"/>
      <c r="D20" s="30">
        <f>15.23*95</f>
        <v>1446.8500000000001</v>
      </c>
      <c r="E20" s="49"/>
      <c r="F20" s="49"/>
      <c r="G20" s="49"/>
    </row>
    <row r="21" spans="1:7" ht="15.75" x14ac:dyDescent="0.25">
      <c r="A21" s="29">
        <v>1200</v>
      </c>
      <c r="B21" s="63" t="s">
        <v>160</v>
      </c>
      <c r="C21" s="63"/>
      <c r="D21" s="30">
        <v>341.31</v>
      </c>
    </row>
    <row r="22" spans="1:7" ht="15.75" x14ac:dyDescent="0.25">
      <c r="A22" s="29">
        <v>2222</v>
      </c>
      <c r="B22" s="64" t="s">
        <v>164</v>
      </c>
      <c r="C22" s="64"/>
      <c r="D22" s="30">
        <v>56.07</v>
      </c>
    </row>
    <row r="23" spans="1:7" ht="15.75" x14ac:dyDescent="0.25">
      <c r="A23" s="29">
        <v>2223</v>
      </c>
      <c r="B23" s="64" t="s">
        <v>165</v>
      </c>
      <c r="C23" s="64"/>
      <c r="D23" s="30">
        <v>61.43</v>
      </c>
    </row>
    <row r="24" spans="1:7" ht="15.75" hidden="1" x14ac:dyDescent="0.25">
      <c r="A24" s="29">
        <v>2243</v>
      </c>
      <c r="B24" s="62" t="s">
        <v>172</v>
      </c>
      <c r="C24" s="62"/>
      <c r="D24" s="30">
        <v>0</v>
      </c>
    </row>
    <row r="25" spans="1:7" ht="15.75" x14ac:dyDescent="0.25">
      <c r="A25" s="29">
        <v>2244</v>
      </c>
      <c r="B25" s="62" t="s">
        <v>173</v>
      </c>
      <c r="C25" s="62"/>
      <c r="D25" s="30">
        <v>100.7</v>
      </c>
    </row>
    <row r="26" spans="1:7" ht="15.75" x14ac:dyDescent="0.25">
      <c r="A26" s="29">
        <v>2312</v>
      </c>
      <c r="B26" s="64" t="s">
        <v>181</v>
      </c>
      <c r="C26" s="62"/>
      <c r="D26" s="30">
        <f>0.28*95</f>
        <v>26.6</v>
      </c>
    </row>
    <row r="27" spans="1:7" ht="15.75" x14ac:dyDescent="0.25">
      <c r="A27" s="29">
        <v>2321</v>
      </c>
      <c r="B27" s="64" t="s">
        <v>183</v>
      </c>
      <c r="C27" s="64"/>
      <c r="D27" s="30">
        <v>67.2</v>
      </c>
    </row>
    <row r="28" spans="1:7" ht="15.75" x14ac:dyDescent="0.25">
      <c r="A28" s="29">
        <v>2341</v>
      </c>
      <c r="B28" s="64" t="s">
        <v>161</v>
      </c>
      <c r="C28" s="64"/>
      <c r="D28" s="30">
        <v>59.18</v>
      </c>
    </row>
    <row r="29" spans="1:7" ht="15.75" x14ac:dyDescent="0.25">
      <c r="A29" s="29">
        <v>2361</v>
      </c>
      <c r="B29" s="64" t="s">
        <v>197</v>
      </c>
      <c r="C29" s="64"/>
      <c r="D29" s="30">
        <v>213.75</v>
      </c>
    </row>
    <row r="30" spans="1:7" ht="15.75" x14ac:dyDescent="0.25">
      <c r="A30" s="29">
        <v>2363</v>
      </c>
      <c r="B30" s="64" t="s">
        <v>199</v>
      </c>
      <c r="C30" s="64"/>
      <c r="D30" s="30">
        <f>8.12*95</f>
        <v>771.4</v>
      </c>
    </row>
    <row r="31" spans="1:7" ht="15" customHeight="1" x14ac:dyDescent="0.25">
      <c r="A31" s="29">
        <v>5239</v>
      </c>
      <c r="B31" s="63" t="s">
        <v>190</v>
      </c>
      <c r="C31" s="63"/>
      <c r="D31" s="30">
        <v>23.84</v>
      </c>
    </row>
    <row r="32" spans="1:7" ht="15" customHeight="1" x14ac:dyDescent="0.2">
      <c r="A32" s="29"/>
      <c r="B32" s="32" t="s">
        <v>7</v>
      </c>
      <c r="C32" s="32"/>
      <c r="D32" s="33">
        <f>SUM(D20:D31)</f>
        <v>3168.33</v>
      </c>
    </row>
    <row r="33" spans="1:6" ht="15" customHeight="1" x14ac:dyDescent="0.2">
      <c r="A33" s="34"/>
      <c r="B33" s="29" t="s">
        <v>8</v>
      </c>
      <c r="C33" s="29"/>
      <c r="D33" s="28"/>
    </row>
    <row r="34" spans="1:6" ht="15" customHeight="1" x14ac:dyDescent="0.25">
      <c r="A34" s="29">
        <v>1100</v>
      </c>
      <c r="B34" s="62" t="s">
        <v>159</v>
      </c>
      <c r="C34" s="63">
        <f>0.388+0.024</f>
        <v>0.41200000000000003</v>
      </c>
      <c r="D34" s="30">
        <v>902.01</v>
      </c>
      <c r="F34" s="49"/>
    </row>
    <row r="35" spans="1:6" ht="15.75" x14ac:dyDescent="0.25">
      <c r="A35" s="29">
        <v>1200</v>
      </c>
      <c r="B35" s="62" t="s">
        <v>160</v>
      </c>
      <c r="C35" s="63">
        <f>C34*0.2359</f>
        <v>9.7190800000000008E-2</v>
      </c>
      <c r="D35" s="30">
        <v>212.78</v>
      </c>
    </row>
    <row r="36" spans="1:6" ht="15.75" x14ac:dyDescent="0.25">
      <c r="A36" s="29">
        <v>2100</v>
      </c>
      <c r="B36" s="35" t="s">
        <v>44</v>
      </c>
      <c r="C36" s="63">
        <v>1.1659999999999999E-3</v>
      </c>
      <c r="D36" s="30">
        <v>2.69</v>
      </c>
    </row>
    <row r="37" spans="1:6" ht="15.75" x14ac:dyDescent="0.25">
      <c r="A37" s="36">
        <v>2210</v>
      </c>
      <c r="B37" s="64" t="s">
        <v>163</v>
      </c>
      <c r="C37" s="63">
        <v>7.6E-3</v>
      </c>
      <c r="D37" s="30">
        <v>17.510000000000002</v>
      </c>
    </row>
    <row r="38" spans="1:6" ht="15" customHeight="1" x14ac:dyDescent="0.25">
      <c r="A38" s="29">
        <v>2222</v>
      </c>
      <c r="B38" s="64" t="s">
        <v>164</v>
      </c>
      <c r="C38" s="63">
        <v>9.4999999999999998E-3</v>
      </c>
      <c r="D38" s="30">
        <v>21.88</v>
      </c>
    </row>
    <row r="39" spans="1:6" ht="15" customHeight="1" x14ac:dyDescent="0.25">
      <c r="A39" s="29">
        <v>2223</v>
      </c>
      <c r="B39" s="64" t="s">
        <v>165</v>
      </c>
      <c r="C39" s="63">
        <v>1.9019999999999999E-2</v>
      </c>
      <c r="D39" s="30">
        <v>43.81</v>
      </c>
    </row>
    <row r="40" spans="1:6" ht="31.5" x14ac:dyDescent="0.25">
      <c r="A40" s="29">
        <v>2224</v>
      </c>
      <c r="B40" s="64" t="s">
        <v>166</v>
      </c>
      <c r="C40" s="63">
        <v>4.9500000000000004E-3</v>
      </c>
      <c r="D40" s="30">
        <v>11.4</v>
      </c>
    </row>
    <row r="41" spans="1:6" ht="15.75" x14ac:dyDescent="0.25">
      <c r="A41" s="29">
        <v>2231</v>
      </c>
      <c r="B41" s="62" t="s">
        <v>167</v>
      </c>
      <c r="C41" s="63">
        <v>1.5499999999999999E-3</v>
      </c>
      <c r="D41" s="30">
        <v>3.57</v>
      </c>
    </row>
    <row r="42" spans="1:6" ht="15.75" x14ac:dyDescent="0.25">
      <c r="A42" s="29">
        <v>2235</v>
      </c>
      <c r="B42" s="66" t="s">
        <v>168</v>
      </c>
      <c r="C42" s="63">
        <v>1.65E-3</v>
      </c>
      <c r="D42" s="30">
        <v>3.8</v>
      </c>
    </row>
    <row r="43" spans="1:6" ht="15" customHeight="1" x14ac:dyDescent="0.25">
      <c r="A43" s="29">
        <v>2239</v>
      </c>
      <c r="B43" s="62" t="s">
        <v>169</v>
      </c>
      <c r="C43" s="63">
        <v>4.4099999999999999E-3</v>
      </c>
      <c r="D43" s="30">
        <v>10.16</v>
      </c>
    </row>
    <row r="44" spans="1:6" ht="15.75" x14ac:dyDescent="0.25">
      <c r="A44" s="29">
        <v>2241</v>
      </c>
      <c r="B44" s="62" t="s">
        <v>170</v>
      </c>
      <c r="C44" s="63">
        <v>1.6500000000000001E-2</v>
      </c>
      <c r="D44" s="30">
        <v>38.01</v>
      </c>
    </row>
    <row r="45" spans="1:6" ht="15.75" x14ac:dyDescent="0.25">
      <c r="A45" s="29">
        <v>2242</v>
      </c>
      <c r="B45" s="64" t="s">
        <v>171</v>
      </c>
      <c r="C45" s="63">
        <v>2.2599999999999999E-3</v>
      </c>
      <c r="D45" s="30">
        <v>5.21</v>
      </c>
    </row>
    <row r="46" spans="1:6" ht="14.25" customHeight="1" x14ac:dyDescent="0.25">
      <c r="A46" s="29">
        <v>2243</v>
      </c>
      <c r="B46" s="62" t="s">
        <v>172</v>
      </c>
      <c r="C46" s="63">
        <v>3.2599999999999997E-2</v>
      </c>
      <c r="D46" s="30">
        <f>75.09</f>
        <v>75.09</v>
      </c>
    </row>
    <row r="47" spans="1:6" ht="15" customHeight="1" x14ac:dyDescent="0.25">
      <c r="A47" s="29">
        <v>2244</v>
      </c>
      <c r="B47" s="62" t="s">
        <v>173</v>
      </c>
      <c r="C47" s="63">
        <v>0.20397000000000001</v>
      </c>
      <c r="D47" s="30">
        <v>469.83</v>
      </c>
    </row>
    <row r="48" spans="1:6" ht="15" customHeight="1" x14ac:dyDescent="0.25">
      <c r="A48" s="29">
        <v>2247</v>
      </c>
      <c r="B48" s="62" t="s">
        <v>174</v>
      </c>
      <c r="C48" s="63">
        <v>7.1900000000000002E-4</v>
      </c>
      <c r="D48" s="30">
        <v>1.66</v>
      </c>
    </row>
    <row r="49" spans="1:4" ht="15.75" x14ac:dyDescent="0.25">
      <c r="A49" s="29">
        <v>2249</v>
      </c>
      <c r="B49" s="62" t="s">
        <v>175</v>
      </c>
      <c r="C49" s="63">
        <v>2.32E-4</v>
      </c>
      <c r="D49" s="30">
        <v>0.53</v>
      </c>
    </row>
    <row r="50" spans="1:4" ht="15.75" x14ac:dyDescent="0.25">
      <c r="A50" s="29">
        <v>2250</v>
      </c>
      <c r="B50" s="62" t="s">
        <v>176</v>
      </c>
      <c r="C50" s="63">
        <v>2.4025999999999999E-2</v>
      </c>
      <c r="D50" s="30">
        <v>55.34</v>
      </c>
    </row>
    <row r="51" spans="1:4" ht="15.75" hidden="1" x14ac:dyDescent="0.25">
      <c r="A51" s="29">
        <v>2261</v>
      </c>
      <c r="B51" s="64" t="s">
        <v>196</v>
      </c>
      <c r="C51" s="63">
        <v>0</v>
      </c>
      <c r="D51" s="30">
        <v>0</v>
      </c>
    </row>
    <row r="52" spans="1:4" ht="15.75" x14ac:dyDescent="0.25">
      <c r="A52" s="29">
        <v>2262</v>
      </c>
      <c r="B52" s="64" t="s">
        <v>177</v>
      </c>
      <c r="C52" s="63">
        <v>6.2599999999999999E-3</v>
      </c>
      <c r="D52" s="30">
        <v>14.42</v>
      </c>
    </row>
    <row r="53" spans="1:4" ht="15.75" x14ac:dyDescent="0.25">
      <c r="A53" s="29">
        <v>2263</v>
      </c>
      <c r="B53" s="64" t="s">
        <v>178</v>
      </c>
      <c r="C53" s="63">
        <v>4.58E-2</v>
      </c>
      <c r="D53" s="30">
        <v>105.5</v>
      </c>
    </row>
    <row r="54" spans="1:4" ht="15.75" x14ac:dyDescent="0.25">
      <c r="A54" s="29">
        <v>2264</v>
      </c>
      <c r="B54" s="62" t="s">
        <v>179</v>
      </c>
      <c r="C54" s="63">
        <v>1.49E-3</v>
      </c>
      <c r="D54" s="30">
        <v>3.43</v>
      </c>
    </row>
    <row r="55" spans="1:4" ht="15" customHeight="1" x14ac:dyDescent="0.25">
      <c r="A55" s="29">
        <v>2311</v>
      </c>
      <c r="B55" s="64" t="s">
        <v>180</v>
      </c>
      <c r="C55" s="63">
        <v>4.7699999999999999E-3</v>
      </c>
      <c r="D55" s="30">
        <v>10.99</v>
      </c>
    </row>
    <row r="56" spans="1:4" ht="15" customHeight="1" x14ac:dyDescent="0.25">
      <c r="A56" s="29">
        <v>2312</v>
      </c>
      <c r="B56" s="64" t="s">
        <v>181</v>
      </c>
      <c r="C56" s="63">
        <v>5.79E-3</v>
      </c>
      <c r="D56" s="30">
        <v>13.34</v>
      </c>
    </row>
    <row r="57" spans="1:4" ht="15" customHeight="1" x14ac:dyDescent="0.25">
      <c r="A57" s="29">
        <v>2314</v>
      </c>
      <c r="B57" s="66" t="s">
        <v>182</v>
      </c>
      <c r="C57" s="63">
        <v>2.2200000000000002E-3</v>
      </c>
      <c r="D57" s="30">
        <v>5.1100000000000003</v>
      </c>
    </row>
    <row r="58" spans="1:4" ht="15" customHeight="1" x14ac:dyDescent="0.25">
      <c r="A58" s="29">
        <v>2321</v>
      </c>
      <c r="B58" s="64" t="s">
        <v>183</v>
      </c>
      <c r="C58" s="63">
        <v>1.9800000000000002E-2</v>
      </c>
      <c r="D58" s="30">
        <v>53.5</v>
      </c>
    </row>
    <row r="59" spans="1:4" ht="15" customHeight="1" x14ac:dyDescent="0.25">
      <c r="A59" s="29">
        <v>2322</v>
      </c>
      <c r="B59" s="64" t="s">
        <v>184</v>
      </c>
      <c r="C59" s="63">
        <v>3.5000000000000001E-3</v>
      </c>
      <c r="D59" s="30">
        <v>8.06</v>
      </c>
    </row>
    <row r="60" spans="1:4" ht="15" hidden="1" customHeight="1" x14ac:dyDescent="0.25">
      <c r="A60" s="29">
        <v>2341</v>
      </c>
      <c r="B60" s="64" t="s">
        <v>161</v>
      </c>
      <c r="C60" s="63"/>
      <c r="D60" s="30">
        <v>0</v>
      </c>
    </row>
    <row r="61" spans="1:4" ht="15.75" customHeight="1" x14ac:dyDescent="0.25">
      <c r="A61" s="29">
        <v>2350</v>
      </c>
      <c r="B61" s="63" t="s">
        <v>162</v>
      </c>
      <c r="C61" s="63">
        <v>8.5000000000000006E-3</v>
      </c>
      <c r="D61" s="30">
        <v>19.579999999999998</v>
      </c>
    </row>
    <row r="62" spans="1:4" ht="15.75" hidden="1" x14ac:dyDescent="0.25">
      <c r="A62" s="29">
        <v>2361</v>
      </c>
      <c r="B62" s="64" t="s">
        <v>197</v>
      </c>
      <c r="C62" s="63">
        <v>0</v>
      </c>
      <c r="D62" s="30">
        <v>0</v>
      </c>
    </row>
    <row r="63" spans="1:4" ht="15.75" hidden="1" x14ac:dyDescent="0.25">
      <c r="A63" s="29">
        <v>2362</v>
      </c>
      <c r="B63" s="64" t="s">
        <v>198</v>
      </c>
      <c r="C63" s="63">
        <v>0</v>
      </c>
      <c r="D63" s="30">
        <v>0</v>
      </c>
    </row>
    <row r="64" spans="1:4" ht="15.75" hidden="1" x14ac:dyDescent="0.25">
      <c r="A64" s="29">
        <v>2363</v>
      </c>
      <c r="B64" s="64" t="s">
        <v>199</v>
      </c>
      <c r="C64" s="63">
        <v>0</v>
      </c>
      <c r="D64" s="30">
        <v>0</v>
      </c>
    </row>
    <row r="65" spans="1:4" ht="15.75" hidden="1" x14ac:dyDescent="0.25">
      <c r="A65" s="29">
        <v>2370</v>
      </c>
      <c r="B65" s="64" t="s">
        <v>200</v>
      </c>
      <c r="C65" s="63">
        <v>0</v>
      </c>
      <c r="D65" s="30">
        <v>0</v>
      </c>
    </row>
    <row r="66" spans="1:4" ht="15.75" hidden="1" x14ac:dyDescent="0.25">
      <c r="A66" s="29">
        <v>2400</v>
      </c>
      <c r="B66" s="64" t="s">
        <v>201</v>
      </c>
      <c r="C66" s="63">
        <v>0</v>
      </c>
      <c r="D66" s="30">
        <v>0</v>
      </c>
    </row>
    <row r="67" spans="1:4" ht="15" hidden="1" customHeight="1" x14ac:dyDescent="0.25">
      <c r="A67" s="29">
        <v>2512</v>
      </c>
      <c r="B67" s="64" t="s">
        <v>202</v>
      </c>
      <c r="C67" s="63">
        <v>0</v>
      </c>
      <c r="D67" s="30">
        <v>0</v>
      </c>
    </row>
    <row r="68" spans="1:4" ht="15.75" x14ac:dyDescent="0.25">
      <c r="A68" s="29">
        <v>2513</v>
      </c>
      <c r="B68" s="63" t="s">
        <v>185</v>
      </c>
      <c r="C68" s="63">
        <v>1.4599999999999999E-3</v>
      </c>
      <c r="D68" s="30">
        <v>3.36</v>
      </c>
    </row>
    <row r="69" spans="1:4" ht="15.75" x14ac:dyDescent="0.25">
      <c r="A69" s="29">
        <v>2515</v>
      </c>
      <c r="B69" s="64" t="s">
        <v>186</v>
      </c>
      <c r="C69" s="63">
        <v>1.9E-3</v>
      </c>
      <c r="D69" s="30">
        <v>4.38</v>
      </c>
    </row>
    <row r="70" spans="1:4" ht="15.75" x14ac:dyDescent="0.25">
      <c r="A70" s="29">
        <v>2519</v>
      </c>
      <c r="B70" s="64" t="s">
        <v>187</v>
      </c>
      <c r="C70" s="63">
        <v>2E-3</v>
      </c>
      <c r="D70" s="30">
        <v>4.6100000000000003</v>
      </c>
    </row>
    <row r="71" spans="1:4" ht="15.75" x14ac:dyDescent="0.25">
      <c r="A71" s="29">
        <v>5220</v>
      </c>
      <c r="B71" s="64" t="s">
        <v>188</v>
      </c>
      <c r="C71" s="63">
        <v>1.06E-2</v>
      </c>
      <c r="D71" s="30">
        <v>24.42</v>
      </c>
    </row>
    <row r="72" spans="1:4" ht="15.75" x14ac:dyDescent="0.25">
      <c r="A72" s="29">
        <v>5238</v>
      </c>
      <c r="B72" s="63" t="s">
        <v>189</v>
      </c>
      <c r="C72" s="63">
        <v>1.65E-3</v>
      </c>
      <c r="D72" s="30">
        <v>3.8</v>
      </c>
    </row>
    <row r="73" spans="1:4" ht="15.75" x14ac:dyDescent="0.25">
      <c r="A73" s="29">
        <v>5239</v>
      </c>
      <c r="B73" s="63" t="s">
        <v>190</v>
      </c>
      <c r="C73" s="63">
        <v>1.9800000000000002E-2</v>
      </c>
      <c r="D73" s="30">
        <v>45</v>
      </c>
    </row>
    <row r="74" spans="1:4" ht="15.75" x14ac:dyDescent="0.25">
      <c r="A74" s="29">
        <v>5250</v>
      </c>
      <c r="B74" s="64" t="s">
        <v>191</v>
      </c>
      <c r="C74" s="63">
        <v>2.5000000000000001E-2</v>
      </c>
      <c r="D74" s="30">
        <v>57.59</v>
      </c>
    </row>
    <row r="75" spans="1:4" ht="15.75" x14ac:dyDescent="0.2">
      <c r="A75" s="34"/>
      <c r="B75" s="38" t="s">
        <v>9</v>
      </c>
      <c r="C75" s="38"/>
      <c r="D75" s="33">
        <f>SUM(D34:D74)</f>
        <v>2252.3700000000003</v>
      </c>
    </row>
    <row r="76" spans="1:4" ht="15.75" x14ac:dyDescent="0.2">
      <c r="A76" s="34"/>
      <c r="B76" s="38" t="s">
        <v>46</v>
      </c>
      <c r="C76" s="38"/>
      <c r="D76" s="33">
        <f>D75+D32</f>
        <v>5420.7000000000007</v>
      </c>
    </row>
    <row r="77" spans="1:4" ht="15.75" x14ac:dyDescent="0.2">
      <c r="A77" s="43"/>
      <c r="B77" s="44"/>
      <c r="C77" s="44"/>
      <c r="D77" s="84"/>
    </row>
    <row r="78" spans="1:4" ht="15" customHeight="1" x14ac:dyDescent="0.25">
      <c r="A78" s="111" t="s">
        <v>52</v>
      </c>
      <c r="B78" s="112"/>
      <c r="C78" s="69"/>
      <c r="D78" s="37">
        <v>95</v>
      </c>
    </row>
    <row r="79" spans="1:4" ht="15.75" customHeight="1" x14ac:dyDescent="0.25">
      <c r="A79" s="111" t="s">
        <v>78</v>
      </c>
      <c r="B79" s="112"/>
      <c r="C79" s="69"/>
      <c r="D79" s="50">
        <f>D76/D78</f>
        <v>57.060000000000009</v>
      </c>
    </row>
    <row r="80" spans="1:4" ht="15.75" customHeight="1" x14ac:dyDescent="0.25">
      <c r="A80" s="22"/>
      <c r="B80" s="15"/>
      <c r="C80" s="15"/>
      <c r="D80" s="45"/>
    </row>
    <row r="81" spans="1:4" s="3" customFormat="1" ht="15.75" customHeight="1" x14ac:dyDescent="0.25">
      <c r="A81" s="111" t="s">
        <v>53</v>
      </c>
      <c r="B81" s="112"/>
      <c r="C81" s="18"/>
      <c r="D81" s="83"/>
    </row>
    <row r="82" spans="1:4" s="3" customFormat="1" ht="15.75" customHeight="1" x14ac:dyDescent="0.25">
      <c r="A82" s="111" t="s">
        <v>80</v>
      </c>
      <c r="B82" s="112"/>
      <c r="C82" s="18"/>
      <c r="D82" s="42"/>
    </row>
    <row r="83" spans="1:4" s="3" customFormat="1" ht="15.75" x14ac:dyDescent="0.25">
      <c r="A83" s="48"/>
      <c r="B83" s="15"/>
      <c r="C83" s="15"/>
    </row>
    <row r="84" spans="1:4" s="3" customFormat="1" ht="15.75" x14ac:dyDescent="0.25">
      <c r="A84" s="19" t="s">
        <v>54</v>
      </c>
      <c r="B84" s="19"/>
      <c r="C84" s="19"/>
    </row>
    <row r="85" spans="1:4" s="3" customFormat="1" ht="15.75" x14ac:dyDescent="0.25">
      <c r="A85" s="19"/>
      <c r="B85" s="19"/>
      <c r="C85" s="19"/>
    </row>
    <row r="86" spans="1:4" s="3" customFormat="1" ht="15.75" x14ac:dyDescent="0.25">
      <c r="A86" s="19" t="s">
        <v>73</v>
      </c>
      <c r="B86" s="20"/>
      <c r="C86" s="20"/>
    </row>
    <row r="87" spans="1:4" s="3" customFormat="1" ht="13.9" customHeight="1" x14ac:dyDescent="0.25">
      <c r="A87" s="19"/>
      <c r="B87" s="21"/>
      <c r="C87" s="21"/>
    </row>
    <row r="88" spans="1:4" s="3" customFormat="1" ht="13.9" customHeight="1" x14ac:dyDescent="0.25">
      <c r="B88" s="4"/>
      <c r="C88" s="4"/>
    </row>
    <row r="89" spans="1:4" s="2" customFormat="1" x14ac:dyDescent="0.2"/>
  </sheetData>
  <mergeCells count="11">
    <mergeCell ref="A7:C7"/>
    <mergeCell ref="B13:C13"/>
    <mergeCell ref="B14:C14"/>
    <mergeCell ref="A78:B78"/>
    <mergeCell ref="B12:C12"/>
    <mergeCell ref="B15:C15"/>
    <mergeCell ref="A79:B79"/>
    <mergeCell ref="A81:B81"/>
    <mergeCell ref="A82:B82"/>
    <mergeCell ref="A9:B9"/>
    <mergeCell ref="A10:B10"/>
  </mergeCells>
  <pageMargins left="0.94488188976377963" right="0.55118110236220474" top="0.55118110236220474" bottom="0.62992125984251968" header="0.31496062992125984" footer="0.31496062992125984"/>
  <pageSetup paperSize="9" scale="61" firstPageNumber="7" orientation="portrait" useFirstPageNumber="1" r:id="rId1"/>
  <headerFooter>
    <oddFooter>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view="pageLayout" topLeftCell="A43" zoomScale="90" zoomScaleNormal="90" zoomScalePageLayoutView="90" workbookViewId="0">
      <selection activeCell="B17" sqref="B17"/>
    </sheetView>
  </sheetViews>
  <sheetFormatPr defaultRowHeight="14.25" x14ac:dyDescent="0.2"/>
  <cols>
    <col min="1" max="1" width="20.140625" style="2" customWidth="1"/>
    <col min="2" max="2" width="97.28515625" style="2" customWidth="1"/>
    <col min="3" max="3" width="11.28515625" style="2" hidden="1" customWidth="1"/>
    <col min="4" max="4" width="27" customWidth="1"/>
  </cols>
  <sheetData>
    <row r="1" spans="1:4" ht="15.75" customHeight="1" x14ac:dyDescent="0.25">
      <c r="A1" s="5"/>
      <c r="B1" s="39"/>
      <c r="C1" s="39"/>
      <c r="D1" s="57" t="s">
        <v>51</v>
      </c>
    </row>
    <row r="2" spans="1:4" ht="15.75" customHeight="1" x14ac:dyDescent="0.25">
      <c r="A2" s="5"/>
      <c r="B2" s="39"/>
      <c r="D2" s="12" t="s">
        <v>55</v>
      </c>
    </row>
    <row r="3" spans="1:4" ht="15.75" x14ac:dyDescent="0.25">
      <c r="A3" s="5"/>
      <c r="B3" s="48"/>
      <c r="C3" s="48"/>
      <c r="D3" s="53" t="s">
        <v>81</v>
      </c>
    </row>
    <row r="4" spans="1:4" ht="15.75" x14ac:dyDescent="0.25">
      <c r="A4" s="5"/>
      <c r="B4" s="39"/>
      <c r="C4" s="39"/>
    </row>
    <row r="5" spans="1:4" ht="15.75" x14ac:dyDescent="0.25">
      <c r="A5" s="5"/>
      <c r="B5" s="39"/>
      <c r="C5" s="39"/>
      <c r="D5" s="39" t="s">
        <v>236</v>
      </c>
    </row>
    <row r="6" spans="1:4" ht="15" x14ac:dyDescent="0.25">
      <c r="A6" s="5"/>
      <c r="B6" s="1"/>
      <c r="C6" s="1"/>
    </row>
    <row r="7" spans="1:4" ht="17.25" customHeight="1" x14ac:dyDescent="0.3">
      <c r="A7" s="115" t="s">
        <v>10</v>
      </c>
      <c r="B7" s="115"/>
      <c r="C7" s="115"/>
    </row>
    <row r="8" spans="1:4" x14ac:dyDescent="0.2">
      <c r="A8" s="9"/>
      <c r="B8" s="10"/>
      <c r="C8" s="10"/>
    </row>
    <row r="9" spans="1:4" ht="15" customHeight="1" x14ac:dyDescent="0.2">
      <c r="A9" s="109" t="s">
        <v>1</v>
      </c>
      <c r="B9" s="113"/>
      <c r="C9" s="56"/>
    </row>
    <row r="10" spans="1:4" ht="15" customHeight="1" x14ac:dyDescent="0.2">
      <c r="A10" s="109" t="s">
        <v>0</v>
      </c>
      <c r="B10" s="113"/>
      <c r="C10" s="56"/>
    </row>
    <row r="11" spans="1:4" ht="15" customHeight="1" x14ac:dyDescent="0.2">
      <c r="A11" s="11"/>
      <c r="B11" s="11" t="s">
        <v>47</v>
      </c>
      <c r="C11" s="11"/>
    </row>
    <row r="12" spans="1:4" ht="15" customHeight="1" x14ac:dyDescent="0.2">
      <c r="A12" s="11"/>
      <c r="B12" s="109" t="s">
        <v>70</v>
      </c>
      <c r="C12" s="109"/>
    </row>
    <row r="13" spans="1:4" ht="15.75" customHeight="1" x14ac:dyDescent="0.2">
      <c r="A13" s="11"/>
      <c r="B13" s="109" t="s">
        <v>206</v>
      </c>
      <c r="C13" s="109"/>
    </row>
    <row r="14" spans="1:4" ht="15.75" customHeight="1" x14ac:dyDescent="0.2">
      <c r="A14" s="11"/>
      <c r="B14" s="109" t="s">
        <v>207</v>
      </c>
      <c r="C14" s="109"/>
    </row>
    <row r="15" spans="1:4" ht="15" customHeight="1" x14ac:dyDescent="0.2">
      <c r="A15" s="11"/>
      <c r="B15" s="109"/>
      <c r="C15" s="109"/>
    </row>
    <row r="16" spans="1:4" ht="15.75" customHeight="1" x14ac:dyDescent="0.2">
      <c r="A16" s="11" t="s">
        <v>2</v>
      </c>
      <c r="B16" s="11" t="s">
        <v>232</v>
      </c>
      <c r="C16" s="11"/>
    </row>
    <row r="17" spans="1:8" ht="63" customHeight="1" x14ac:dyDescent="0.2">
      <c r="A17" s="47" t="s">
        <v>3</v>
      </c>
      <c r="B17" s="47" t="s">
        <v>4</v>
      </c>
      <c r="C17" s="47"/>
      <c r="D17" s="47" t="s">
        <v>77</v>
      </c>
    </row>
    <row r="18" spans="1:8" ht="15.75" x14ac:dyDescent="0.2">
      <c r="A18" s="24">
        <v>1</v>
      </c>
      <c r="B18" s="25">
        <v>2</v>
      </c>
      <c r="C18" s="25"/>
      <c r="D18" s="25">
        <v>3</v>
      </c>
    </row>
    <row r="19" spans="1:8" ht="15.75" x14ac:dyDescent="0.2">
      <c r="A19" s="26"/>
      <c r="B19" s="27" t="s">
        <v>6</v>
      </c>
      <c r="C19" s="27"/>
      <c r="D19" s="28"/>
    </row>
    <row r="20" spans="1:8" ht="15" customHeight="1" x14ac:dyDescent="0.2">
      <c r="A20" s="29">
        <v>1100</v>
      </c>
      <c r="B20" s="29" t="s">
        <v>159</v>
      </c>
      <c r="C20" s="29"/>
      <c r="D20" s="30">
        <f>23.91*350</f>
        <v>8368.5</v>
      </c>
      <c r="E20" s="49"/>
      <c r="G20" s="49"/>
    </row>
    <row r="21" spans="1:8" ht="15.75" x14ac:dyDescent="0.25">
      <c r="A21" s="29">
        <v>1200</v>
      </c>
      <c r="B21" s="63" t="s">
        <v>160</v>
      </c>
      <c r="C21" s="63"/>
      <c r="D21" s="30">
        <v>1974.13</v>
      </c>
      <c r="E21" s="49"/>
      <c r="G21" s="49"/>
      <c r="H21" s="49"/>
    </row>
    <row r="22" spans="1:8" ht="15.75" x14ac:dyDescent="0.25">
      <c r="A22" s="29">
        <v>2222</v>
      </c>
      <c r="B22" s="64" t="s">
        <v>164</v>
      </c>
      <c r="C22" s="64"/>
      <c r="D22" s="30">
        <v>268.88</v>
      </c>
    </row>
    <row r="23" spans="1:8" ht="15.75" x14ac:dyDescent="0.25">
      <c r="A23" s="29">
        <v>2223</v>
      </c>
      <c r="B23" s="64" t="s">
        <v>165</v>
      </c>
      <c r="C23" s="64"/>
      <c r="D23" s="30">
        <v>295.8</v>
      </c>
    </row>
    <row r="24" spans="1:8" ht="15.75" hidden="1" x14ac:dyDescent="0.25">
      <c r="A24" s="29">
        <v>2243</v>
      </c>
      <c r="B24" s="62" t="s">
        <v>172</v>
      </c>
      <c r="C24" s="62"/>
      <c r="D24" s="30">
        <v>0</v>
      </c>
    </row>
    <row r="25" spans="1:8" ht="15.75" x14ac:dyDescent="0.25">
      <c r="A25" s="29">
        <v>2244</v>
      </c>
      <c r="B25" s="62" t="s">
        <v>173</v>
      </c>
      <c r="C25" s="62"/>
      <c r="D25" s="30">
        <f>2.12*350</f>
        <v>742</v>
      </c>
    </row>
    <row r="26" spans="1:8" ht="15.75" x14ac:dyDescent="0.25">
      <c r="A26" s="29">
        <v>2312</v>
      </c>
      <c r="B26" s="64" t="s">
        <v>181</v>
      </c>
      <c r="C26" s="62"/>
      <c r="D26" s="30">
        <f>0.28*350</f>
        <v>98.000000000000014</v>
      </c>
    </row>
    <row r="27" spans="1:8" ht="15.75" x14ac:dyDescent="0.25">
      <c r="A27" s="29">
        <v>2321</v>
      </c>
      <c r="B27" s="64" t="s">
        <v>183</v>
      </c>
      <c r="C27" s="64"/>
      <c r="D27" s="30">
        <v>459.05</v>
      </c>
    </row>
    <row r="28" spans="1:8" ht="15.75" x14ac:dyDescent="0.25">
      <c r="A28" s="29">
        <v>2341</v>
      </c>
      <c r="B28" s="64" t="s">
        <v>161</v>
      </c>
      <c r="C28" s="64"/>
      <c r="D28" s="30">
        <v>457.93</v>
      </c>
    </row>
    <row r="29" spans="1:8" ht="15.75" x14ac:dyDescent="0.25">
      <c r="A29" s="29">
        <v>2361</v>
      </c>
      <c r="B29" s="64" t="s">
        <v>197</v>
      </c>
      <c r="C29" s="64"/>
      <c r="D29" s="30">
        <f>2.25*350</f>
        <v>787.5</v>
      </c>
    </row>
    <row r="30" spans="1:8" ht="15.75" x14ac:dyDescent="0.25">
      <c r="A30" s="29">
        <v>2363</v>
      </c>
      <c r="B30" s="64" t="s">
        <v>199</v>
      </c>
      <c r="C30" s="64"/>
      <c r="D30" s="30">
        <f>8.12*350</f>
        <v>2841.9999999999995</v>
      </c>
    </row>
    <row r="31" spans="1:8" ht="15" customHeight="1" x14ac:dyDescent="0.25">
      <c r="A31" s="29">
        <v>5239</v>
      </c>
      <c r="B31" s="63" t="s">
        <v>190</v>
      </c>
      <c r="C31" s="63"/>
      <c r="D31" s="30">
        <v>113.61</v>
      </c>
    </row>
    <row r="32" spans="1:8" ht="15" customHeight="1" x14ac:dyDescent="0.2">
      <c r="A32" s="29"/>
      <c r="B32" s="32" t="s">
        <v>7</v>
      </c>
      <c r="C32" s="32"/>
      <c r="D32" s="33">
        <f>SUM(D20:D31)</f>
        <v>16407.399999999998</v>
      </c>
      <c r="E32" s="49"/>
    </row>
    <row r="33" spans="1:4" ht="15" customHeight="1" x14ac:dyDescent="0.2">
      <c r="A33" s="34"/>
      <c r="B33" s="29" t="s">
        <v>8</v>
      </c>
      <c r="C33" s="29"/>
      <c r="D33" s="28"/>
    </row>
    <row r="34" spans="1:4" ht="15" customHeight="1" x14ac:dyDescent="0.25">
      <c r="A34" s="29">
        <v>1100</v>
      </c>
      <c r="B34" s="62" t="s">
        <v>159</v>
      </c>
      <c r="C34" s="63">
        <f>0.388+0.024</f>
        <v>0.41200000000000003</v>
      </c>
      <c r="D34" s="30">
        <v>3999.07</v>
      </c>
    </row>
    <row r="35" spans="1:4" ht="15.75" x14ac:dyDescent="0.25">
      <c r="A35" s="29">
        <v>1200</v>
      </c>
      <c r="B35" s="62" t="s">
        <v>160</v>
      </c>
      <c r="C35" s="63">
        <f>C34*0.2359</f>
        <v>9.7190800000000008E-2</v>
      </c>
      <c r="D35" s="30">
        <v>943.38</v>
      </c>
    </row>
    <row r="36" spans="1:4" ht="15.75" x14ac:dyDescent="0.25">
      <c r="A36" s="29">
        <v>2100</v>
      </c>
      <c r="B36" s="35" t="s">
        <v>44</v>
      </c>
      <c r="C36" s="63">
        <v>1.1659999999999999E-3</v>
      </c>
      <c r="D36" s="30">
        <v>11.32</v>
      </c>
    </row>
    <row r="37" spans="1:4" ht="15.75" x14ac:dyDescent="0.25">
      <c r="A37" s="36">
        <v>2210</v>
      </c>
      <c r="B37" s="64" t="s">
        <v>163</v>
      </c>
      <c r="C37" s="63">
        <v>7.6E-3</v>
      </c>
      <c r="D37" s="30">
        <v>73.77</v>
      </c>
    </row>
    <row r="38" spans="1:4" ht="15" customHeight="1" x14ac:dyDescent="0.25">
      <c r="A38" s="29">
        <v>2222</v>
      </c>
      <c r="B38" s="64" t="s">
        <v>164</v>
      </c>
      <c r="C38" s="63">
        <v>9.4999999999999998E-3</v>
      </c>
      <c r="D38" s="30">
        <v>92.21</v>
      </c>
    </row>
    <row r="39" spans="1:4" ht="15" customHeight="1" x14ac:dyDescent="0.25">
      <c r="A39" s="29">
        <v>2223</v>
      </c>
      <c r="B39" s="64" t="s">
        <v>165</v>
      </c>
      <c r="C39" s="63">
        <v>1.9019999999999999E-2</v>
      </c>
      <c r="D39" s="30">
        <v>184.62</v>
      </c>
    </row>
    <row r="40" spans="1:4" ht="31.5" x14ac:dyDescent="0.25">
      <c r="A40" s="29">
        <v>2224</v>
      </c>
      <c r="B40" s="64" t="s">
        <v>166</v>
      </c>
      <c r="C40" s="63">
        <v>4.9500000000000004E-3</v>
      </c>
      <c r="D40" s="30">
        <v>48.05</v>
      </c>
    </row>
    <row r="41" spans="1:4" ht="15.75" x14ac:dyDescent="0.25">
      <c r="A41" s="29">
        <v>2231</v>
      </c>
      <c r="B41" s="62" t="s">
        <v>167</v>
      </c>
      <c r="C41" s="63">
        <v>1.5499999999999999E-3</v>
      </c>
      <c r="D41" s="30">
        <v>15.05</v>
      </c>
    </row>
    <row r="42" spans="1:4" ht="15.75" x14ac:dyDescent="0.25">
      <c r="A42" s="29">
        <v>2235</v>
      </c>
      <c r="B42" s="66" t="s">
        <v>168</v>
      </c>
      <c r="C42" s="63">
        <v>1.65E-3</v>
      </c>
      <c r="D42" s="30">
        <v>16.02</v>
      </c>
    </row>
    <row r="43" spans="1:4" ht="15" customHeight="1" x14ac:dyDescent="0.25">
      <c r="A43" s="29">
        <v>2239</v>
      </c>
      <c r="B43" s="62" t="s">
        <v>169</v>
      </c>
      <c r="C43" s="63">
        <v>4.4099999999999999E-3</v>
      </c>
      <c r="D43" s="30">
        <v>42.81</v>
      </c>
    </row>
    <row r="44" spans="1:4" ht="15.75" x14ac:dyDescent="0.25">
      <c r="A44" s="29">
        <v>2241</v>
      </c>
      <c r="B44" s="62" t="s">
        <v>170</v>
      </c>
      <c r="C44" s="63">
        <v>1.6500000000000001E-2</v>
      </c>
      <c r="D44" s="30">
        <v>160.16</v>
      </c>
    </row>
    <row r="45" spans="1:4" ht="15.75" x14ac:dyDescent="0.25">
      <c r="A45" s="29">
        <v>2242</v>
      </c>
      <c r="B45" s="64" t="s">
        <v>171</v>
      </c>
      <c r="C45" s="63">
        <v>2.2599999999999999E-3</v>
      </c>
      <c r="D45" s="30">
        <v>21.94</v>
      </c>
    </row>
    <row r="46" spans="1:4" ht="14.25" customHeight="1" x14ac:dyDescent="0.25">
      <c r="A46" s="29">
        <v>2243</v>
      </c>
      <c r="B46" s="62" t="s">
        <v>172</v>
      </c>
      <c r="C46" s="63">
        <v>3.2599999999999997E-2</v>
      </c>
      <c r="D46" s="30">
        <f>316.43+2.59</f>
        <v>319.02</v>
      </c>
    </row>
    <row r="47" spans="1:4" ht="15" customHeight="1" x14ac:dyDescent="0.25">
      <c r="A47" s="29">
        <v>2244</v>
      </c>
      <c r="B47" s="62" t="s">
        <v>173</v>
      </c>
      <c r="C47" s="63">
        <v>0.20397000000000001</v>
      </c>
      <c r="D47" s="30">
        <v>1979.83</v>
      </c>
    </row>
    <row r="48" spans="1:4" ht="15" customHeight="1" x14ac:dyDescent="0.25">
      <c r="A48" s="29">
        <v>2247</v>
      </c>
      <c r="B48" s="62" t="s">
        <v>174</v>
      </c>
      <c r="C48" s="63">
        <v>7.1900000000000002E-4</v>
      </c>
      <c r="D48" s="30">
        <v>6.98</v>
      </c>
    </row>
    <row r="49" spans="1:4" ht="15.75" x14ac:dyDescent="0.25">
      <c r="A49" s="29">
        <v>2249</v>
      </c>
      <c r="B49" s="62" t="s">
        <v>175</v>
      </c>
      <c r="C49" s="63">
        <v>2.32E-4</v>
      </c>
      <c r="D49" s="30">
        <v>2.25</v>
      </c>
    </row>
    <row r="50" spans="1:4" ht="15.75" x14ac:dyDescent="0.25">
      <c r="A50" s="29">
        <v>2250</v>
      </c>
      <c r="B50" s="62" t="s">
        <v>176</v>
      </c>
      <c r="C50" s="63">
        <v>2.4025999999999999E-2</v>
      </c>
      <c r="D50" s="30">
        <v>233.21</v>
      </c>
    </row>
    <row r="51" spans="1:4" ht="15.75" hidden="1" x14ac:dyDescent="0.25">
      <c r="A51" s="29">
        <v>2261</v>
      </c>
      <c r="B51" s="64" t="s">
        <v>196</v>
      </c>
      <c r="C51" s="63">
        <v>0</v>
      </c>
      <c r="D51" s="30">
        <v>0</v>
      </c>
    </row>
    <row r="52" spans="1:4" ht="15.75" x14ac:dyDescent="0.25">
      <c r="A52" s="29">
        <v>2262</v>
      </c>
      <c r="B52" s="64" t="s">
        <v>177</v>
      </c>
      <c r="C52" s="63">
        <v>6.2599999999999999E-3</v>
      </c>
      <c r="D52" s="30">
        <v>60.76</v>
      </c>
    </row>
    <row r="53" spans="1:4" ht="15.75" x14ac:dyDescent="0.25">
      <c r="A53" s="29">
        <v>2263</v>
      </c>
      <c r="B53" s="64" t="s">
        <v>178</v>
      </c>
      <c r="C53" s="63">
        <v>4.58E-2</v>
      </c>
      <c r="D53" s="30">
        <v>444.56</v>
      </c>
    </row>
    <row r="54" spans="1:4" ht="15.75" x14ac:dyDescent="0.25">
      <c r="A54" s="29">
        <v>2264</v>
      </c>
      <c r="B54" s="62" t="s">
        <v>179</v>
      </c>
      <c r="C54" s="63">
        <v>1.49E-3</v>
      </c>
      <c r="D54" s="30">
        <v>14.46</v>
      </c>
    </row>
    <row r="55" spans="1:4" ht="15" customHeight="1" x14ac:dyDescent="0.25">
      <c r="A55" s="29">
        <v>2311</v>
      </c>
      <c r="B55" s="64" t="s">
        <v>180</v>
      </c>
      <c r="C55" s="63">
        <v>4.7699999999999999E-3</v>
      </c>
      <c r="D55" s="30">
        <v>46.3</v>
      </c>
    </row>
    <row r="56" spans="1:4" ht="15" customHeight="1" x14ac:dyDescent="0.25">
      <c r="A56" s="29">
        <v>2312</v>
      </c>
      <c r="B56" s="64" t="s">
        <v>181</v>
      </c>
      <c r="C56" s="63">
        <v>5.79E-3</v>
      </c>
      <c r="D56" s="30">
        <v>56.2</v>
      </c>
    </row>
    <row r="57" spans="1:4" ht="15" customHeight="1" x14ac:dyDescent="0.25">
      <c r="A57" s="29">
        <v>2314</v>
      </c>
      <c r="B57" s="66" t="s">
        <v>182</v>
      </c>
      <c r="C57" s="63">
        <v>2.2200000000000002E-3</v>
      </c>
      <c r="D57" s="30">
        <v>21.55</v>
      </c>
    </row>
    <row r="58" spans="1:4" ht="15" customHeight="1" x14ac:dyDescent="0.25">
      <c r="A58" s="29">
        <v>2321</v>
      </c>
      <c r="B58" s="64" t="s">
        <v>183</v>
      </c>
      <c r="C58" s="63">
        <v>1.9800000000000002E-2</v>
      </c>
      <c r="D58" s="30">
        <v>192.19</v>
      </c>
    </row>
    <row r="59" spans="1:4" ht="15" customHeight="1" x14ac:dyDescent="0.25">
      <c r="A59" s="29">
        <v>2322</v>
      </c>
      <c r="B59" s="64" t="s">
        <v>184</v>
      </c>
      <c r="C59" s="63">
        <v>3.5000000000000001E-3</v>
      </c>
      <c r="D59" s="30">
        <v>33.97</v>
      </c>
    </row>
    <row r="60" spans="1:4" ht="15" hidden="1" customHeight="1" x14ac:dyDescent="0.25">
      <c r="A60" s="29">
        <v>2341</v>
      </c>
      <c r="B60" s="64" t="s">
        <v>161</v>
      </c>
      <c r="C60" s="63"/>
      <c r="D60" s="30">
        <v>0</v>
      </c>
    </row>
    <row r="61" spans="1:4" ht="15.75" customHeight="1" x14ac:dyDescent="0.25">
      <c r="A61" s="29">
        <v>2350</v>
      </c>
      <c r="B61" s="63" t="s">
        <v>162</v>
      </c>
      <c r="C61" s="63">
        <v>8.5000000000000006E-3</v>
      </c>
      <c r="D61" s="30">
        <v>82.5</v>
      </c>
    </row>
    <row r="62" spans="1:4" ht="15.75" hidden="1" x14ac:dyDescent="0.25">
      <c r="A62" s="29">
        <v>2361</v>
      </c>
      <c r="B62" s="64" t="s">
        <v>197</v>
      </c>
      <c r="C62" s="63">
        <v>0</v>
      </c>
      <c r="D62" s="30">
        <v>0</v>
      </c>
    </row>
    <row r="63" spans="1:4" ht="15.75" hidden="1" x14ac:dyDescent="0.25">
      <c r="A63" s="29">
        <v>2362</v>
      </c>
      <c r="B63" s="64" t="s">
        <v>198</v>
      </c>
      <c r="C63" s="63">
        <v>0</v>
      </c>
      <c r="D63" s="30">
        <v>0</v>
      </c>
    </row>
    <row r="64" spans="1:4" ht="15.75" hidden="1" x14ac:dyDescent="0.25">
      <c r="A64" s="29">
        <v>2363</v>
      </c>
      <c r="B64" s="64" t="s">
        <v>199</v>
      </c>
      <c r="C64" s="63">
        <v>0</v>
      </c>
      <c r="D64" s="30">
        <v>0</v>
      </c>
    </row>
    <row r="65" spans="1:7" ht="15.75" hidden="1" x14ac:dyDescent="0.25">
      <c r="A65" s="29">
        <v>2370</v>
      </c>
      <c r="B65" s="64" t="s">
        <v>200</v>
      </c>
      <c r="C65" s="63">
        <v>0</v>
      </c>
      <c r="D65" s="30">
        <v>0</v>
      </c>
    </row>
    <row r="66" spans="1:7" ht="15.75" hidden="1" x14ac:dyDescent="0.25">
      <c r="A66" s="29">
        <v>2400</v>
      </c>
      <c r="B66" s="64" t="s">
        <v>201</v>
      </c>
      <c r="C66" s="63">
        <v>0</v>
      </c>
      <c r="D66" s="30">
        <v>0</v>
      </c>
    </row>
    <row r="67" spans="1:7" ht="15" hidden="1" customHeight="1" x14ac:dyDescent="0.25">
      <c r="A67" s="29">
        <v>2512</v>
      </c>
      <c r="B67" s="64" t="s">
        <v>202</v>
      </c>
      <c r="C67" s="63">
        <v>0</v>
      </c>
      <c r="D67" s="30">
        <v>0</v>
      </c>
    </row>
    <row r="68" spans="1:7" ht="15.75" x14ac:dyDescent="0.25">
      <c r="A68" s="29">
        <v>2513</v>
      </c>
      <c r="B68" s="63" t="s">
        <v>185</v>
      </c>
      <c r="C68" s="63">
        <v>1.4599999999999999E-3</v>
      </c>
      <c r="D68" s="30">
        <v>14.17</v>
      </c>
    </row>
    <row r="69" spans="1:7" ht="15.75" x14ac:dyDescent="0.25">
      <c r="A69" s="29">
        <v>2515</v>
      </c>
      <c r="B69" s="64" t="s">
        <v>186</v>
      </c>
      <c r="C69" s="63">
        <v>1.9E-3</v>
      </c>
      <c r="D69" s="30">
        <v>18.440000000000001</v>
      </c>
    </row>
    <row r="70" spans="1:7" ht="15.75" x14ac:dyDescent="0.25">
      <c r="A70" s="29">
        <v>2519</v>
      </c>
      <c r="B70" s="64" t="s">
        <v>187</v>
      </c>
      <c r="C70" s="63">
        <v>2E-3</v>
      </c>
      <c r="D70" s="30">
        <v>19.41</v>
      </c>
    </row>
    <row r="71" spans="1:7" ht="15.75" x14ac:dyDescent="0.25">
      <c r="A71" s="29">
        <v>5220</v>
      </c>
      <c r="B71" s="64" t="s">
        <v>188</v>
      </c>
      <c r="C71" s="63">
        <v>1.06E-2</v>
      </c>
      <c r="D71" s="30">
        <v>102.89</v>
      </c>
    </row>
    <row r="72" spans="1:7" ht="15.75" x14ac:dyDescent="0.25">
      <c r="A72" s="29">
        <v>5238</v>
      </c>
      <c r="B72" s="63" t="s">
        <v>189</v>
      </c>
      <c r="C72" s="63">
        <v>1.65E-3</v>
      </c>
      <c r="D72" s="30">
        <v>17.12</v>
      </c>
    </row>
    <row r="73" spans="1:7" ht="15.75" x14ac:dyDescent="0.25">
      <c r="A73" s="29">
        <v>5239</v>
      </c>
      <c r="B73" s="63" t="s">
        <v>190</v>
      </c>
      <c r="C73" s="63">
        <v>1.9800000000000002E-2</v>
      </c>
      <c r="D73" s="30">
        <f>192.19</f>
        <v>192.19</v>
      </c>
    </row>
    <row r="74" spans="1:7" ht="15.75" x14ac:dyDescent="0.25">
      <c r="A74" s="29">
        <v>5250</v>
      </c>
      <c r="B74" s="64" t="s">
        <v>191</v>
      </c>
      <c r="C74" s="63">
        <v>2.5000000000000001E-2</v>
      </c>
      <c r="D74" s="30">
        <f>242.66-2.96</f>
        <v>239.7</v>
      </c>
    </row>
    <row r="75" spans="1:7" ht="15.75" x14ac:dyDescent="0.2">
      <c r="A75" s="34"/>
      <c r="B75" s="38" t="s">
        <v>9</v>
      </c>
      <c r="C75" s="38"/>
      <c r="D75" s="33">
        <f>SUM(D34:D74)</f>
        <v>9706.0999999999985</v>
      </c>
    </row>
    <row r="76" spans="1:7" ht="15.75" x14ac:dyDescent="0.2">
      <c r="A76" s="34"/>
      <c r="B76" s="38" t="s">
        <v>46</v>
      </c>
      <c r="C76" s="38"/>
      <c r="D76" s="33">
        <f>D75+D32</f>
        <v>26113.499999999996</v>
      </c>
    </row>
    <row r="77" spans="1:7" ht="15.75" x14ac:dyDescent="0.2">
      <c r="A77" s="43"/>
      <c r="B77" s="44"/>
      <c r="C77" s="44"/>
      <c r="D77" s="46"/>
    </row>
    <row r="78" spans="1:7" ht="15" customHeight="1" x14ac:dyDescent="0.25">
      <c r="A78" s="111" t="s">
        <v>52</v>
      </c>
      <c r="B78" s="112"/>
      <c r="C78" s="69"/>
      <c r="D78" s="37">
        <v>350</v>
      </c>
    </row>
    <row r="79" spans="1:7" ht="15.75" customHeight="1" x14ac:dyDescent="0.25">
      <c r="A79" s="111" t="s">
        <v>78</v>
      </c>
      <c r="B79" s="112"/>
      <c r="C79" s="69"/>
      <c r="D79" s="50">
        <f>D76/D78</f>
        <v>74.609999999999985</v>
      </c>
    </row>
    <row r="80" spans="1:7" ht="15.75" customHeight="1" x14ac:dyDescent="0.25">
      <c r="A80" s="22"/>
      <c r="B80" s="15"/>
      <c r="C80" s="15"/>
      <c r="D80" s="45"/>
      <c r="G80" s="49"/>
    </row>
    <row r="81" spans="1:4" s="3" customFormat="1" ht="15.75" customHeight="1" x14ac:dyDescent="0.25">
      <c r="A81" s="111" t="s">
        <v>53</v>
      </c>
      <c r="B81" s="112"/>
      <c r="C81" s="18"/>
      <c r="D81" s="42"/>
    </row>
    <row r="82" spans="1:4" s="3" customFormat="1" ht="15.75" customHeight="1" x14ac:dyDescent="0.25">
      <c r="A82" s="111" t="s">
        <v>80</v>
      </c>
      <c r="B82" s="112"/>
      <c r="C82" s="18"/>
      <c r="D82" s="42"/>
    </row>
    <row r="83" spans="1:4" s="3" customFormat="1" ht="15.75" x14ac:dyDescent="0.25">
      <c r="A83" s="48"/>
      <c r="B83" s="15"/>
      <c r="C83" s="15"/>
    </row>
    <row r="84" spans="1:4" s="3" customFormat="1" ht="15.75" x14ac:dyDescent="0.25">
      <c r="A84" s="19" t="s">
        <v>54</v>
      </c>
      <c r="B84" s="19"/>
      <c r="C84" s="19"/>
    </row>
    <row r="85" spans="1:4" s="3" customFormat="1" ht="15.75" x14ac:dyDescent="0.25">
      <c r="A85" s="19"/>
      <c r="B85" s="19"/>
      <c r="C85" s="19"/>
    </row>
    <row r="86" spans="1:4" s="3" customFormat="1" ht="15.75" x14ac:dyDescent="0.25">
      <c r="A86" s="19" t="s">
        <v>73</v>
      </c>
      <c r="B86" s="20"/>
      <c r="C86" s="20"/>
      <c r="D86" s="82"/>
    </row>
    <row r="87" spans="1:4" s="3" customFormat="1" ht="13.9" customHeight="1" x14ac:dyDescent="0.25">
      <c r="A87" s="19"/>
      <c r="B87" s="21"/>
      <c r="C87" s="21"/>
    </row>
    <row r="88" spans="1:4" s="3" customFormat="1" ht="13.9" customHeight="1" x14ac:dyDescent="0.25">
      <c r="B88" s="4"/>
      <c r="C88" s="4"/>
    </row>
    <row r="89" spans="1:4" s="2" customFormat="1" x14ac:dyDescent="0.2"/>
  </sheetData>
  <mergeCells count="11">
    <mergeCell ref="A9:B9"/>
    <mergeCell ref="A10:B10"/>
    <mergeCell ref="A78:B78"/>
    <mergeCell ref="A79:B79"/>
    <mergeCell ref="A81:B81"/>
    <mergeCell ref="A82:B82"/>
    <mergeCell ref="A7:C7"/>
    <mergeCell ref="B12:C12"/>
    <mergeCell ref="B13:C13"/>
    <mergeCell ref="B14:C14"/>
    <mergeCell ref="B15:C15"/>
  </mergeCells>
  <pageMargins left="0.56145833333333328" right="0.7729166666666667" top="0.33" bottom="0.59055118110236227" header="0.31496062992125984" footer="0.31496062992125984"/>
  <pageSetup paperSize="9" scale="62" firstPageNumber="8" orientation="portrait" useFirstPageNumber="1" r:id="rId1"/>
  <headerFooter>
    <oddFooter>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zoomScale="90" zoomScaleNormal="90" zoomScalePageLayoutView="90" workbookViewId="0">
      <selection activeCell="B17" sqref="B17"/>
    </sheetView>
  </sheetViews>
  <sheetFormatPr defaultRowHeight="14.25" x14ac:dyDescent="0.2"/>
  <cols>
    <col min="1" max="1" width="12.140625" style="2" customWidth="1"/>
    <col min="2" max="2" width="97.28515625" style="2" customWidth="1"/>
    <col min="3" max="3" width="11.28515625" style="2" hidden="1" customWidth="1"/>
    <col min="4" max="4" width="26.140625" customWidth="1"/>
  </cols>
  <sheetData>
    <row r="1" spans="1:4" ht="15.75" customHeight="1" x14ac:dyDescent="0.25">
      <c r="A1" s="5"/>
      <c r="B1" s="39"/>
      <c r="C1" s="39"/>
      <c r="D1" s="57" t="s">
        <v>51</v>
      </c>
    </row>
    <row r="2" spans="1:4" ht="15.75" customHeight="1" x14ac:dyDescent="0.25">
      <c r="A2" s="5"/>
      <c r="B2" s="39"/>
      <c r="D2" s="12" t="s">
        <v>55</v>
      </c>
    </row>
    <row r="3" spans="1:4" ht="15.75" x14ac:dyDescent="0.25">
      <c r="A3" s="5"/>
      <c r="B3" s="48"/>
      <c r="C3" s="48"/>
      <c r="D3" s="53" t="s">
        <v>81</v>
      </c>
    </row>
    <row r="4" spans="1:4" ht="15.75" x14ac:dyDescent="0.25">
      <c r="A4" s="5"/>
      <c r="B4" s="39"/>
      <c r="C4" s="39"/>
    </row>
    <row r="5" spans="1:4" ht="15.75" x14ac:dyDescent="0.25">
      <c r="A5" s="5"/>
      <c r="B5" s="39"/>
      <c r="C5" s="39"/>
      <c r="D5" s="39" t="s">
        <v>236</v>
      </c>
    </row>
    <row r="6" spans="1:4" ht="15" x14ac:dyDescent="0.25">
      <c r="A6" s="5"/>
      <c r="B6" s="1"/>
      <c r="C6" s="1"/>
    </row>
    <row r="7" spans="1:4" ht="17.25" customHeight="1" x14ac:dyDescent="0.3">
      <c r="A7" s="115" t="s">
        <v>10</v>
      </c>
      <c r="B7" s="115"/>
      <c r="C7" s="115"/>
    </row>
    <row r="8" spans="1:4" x14ac:dyDescent="0.2">
      <c r="A8" s="9"/>
      <c r="B8" s="10"/>
      <c r="C8" s="10"/>
    </row>
    <row r="9" spans="1:4" ht="15" customHeight="1" x14ac:dyDescent="0.2">
      <c r="A9" s="109" t="s">
        <v>1</v>
      </c>
      <c r="B9" s="113"/>
      <c r="C9" s="56"/>
    </row>
    <row r="10" spans="1:4" ht="15" customHeight="1" x14ac:dyDescent="0.2">
      <c r="A10" s="109" t="s">
        <v>0</v>
      </c>
      <c r="B10" s="113"/>
      <c r="C10" s="56"/>
    </row>
    <row r="11" spans="1:4" ht="15" customHeight="1" x14ac:dyDescent="0.2">
      <c r="A11" s="11"/>
      <c r="B11" s="11" t="s">
        <v>47</v>
      </c>
      <c r="C11" s="11"/>
    </row>
    <row r="12" spans="1:4" ht="15" customHeight="1" x14ac:dyDescent="0.2">
      <c r="A12" s="11"/>
      <c r="B12" s="109" t="s">
        <v>70</v>
      </c>
      <c r="C12" s="109"/>
    </row>
    <row r="13" spans="1:4" ht="15.75" customHeight="1" x14ac:dyDescent="0.2">
      <c r="A13" s="11"/>
      <c r="B13" s="109" t="s">
        <v>206</v>
      </c>
      <c r="C13" s="109"/>
    </row>
    <row r="14" spans="1:4" ht="15.75" customHeight="1" x14ac:dyDescent="0.2">
      <c r="A14" s="11"/>
      <c r="B14" s="109" t="s">
        <v>208</v>
      </c>
      <c r="C14" s="109"/>
    </row>
    <row r="15" spans="1:4" ht="15" customHeight="1" x14ac:dyDescent="0.2">
      <c r="A15" s="11"/>
      <c r="B15" s="109"/>
      <c r="C15" s="109"/>
    </row>
    <row r="16" spans="1:4" ht="15.75" customHeight="1" x14ac:dyDescent="0.2">
      <c r="A16" s="11" t="s">
        <v>2</v>
      </c>
      <c r="B16" s="11" t="s">
        <v>232</v>
      </c>
      <c r="C16" s="11"/>
    </row>
    <row r="17" spans="1:7" ht="63" customHeight="1" x14ac:dyDescent="0.2">
      <c r="A17" s="47" t="s">
        <v>3</v>
      </c>
      <c r="B17" s="47" t="s">
        <v>4</v>
      </c>
      <c r="C17" s="47"/>
      <c r="D17" s="47" t="s">
        <v>77</v>
      </c>
    </row>
    <row r="18" spans="1:7" ht="15.75" x14ac:dyDescent="0.2">
      <c r="A18" s="24">
        <v>1</v>
      </c>
      <c r="B18" s="25">
        <v>2</v>
      </c>
      <c r="C18" s="25"/>
      <c r="D18" s="25">
        <v>3</v>
      </c>
    </row>
    <row r="19" spans="1:7" ht="15.75" x14ac:dyDescent="0.2">
      <c r="A19" s="26"/>
      <c r="B19" s="27" t="s">
        <v>6</v>
      </c>
      <c r="C19" s="27"/>
      <c r="D19" s="28"/>
    </row>
    <row r="20" spans="1:7" ht="15" customHeight="1" x14ac:dyDescent="0.2">
      <c r="A20" s="29">
        <v>1100</v>
      </c>
      <c r="B20" s="29" t="s">
        <v>159</v>
      </c>
      <c r="C20" s="29"/>
      <c r="D20" s="30">
        <f>23.91*200</f>
        <v>4782</v>
      </c>
      <c r="E20" s="49"/>
      <c r="G20" s="49"/>
    </row>
    <row r="21" spans="1:7" ht="15.75" x14ac:dyDescent="0.25">
      <c r="A21" s="29">
        <v>1200</v>
      </c>
      <c r="B21" s="63" t="s">
        <v>160</v>
      </c>
      <c r="C21" s="63"/>
      <c r="D21" s="30">
        <v>1128.07</v>
      </c>
    </row>
    <row r="22" spans="1:7" ht="15.75" x14ac:dyDescent="0.25">
      <c r="A22" s="29">
        <v>2222</v>
      </c>
      <c r="B22" s="64" t="s">
        <v>164</v>
      </c>
      <c r="C22" s="64"/>
      <c r="D22" s="30">
        <v>145.97</v>
      </c>
    </row>
    <row r="23" spans="1:7" ht="15.75" x14ac:dyDescent="0.25">
      <c r="A23" s="29">
        <v>2223</v>
      </c>
      <c r="B23" s="64" t="s">
        <v>165</v>
      </c>
      <c r="C23" s="64"/>
      <c r="D23" s="30">
        <v>160.58000000000001</v>
      </c>
    </row>
    <row r="24" spans="1:7" ht="15.75" hidden="1" x14ac:dyDescent="0.25">
      <c r="A24" s="29">
        <v>2243</v>
      </c>
      <c r="B24" s="62" t="s">
        <v>172</v>
      </c>
      <c r="C24" s="62"/>
      <c r="D24" s="30">
        <v>0</v>
      </c>
    </row>
    <row r="25" spans="1:7" ht="15.75" x14ac:dyDescent="0.25">
      <c r="A25" s="29">
        <v>2244</v>
      </c>
      <c r="B25" s="62" t="s">
        <v>173</v>
      </c>
      <c r="C25" s="62"/>
      <c r="D25" s="30">
        <f>2.12*200/2</f>
        <v>212</v>
      </c>
    </row>
    <row r="26" spans="1:7" ht="15.75" x14ac:dyDescent="0.25">
      <c r="A26" s="29">
        <v>2312</v>
      </c>
      <c r="B26" s="64" t="s">
        <v>181</v>
      </c>
      <c r="C26" s="62"/>
      <c r="D26" s="30">
        <f>0.28*200</f>
        <v>56.000000000000007</v>
      </c>
    </row>
    <row r="27" spans="1:7" ht="15.75" x14ac:dyDescent="0.25">
      <c r="A27" s="29">
        <v>2321</v>
      </c>
      <c r="B27" s="64" t="s">
        <v>183</v>
      </c>
      <c r="C27" s="64"/>
      <c r="D27" s="30">
        <v>249.2</v>
      </c>
    </row>
    <row r="28" spans="1:7" ht="15.75" x14ac:dyDescent="0.25">
      <c r="A28" s="29">
        <v>2341</v>
      </c>
      <c r="B28" s="64" t="s">
        <v>161</v>
      </c>
      <c r="C28" s="64"/>
      <c r="D28" s="30">
        <v>248.59</v>
      </c>
    </row>
    <row r="29" spans="1:7" ht="15.75" x14ac:dyDescent="0.25">
      <c r="A29" s="29">
        <v>2361</v>
      </c>
      <c r="B29" s="64" t="s">
        <v>197</v>
      </c>
      <c r="C29" s="64"/>
      <c r="D29" s="30">
        <f>2.25*200</f>
        <v>450</v>
      </c>
    </row>
    <row r="30" spans="1:7" ht="15.75" x14ac:dyDescent="0.25">
      <c r="A30" s="29">
        <v>2363</v>
      </c>
      <c r="B30" s="64" t="s">
        <v>199</v>
      </c>
      <c r="C30" s="64"/>
      <c r="D30" s="30">
        <f>8.12*200</f>
        <v>1623.9999999999998</v>
      </c>
    </row>
    <row r="31" spans="1:7" ht="15" customHeight="1" x14ac:dyDescent="0.25">
      <c r="A31" s="29">
        <v>5239</v>
      </c>
      <c r="B31" s="63" t="s">
        <v>190</v>
      </c>
      <c r="C31" s="63"/>
      <c r="D31" s="30">
        <v>61.68</v>
      </c>
    </row>
    <row r="32" spans="1:7" ht="15" customHeight="1" x14ac:dyDescent="0.2">
      <c r="A32" s="29"/>
      <c r="B32" s="32" t="s">
        <v>7</v>
      </c>
      <c r="C32" s="32"/>
      <c r="D32" s="33">
        <f>SUM(D20:D31)</f>
        <v>9118.09</v>
      </c>
      <c r="F32" s="49"/>
      <c r="G32" s="49"/>
    </row>
    <row r="33" spans="1:6" ht="15" customHeight="1" x14ac:dyDescent="0.2">
      <c r="A33" s="34"/>
      <c r="B33" s="29" t="s">
        <v>8</v>
      </c>
      <c r="C33" s="29"/>
      <c r="D33" s="28"/>
    </row>
    <row r="34" spans="1:6" ht="15" customHeight="1" x14ac:dyDescent="0.25">
      <c r="A34" s="29">
        <v>1100</v>
      </c>
      <c r="B34" s="62" t="s">
        <v>159</v>
      </c>
      <c r="C34" s="63">
        <f>0.388+0.024</f>
        <v>0.41200000000000003</v>
      </c>
      <c r="D34" s="30">
        <v>2163.64</v>
      </c>
      <c r="F34" s="49"/>
    </row>
    <row r="35" spans="1:6" ht="15.75" x14ac:dyDescent="0.25">
      <c r="A35" s="29">
        <v>1200</v>
      </c>
      <c r="B35" s="62" t="s">
        <v>160</v>
      </c>
      <c r="C35" s="63">
        <f>C34*0.2359</f>
        <v>9.7190800000000008E-2</v>
      </c>
      <c r="D35" s="30">
        <v>510.4</v>
      </c>
    </row>
    <row r="36" spans="1:6" ht="15.75" x14ac:dyDescent="0.25">
      <c r="A36" s="29">
        <v>2100</v>
      </c>
      <c r="B36" s="35" t="s">
        <v>44</v>
      </c>
      <c r="C36" s="63">
        <v>1.1659999999999999E-3</v>
      </c>
      <c r="D36" s="30">
        <v>5.32</v>
      </c>
    </row>
    <row r="37" spans="1:6" ht="15.75" x14ac:dyDescent="0.25">
      <c r="A37" s="36">
        <v>2210</v>
      </c>
      <c r="B37" s="64" t="s">
        <v>163</v>
      </c>
      <c r="C37" s="63">
        <v>7.6E-3</v>
      </c>
      <c r="D37" s="30">
        <v>30.2</v>
      </c>
    </row>
    <row r="38" spans="1:6" ht="15" customHeight="1" x14ac:dyDescent="0.25">
      <c r="A38" s="29">
        <v>2222</v>
      </c>
      <c r="B38" s="64" t="s">
        <v>164</v>
      </c>
      <c r="C38" s="63">
        <v>9.4999999999999998E-3</v>
      </c>
      <c r="D38" s="30">
        <v>40.5</v>
      </c>
    </row>
    <row r="39" spans="1:6" ht="15" customHeight="1" x14ac:dyDescent="0.25">
      <c r="A39" s="29">
        <v>2223</v>
      </c>
      <c r="B39" s="64" t="s">
        <v>165</v>
      </c>
      <c r="C39" s="63">
        <v>1.9019999999999999E-2</v>
      </c>
      <c r="D39" s="30">
        <v>92.12</v>
      </c>
    </row>
    <row r="40" spans="1:6" ht="31.5" x14ac:dyDescent="0.25">
      <c r="A40" s="29">
        <v>2224</v>
      </c>
      <c r="B40" s="64" t="s">
        <v>166</v>
      </c>
      <c r="C40" s="63">
        <v>4.9500000000000004E-3</v>
      </c>
      <c r="D40" s="30">
        <v>20.84</v>
      </c>
    </row>
    <row r="41" spans="1:6" ht="15.75" x14ac:dyDescent="0.25">
      <c r="A41" s="29">
        <v>2231</v>
      </c>
      <c r="B41" s="62" t="s">
        <v>167</v>
      </c>
      <c r="C41" s="63">
        <v>1.5499999999999999E-3</v>
      </c>
      <c r="D41" s="30">
        <v>7.4</v>
      </c>
    </row>
    <row r="42" spans="1:6" ht="15.75" x14ac:dyDescent="0.25">
      <c r="A42" s="29">
        <v>2235</v>
      </c>
      <c r="B42" s="66" t="s">
        <v>168</v>
      </c>
      <c r="C42" s="63">
        <v>1.65E-3</v>
      </c>
      <c r="D42" s="30">
        <v>7.95</v>
      </c>
    </row>
    <row r="43" spans="1:6" ht="15" customHeight="1" x14ac:dyDescent="0.25">
      <c r="A43" s="29">
        <v>2239</v>
      </c>
      <c r="B43" s="62" t="s">
        <v>169</v>
      </c>
      <c r="C43" s="63">
        <v>4.4099999999999999E-3</v>
      </c>
      <c r="D43" s="30">
        <v>22.91</v>
      </c>
    </row>
    <row r="44" spans="1:6" ht="15.75" x14ac:dyDescent="0.25">
      <c r="A44" s="29">
        <v>2241</v>
      </c>
      <c r="B44" s="62" t="s">
        <v>170</v>
      </c>
      <c r="C44" s="63">
        <v>1.6500000000000001E-2</v>
      </c>
      <c r="D44" s="30">
        <v>88.45</v>
      </c>
    </row>
    <row r="45" spans="1:6" ht="15.75" x14ac:dyDescent="0.25">
      <c r="A45" s="29">
        <v>2242</v>
      </c>
      <c r="B45" s="64" t="s">
        <v>171</v>
      </c>
      <c r="C45" s="63">
        <v>2.2599999999999999E-3</v>
      </c>
      <c r="D45" s="30">
        <v>11.25</v>
      </c>
    </row>
    <row r="46" spans="1:6" ht="14.25" customHeight="1" x14ac:dyDescent="0.25">
      <c r="A46" s="29">
        <v>2243</v>
      </c>
      <c r="B46" s="62" t="s">
        <v>172</v>
      </c>
      <c r="C46" s="63">
        <v>3.2599999999999997E-2</v>
      </c>
      <c r="D46" s="30">
        <v>153.74</v>
      </c>
    </row>
    <row r="47" spans="1:6" ht="15" customHeight="1" x14ac:dyDescent="0.25">
      <c r="A47" s="29">
        <v>2244</v>
      </c>
      <c r="B47" s="62" t="s">
        <v>173</v>
      </c>
      <c r="C47" s="63">
        <v>0.20397000000000001</v>
      </c>
      <c r="D47" s="30">
        <v>1105.82</v>
      </c>
    </row>
    <row r="48" spans="1:6" ht="15" customHeight="1" x14ac:dyDescent="0.25">
      <c r="A48" s="29">
        <v>2247</v>
      </c>
      <c r="B48" s="62" t="s">
        <v>174</v>
      </c>
      <c r="C48" s="63">
        <v>7.1900000000000002E-4</v>
      </c>
      <c r="D48" s="30">
        <v>2.9</v>
      </c>
    </row>
    <row r="49" spans="1:4" ht="15.75" x14ac:dyDescent="0.25">
      <c r="A49" s="29">
        <v>2249</v>
      </c>
      <c r="B49" s="62" t="s">
        <v>175</v>
      </c>
      <c r="C49" s="63">
        <v>2.32E-4</v>
      </c>
      <c r="D49" s="30">
        <v>1.26</v>
      </c>
    </row>
    <row r="50" spans="1:4" ht="15.75" x14ac:dyDescent="0.25">
      <c r="A50" s="29">
        <v>2250</v>
      </c>
      <c r="B50" s="62" t="s">
        <v>176</v>
      </c>
      <c r="C50" s="63">
        <v>2.4025999999999999E-2</v>
      </c>
      <c r="D50" s="30">
        <v>120.26</v>
      </c>
    </row>
    <row r="51" spans="1:4" ht="15.75" hidden="1" x14ac:dyDescent="0.25">
      <c r="A51" s="29">
        <v>2261</v>
      </c>
      <c r="B51" s="64" t="s">
        <v>196</v>
      </c>
      <c r="C51" s="63">
        <v>0</v>
      </c>
      <c r="D51" s="30">
        <v>0</v>
      </c>
    </row>
    <row r="52" spans="1:4" ht="15.75" x14ac:dyDescent="0.25">
      <c r="A52" s="29">
        <v>2262</v>
      </c>
      <c r="B52" s="64" t="s">
        <v>177</v>
      </c>
      <c r="C52" s="63">
        <v>6.2599999999999999E-3</v>
      </c>
      <c r="D52" s="30">
        <v>32.94</v>
      </c>
    </row>
    <row r="53" spans="1:4" ht="15.75" x14ac:dyDescent="0.25">
      <c r="A53" s="29">
        <v>2263</v>
      </c>
      <c r="B53" s="64" t="s">
        <v>178</v>
      </c>
      <c r="C53" s="63">
        <v>4.58E-2</v>
      </c>
      <c r="D53" s="30">
        <v>243.3</v>
      </c>
    </row>
    <row r="54" spans="1:4" ht="15.75" x14ac:dyDescent="0.25">
      <c r="A54" s="29">
        <v>2264</v>
      </c>
      <c r="B54" s="62" t="s">
        <v>179</v>
      </c>
      <c r="C54" s="63">
        <v>1.49E-3</v>
      </c>
      <c r="D54" s="30">
        <v>7.08</v>
      </c>
    </row>
    <row r="55" spans="1:4" ht="15" customHeight="1" x14ac:dyDescent="0.25">
      <c r="A55" s="29">
        <v>2311</v>
      </c>
      <c r="B55" s="64" t="s">
        <v>180</v>
      </c>
      <c r="C55" s="63">
        <v>4.7699999999999999E-3</v>
      </c>
      <c r="D55" s="30">
        <v>24.86</v>
      </c>
    </row>
    <row r="56" spans="1:4" ht="15" customHeight="1" x14ac:dyDescent="0.25">
      <c r="A56" s="29">
        <v>2312</v>
      </c>
      <c r="B56" s="64" t="s">
        <v>181</v>
      </c>
      <c r="C56" s="63">
        <v>5.79E-3</v>
      </c>
      <c r="D56" s="30">
        <v>30.39</v>
      </c>
    </row>
    <row r="57" spans="1:4" ht="15" customHeight="1" x14ac:dyDescent="0.25">
      <c r="A57" s="29">
        <v>2314</v>
      </c>
      <c r="B57" s="66" t="s">
        <v>182</v>
      </c>
      <c r="C57" s="63">
        <v>2.2200000000000002E-3</v>
      </c>
      <c r="D57" s="30">
        <v>11.04</v>
      </c>
    </row>
    <row r="58" spans="1:4" ht="15" customHeight="1" x14ac:dyDescent="0.25">
      <c r="A58" s="29">
        <v>2321</v>
      </c>
      <c r="B58" s="64" t="s">
        <v>183</v>
      </c>
      <c r="C58" s="63">
        <v>1.9800000000000002E-2</v>
      </c>
      <c r="D58" s="30">
        <v>106.95</v>
      </c>
    </row>
    <row r="59" spans="1:4" ht="15" customHeight="1" x14ac:dyDescent="0.25">
      <c r="A59" s="29">
        <v>2322</v>
      </c>
      <c r="B59" s="64" t="s">
        <v>184</v>
      </c>
      <c r="C59" s="63">
        <v>3.5000000000000001E-3</v>
      </c>
      <c r="D59" s="30">
        <v>17.98</v>
      </c>
    </row>
    <row r="60" spans="1:4" ht="15" hidden="1" customHeight="1" x14ac:dyDescent="0.25">
      <c r="A60" s="29">
        <v>2341</v>
      </c>
      <c r="B60" s="64" t="s">
        <v>161</v>
      </c>
      <c r="C60" s="63"/>
      <c r="D60" s="30">
        <v>0</v>
      </c>
    </row>
    <row r="61" spans="1:4" ht="15.75" customHeight="1" x14ac:dyDescent="0.25">
      <c r="A61" s="29">
        <v>2350</v>
      </c>
      <c r="B61" s="63" t="s">
        <v>162</v>
      </c>
      <c r="C61" s="63">
        <v>8.5000000000000006E-3</v>
      </c>
      <c r="D61" s="30">
        <v>45.08</v>
      </c>
    </row>
    <row r="62" spans="1:4" ht="15.75" hidden="1" x14ac:dyDescent="0.25">
      <c r="A62" s="29">
        <v>2361</v>
      </c>
      <c r="B62" s="64" t="s">
        <v>197</v>
      </c>
      <c r="C62" s="63">
        <v>0</v>
      </c>
      <c r="D62" s="30">
        <v>0</v>
      </c>
    </row>
    <row r="63" spans="1:4" ht="15.75" hidden="1" x14ac:dyDescent="0.25">
      <c r="A63" s="29">
        <v>2362</v>
      </c>
      <c r="B63" s="64" t="s">
        <v>198</v>
      </c>
      <c r="C63" s="63">
        <v>0</v>
      </c>
      <c r="D63" s="30">
        <v>0</v>
      </c>
    </row>
    <row r="64" spans="1:4" ht="15.75" hidden="1" x14ac:dyDescent="0.25">
      <c r="A64" s="29">
        <v>2363</v>
      </c>
      <c r="B64" s="64" t="s">
        <v>199</v>
      </c>
      <c r="C64" s="63">
        <v>0</v>
      </c>
      <c r="D64" s="30">
        <v>0</v>
      </c>
    </row>
    <row r="65" spans="1:7" ht="15.75" hidden="1" x14ac:dyDescent="0.25">
      <c r="A65" s="29">
        <v>2370</v>
      </c>
      <c r="B65" s="64" t="s">
        <v>200</v>
      </c>
      <c r="C65" s="63">
        <v>0</v>
      </c>
      <c r="D65" s="30">
        <v>0</v>
      </c>
    </row>
    <row r="66" spans="1:7" ht="15.75" hidden="1" x14ac:dyDescent="0.25">
      <c r="A66" s="29">
        <v>2400</v>
      </c>
      <c r="B66" s="64" t="s">
        <v>201</v>
      </c>
      <c r="C66" s="63">
        <v>0</v>
      </c>
      <c r="D66" s="30">
        <v>0</v>
      </c>
    </row>
    <row r="67" spans="1:7" ht="15" hidden="1" customHeight="1" x14ac:dyDescent="0.25">
      <c r="A67" s="29">
        <v>2512</v>
      </c>
      <c r="B67" s="64" t="s">
        <v>202</v>
      </c>
      <c r="C67" s="63">
        <v>0</v>
      </c>
      <c r="D67" s="30">
        <v>0</v>
      </c>
    </row>
    <row r="68" spans="1:7" ht="15.75" x14ac:dyDescent="0.25">
      <c r="A68" s="29">
        <v>2513</v>
      </c>
      <c r="B68" s="63" t="s">
        <v>185</v>
      </c>
      <c r="C68" s="63">
        <v>1.4599999999999999E-3</v>
      </c>
      <c r="D68" s="30">
        <v>6.92</v>
      </c>
    </row>
    <row r="69" spans="1:7" ht="15.75" x14ac:dyDescent="0.25">
      <c r="A69" s="29">
        <v>2515</v>
      </c>
      <c r="B69" s="64" t="s">
        <v>186</v>
      </c>
      <c r="C69" s="63">
        <v>1.9E-3</v>
      </c>
      <c r="D69" s="30">
        <v>9.3000000000000007</v>
      </c>
    </row>
    <row r="70" spans="1:7" ht="15.75" x14ac:dyDescent="0.25">
      <c r="A70" s="29">
        <v>2519</v>
      </c>
      <c r="B70" s="64" t="s">
        <v>187</v>
      </c>
      <c r="C70" s="63">
        <v>2E-3</v>
      </c>
      <c r="D70" s="30">
        <v>9.84</v>
      </c>
    </row>
    <row r="71" spans="1:7" ht="15.75" x14ac:dyDescent="0.25">
      <c r="A71" s="29">
        <v>5220</v>
      </c>
      <c r="B71" s="64" t="s">
        <v>188</v>
      </c>
      <c r="C71" s="63">
        <v>1.06E-2</v>
      </c>
      <c r="D71" s="30">
        <v>56.47</v>
      </c>
    </row>
    <row r="72" spans="1:7" ht="15.75" x14ac:dyDescent="0.25">
      <c r="A72" s="29">
        <v>5238</v>
      </c>
      <c r="B72" s="63" t="s">
        <v>189</v>
      </c>
      <c r="C72" s="63">
        <v>1.65E-3</v>
      </c>
      <c r="D72" s="30">
        <v>7.95</v>
      </c>
    </row>
    <row r="73" spans="1:7" ht="15.75" x14ac:dyDescent="0.25">
      <c r="A73" s="29">
        <v>5239</v>
      </c>
      <c r="B73" s="63" t="s">
        <v>190</v>
      </c>
      <c r="C73" s="63">
        <v>1.9800000000000002E-2</v>
      </c>
      <c r="D73" s="30">
        <v>106.34</v>
      </c>
    </row>
    <row r="74" spans="1:7" ht="15.75" x14ac:dyDescent="0.25">
      <c r="A74" s="29">
        <v>5250</v>
      </c>
      <c r="B74" s="64" t="s">
        <v>191</v>
      </c>
      <c r="C74" s="63">
        <v>2.5000000000000001E-2</v>
      </c>
      <c r="D74" s="30">
        <v>130.51</v>
      </c>
    </row>
    <row r="75" spans="1:7" ht="15.75" x14ac:dyDescent="0.2">
      <c r="A75" s="34"/>
      <c r="B75" s="38" t="s">
        <v>9</v>
      </c>
      <c r="C75" s="38"/>
      <c r="D75" s="33">
        <f>SUM(D34:D74)</f>
        <v>5231.9099999999989</v>
      </c>
    </row>
    <row r="76" spans="1:7" ht="15.75" x14ac:dyDescent="0.2">
      <c r="A76" s="34"/>
      <c r="B76" s="38" t="s">
        <v>46</v>
      </c>
      <c r="C76" s="38"/>
      <c r="D76" s="33">
        <f>D75+D32</f>
        <v>14350</v>
      </c>
    </row>
    <row r="77" spans="1:7" ht="15.75" x14ac:dyDescent="0.2">
      <c r="A77" s="43"/>
      <c r="B77" s="44"/>
      <c r="C77" s="44"/>
      <c r="D77" s="46"/>
    </row>
    <row r="78" spans="1:7" ht="15" customHeight="1" x14ac:dyDescent="0.25">
      <c r="A78" s="111" t="s">
        <v>52</v>
      </c>
      <c r="B78" s="112"/>
      <c r="C78" s="69"/>
      <c r="D78" s="37">
        <v>200</v>
      </c>
    </row>
    <row r="79" spans="1:7" ht="15.75" customHeight="1" x14ac:dyDescent="0.25">
      <c r="A79" s="111" t="s">
        <v>78</v>
      </c>
      <c r="B79" s="112"/>
      <c r="C79" s="69"/>
      <c r="D79" s="50">
        <f>D76/D78</f>
        <v>71.75</v>
      </c>
      <c r="F79" s="49"/>
      <c r="G79" s="49"/>
    </row>
    <row r="80" spans="1:7" ht="15.75" customHeight="1" x14ac:dyDescent="0.25">
      <c r="A80" s="22"/>
      <c r="B80" s="15"/>
      <c r="C80" s="15"/>
      <c r="D80" s="45"/>
    </row>
    <row r="81" spans="1:4" s="3" customFormat="1" ht="15.75" customHeight="1" x14ac:dyDescent="0.25">
      <c r="A81" s="111" t="s">
        <v>53</v>
      </c>
      <c r="B81" s="112"/>
      <c r="C81" s="18"/>
      <c r="D81" s="83"/>
    </row>
    <row r="82" spans="1:4" s="3" customFormat="1" ht="15.75" customHeight="1" x14ac:dyDescent="0.25">
      <c r="A82" s="111" t="s">
        <v>80</v>
      </c>
      <c r="B82" s="112"/>
      <c r="C82" s="18"/>
      <c r="D82" s="42"/>
    </row>
    <row r="83" spans="1:4" s="3" customFormat="1" ht="15.75" x14ac:dyDescent="0.25">
      <c r="A83" s="48"/>
      <c r="B83" s="15"/>
      <c r="C83" s="15"/>
    </row>
    <row r="84" spans="1:4" s="3" customFormat="1" ht="15.75" x14ac:dyDescent="0.25">
      <c r="A84" s="19" t="s">
        <v>54</v>
      </c>
      <c r="B84" s="19"/>
      <c r="C84" s="19"/>
    </row>
    <row r="85" spans="1:4" s="3" customFormat="1" ht="15.75" x14ac:dyDescent="0.25">
      <c r="A85" s="19"/>
      <c r="B85" s="19"/>
      <c r="C85" s="19"/>
    </row>
    <row r="86" spans="1:4" s="3" customFormat="1" ht="15.75" x14ac:dyDescent="0.25">
      <c r="A86" s="19" t="s">
        <v>73</v>
      </c>
      <c r="B86" s="20"/>
      <c r="C86" s="20"/>
    </row>
    <row r="87" spans="1:4" s="3" customFormat="1" ht="13.9" customHeight="1" x14ac:dyDescent="0.25">
      <c r="A87" s="19"/>
      <c r="B87" s="21"/>
      <c r="C87" s="21"/>
    </row>
    <row r="88" spans="1:4" s="3" customFormat="1" ht="13.9" customHeight="1" x14ac:dyDescent="0.25">
      <c r="B88" s="4"/>
      <c r="C88" s="4"/>
    </row>
    <row r="89" spans="1:4" s="2" customFormat="1" x14ac:dyDescent="0.2"/>
  </sheetData>
  <mergeCells count="11">
    <mergeCell ref="A9:B9"/>
    <mergeCell ref="A10:B10"/>
    <mergeCell ref="A78:B78"/>
    <mergeCell ref="A79:B79"/>
    <mergeCell ref="A81:B81"/>
    <mergeCell ref="A82:B82"/>
    <mergeCell ref="A7:C7"/>
    <mergeCell ref="B12:C12"/>
    <mergeCell ref="B13:C13"/>
    <mergeCell ref="B14:C14"/>
    <mergeCell ref="B15:C15"/>
  </mergeCells>
  <pageMargins left="0.94488188976377963" right="0.55118110236220474" top="0.59055118110236227" bottom="0.62992125984251968" header="0.31496062992125984" footer="0.31496062992125984"/>
  <pageSetup paperSize="9" scale="61" firstPageNumber="9" orientation="portrait" useFirstPageNumber="1" r:id="rId1"/>
  <headerFooter>
    <oddFooter>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7" zoomScale="90" zoomScaleNormal="90" zoomScalePageLayoutView="90" workbookViewId="0">
      <selection activeCell="B17" sqref="B17"/>
    </sheetView>
  </sheetViews>
  <sheetFormatPr defaultRowHeight="15" x14ac:dyDescent="0.2"/>
  <cols>
    <col min="1" max="1" width="12.140625" style="8" customWidth="1"/>
    <col min="2" max="2" width="97.28515625" style="8" customWidth="1"/>
    <col min="3" max="3" width="11.28515625" style="8" hidden="1" customWidth="1"/>
    <col min="4" max="4" width="26.140625" style="8" customWidth="1"/>
    <col min="5" max="16384" width="9.140625" style="8"/>
  </cols>
  <sheetData>
    <row r="1" spans="1:4" ht="15.75" customHeight="1" x14ac:dyDescent="0.25">
      <c r="A1" s="13"/>
      <c r="B1" s="39"/>
      <c r="C1" s="39"/>
      <c r="D1" s="57" t="s">
        <v>51</v>
      </c>
    </row>
    <row r="2" spans="1:4" ht="15.75" customHeight="1" x14ac:dyDescent="0.25">
      <c r="A2" s="13"/>
      <c r="B2" s="39"/>
      <c r="D2" s="12" t="s">
        <v>55</v>
      </c>
    </row>
    <row r="3" spans="1:4" ht="15.75" x14ac:dyDescent="0.25">
      <c r="A3" s="13"/>
      <c r="B3" s="48"/>
      <c r="C3" s="48"/>
      <c r="D3" s="53" t="s">
        <v>81</v>
      </c>
    </row>
    <row r="4" spans="1:4" ht="15.75" x14ac:dyDescent="0.25">
      <c r="A4" s="13"/>
      <c r="B4" s="39"/>
      <c r="C4" s="39"/>
    </row>
    <row r="5" spans="1:4" ht="15.75" x14ac:dyDescent="0.25">
      <c r="A5" s="13"/>
      <c r="B5" s="39"/>
      <c r="C5" s="39"/>
      <c r="D5" s="39" t="s">
        <v>236</v>
      </c>
    </row>
    <row r="6" spans="1:4" ht="15.75" x14ac:dyDescent="0.25">
      <c r="A6" s="13"/>
      <c r="B6" s="12"/>
      <c r="C6" s="12"/>
    </row>
    <row r="7" spans="1:4" ht="17.25" customHeight="1" x14ac:dyDescent="0.25">
      <c r="A7" s="121" t="s">
        <v>10</v>
      </c>
      <c r="B7" s="121"/>
      <c r="C7" s="121"/>
    </row>
    <row r="8" spans="1:4" ht="15.75" x14ac:dyDescent="0.25">
      <c r="A8" s="74"/>
      <c r="B8" s="75"/>
      <c r="C8" s="75"/>
    </row>
    <row r="9" spans="1:4" ht="15" customHeight="1" x14ac:dyDescent="0.2">
      <c r="A9" s="109" t="s">
        <v>1</v>
      </c>
      <c r="B9" s="113"/>
      <c r="C9" s="56"/>
    </row>
    <row r="10" spans="1:4" ht="15" customHeight="1" x14ac:dyDescent="0.2">
      <c r="A10" s="109" t="s">
        <v>0</v>
      </c>
      <c r="B10" s="113"/>
      <c r="C10" s="56"/>
    </row>
    <row r="11" spans="1:4" ht="15" customHeight="1" x14ac:dyDescent="0.2">
      <c r="A11" s="11"/>
      <c r="B11" s="11" t="s">
        <v>47</v>
      </c>
      <c r="C11" s="11"/>
    </row>
    <row r="12" spans="1:4" ht="15" customHeight="1" x14ac:dyDescent="0.2">
      <c r="A12" s="11"/>
      <c r="B12" s="109" t="s">
        <v>70</v>
      </c>
      <c r="C12" s="109"/>
    </row>
    <row r="13" spans="1:4" ht="15.75" customHeight="1" x14ac:dyDescent="0.2">
      <c r="A13" s="11"/>
      <c r="B13" s="109" t="s">
        <v>206</v>
      </c>
      <c r="C13" s="109"/>
    </row>
    <row r="14" spans="1:4" ht="15.75" customHeight="1" x14ac:dyDescent="0.2">
      <c r="A14" s="11"/>
      <c r="B14" s="109" t="s">
        <v>209</v>
      </c>
      <c r="C14" s="109"/>
    </row>
    <row r="15" spans="1:4" ht="15" customHeight="1" x14ac:dyDescent="0.2">
      <c r="A15" s="11"/>
      <c r="B15" s="109"/>
      <c r="C15" s="109"/>
    </row>
    <row r="16" spans="1:4" ht="15.75" customHeight="1" x14ac:dyDescent="0.2">
      <c r="A16" s="11" t="s">
        <v>2</v>
      </c>
      <c r="B16" s="11" t="s">
        <v>232</v>
      </c>
      <c r="C16" s="11"/>
    </row>
    <row r="17" spans="1:7" ht="63" customHeight="1" x14ac:dyDescent="0.2">
      <c r="A17" s="47" t="s">
        <v>3</v>
      </c>
      <c r="B17" s="47" t="s">
        <v>4</v>
      </c>
      <c r="C17" s="47"/>
      <c r="D17" s="47" t="s">
        <v>77</v>
      </c>
    </row>
    <row r="18" spans="1:7" ht="15.75" x14ac:dyDescent="0.2">
      <c r="A18" s="24">
        <v>1</v>
      </c>
      <c r="B18" s="25">
        <v>2</v>
      </c>
      <c r="C18" s="25"/>
      <c r="D18" s="25">
        <v>3</v>
      </c>
    </row>
    <row r="19" spans="1:7" ht="15.75" x14ac:dyDescent="0.2">
      <c r="A19" s="26"/>
      <c r="B19" s="27" t="s">
        <v>6</v>
      </c>
      <c r="C19" s="27"/>
      <c r="D19" s="28"/>
    </row>
    <row r="20" spans="1:7" ht="15" customHeight="1" x14ac:dyDescent="0.2">
      <c r="A20" s="29">
        <v>1100</v>
      </c>
      <c r="B20" s="29" t="s">
        <v>159</v>
      </c>
      <c r="C20" s="29"/>
      <c r="D20" s="30">
        <f>23.91*50</f>
        <v>1195.5</v>
      </c>
      <c r="E20" s="76"/>
      <c r="G20" s="76"/>
    </row>
    <row r="21" spans="1:7" ht="15.75" x14ac:dyDescent="0.25">
      <c r="A21" s="29">
        <v>1200</v>
      </c>
      <c r="B21" s="63" t="s">
        <v>160</v>
      </c>
      <c r="C21" s="63"/>
      <c r="D21" s="30">
        <v>282.02</v>
      </c>
    </row>
    <row r="22" spans="1:7" ht="15.75" x14ac:dyDescent="0.25">
      <c r="A22" s="29">
        <v>2222</v>
      </c>
      <c r="B22" s="64" t="s">
        <v>164</v>
      </c>
      <c r="C22" s="64"/>
      <c r="D22" s="30">
        <v>37.590000000000003</v>
      </c>
    </row>
    <row r="23" spans="1:7" ht="15.75" x14ac:dyDescent="0.25">
      <c r="A23" s="29">
        <v>2223</v>
      </c>
      <c r="B23" s="64" t="s">
        <v>165</v>
      </c>
      <c r="C23" s="64"/>
      <c r="D23" s="30">
        <v>41.35</v>
      </c>
    </row>
    <row r="24" spans="1:7" ht="15.75" hidden="1" x14ac:dyDescent="0.25">
      <c r="A24" s="29">
        <v>2243</v>
      </c>
      <c r="B24" s="62" t="s">
        <v>172</v>
      </c>
      <c r="C24" s="62"/>
      <c r="D24" s="30">
        <v>0</v>
      </c>
    </row>
    <row r="25" spans="1:7" ht="15.75" x14ac:dyDescent="0.25">
      <c r="A25" s="29">
        <v>2244</v>
      </c>
      <c r="B25" s="62" t="s">
        <v>173</v>
      </c>
      <c r="C25" s="62"/>
      <c r="D25" s="30">
        <f>2.12*50</f>
        <v>106</v>
      </c>
    </row>
    <row r="26" spans="1:7" ht="15.75" x14ac:dyDescent="0.25">
      <c r="A26" s="29">
        <v>2312</v>
      </c>
      <c r="B26" s="64" t="s">
        <v>181</v>
      </c>
      <c r="C26" s="62"/>
      <c r="D26" s="30">
        <f>0.28*50</f>
        <v>14.000000000000002</v>
      </c>
    </row>
    <row r="27" spans="1:7" ht="15.75" x14ac:dyDescent="0.25">
      <c r="A27" s="29">
        <v>2321</v>
      </c>
      <c r="B27" s="64" t="s">
        <v>183</v>
      </c>
      <c r="C27" s="64"/>
      <c r="D27" s="30">
        <v>64.17</v>
      </c>
    </row>
    <row r="28" spans="1:7" ht="15.75" x14ac:dyDescent="0.25">
      <c r="A28" s="29">
        <v>2341</v>
      </c>
      <c r="B28" s="64" t="s">
        <v>161</v>
      </c>
      <c r="C28" s="64"/>
      <c r="D28" s="30">
        <v>64.010000000000005</v>
      </c>
    </row>
    <row r="29" spans="1:7" ht="15.75" x14ac:dyDescent="0.25">
      <c r="A29" s="29">
        <v>2361</v>
      </c>
      <c r="B29" s="64" t="s">
        <v>197</v>
      </c>
      <c r="C29" s="64"/>
      <c r="D29" s="30">
        <f>2.25*50</f>
        <v>112.5</v>
      </c>
    </row>
    <row r="30" spans="1:7" ht="15.75" x14ac:dyDescent="0.25">
      <c r="A30" s="29">
        <v>2363</v>
      </c>
      <c r="B30" s="64" t="s">
        <v>199</v>
      </c>
      <c r="C30" s="64"/>
      <c r="D30" s="30">
        <f>8.12*50</f>
        <v>405.99999999999994</v>
      </c>
    </row>
    <row r="31" spans="1:7" ht="15" customHeight="1" x14ac:dyDescent="0.25">
      <c r="A31" s="29">
        <v>5239</v>
      </c>
      <c r="B31" s="63" t="s">
        <v>190</v>
      </c>
      <c r="C31" s="63"/>
      <c r="D31" s="30">
        <v>15.88</v>
      </c>
    </row>
    <row r="32" spans="1:7" ht="15" customHeight="1" x14ac:dyDescent="0.2">
      <c r="A32" s="29"/>
      <c r="B32" s="32" t="s">
        <v>7</v>
      </c>
      <c r="C32" s="32"/>
      <c r="D32" s="33">
        <f>SUM(D20:D31)</f>
        <v>2339.02</v>
      </c>
      <c r="F32" s="76"/>
      <c r="G32" s="76"/>
    </row>
    <row r="33" spans="1:6" ht="15" customHeight="1" x14ac:dyDescent="0.2">
      <c r="A33" s="34"/>
      <c r="B33" s="29" t="s">
        <v>8</v>
      </c>
      <c r="C33" s="29"/>
      <c r="D33" s="28"/>
    </row>
    <row r="34" spans="1:6" ht="15" customHeight="1" x14ac:dyDescent="0.25">
      <c r="A34" s="29">
        <v>1100</v>
      </c>
      <c r="B34" s="62" t="s">
        <v>159</v>
      </c>
      <c r="C34" s="63">
        <f>0.388+0.024</f>
        <v>0.41200000000000003</v>
      </c>
      <c r="D34" s="30">
        <v>561.16</v>
      </c>
      <c r="F34" s="76"/>
    </row>
    <row r="35" spans="1:6" ht="15.75" x14ac:dyDescent="0.25">
      <c r="A35" s="29">
        <v>1200</v>
      </c>
      <c r="B35" s="62" t="s">
        <v>160</v>
      </c>
      <c r="C35" s="63">
        <f>C34*0.2359</f>
        <v>9.7190800000000008E-2</v>
      </c>
      <c r="D35" s="30">
        <v>132.38</v>
      </c>
    </row>
    <row r="36" spans="1:6" ht="15.75" x14ac:dyDescent="0.25">
      <c r="A36" s="29">
        <v>2100</v>
      </c>
      <c r="B36" s="35" t="s">
        <v>44</v>
      </c>
      <c r="C36" s="63">
        <v>1.1659999999999999E-3</v>
      </c>
      <c r="D36" s="30">
        <v>1.62</v>
      </c>
    </row>
    <row r="37" spans="1:6" ht="15.75" x14ac:dyDescent="0.25">
      <c r="A37" s="36">
        <v>2210</v>
      </c>
      <c r="B37" s="64" t="s">
        <v>163</v>
      </c>
      <c r="C37" s="63">
        <v>7.6E-3</v>
      </c>
      <c r="D37" s="30">
        <v>10.54</v>
      </c>
    </row>
    <row r="38" spans="1:6" ht="15" customHeight="1" x14ac:dyDescent="0.25">
      <c r="A38" s="29">
        <v>2222</v>
      </c>
      <c r="B38" s="64" t="s">
        <v>164</v>
      </c>
      <c r="C38" s="63">
        <v>9.4999999999999998E-3</v>
      </c>
      <c r="D38" s="30">
        <v>13.17</v>
      </c>
    </row>
    <row r="39" spans="1:6" ht="15" customHeight="1" x14ac:dyDescent="0.25">
      <c r="A39" s="29">
        <v>2223</v>
      </c>
      <c r="B39" s="64" t="s">
        <v>165</v>
      </c>
      <c r="C39" s="63">
        <v>1.9019999999999999E-2</v>
      </c>
      <c r="D39" s="30">
        <v>26.37</v>
      </c>
    </row>
    <row r="40" spans="1:6" ht="31.5" x14ac:dyDescent="0.25">
      <c r="A40" s="29">
        <v>2224</v>
      </c>
      <c r="B40" s="64" t="s">
        <v>166</v>
      </c>
      <c r="C40" s="63">
        <v>4.9500000000000004E-3</v>
      </c>
      <c r="D40" s="30">
        <v>6.86</v>
      </c>
    </row>
    <row r="41" spans="1:6" ht="15.75" x14ac:dyDescent="0.25">
      <c r="A41" s="29">
        <v>2231</v>
      </c>
      <c r="B41" s="62" t="s">
        <v>167</v>
      </c>
      <c r="C41" s="63">
        <v>1.5499999999999999E-3</v>
      </c>
      <c r="D41" s="30">
        <v>2.15</v>
      </c>
    </row>
    <row r="42" spans="1:6" ht="15.75" x14ac:dyDescent="0.25">
      <c r="A42" s="29">
        <v>2235</v>
      </c>
      <c r="B42" s="66" t="s">
        <v>168</v>
      </c>
      <c r="C42" s="63">
        <v>1.65E-3</v>
      </c>
      <c r="D42" s="30">
        <v>2.29</v>
      </c>
    </row>
    <row r="43" spans="1:6" ht="15" customHeight="1" x14ac:dyDescent="0.25">
      <c r="A43" s="29">
        <v>2239</v>
      </c>
      <c r="B43" s="62" t="s">
        <v>169</v>
      </c>
      <c r="C43" s="63">
        <v>4.4099999999999999E-3</v>
      </c>
      <c r="D43" s="30">
        <v>6.11</v>
      </c>
    </row>
    <row r="44" spans="1:6" ht="15.75" x14ac:dyDescent="0.25">
      <c r="A44" s="29">
        <v>2241</v>
      </c>
      <c r="B44" s="62" t="s">
        <v>170</v>
      </c>
      <c r="C44" s="63">
        <v>1.6500000000000001E-2</v>
      </c>
      <c r="D44" s="30">
        <v>22.87</v>
      </c>
    </row>
    <row r="45" spans="1:6" ht="15.75" x14ac:dyDescent="0.25">
      <c r="A45" s="29">
        <v>2242</v>
      </c>
      <c r="B45" s="64" t="s">
        <v>171</v>
      </c>
      <c r="C45" s="63">
        <v>2.2599999999999999E-3</v>
      </c>
      <c r="D45" s="30">
        <v>3.13</v>
      </c>
    </row>
    <row r="46" spans="1:6" ht="14.25" customHeight="1" x14ac:dyDescent="0.25">
      <c r="A46" s="29">
        <v>2243</v>
      </c>
      <c r="B46" s="62" t="s">
        <v>172</v>
      </c>
      <c r="C46" s="63">
        <v>3.2599999999999997E-2</v>
      </c>
      <c r="D46" s="30">
        <v>45.35</v>
      </c>
    </row>
    <row r="47" spans="1:6" ht="15" customHeight="1" x14ac:dyDescent="0.25">
      <c r="A47" s="29">
        <v>2244</v>
      </c>
      <c r="B47" s="62" t="s">
        <v>173</v>
      </c>
      <c r="C47" s="63">
        <v>0.20397000000000001</v>
      </c>
      <c r="D47" s="30">
        <v>282.76</v>
      </c>
    </row>
    <row r="48" spans="1:6" ht="15" customHeight="1" x14ac:dyDescent="0.25">
      <c r="A48" s="29">
        <v>2247</v>
      </c>
      <c r="B48" s="62" t="s">
        <v>174</v>
      </c>
      <c r="C48" s="63">
        <v>7.1900000000000002E-4</v>
      </c>
      <c r="D48" s="30">
        <v>1</v>
      </c>
    </row>
    <row r="49" spans="1:4" ht="15.75" x14ac:dyDescent="0.25">
      <c r="A49" s="29">
        <v>2249</v>
      </c>
      <c r="B49" s="62" t="s">
        <v>175</v>
      </c>
      <c r="C49" s="63">
        <v>2.32E-4</v>
      </c>
      <c r="D49" s="30">
        <v>0.32</v>
      </c>
    </row>
    <row r="50" spans="1:4" ht="15.75" x14ac:dyDescent="0.25">
      <c r="A50" s="29">
        <v>2250</v>
      </c>
      <c r="B50" s="62" t="s">
        <v>176</v>
      </c>
      <c r="C50" s="63">
        <v>2.4025999999999999E-2</v>
      </c>
      <c r="D50" s="30">
        <v>33.31</v>
      </c>
    </row>
    <row r="51" spans="1:4" ht="15.75" hidden="1" x14ac:dyDescent="0.25">
      <c r="A51" s="29">
        <v>2261</v>
      </c>
      <c r="B51" s="64" t="s">
        <v>196</v>
      </c>
      <c r="C51" s="63">
        <v>0</v>
      </c>
      <c r="D51" s="30">
        <v>0</v>
      </c>
    </row>
    <row r="52" spans="1:4" ht="15.75" x14ac:dyDescent="0.25">
      <c r="A52" s="29">
        <v>2262</v>
      </c>
      <c r="B52" s="64" t="s">
        <v>177</v>
      </c>
      <c r="C52" s="63">
        <v>6.2599999999999999E-3</v>
      </c>
      <c r="D52" s="30">
        <v>8.68</v>
      </c>
    </row>
    <row r="53" spans="1:4" ht="15.75" x14ac:dyDescent="0.25">
      <c r="A53" s="29">
        <v>2263</v>
      </c>
      <c r="B53" s="64" t="s">
        <v>178</v>
      </c>
      <c r="C53" s="63">
        <v>4.58E-2</v>
      </c>
      <c r="D53" s="30">
        <v>63.49</v>
      </c>
    </row>
    <row r="54" spans="1:4" ht="15.75" x14ac:dyDescent="0.25">
      <c r="A54" s="29">
        <v>2264</v>
      </c>
      <c r="B54" s="62" t="s">
        <v>179</v>
      </c>
      <c r="C54" s="63">
        <v>1.49E-3</v>
      </c>
      <c r="D54" s="30">
        <v>2.0699999999999998</v>
      </c>
    </row>
    <row r="55" spans="1:4" ht="15" customHeight="1" x14ac:dyDescent="0.25">
      <c r="A55" s="29">
        <v>2311</v>
      </c>
      <c r="B55" s="64" t="s">
        <v>180</v>
      </c>
      <c r="C55" s="63">
        <v>4.7699999999999999E-3</v>
      </c>
      <c r="D55" s="30">
        <v>6.61</v>
      </c>
    </row>
    <row r="56" spans="1:4" ht="15" customHeight="1" x14ac:dyDescent="0.25">
      <c r="A56" s="29">
        <v>2312</v>
      </c>
      <c r="B56" s="64" t="s">
        <v>181</v>
      </c>
      <c r="C56" s="63">
        <v>5.79E-3</v>
      </c>
      <c r="D56" s="30">
        <v>8.0299999999999994</v>
      </c>
    </row>
    <row r="57" spans="1:4" ht="15" customHeight="1" x14ac:dyDescent="0.25">
      <c r="A57" s="29">
        <v>2314</v>
      </c>
      <c r="B57" s="66" t="s">
        <v>182</v>
      </c>
      <c r="C57" s="63">
        <v>2.2200000000000002E-3</v>
      </c>
      <c r="D57" s="30">
        <v>3.08</v>
      </c>
    </row>
    <row r="58" spans="1:4" ht="15" customHeight="1" x14ac:dyDescent="0.25">
      <c r="A58" s="29">
        <v>2321</v>
      </c>
      <c r="B58" s="64" t="s">
        <v>183</v>
      </c>
      <c r="C58" s="63">
        <v>1.9800000000000002E-2</v>
      </c>
      <c r="D58" s="30">
        <v>27.45</v>
      </c>
    </row>
    <row r="59" spans="1:4" ht="15" customHeight="1" x14ac:dyDescent="0.25">
      <c r="A59" s="29">
        <v>2322</v>
      </c>
      <c r="B59" s="64" t="s">
        <v>184</v>
      </c>
      <c r="C59" s="63">
        <v>3.5000000000000001E-3</v>
      </c>
      <c r="D59" s="30">
        <v>4.8499999999999996</v>
      </c>
    </row>
    <row r="60" spans="1:4" ht="15" hidden="1" customHeight="1" x14ac:dyDescent="0.25">
      <c r="A60" s="29">
        <v>2341</v>
      </c>
      <c r="B60" s="64" t="s">
        <v>161</v>
      </c>
      <c r="C60" s="63"/>
      <c r="D60" s="30">
        <v>0</v>
      </c>
    </row>
    <row r="61" spans="1:4" ht="15.75" customHeight="1" x14ac:dyDescent="0.25">
      <c r="A61" s="29">
        <v>2350</v>
      </c>
      <c r="B61" s="63" t="s">
        <v>162</v>
      </c>
      <c r="C61" s="63">
        <v>8.5000000000000006E-3</v>
      </c>
      <c r="D61" s="30">
        <v>11.78</v>
      </c>
    </row>
    <row r="62" spans="1:4" ht="15.75" hidden="1" x14ac:dyDescent="0.25">
      <c r="A62" s="29">
        <v>2361</v>
      </c>
      <c r="B62" s="64" t="s">
        <v>197</v>
      </c>
      <c r="C62" s="63">
        <v>0</v>
      </c>
      <c r="D62" s="30">
        <v>0</v>
      </c>
    </row>
    <row r="63" spans="1:4" ht="15.75" hidden="1" x14ac:dyDescent="0.25">
      <c r="A63" s="29">
        <v>2362</v>
      </c>
      <c r="B63" s="64" t="s">
        <v>198</v>
      </c>
      <c r="C63" s="63">
        <v>0</v>
      </c>
      <c r="D63" s="30">
        <v>0</v>
      </c>
    </row>
    <row r="64" spans="1:4" ht="15.75" hidden="1" x14ac:dyDescent="0.25">
      <c r="A64" s="29">
        <v>2363</v>
      </c>
      <c r="B64" s="64" t="s">
        <v>199</v>
      </c>
      <c r="C64" s="63">
        <v>0</v>
      </c>
      <c r="D64" s="30">
        <v>0</v>
      </c>
    </row>
    <row r="65" spans="1:7" ht="15.75" hidden="1" x14ac:dyDescent="0.25">
      <c r="A65" s="29">
        <v>2370</v>
      </c>
      <c r="B65" s="64" t="s">
        <v>200</v>
      </c>
      <c r="C65" s="63">
        <v>0</v>
      </c>
      <c r="D65" s="30">
        <v>0</v>
      </c>
    </row>
    <row r="66" spans="1:7" ht="15.75" hidden="1" x14ac:dyDescent="0.25">
      <c r="A66" s="29">
        <v>2400</v>
      </c>
      <c r="B66" s="64" t="s">
        <v>201</v>
      </c>
      <c r="C66" s="63">
        <v>0</v>
      </c>
      <c r="D66" s="30">
        <v>0</v>
      </c>
    </row>
    <row r="67" spans="1:7" ht="15" hidden="1" customHeight="1" x14ac:dyDescent="0.25">
      <c r="A67" s="29">
        <v>2512</v>
      </c>
      <c r="B67" s="64" t="s">
        <v>202</v>
      </c>
      <c r="C67" s="63">
        <v>0</v>
      </c>
      <c r="D67" s="30">
        <v>0</v>
      </c>
    </row>
    <row r="68" spans="1:7" ht="15.75" x14ac:dyDescent="0.25">
      <c r="A68" s="29">
        <v>2513</v>
      </c>
      <c r="B68" s="63" t="s">
        <v>185</v>
      </c>
      <c r="C68" s="63">
        <v>1.4599999999999999E-3</v>
      </c>
      <c r="D68" s="30">
        <v>2.02</v>
      </c>
    </row>
    <row r="69" spans="1:7" ht="15.75" x14ac:dyDescent="0.25">
      <c r="A69" s="29">
        <v>2515</v>
      </c>
      <c r="B69" s="64" t="s">
        <v>186</v>
      </c>
      <c r="C69" s="63">
        <v>1.9E-3</v>
      </c>
      <c r="D69" s="30">
        <v>2.63</v>
      </c>
    </row>
    <row r="70" spans="1:7" ht="15.75" x14ac:dyDescent="0.25">
      <c r="A70" s="29">
        <v>2519</v>
      </c>
      <c r="B70" s="64" t="s">
        <v>187</v>
      </c>
      <c r="C70" s="63">
        <v>2E-3</v>
      </c>
      <c r="D70" s="30">
        <v>2.77</v>
      </c>
    </row>
    <row r="71" spans="1:7" ht="15.75" x14ac:dyDescent="0.25">
      <c r="A71" s="29">
        <v>5220</v>
      </c>
      <c r="B71" s="64" t="s">
        <v>188</v>
      </c>
      <c r="C71" s="63">
        <v>1.06E-2</v>
      </c>
      <c r="D71" s="30">
        <v>14.69</v>
      </c>
    </row>
    <row r="72" spans="1:7" ht="15.75" x14ac:dyDescent="0.25">
      <c r="A72" s="29">
        <v>5238</v>
      </c>
      <c r="B72" s="63" t="s">
        <v>189</v>
      </c>
      <c r="C72" s="63">
        <v>1.65E-3</v>
      </c>
      <c r="D72" s="30">
        <v>2.29</v>
      </c>
    </row>
    <row r="73" spans="1:7" ht="15.75" x14ac:dyDescent="0.25">
      <c r="A73" s="29">
        <v>5239</v>
      </c>
      <c r="B73" s="63" t="s">
        <v>190</v>
      </c>
      <c r="C73" s="63">
        <v>1.9800000000000002E-2</v>
      </c>
      <c r="D73" s="30">
        <v>23.45</v>
      </c>
    </row>
    <row r="74" spans="1:7" ht="15.75" x14ac:dyDescent="0.25">
      <c r="A74" s="29">
        <v>5250</v>
      </c>
      <c r="B74" s="64" t="s">
        <v>191</v>
      </c>
      <c r="C74" s="63">
        <v>2.5000000000000001E-2</v>
      </c>
      <c r="D74" s="30">
        <v>30.2</v>
      </c>
    </row>
    <row r="75" spans="1:7" ht="15.75" x14ac:dyDescent="0.2">
      <c r="A75" s="34"/>
      <c r="B75" s="38" t="s">
        <v>9</v>
      </c>
      <c r="C75" s="38"/>
      <c r="D75" s="33">
        <f>SUM(D34:D74)</f>
        <v>1365.4799999999996</v>
      </c>
    </row>
    <row r="76" spans="1:7" ht="15.75" x14ac:dyDescent="0.2">
      <c r="A76" s="34"/>
      <c r="B76" s="38" t="s">
        <v>46</v>
      </c>
      <c r="C76" s="38"/>
      <c r="D76" s="33">
        <f>D75+D32</f>
        <v>3704.4999999999995</v>
      </c>
    </row>
    <row r="77" spans="1:7" ht="15.75" x14ac:dyDescent="0.2">
      <c r="A77" s="43"/>
      <c r="B77" s="44"/>
      <c r="C77" s="44"/>
      <c r="D77" s="46"/>
    </row>
    <row r="78" spans="1:7" ht="15" customHeight="1" x14ac:dyDescent="0.25">
      <c r="A78" s="111" t="s">
        <v>52</v>
      </c>
      <c r="B78" s="112"/>
      <c r="C78" s="69"/>
      <c r="D78" s="37">
        <v>50</v>
      </c>
      <c r="G78" s="76"/>
    </row>
    <row r="79" spans="1:7" ht="15.75" customHeight="1" x14ac:dyDescent="0.25">
      <c r="A79" s="111" t="s">
        <v>78</v>
      </c>
      <c r="B79" s="112"/>
      <c r="C79" s="69"/>
      <c r="D79" s="50">
        <f>D76/D78</f>
        <v>74.089999999999989</v>
      </c>
      <c r="F79" s="76"/>
      <c r="G79" s="76"/>
    </row>
    <row r="80" spans="1:7" ht="15.75" customHeight="1" x14ac:dyDescent="0.25">
      <c r="A80" s="22"/>
      <c r="B80" s="15"/>
      <c r="C80" s="15"/>
      <c r="D80" s="45"/>
    </row>
    <row r="81" spans="1:4" s="19" customFormat="1" ht="15.75" customHeight="1" x14ac:dyDescent="0.25">
      <c r="A81" s="111" t="s">
        <v>53</v>
      </c>
      <c r="B81" s="112"/>
      <c r="C81" s="18"/>
      <c r="D81" s="42"/>
    </row>
    <row r="82" spans="1:4" s="19" customFormat="1" ht="15.75" customHeight="1" x14ac:dyDescent="0.25">
      <c r="A82" s="111" t="s">
        <v>80</v>
      </c>
      <c r="B82" s="112"/>
      <c r="C82" s="18"/>
      <c r="D82" s="42"/>
    </row>
    <row r="83" spans="1:4" s="19" customFormat="1" ht="15.75" x14ac:dyDescent="0.25">
      <c r="A83" s="48"/>
      <c r="B83" s="15"/>
      <c r="C83" s="15"/>
      <c r="D83" s="55"/>
    </row>
    <row r="84" spans="1:4" s="19" customFormat="1" ht="15.75" x14ac:dyDescent="0.25">
      <c r="A84" s="19" t="s">
        <v>54</v>
      </c>
    </row>
    <row r="85" spans="1:4" s="19" customFormat="1" ht="15.75" x14ac:dyDescent="0.25"/>
    <row r="86" spans="1:4" s="19" customFormat="1" ht="15.75" x14ac:dyDescent="0.25">
      <c r="A86" s="19" t="s">
        <v>73</v>
      </c>
      <c r="B86" s="20"/>
      <c r="C86" s="20"/>
    </row>
    <row r="87" spans="1:4" s="19" customFormat="1" ht="13.9" customHeight="1" x14ac:dyDescent="0.25">
      <c r="B87" s="21"/>
      <c r="C87" s="21"/>
    </row>
    <row r="88" spans="1:4" s="19" customFormat="1" ht="13.9" customHeight="1" x14ac:dyDescent="0.25">
      <c r="B88" s="21"/>
      <c r="C88" s="21"/>
    </row>
  </sheetData>
  <mergeCells count="11">
    <mergeCell ref="A10:B10"/>
    <mergeCell ref="A78:B78"/>
    <mergeCell ref="A79:B79"/>
    <mergeCell ref="A81:B81"/>
    <mergeCell ref="A82:B82"/>
    <mergeCell ref="A7:C7"/>
    <mergeCell ref="B12:C12"/>
    <mergeCell ref="B13:C13"/>
    <mergeCell ref="B14:C14"/>
    <mergeCell ref="B15:C15"/>
    <mergeCell ref="A9:B9"/>
  </mergeCells>
  <pageMargins left="0.94488188976377963" right="0.55118110236220474" top="0.59055118110236227" bottom="0.59055118110236227" header="0.31496062992125984" footer="0.31496062992125984"/>
  <pageSetup paperSize="9" scale="61" firstPageNumber="10" orientation="portrait" useFirstPageNumber="1" r:id="rId1"/>
  <headerFooter>
    <oddFooter>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9"/>
  <sheetViews>
    <sheetView zoomScale="90" zoomScaleNormal="90" zoomScalePageLayoutView="90" workbookViewId="0">
      <selection sqref="A1:IV65536"/>
    </sheetView>
  </sheetViews>
  <sheetFormatPr defaultRowHeight="15" x14ac:dyDescent="0.2"/>
  <cols>
    <col min="1" max="1" width="12.42578125" style="8" customWidth="1"/>
    <col min="2" max="2" width="100.140625" style="8" customWidth="1"/>
    <col min="3" max="3" width="14.140625" style="8" hidden="1" customWidth="1"/>
    <col min="4" max="4" width="32.5703125" style="8" customWidth="1"/>
    <col min="5" max="16384" width="9.140625" style="7"/>
  </cols>
  <sheetData>
    <row r="1" spans="1:4" ht="15.75" customHeight="1" x14ac:dyDescent="0.25">
      <c r="A1" s="14"/>
      <c r="B1" s="106" t="s">
        <v>51</v>
      </c>
      <c r="C1" s="106"/>
      <c r="D1" s="114"/>
    </row>
    <row r="2" spans="1:4" ht="15.75" x14ac:dyDescent="0.25">
      <c r="A2" s="14"/>
      <c r="B2" s="116" t="s">
        <v>55</v>
      </c>
      <c r="C2" s="116"/>
      <c r="D2" s="122"/>
    </row>
    <row r="3" spans="1:4" ht="15.75" x14ac:dyDescent="0.25">
      <c r="A3" s="14"/>
      <c r="B3" s="12"/>
      <c r="C3" s="12"/>
      <c r="D3" s="53" t="s">
        <v>156</v>
      </c>
    </row>
    <row r="4" spans="1:4" ht="15.75" x14ac:dyDescent="0.25">
      <c r="A4" s="14"/>
      <c r="B4" s="12"/>
      <c r="C4" s="12"/>
      <c r="D4" s="39"/>
    </row>
    <row r="5" spans="1:4" ht="15.75" x14ac:dyDescent="0.25">
      <c r="A5" s="14"/>
      <c r="B5" s="17"/>
      <c r="C5" s="17"/>
      <c r="D5" s="39" t="s">
        <v>157</v>
      </c>
    </row>
    <row r="6" spans="1:4" ht="15.75" x14ac:dyDescent="0.25">
      <c r="A6" s="14"/>
      <c r="B6" s="12"/>
      <c r="C6" s="12"/>
      <c r="D6" s="73"/>
    </row>
    <row r="7" spans="1:4" ht="15.75" x14ac:dyDescent="0.25">
      <c r="A7" s="108" t="s">
        <v>10</v>
      </c>
      <c r="B7" s="108"/>
      <c r="C7" s="108"/>
      <c r="D7" s="108"/>
    </row>
    <row r="8" spans="1:4" ht="15.75" x14ac:dyDescent="0.25">
      <c r="A8" s="58"/>
      <c r="B8" s="58"/>
      <c r="C8" s="58"/>
    </row>
    <row r="9" spans="1:4" ht="15.75" x14ac:dyDescent="0.2">
      <c r="A9" s="109" t="s">
        <v>1</v>
      </c>
      <c r="B9" s="109"/>
      <c r="C9" s="11"/>
    </row>
    <row r="10" spans="1:4" ht="15.75" x14ac:dyDescent="0.2">
      <c r="A10" s="109" t="s">
        <v>0</v>
      </c>
      <c r="B10" s="109"/>
      <c r="C10" s="11"/>
    </row>
    <row r="11" spans="1:4" ht="15" customHeight="1" x14ac:dyDescent="0.2">
      <c r="A11" s="11"/>
      <c r="B11" s="11" t="s">
        <v>47</v>
      </c>
      <c r="C11" s="11"/>
    </row>
    <row r="12" spans="1:4" ht="15" customHeight="1" x14ac:dyDescent="0.2">
      <c r="A12" s="11"/>
      <c r="B12" s="11" t="s">
        <v>70</v>
      </c>
      <c r="C12" s="11"/>
      <c r="D12" s="16"/>
    </row>
    <row r="13" spans="1:4" ht="15" customHeight="1" x14ac:dyDescent="0.2">
      <c r="A13" s="11"/>
      <c r="B13" s="109" t="s">
        <v>72</v>
      </c>
      <c r="C13" s="109"/>
      <c r="D13" s="114"/>
    </row>
    <row r="14" spans="1:4" ht="15" customHeight="1" x14ac:dyDescent="0.2">
      <c r="A14" s="11"/>
      <c r="B14" s="109" t="s">
        <v>149</v>
      </c>
      <c r="C14" s="109"/>
      <c r="D14" s="114"/>
    </row>
    <row r="15" spans="1:4" ht="15" customHeight="1" x14ac:dyDescent="0.2">
      <c r="A15" s="11" t="s">
        <v>2</v>
      </c>
      <c r="B15" s="11" t="str">
        <f>'4.1.1.1.'!B14</f>
        <v>4.1.1. Rehabilitācijas kurss  Dubultu prospektā 71, 2.korpuss, Jūrmalā</v>
      </c>
      <c r="C15" s="11"/>
    </row>
    <row r="16" spans="1:4" ht="67.5" customHeight="1" x14ac:dyDescent="0.2">
      <c r="A16" s="47" t="s">
        <v>3</v>
      </c>
      <c r="B16" s="47" t="s">
        <v>4</v>
      </c>
      <c r="C16" s="47"/>
      <c r="D16" s="47" t="s">
        <v>77</v>
      </c>
    </row>
    <row r="17" spans="1:4" ht="15.75" x14ac:dyDescent="0.2">
      <c r="A17" s="24">
        <v>1</v>
      </c>
      <c r="B17" s="25">
        <v>2</v>
      </c>
      <c r="C17" s="25"/>
      <c r="D17" s="25">
        <v>3</v>
      </c>
    </row>
    <row r="18" spans="1:4" ht="15.75" x14ac:dyDescent="0.2">
      <c r="A18" s="26"/>
      <c r="B18" s="27" t="s">
        <v>6</v>
      </c>
      <c r="C18" s="27"/>
      <c r="D18" s="28"/>
    </row>
    <row r="19" spans="1:4" ht="15.75" x14ac:dyDescent="0.2">
      <c r="A19" s="29">
        <v>1100</v>
      </c>
      <c r="B19" s="29" t="s">
        <v>84</v>
      </c>
      <c r="C19" s="30">
        <f>795+0.96*100</f>
        <v>891</v>
      </c>
      <c r="D19" s="30">
        <v>540</v>
      </c>
    </row>
    <row r="20" spans="1:4" ht="15.75" x14ac:dyDescent="0.2">
      <c r="A20" s="29">
        <v>1200</v>
      </c>
      <c r="B20" s="31" t="s">
        <v>85</v>
      </c>
      <c r="C20" s="30">
        <f>191.51+0.23*100</f>
        <v>214.51</v>
      </c>
      <c r="D20" s="30">
        <v>130.09</v>
      </c>
    </row>
    <row r="21" spans="1:4" ht="15.75" x14ac:dyDescent="0.2">
      <c r="A21" s="29">
        <v>2222</v>
      </c>
      <c r="B21" s="31" t="s">
        <v>41</v>
      </c>
      <c r="C21" s="30">
        <v>55.83</v>
      </c>
      <c r="D21" s="30">
        <f t="shared" ref="D21:D29" si="0">C21/100*50</f>
        <v>27.914999999999999</v>
      </c>
    </row>
    <row r="22" spans="1:4" ht="15.75" x14ac:dyDescent="0.2">
      <c r="A22" s="29">
        <v>2223</v>
      </c>
      <c r="B22" s="31" t="s">
        <v>42</v>
      </c>
      <c r="C22" s="30">
        <v>53.25</v>
      </c>
      <c r="D22" s="30">
        <f t="shared" si="0"/>
        <v>26.625</v>
      </c>
    </row>
    <row r="23" spans="1:4" ht="15.75" x14ac:dyDescent="0.2">
      <c r="A23" s="29">
        <v>2243</v>
      </c>
      <c r="B23" s="31" t="s">
        <v>14</v>
      </c>
      <c r="C23" s="30">
        <v>14.62</v>
      </c>
      <c r="D23" s="30">
        <f t="shared" si="0"/>
        <v>7.31</v>
      </c>
    </row>
    <row r="24" spans="1:4" ht="15.75" hidden="1" x14ac:dyDescent="0.2">
      <c r="A24" s="29">
        <v>2249</v>
      </c>
      <c r="B24" s="31" t="s">
        <v>16</v>
      </c>
      <c r="C24" s="30">
        <v>0</v>
      </c>
      <c r="D24" s="30">
        <f t="shared" si="0"/>
        <v>0</v>
      </c>
    </row>
    <row r="25" spans="1:4" ht="15.75" x14ac:dyDescent="0.2">
      <c r="A25" s="29">
        <v>2321</v>
      </c>
      <c r="B25" s="31" t="s">
        <v>24</v>
      </c>
      <c r="C25" s="30">
        <v>82.5</v>
      </c>
      <c r="D25" s="30">
        <f t="shared" si="0"/>
        <v>41.25</v>
      </c>
    </row>
    <row r="26" spans="1:4" ht="15.75" x14ac:dyDescent="0.2">
      <c r="A26" s="29">
        <v>2341</v>
      </c>
      <c r="B26" s="31" t="s">
        <v>26</v>
      </c>
      <c r="C26" s="30">
        <v>35.659999999999997</v>
      </c>
      <c r="D26" s="30">
        <f t="shared" si="0"/>
        <v>17.829999999999998</v>
      </c>
    </row>
    <row r="27" spans="1:4" ht="15" customHeight="1" x14ac:dyDescent="0.2">
      <c r="A27" s="29">
        <v>2350</v>
      </c>
      <c r="B27" s="31" t="s">
        <v>28</v>
      </c>
      <c r="C27" s="30">
        <v>0</v>
      </c>
      <c r="D27" s="30">
        <f t="shared" si="0"/>
        <v>0</v>
      </c>
    </row>
    <row r="28" spans="1:4" ht="15.75" x14ac:dyDescent="0.2">
      <c r="A28" s="29">
        <v>2363</v>
      </c>
      <c r="B28" s="31" t="s">
        <v>31</v>
      </c>
      <c r="C28" s="30">
        <v>352</v>
      </c>
      <c r="D28" s="30">
        <v>196</v>
      </c>
    </row>
    <row r="29" spans="1:4" ht="15.75" x14ac:dyDescent="0.2">
      <c r="A29" s="29">
        <v>5232</v>
      </c>
      <c r="B29" s="31" t="s">
        <v>35</v>
      </c>
      <c r="C29" s="30">
        <v>5.2</v>
      </c>
      <c r="D29" s="30">
        <f t="shared" si="0"/>
        <v>2.6</v>
      </c>
    </row>
    <row r="30" spans="1:4" ht="15.75" x14ac:dyDescent="0.2">
      <c r="A30" s="29"/>
      <c r="B30" s="32" t="s">
        <v>7</v>
      </c>
      <c r="C30" s="33">
        <f>SUM(C19:C29)</f>
        <v>1704.57</v>
      </c>
      <c r="D30" s="33">
        <f>SUM(D19:D29)</f>
        <v>989.62</v>
      </c>
    </row>
    <row r="31" spans="1:4" ht="15.75" x14ac:dyDescent="0.2">
      <c r="A31" s="34"/>
      <c r="B31" s="29" t="s">
        <v>8</v>
      </c>
      <c r="C31" s="28"/>
      <c r="D31" s="28"/>
    </row>
    <row r="32" spans="1:4" ht="15.75" x14ac:dyDescent="0.2">
      <c r="A32" s="29">
        <v>1100</v>
      </c>
      <c r="B32" s="29" t="s">
        <v>84</v>
      </c>
      <c r="C32" s="30">
        <v>734.52</v>
      </c>
      <c r="D32" s="30">
        <f t="shared" ref="D32:D74" si="1">C32/100*50</f>
        <v>367.26</v>
      </c>
    </row>
    <row r="33" spans="1:4" ht="15.75" x14ac:dyDescent="0.2">
      <c r="A33" s="29">
        <v>1200</v>
      </c>
      <c r="B33" s="31" t="s">
        <v>85</v>
      </c>
      <c r="C33" s="30">
        <v>176.94</v>
      </c>
      <c r="D33" s="30">
        <f t="shared" si="1"/>
        <v>88.47</v>
      </c>
    </row>
    <row r="34" spans="1:4" ht="15.75" hidden="1" x14ac:dyDescent="0.2">
      <c r="A34" s="29">
        <v>2100</v>
      </c>
      <c r="B34" s="35" t="s">
        <v>44</v>
      </c>
      <c r="C34" s="30">
        <v>0</v>
      </c>
      <c r="D34" s="30">
        <f t="shared" si="1"/>
        <v>0</v>
      </c>
    </row>
    <row r="35" spans="1:4" ht="15.75" x14ac:dyDescent="0.2">
      <c r="A35" s="36">
        <v>2210</v>
      </c>
      <c r="B35" s="31" t="s">
        <v>40</v>
      </c>
      <c r="C35" s="30">
        <v>11.56</v>
      </c>
      <c r="D35" s="30">
        <f t="shared" si="1"/>
        <v>5.78</v>
      </c>
    </row>
    <row r="36" spans="1:4" ht="15.75" x14ac:dyDescent="0.2">
      <c r="A36" s="29">
        <v>2222</v>
      </c>
      <c r="B36" s="31" t="s">
        <v>41</v>
      </c>
      <c r="C36" s="30">
        <v>83.52</v>
      </c>
      <c r="D36" s="30">
        <f t="shared" si="1"/>
        <v>41.76</v>
      </c>
    </row>
    <row r="37" spans="1:4" ht="15.75" x14ac:dyDescent="0.2">
      <c r="A37" s="29">
        <v>2223</v>
      </c>
      <c r="B37" s="31" t="s">
        <v>42</v>
      </c>
      <c r="C37" s="30">
        <v>114.36</v>
      </c>
      <c r="D37" s="30">
        <f t="shared" si="1"/>
        <v>57.18</v>
      </c>
    </row>
    <row r="38" spans="1:4" ht="15.75" x14ac:dyDescent="0.2">
      <c r="A38" s="29">
        <v>2230</v>
      </c>
      <c r="B38" s="31" t="s">
        <v>43</v>
      </c>
      <c r="C38" s="30">
        <v>7.89</v>
      </c>
      <c r="D38" s="30">
        <f t="shared" si="1"/>
        <v>3.9449999999999998</v>
      </c>
    </row>
    <row r="39" spans="1:4" ht="15.75" x14ac:dyDescent="0.2">
      <c r="A39" s="29">
        <v>2241</v>
      </c>
      <c r="B39" s="31" t="s">
        <v>12</v>
      </c>
      <c r="C39" s="30">
        <v>0</v>
      </c>
      <c r="D39" s="30">
        <f t="shared" si="1"/>
        <v>0</v>
      </c>
    </row>
    <row r="40" spans="1:4" ht="15.75" x14ac:dyDescent="0.2">
      <c r="A40" s="29">
        <v>2242</v>
      </c>
      <c r="B40" s="31" t="s">
        <v>13</v>
      </c>
      <c r="C40" s="30">
        <v>2.12</v>
      </c>
      <c r="D40" s="30">
        <f t="shared" si="1"/>
        <v>1.06</v>
      </c>
    </row>
    <row r="41" spans="1:4" ht="15" customHeight="1" x14ac:dyDescent="0.2">
      <c r="A41" s="29">
        <v>2243</v>
      </c>
      <c r="B41" s="31" t="s">
        <v>14</v>
      </c>
      <c r="C41" s="30">
        <v>11.33</v>
      </c>
      <c r="D41" s="30">
        <f t="shared" si="1"/>
        <v>5.665</v>
      </c>
    </row>
    <row r="42" spans="1:4" ht="15.75" x14ac:dyDescent="0.2">
      <c r="A42" s="29">
        <v>2244</v>
      </c>
      <c r="B42" s="31" t="s">
        <v>15</v>
      </c>
      <c r="C42" s="30">
        <v>224.5</v>
      </c>
      <c r="D42" s="30">
        <v>178.41</v>
      </c>
    </row>
    <row r="43" spans="1:4" ht="15.75" x14ac:dyDescent="0.2">
      <c r="A43" s="29">
        <v>2247</v>
      </c>
      <c r="B43" s="27" t="s">
        <v>86</v>
      </c>
      <c r="C43" s="30">
        <v>0.71</v>
      </c>
      <c r="D43" s="30">
        <f t="shared" si="1"/>
        <v>0.35499999999999998</v>
      </c>
    </row>
    <row r="44" spans="1:4" ht="15" customHeight="1" x14ac:dyDescent="0.2">
      <c r="A44" s="29">
        <v>2249</v>
      </c>
      <c r="B44" s="31" t="s">
        <v>16</v>
      </c>
      <c r="C44" s="30">
        <v>2.94</v>
      </c>
      <c r="D44" s="30">
        <f t="shared" si="1"/>
        <v>1.47</v>
      </c>
    </row>
    <row r="45" spans="1:4" ht="15.75" x14ac:dyDescent="0.2">
      <c r="A45" s="29">
        <v>2251</v>
      </c>
      <c r="B45" s="31" t="s">
        <v>87</v>
      </c>
      <c r="C45" s="30">
        <v>27.01</v>
      </c>
      <c r="D45" s="30">
        <f t="shared" si="1"/>
        <v>13.505000000000001</v>
      </c>
    </row>
    <row r="46" spans="1:4" ht="15.75" hidden="1" x14ac:dyDescent="0.2">
      <c r="A46" s="29">
        <v>2252</v>
      </c>
      <c r="B46" s="31" t="s">
        <v>11</v>
      </c>
      <c r="C46" s="30">
        <v>0</v>
      </c>
      <c r="D46" s="30">
        <f t="shared" si="1"/>
        <v>0</v>
      </c>
    </row>
    <row r="47" spans="1:4" ht="15.75" x14ac:dyDescent="0.2">
      <c r="A47" s="29">
        <v>2259</v>
      </c>
      <c r="B47" s="31" t="s">
        <v>88</v>
      </c>
      <c r="C47" s="30">
        <v>0.09</v>
      </c>
      <c r="D47" s="30">
        <f t="shared" si="1"/>
        <v>4.4999999999999998E-2</v>
      </c>
    </row>
    <row r="48" spans="1:4" ht="15.75" hidden="1" x14ac:dyDescent="0.2">
      <c r="A48" s="29">
        <v>2261</v>
      </c>
      <c r="B48" s="31" t="s">
        <v>17</v>
      </c>
      <c r="C48" s="30"/>
      <c r="D48" s="30">
        <f t="shared" si="1"/>
        <v>0</v>
      </c>
    </row>
    <row r="49" spans="1:4" ht="15.75" x14ac:dyDescent="0.2">
      <c r="A49" s="29">
        <v>2262</v>
      </c>
      <c r="B49" s="31" t="s">
        <v>18</v>
      </c>
      <c r="C49" s="30">
        <v>8.2799999999999994</v>
      </c>
      <c r="D49" s="30">
        <f t="shared" si="1"/>
        <v>4.1399999999999997</v>
      </c>
    </row>
    <row r="50" spans="1:4" ht="15.75" x14ac:dyDescent="0.2">
      <c r="A50" s="29">
        <v>2263</v>
      </c>
      <c r="B50" s="31" t="s">
        <v>19</v>
      </c>
      <c r="C50" s="30">
        <v>29.52</v>
      </c>
      <c r="D50" s="30">
        <f t="shared" si="1"/>
        <v>14.760000000000002</v>
      </c>
    </row>
    <row r="51" spans="1:4" ht="15.75" x14ac:dyDescent="0.2">
      <c r="A51" s="29">
        <v>2264</v>
      </c>
      <c r="B51" s="31" t="s">
        <v>20</v>
      </c>
      <c r="C51" s="30">
        <v>0.08</v>
      </c>
      <c r="D51" s="30">
        <f t="shared" si="1"/>
        <v>0.04</v>
      </c>
    </row>
    <row r="52" spans="1:4" ht="14.25" customHeight="1" x14ac:dyDescent="0.2">
      <c r="A52" s="29">
        <v>2279</v>
      </c>
      <c r="B52" s="31" t="s">
        <v>21</v>
      </c>
      <c r="C52" s="30">
        <v>39.49</v>
      </c>
      <c r="D52" s="30">
        <f t="shared" si="1"/>
        <v>19.745000000000001</v>
      </c>
    </row>
    <row r="53" spans="1:4" ht="15.75" x14ac:dyDescent="0.2">
      <c r="A53" s="29">
        <v>2311</v>
      </c>
      <c r="B53" s="31" t="s">
        <v>22</v>
      </c>
      <c r="C53" s="30">
        <v>2.6</v>
      </c>
      <c r="D53" s="30">
        <f t="shared" si="1"/>
        <v>1.3</v>
      </c>
    </row>
    <row r="54" spans="1:4" ht="15.75" x14ac:dyDescent="0.2">
      <c r="A54" s="29">
        <v>2312</v>
      </c>
      <c r="B54" s="31" t="s">
        <v>23</v>
      </c>
      <c r="C54" s="30">
        <v>8.94</v>
      </c>
      <c r="D54" s="30">
        <f t="shared" si="1"/>
        <v>4.47</v>
      </c>
    </row>
    <row r="55" spans="1:4" ht="15" customHeight="1" x14ac:dyDescent="0.2">
      <c r="A55" s="29">
        <v>2321</v>
      </c>
      <c r="B55" s="31" t="s">
        <v>24</v>
      </c>
      <c r="C55" s="30">
        <v>201.52</v>
      </c>
      <c r="D55" s="30">
        <f t="shared" si="1"/>
        <v>100.76</v>
      </c>
    </row>
    <row r="56" spans="1:4" ht="15" customHeight="1" x14ac:dyDescent="0.2">
      <c r="A56" s="29">
        <v>2322</v>
      </c>
      <c r="B56" s="31" t="s">
        <v>25</v>
      </c>
      <c r="C56" s="30">
        <v>20.75</v>
      </c>
      <c r="D56" s="30">
        <f t="shared" si="1"/>
        <v>10.375</v>
      </c>
    </row>
    <row r="57" spans="1:4" ht="15" customHeight="1" x14ac:dyDescent="0.2">
      <c r="A57" s="29">
        <v>2341</v>
      </c>
      <c r="B57" s="31" t="s">
        <v>26</v>
      </c>
      <c r="C57" s="30">
        <v>1.36</v>
      </c>
      <c r="D57" s="30">
        <f t="shared" si="1"/>
        <v>0.68</v>
      </c>
    </row>
    <row r="58" spans="1:4" ht="15" customHeight="1" x14ac:dyDescent="0.2">
      <c r="A58" s="29">
        <v>2344</v>
      </c>
      <c r="B58" s="31" t="s">
        <v>27</v>
      </c>
      <c r="C58" s="30">
        <v>0.02</v>
      </c>
      <c r="D58" s="30">
        <f t="shared" si="1"/>
        <v>0.01</v>
      </c>
    </row>
    <row r="59" spans="1:4" ht="15" customHeight="1" x14ac:dyDescent="0.2">
      <c r="A59" s="29">
        <v>2350</v>
      </c>
      <c r="B59" s="31" t="s">
        <v>28</v>
      </c>
      <c r="C59" s="30">
        <v>28.78</v>
      </c>
      <c r="D59" s="30">
        <f t="shared" si="1"/>
        <v>14.39</v>
      </c>
    </row>
    <row r="60" spans="1:4" ht="15" customHeight="1" x14ac:dyDescent="0.2">
      <c r="A60" s="29">
        <v>2361</v>
      </c>
      <c r="B60" s="31" t="s">
        <v>29</v>
      </c>
      <c r="C60" s="30">
        <v>21.46</v>
      </c>
      <c r="D60" s="30">
        <f t="shared" si="1"/>
        <v>10.73</v>
      </c>
    </row>
    <row r="61" spans="1:4" ht="15" customHeight="1" x14ac:dyDescent="0.2">
      <c r="A61" s="29">
        <v>2362</v>
      </c>
      <c r="B61" s="31" t="s">
        <v>30</v>
      </c>
      <c r="C61" s="30">
        <v>0.7</v>
      </c>
      <c r="D61" s="30">
        <f t="shared" si="1"/>
        <v>0.35</v>
      </c>
    </row>
    <row r="62" spans="1:4" ht="15.75" x14ac:dyDescent="0.2">
      <c r="A62" s="29">
        <v>2363</v>
      </c>
      <c r="B62" s="31" t="s">
        <v>31</v>
      </c>
      <c r="C62" s="30">
        <v>5.74</v>
      </c>
      <c r="D62" s="30">
        <f t="shared" si="1"/>
        <v>2.87</v>
      </c>
    </row>
    <row r="63" spans="1:4" ht="15.75" hidden="1" x14ac:dyDescent="0.2">
      <c r="A63" s="29">
        <v>2370</v>
      </c>
      <c r="B63" s="31" t="s">
        <v>32</v>
      </c>
      <c r="C63" s="30">
        <v>0</v>
      </c>
      <c r="D63" s="30">
        <f t="shared" si="1"/>
        <v>0</v>
      </c>
    </row>
    <row r="64" spans="1:4" ht="15.75" x14ac:dyDescent="0.2">
      <c r="A64" s="29">
        <v>2400</v>
      </c>
      <c r="B64" s="31" t="s">
        <v>45</v>
      </c>
      <c r="C64" s="30">
        <v>0.99</v>
      </c>
      <c r="D64" s="30">
        <f t="shared" si="1"/>
        <v>0.49499999999999994</v>
      </c>
    </row>
    <row r="65" spans="1:4" ht="15.75" x14ac:dyDescent="0.2">
      <c r="A65" s="29">
        <v>2513</v>
      </c>
      <c r="B65" s="31" t="s">
        <v>33</v>
      </c>
      <c r="C65" s="30">
        <v>17.77</v>
      </c>
      <c r="D65" s="30">
        <f t="shared" si="1"/>
        <v>8.8849999999999998</v>
      </c>
    </row>
    <row r="66" spans="1:4" ht="15" customHeight="1" x14ac:dyDescent="0.2">
      <c r="A66" s="29">
        <v>2515</v>
      </c>
      <c r="B66" s="31" t="s">
        <v>89</v>
      </c>
      <c r="C66" s="30">
        <v>2.41</v>
      </c>
      <c r="D66" s="30">
        <f t="shared" si="1"/>
        <v>1.2050000000000001</v>
      </c>
    </row>
    <row r="67" spans="1:4" ht="15" customHeight="1" x14ac:dyDescent="0.2">
      <c r="A67" s="29">
        <v>2519</v>
      </c>
      <c r="B67" s="31" t="s">
        <v>36</v>
      </c>
      <c r="C67" s="30">
        <v>4.42</v>
      </c>
      <c r="D67" s="30">
        <f t="shared" si="1"/>
        <v>2.21</v>
      </c>
    </row>
    <row r="68" spans="1:4" ht="15.75" hidden="1" x14ac:dyDescent="0.2">
      <c r="A68" s="29">
        <v>6240</v>
      </c>
      <c r="B68" s="31" t="s">
        <v>48</v>
      </c>
      <c r="C68" s="30">
        <v>0</v>
      </c>
      <c r="D68" s="30">
        <f t="shared" si="1"/>
        <v>0</v>
      </c>
    </row>
    <row r="69" spans="1:4" ht="15.75" hidden="1" x14ac:dyDescent="0.2">
      <c r="A69" s="29">
        <v>6290</v>
      </c>
      <c r="B69" s="31" t="s">
        <v>49</v>
      </c>
      <c r="C69" s="30">
        <v>0</v>
      </c>
      <c r="D69" s="30">
        <f t="shared" si="1"/>
        <v>0</v>
      </c>
    </row>
    <row r="70" spans="1:4" ht="15" customHeight="1" x14ac:dyDescent="0.2">
      <c r="A70" s="29">
        <v>5121</v>
      </c>
      <c r="B70" s="31" t="s">
        <v>34</v>
      </c>
      <c r="C70" s="30">
        <v>3.16</v>
      </c>
      <c r="D70" s="30">
        <f t="shared" si="1"/>
        <v>1.58</v>
      </c>
    </row>
    <row r="71" spans="1:4" ht="15.75" x14ac:dyDescent="0.2">
      <c r="A71" s="29">
        <v>5232</v>
      </c>
      <c r="B71" s="31" t="s">
        <v>35</v>
      </c>
      <c r="C71" s="30">
        <v>11.48</v>
      </c>
      <c r="D71" s="30">
        <f t="shared" si="1"/>
        <v>5.74</v>
      </c>
    </row>
    <row r="72" spans="1:4" ht="15.75" hidden="1" x14ac:dyDescent="0.2">
      <c r="A72" s="29">
        <v>5238</v>
      </c>
      <c r="B72" s="31" t="s">
        <v>37</v>
      </c>
      <c r="C72" s="30">
        <v>0</v>
      </c>
      <c r="D72" s="30">
        <f t="shared" si="1"/>
        <v>0</v>
      </c>
    </row>
    <row r="73" spans="1:4" ht="15.75" x14ac:dyDescent="0.2">
      <c r="A73" s="29">
        <v>5240</v>
      </c>
      <c r="B73" s="31" t="s">
        <v>38</v>
      </c>
      <c r="C73" s="30">
        <v>0.34</v>
      </c>
      <c r="D73" s="30">
        <f t="shared" si="1"/>
        <v>0.17</v>
      </c>
    </row>
    <row r="74" spans="1:4" ht="15.75" x14ac:dyDescent="0.2">
      <c r="A74" s="29">
        <v>5250</v>
      </c>
      <c r="B74" s="31" t="s">
        <v>39</v>
      </c>
      <c r="C74" s="30">
        <v>2.13</v>
      </c>
      <c r="D74" s="30">
        <f t="shared" si="1"/>
        <v>1.0649999999999999</v>
      </c>
    </row>
    <row r="75" spans="1:4" ht="15" customHeight="1" x14ac:dyDescent="0.2">
      <c r="A75" s="34"/>
      <c r="B75" s="38" t="s">
        <v>9</v>
      </c>
      <c r="C75" s="33">
        <f>SUM(C32:C74)</f>
        <v>1809.4299999999998</v>
      </c>
      <c r="D75" s="33">
        <f>SUM(D32:D74)</f>
        <v>970.87499999999989</v>
      </c>
    </row>
    <row r="76" spans="1:4" ht="15" customHeight="1" x14ac:dyDescent="0.2">
      <c r="A76" s="34"/>
      <c r="B76" s="38" t="s">
        <v>46</v>
      </c>
      <c r="C76" s="33">
        <f>C75+C30</f>
        <v>3514</v>
      </c>
      <c r="D76" s="33">
        <f>D75+D30</f>
        <v>1960.4949999999999</v>
      </c>
    </row>
    <row r="77" spans="1:4" ht="15.75" x14ac:dyDescent="0.25">
      <c r="A77" s="39"/>
      <c r="B77" s="22"/>
    </row>
    <row r="78" spans="1:4" ht="15.75" x14ac:dyDescent="0.2">
      <c r="A78" s="109" t="s">
        <v>58</v>
      </c>
      <c r="B78" s="109"/>
      <c r="C78" s="23">
        <v>100</v>
      </c>
      <c r="D78" s="51">
        <v>50</v>
      </c>
    </row>
    <row r="79" spans="1:4" ht="15.75" x14ac:dyDescent="0.25">
      <c r="A79" s="109" t="s">
        <v>59</v>
      </c>
      <c r="B79" s="109"/>
      <c r="C79" s="41">
        <f>C76/C78</f>
        <v>35.14</v>
      </c>
      <c r="D79" s="52">
        <f>D76/D78</f>
        <v>39.209899999999998</v>
      </c>
    </row>
    <row r="80" spans="1:4" ht="15.75" x14ac:dyDescent="0.25">
      <c r="A80" s="11"/>
      <c r="B80" s="11"/>
      <c r="C80" s="40"/>
      <c r="D80" s="40"/>
    </row>
    <row r="81" spans="1:4" s="3" customFormat="1" ht="15.75" x14ac:dyDescent="0.25">
      <c r="A81" s="111" t="s">
        <v>53</v>
      </c>
      <c r="B81" s="112"/>
      <c r="C81" s="42">
        <v>33.950000000000003</v>
      </c>
      <c r="D81" s="42"/>
    </row>
    <row r="82" spans="1:4" s="3" customFormat="1" ht="15.75" x14ac:dyDescent="0.25">
      <c r="A82" s="111" t="s">
        <v>79</v>
      </c>
      <c r="B82" s="112"/>
      <c r="C82" s="42"/>
      <c r="D82" s="42"/>
    </row>
    <row r="83" spans="1:4" s="3" customFormat="1" ht="15.75" x14ac:dyDescent="0.25">
      <c r="A83" s="19"/>
      <c r="B83" s="19"/>
      <c r="C83" s="19"/>
      <c r="D83" s="19"/>
    </row>
    <row r="84" spans="1:4" s="3" customFormat="1" ht="15.75" x14ac:dyDescent="0.25">
      <c r="A84" s="19" t="s">
        <v>54</v>
      </c>
      <c r="B84" s="19"/>
      <c r="C84" s="19"/>
      <c r="D84" s="19"/>
    </row>
    <row r="85" spans="1:4" s="3" customFormat="1" ht="15.75" x14ac:dyDescent="0.25">
      <c r="A85" s="19"/>
      <c r="B85" s="19"/>
      <c r="C85" s="19"/>
      <c r="D85" s="19"/>
    </row>
    <row r="86" spans="1:4" s="3" customFormat="1" ht="15.75" x14ac:dyDescent="0.25">
      <c r="A86" s="19" t="s">
        <v>73</v>
      </c>
      <c r="B86" s="20"/>
      <c r="C86" s="20"/>
      <c r="D86" s="20"/>
    </row>
    <row r="87" spans="1:4" s="3" customFormat="1" ht="13.9" customHeight="1" x14ac:dyDescent="0.25">
      <c r="A87" s="19"/>
      <c r="B87" s="21"/>
      <c r="C87" s="21"/>
      <c r="D87" s="19"/>
    </row>
    <row r="88" spans="1:4" s="3" customFormat="1" ht="13.9" customHeight="1" x14ac:dyDescent="0.25">
      <c r="A88" s="19"/>
      <c r="B88" s="21"/>
      <c r="C88" s="21"/>
      <c r="D88" s="19"/>
    </row>
    <row r="89" spans="1:4" s="2" customFormat="1" x14ac:dyDescent="0.2">
      <c r="A89" s="8"/>
      <c r="B89" s="8"/>
      <c r="C89" s="8"/>
      <c r="D89" s="8"/>
    </row>
  </sheetData>
  <mergeCells count="11">
    <mergeCell ref="A81:B81"/>
    <mergeCell ref="B1:D1"/>
    <mergeCell ref="B2:D2"/>
    <mergeCell ref="A9:B9"/>
    <mergeCell ref="A10:B10"/>
    <mergeCell ref="A7:D7"/>
    <mergeCell ref="A82:B82"/>
    <mergeCell ref="B13:D13"/>
    <mergeCell ref="B14:D14"/>
    <mergeCell ref="A78:B78"/>
    <mergeCell ref="A79:B79"/>
  </mergeCells>
  <pageMargins left="0.94488188976377963" right="0.55118110236220474" top="0.62992125984251968" bottom="0.74803149606299213" header="0.31496062992125984" footer="0.31496062992125984"/>
  <pageSetup paperSize="9" scale="60" firstPageNumber="11" fitToHeight="0" orientation="portrait" useFirstPageNumber="1" r:id="rId1"/>
  <headerFooter>
    <oddFooter>&amp;C&amp;"Times New Roman,Regular"LManotp2_150319_MK1002; Grozījumi MK 24.09.2013. noteikumos Nr.1002 "Sociālās integrācijas valsts aģēntūras sniegto maksas pakalpojumu cenrādis"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90" zoomScalePageLayoutView="90" workbookViewId="0">
      <selection activeCell="B14" sqref="B14:C14"/>
    </sheetView>
  </sheetViews>
  <sheetFormatPr defaultRowHeight="15" x14ac:dyDescent="0.2"/>
  <cols>
    <col min="1" max="1" width="12.140625" style="8" customWidth="1"/>
    <col min="2" max="2" width="97.28515625" style="8" customWidth="1"/>
    <col min="3" max="3" width="11.28515625" style="8" hidden="1" customWidth="1"/>
    <col min="4" max="4" width="26.140625" style="8" customWidth="1"/>
    <col min="5" max="5" width="9.140625" style="8"/>
    <col min="6" max="6" width="10.85546875" style="8" bestFit="1" customWidth="1"/>
    <col min="7" max="7" width="9.5703125" style="8" bestFit="1" customWidth="1"/>
    <col min="8" max="16384" width="9.140625" style="8"/>
  </cols>
  <sheetData>
    <row r="1" spans="1:4" ht="15.75" customHeight="1" x14ac:dyDescent="0.25">
      <c r="A1" s="13"/>
      <c r="B1" s="39"/>
      <c r="C1" s="39"/>
      <c r="D1" s="57" t="s">
        <v>51</v>
      </c>
    </row>
    <row r="2" spans="1:4" ht="15.75" customHeight="1" x14ac:dyDescent="0.25">
      <c r="A2" s="13"/>
      <c r="B2" s="39"/>
      <c r="D2" s="12" t="s">
        <v>55</v>
      </c>
    </row>
    <row r="3" spans="1:4" ht="15.75" x14ac:dyDescent="0.25">
      <c r="A3" s="13"/>
      <c r="B3" s="48"/>
      <c r="C3" s="48"/>
      <c r="D3" s="53" t="s">
        <v>81</v>
      </c>
    </row>
    <row r="4" spans="1:4" ht="15.75" x14ac:dyDescent="0.25">
      <c r="A4" s="13"/>
      <c r="B4" s="39"/>
      <c r="C4" s="39"/>
    </row>
    <row r="5" spans="1:4" ht="15.75" x14ac:dyDescent="0.25">
      <c r="A5" s="13"/>
      <c r="B5" s="39"/>
      <c r="C5" s="39"/>
      <c r="D5" s="39" t="s">
        <v>236</v>
      </c>
    </row>
    <row r="6" spans="1:4" ht="15.75" x14ac:dyDescent="0.25">
      <c r="A6" s="13"/>
      <c r="B6" s="12"/>
      <c r="C6" s="12"/>
    </row>
    <row r="7" spans="1:4" ht="17.25" customHeight="1" x14ac:dyDescent="0.25">
      <c r="A7" s="121" t="s">
        <v>10</v>
      </c>
      <c r="B7" s="121"/>
      <c r="C7" s="121"/>
    </row>
    <row r="8" spans="1:4" ht="15.75" x14ac:dyDescent="0.25">
      <c r="A8" s="74"/>
      <c r="B8" s="75"/>
      <c r="C8" s="75"/>
    </row>
    <row r="9" spans="1:4" ht="15" customHeight="1" x14ac:dyDescent="0.2">
      <c r="A9" s="109" t="s">
        <v>1</v>
      </c>
      <c r="B9" s="113"/>
      <c r="C9" s="56"/>
    </row>
    <row r="10" spans="1:4" ht="15" customHeight="1" x14ac:dyDescent="0.2">
      <c r="A10" s="109" t="s">
        <v>0</v>
      </c>
      <c r="B10" s="113"/>
      <c r="C10" s="56"/>
    </row>
    <row r="11" spans="1:4" ht="15" customHeight="1" x14ac:dyDescent="0.2">
      <c r="A11" s="11"/>
      <c r="B11" s="11" t="s">
        <v>47</v>
      </c>
      <c r="C11" s="11"/>
    </row>
    <row r="12" spans="1:4" ht="15" customHeight="1" x14ac:dyDescent="0.2">
      <c r="A12" s="11"/>
      <c r="B12" s="109" t="s">
        <v>70</v>
      </c>
      <c r="C12" s="109"/>
    </row>
    <row r="13" spans="1:4" ht="15.75" customHeight="1" x14ac:dyDescent="0.2">
      <c r="A13" s="11"/>
      <c r="B13" s="109" t="s">
        <v>206</v>
      </c>
      <c r="C13" s="109"/>
    </row>
    <row r="14" spans="1:4" ht="15.75" customHeight="1" x14ac:dyDescent="0.2">
      <c r="A14" s="11"/>
      <c r="B14" s="109" t="s">
        <v>211</v>
      </c>
      <c r="C14" s="109"/>
    </row>
    <row r="15" spans="1:4" ht="15" customHeight="1" x14ac:dyDescent="0.2">
      <c r="A15" s="11"/>
      <c r="B15" s="109"/>
      <c r="C15" s="109"/>
    </row>
    <row r="16" spans="1:4" ht="15.75" customHeight="1" x14ac:dyDescent="0.2">
      <c r="A16" s="11" t="s">
        <v>2</v>
      </c>
      <c r="B16" s="11" t="s">
        <v>232</v>
      </c>
      <c r="C16" s="11"/>
    </row>
    <row r="17" spans="1:8" ht="63" customHeight="1" x14ac:dyDescent="0.2">
      <c r="A17" s="47" t="s">
        <v>3</v>
      </c>
      <c r="B17" s="47" t="s">
        <v>4</v>
      </c>
      <c r="C17" s="47"/>
      <c r="D17" s="47" t="s">
        <v>77</v>
      </c>
    </row>
    <row r="18" spans="1:8" ht="15.75" x14ac:dyDescent="0.2">
      <c r="A18" s="24">
        <v>1</v>
      </c>
      <c r="B18" s="25">
        <v>2</v>
      </c>
      <c r="C18" s="25"/>
      <c r="D18" s="25">
        <v>3</v>
      </c>
    </row>
    <row r="19" spans="1:8" ht="15.75" x14ac:dyDescent="0.2">
      <c r="A19" s="26"/>
      <c r="B19" s="27" t="s">
        <v>6</v>
      </c>
      <c r="C19" s="27"/>
      <c r="D19" s="28"/>
    </row>
    <row r="20" spans="1:8" ht="15" customHeight="1" x14ac:dyDescent="0.2">
      <c r="A20" s="29">
        <v>1100</v>
      </c>
      <c r="B20" s="29" t="s">
        <v>159</v>
      </c>
      <c r="C20" s="29"/>
      <c r="D20" s="30">
        <f>15.23*395</f>
        <v>6015.85</v>
      </c>
      <c r="E20" s="76"/>
      <c r="F20" s="76"/>
      <c r="G20" s="76"/>
      <c r="H20" s="76"/>
    </row>
    <row r="21" spans="1:8" ht="15.75" x14ac:dyDescent="0.25">
      <c r="A21" s="29">
        <v>1200</v>
      </c>
      <c r="B21" s="63" t="s">
        <v>160</v>
      </c>
      <c r="C21" s="63"/>
      <c r="D21" s="30">
        <v>1419.14</v>
      </c>
    </row>
    <row r="22" spans="1:8" ht="15.75" x14ac:dyDescent="0.25">
      <c r="A22" s="29">
        <v>2222</v>
      </c>
      <c r="B22" s="64" t="s">
        <v>164</v>
      </c>
      <c r="C22" s="64"/>
      <c r="D22" s="30">
        <v>236.32</v>
      </c>
    </row>
    <row r="23" spans="1:8" ht="15.75" x14ac:dyDescent="0.25">
      <c r="A23" s="29">
        <v>2223</v>
      </c>
      <c r="B23" s="64" t="s">
        <v>165</v>
      </c>
      <c r="C23" s="64"/>
      <c r="D23" s="30">
        <v>255.41</v>
      </c>
    </row>
    <row r="24" spans="1:8" ht="15.75" x14ac:dyDescent="0.25">
      <c r="A24" s="29">
        <v>2243</v>
      </c>
      <c r="B24" s="62" t="s">
        <v>172</v>
      </c>
      <c r="C24" s="62"/>
      <c r="D24" s="30">
        <v>0</v>
      </c>
    </row>
    <row r="25" spans="1:8" ht="15.75" x14ac:dyDescent="0.25">
      <c r="A25" s="29">
        <v>2244</v>
      </c>
      <c r="B25" s="62" t="s">
        <v>173</v>
      </c>
      <c r="C25" s="62"/>
      <c r="D25" s="30">
        <f>2.12*395/2</f>
        <v>418.70000000000005</v>
      </c>
    </row>
    <row r="26" spans="1:8" ht="15.75" x14ac:dyDescent="0.25">
      <c r="A26" s="29">
        <v>2312</v>
      </c>
      <c r="B26" s="64" t="s">
        <v>181</v>
      </c>
      <c r="C26" s="62"/>
      <c r="D26" s="30">
        <f>0.28*395/2</f>
        <v>55.300000000000004</v>
      </c>
    </row>
    <row r="27" spans="1:8" ht="15.75" x14ac:dyDescent="0.25">
      <c r="A27" s="29">
        <v>2321</v>
      </c>
      <c r="B27" s="64" t="s">
        <v>183</v>
      </c>
      <c r="C27" s="64"/>
      <c r="D27" s="30">
        <v>238.46</v>
      </c>
    </row>
    <row r="28" spans="1:8" ht="15.75" x14ac:dyDescent="0.25">
      <c r="A28" s="29">
        <v>2341</v>
      </c>
      <c r="B28" s="64" t="s">
        <v>161</v>
      </c>
      <c r="C28" s="64"/>
      <c r="D28" s="30">
        <v>246.05</v>
      </c>
    </row>
    <row r="29" spans="1:8" ht="15.75" x14ac:dyDescent="0.25">
      <c r="A29" s="29">
        <v>2361</v>
      </c>
      <c r="B29" s="64" t="s">
        <v>197</v>
      </c>
      <c r="C29" s="64"/>
      <c r="D29" s="30">
        <f>2.25*50</f>
        <v>112.5</v>
      </c>
    </row>
    <row r="30" spans="1:8" ht="15.75" x14ac:dyDescent="0.25">
      <c r="A30" s="29">
        <v>2363</v>
      </c>
      <c r="B30" s="64" t="s">
        <v>199</v>
      </c>
      <c r="C30" s="64"/>
      <c r="D30" s="30">
        <f>8.12*395</f>
        <v>3207.3999999999996</v>
      </c>
    </row>
    <row r="31" spans="1:8" ht="15" customHeight="1" x14ac:dyDescent="0.25">
      <c r="A31" s="29">
        <v>5239</v>
      </c>
      <c r="B31" s="63" t="s">
        <v>190</v>
      </c>
      <c r="C31" s="63"/>
      <c r="D31" s="30">
        <v>62.74</v>
      </c>
    </row>
    <row r="32" spans="1:8" ht="15" customHeight="1" x14ac:dyDescent="0.2">
      <c r="A32" s="29"/>
      <c r="B32" s="32" t="s">
        <v>7</v>
      </c>
      <c r="C32" s="32"/>
      <c r="D32" s="33">
        <f>SUM(D20:D31)</f>
        <v>12267.869999999997</v>
      </c>
      <c r="F32" s="76"/>
      <c r="G32" s="76"/>
    </row>
    <row r="33" spans="1:6" ht="15" customHeight="1" x14ac:dyDescent="0.2">
      <c r="A33" s="34"/>
      <c r="B33" s="29" t="s">
        <v>8</v>
      </c>
      <c r="C33" s="29"/>
      <c r="D33" s="30"/>
    </row>
    <row r="34" spans="1:6" ht="15" customHeight="1" x14ac:dyDescent="0.25">
      <c r="A34" s="29">
        <v>1100</v>
      </c>
      <c r="B34" s="62" t="s">
        <v>159</v>
      </c>
      <c r="C34" s="63">
        <f>0.388+0.024</f>
        <v>0.41200000000000003</v>
      </c>
      <c r="D34" s="30">
        <v>3692.91</v>
      </c>
      <c r="F34" s="76"/>
    </row>
    <row r="35" spans="1:6" ht="15.75" x14ac:dyDescent="0.25">
      <c r="A35" s="29">
        <v>1200</v>
      </c>
      <c r="B35" s="62" t="s">
        <v>160</v>
      </c>
      <c r="C35" s="63">
        <f>C34*0.2359</f>
        <v>9.7190800000000008E-2</v>
      </c>
      <c r="D35" s="30">
        <v>871.16</v>
      </c>
    </row>
    <row r="36" spans="1:6" ht="15.75" x14ac:dyDescent="0.25">
      <c r="A36" s="29">
        <v>2100</v>
      </c>
      <c r="B36" s="35" t="s">
        <v>44</v>
      </c>
      <c r="C36" s="63">
        <v>1.1659999999999999E-3</v>
      </c>
      <c r="D36" s="30">
        <v>10.45</v>
      </c>
    </row>
    <row r="37" spans="1:6" ht="15.75" x14ac:dyDescent="0.25">
      <c r="A37" s="36">
        <v>2210</v>
      </c>
      <c r="B37" s="64" t="s">
        <v>163</v>
      </c>
      <c r="C37" s="63">
        <v>7.6E-3</v>
      </c>
      <c r="D37" s="30">
        <v>68.12</v>
      </c>
    </row>
    <row r="38" spans="1:6" ht="15" customHeight="1" x14ac:dyDescent="0.25">
      <c r="A38" s="29">
        <v>2222</v>
      </c>
      <c r="B38" s="64" t="s">
        <v>164</v>
      </c>
      <c r="C38" s="63">
        <v>9.4999999999999998E-3</v>
      </c>
      <c r="D38" s="30">
        <v>85.15</v>
      </c>
    </row>
    <row r="39" spans="1:6" ht="15" customHeight="1" x14ac:dyDescent="0.25">
      <c r="A39" s="29">
        <v>2223</v>
      </c>
      <c r="B39" s="64" t="s">
        <v>165</v>
      </c>
      <c r="C39" s="63">
        <v>1.9019999999999999E-2</v>
      </c>
      <c r="D39" s="30">
        <v>170.48</v>
      </c>
    </row>
    <row r="40" spans="1:6" ht="31.5" x14ac:dyDescent="0.25">
      <c r="A40" s="29">
        <v>2224</v>
      </c>
      <c r="B40" s="64" t="s">
        <v>166</v>
      </c>
      <c r="C40" s="63">
        <v>4.9500000000000004E-3</v>
      </c>
      <c r="D40" s="30">
        <v>44.37</v>
      </c>
    </row>
    <row r="41" spans="1:6" ht="15.75" x14ac:dyDescent="0.25">
      <c r="A41" s="29">
        <v>2231</v>
      </c>
      <c r="B41" s="62" t="s">
        <v>167</v>
      </c>
      <c r="C41" s="63">
        <v>1.5499999999999999E-3</v>
      </c>
      <c r="D41" s="30">
        <v>13.89</v>
      </c>
    </row>
    <row r="42" spans="1:6" ht="15.75" x14ac:dyDescent="0.25">
      <c r="A42" s="29">
        <v>2235</v>
      </c>
      <c r="B42" s="66" t="s">
        <v>168</v>
      </c>
      <c r="C42" s="63">
        <v>1.65E-3</v>
      </c>
      <c r="D42" s="30">
        <v>14.79</v>
      </c>
    </row>
    <row r="43" spans="1:6" ht="15" customHeight="1" x14ac:dyDescent="0.25">
      <c r="A43" s="29">
        <v>2239</v>
      </c>
      <c r="B43" s="62" t="s">
        <v>169</v>
      </c>
      <c r="C43" s="63">
        <v>4.4099999999999999E-3</v>
      </c>
      <c r="D43" s="30">
        <v>39.53</v>
      </c>
    </row>
    <row r="44" spans="1:6" ht="15.75" x14ac:dyDescent="0.25">
      <c r="A44" s="29">
        <v>2241</v>
      </c>
      <c r="B44" s="62" t="s">
        <v>170</v>
      </c>
      <c r="C44" s="63">
        <v>1.6500000000000001E-2</v>
      </c>
      <c r="D44" s="30">
        <v>147.9</v>
      </c>
    </row>
    <row r="45" spans="1:6" ht="15.75" x14ac:dyDescent="0.25">
      <c r="A45" s="29">
        <v>2242</v>
      </c>
      <c r="B45" s="64" t="s">
        <v>171</v>
      </c>
      <c r="C45" s="63">
        <v>2.2599999999999999E-3</v>
      </c>
      <c r="D45" s="30">
        <v>20.260000000000002</v>
      </c>
    </row>
    <row r="46" spans="1:6" ht="14.25" customHeight="1" x14ac:dyDescent="0.25">
      <c r="A46" s="29">
        <v>2243</v>
      </c>
      <c r="B46" s="62" t="s">
        <v>172</v>
      </c>
      <c r="C46" s="63">
        <v>3.2599999999999997E-2</v>
      </c>
      <c r="D46" s="30">
        <v>292.20999999999998</v>
      </c>
    </row>
    <row r="47" spans="1:6" ht="15" customHeight="1" x14ac:dyDescent="0.25">
      <c r="A47" s="29">
        <v>2244</v>
      </c>
      <c r="B47" s="62" t="s">
        <v>173</v>
      </c>
      <c r="C47" s="63">
        <v>0.20397000000000001</v>
      </c>
      <c r="D47" s="30">
        <v>1828.26</v>
      </c>
    </row>
    <row r="48" spans="1:6" ht="15" customHeight="1" x14ac:dyDescent="0.25">
      <c r="A48" s="29">
        <v>2247</v>
      </c>
      <c r="B48" s="62" t="s">
        <v>174</v>
      </c>
      <c r="C48" s="63">
        <v>7.1900000000000002E-4</v>
      </c>
      <c r="D48" s="30">
        <v>6.44</v>
      </c>
    </row>
    <row r="49" spans="1:4" ht="15.75" x14ac:dyDescent="0.25">
      <c r="A49" s="29">
        <v>2249</v>
      </c>
      <c r="B49" s="62" t="s">
        <v>175</v>
      </c>
      <c r="C49" s="63">
        <v>2.32E-4</v>
      </c>
      <c r="D49" s="30">
        <v>2.08</v>
      </c>
    </row>
    <row r="50" spans="1:4" ht="15.75" x14ac:dyDescent="0.25">
      <c r="A50" s="29">
        <v>2250</v>
      </c>
      <c r="B50" s="62" t="s">
        <v>176</v>
      </c>
      <c r="C50" s="63">
        <v>2.4025999999999999E-2</v>
      </c>
      <c r="D50" s="30">
        <v>215.35</v>
      </c>
    </row>
    <row r="51" spans="1:4" ht="15.75" hidden="1" x14ac:dyDescent="0.25">
      <c r="A51" s="29">
        <v>2261</v>
      </c>
      <c r="B51" s="64" t="s">
        <v>196</v>
      </c>
      <c r="C51" s="63">
        <v>0</v>
      </c>
      <c r="D51" s="30">
        <f t="shared" ref="D51:D67" si="0">C51*8963.38</f>
        <v>0</v>
      </c>
    </row>
    <row r="52" spans="1:4" ht="15.75" x14ac:dyDescent="0.25">
      <c r="A52" s="29">
        <v>2262</v>
      </c>
      <c r="B52" s="64" t="s">
        <v>177</v>
      </c>
      <c r="C52" s="63">
        <v>6.2599999999999999E-3</v>
      </c>
      <c r="D52" s="30">
        <v>56.11</v>
      </c>
    </row>
    <row r="53" spans="1:4" ht="15.75" x14ac:dyDescent="0.25">
      <c r="A53" s="29">
        <v>2263</v>
      </c>
      <c r="B53" s="64" t="s">
        <v>178</v>
      </c>
      <c r="C53" s="63">
        <v>4.58E-2</v>
      </c>
      <c r="D53" s="30">
        <v>410.52</v>
      </c>
    </row>
    <row r="54" spans="1:4" ht="15.75" x14ac:dyDescent="0.25">
      <c r="A54" s="29">
        <v>2264</v>
      </c>
      <c r="B54" s="62" t="s">
        <v>179</v>
      </c>
      <c r="C54" s="63">
        <v>1.49E-3</v>
      </c>
      <c r="D54" s="30">
        <v>13.36</v>
      </c>
    </row>
    <row r="55" spans="1:4" ht="15" customHeight="1" x14ac:dyDescent="0.25">
      <c r="A55" s="29">
        <v>2311</v>
      </c>
      <c r="B55" s="64" t="s">
        <v>180</v>
      </c>
      <c r="C55" s="63">
        <v>4.7699999999999999E-3</v>
      </c>
      <c r="D55" s="30">
        <v>42.76</v>
      </c>
    </row>
    <row r="56" spans="1:4" ht="15" customHeight="1" x14ac:dyDescent="0.25">
      <c r="A56" s="29">
        <v>2312</v>
      </c>
      <c r="B56" s="64" t="s">
        <v>181</v>
      </c>
      <c r="C56" s="63">
        <v>5.79E-3</v>
      </c>
      <c r="D56" s="30">
        <v>51.9</v>
      </c>
    </row>
    <row r="57" spans="1:4" ht="15" customHeight="1" x14ac:dyDescent="0.25">
      <c r="A57" s="29">
        <v>2314</v>
      </c>
      <c r="B57" s="66" t="s">
        <v>182</v>
      </c>
      <c r="C57" s="63">
        <v>2.2200000000000002E-3</v>
      </c>
      <c r="D57" s="30">
        <v>19.899999999999999</v>
      </c>
    </row>
    <row r="58" spans="1:4" ht="15" customHeight="1" x14ac:dyDescent="0.25">
      <c r="A58" s="29">
        <v>2321</v>
      </c>
      <c r="B58" s="64" t="s">
        <v>183</v>
      </c>
      <c r="C58" s="63">
        <v>1.9800000000000002E-2</v>
      </c>
      <c r="D58" s="30">
        <v>178.52</v>
      </c>
    </row>
    <row r="59" spans="1:4" ht="15" customHeight="1" x14ac:dyDescent="0.25">
      <c r="A59" s="29">
        <v>2322</v>
      </c>
      <c r="B59" s="64" t="s">
        <v>184</v>
      </c>
      <c r="C59" s="63">
        <v>3.5000000000000001E-3</v>
      </c>
      <c r="D59" s="30">
        <v>31.37</v>
      </c>
    </row>
    <row r="60" spans="1:4" ht="15" hidden="1" customHeight="1" x14ac:dyDescent="0.25">
      <c r="A60" s="29">
        <v>2341</v>
      </c>
      <c r="B60" s="64" t="s">
        <v>161</v>
      </c>
      <c r="C60" s="63"/>
      <c r="D60" s="30">
        <f t="shared" si="0"/>
        <v>0</v>
      </c>
    </row>
    <row r="61" spans="1:4" ht="15.75" customHeight="1" x14ac:dyDescent="0.25">
      <c r="A61" s="29">
        <v>2350</v>
      </c>
      <c r="B61" s="63" t="s">
        <v>162</v>
      </c>
      <c r="C61" s="63">
        <v>8.5000000000000006E-3</v>
      </c>
      <c r="D61" s="30">
        <v>76.19</v>
      </c>
    </row>
    <row r="62" spans="1:4" ht="15.75" hidden="1" x14ac:dyDescent="0.25">
      <c r="A62" s="29">
        <v>2361</v>
      </c>
      <c r="B62" s="64" t="s">
        <v>197</v>
      </c>
      <c r="C62" s="63">
        <v>0</v>
      </c>
      <c r="D62" s="30">
        <f t="shared" si="0"/>
        <v>0</v>
      </c>
    </row>
    <row r="63" spans="1:4" ht="15.75" hidden="1" x14ac:dyDescent="0.25">
      <c r="A63" s="29">
        <v>2362</v>
      </c>
      <c r="B63" s="64" t="s">
        <v>198</v>
      </c>
      <c r="C63" s="63">
        <v>0</v>
      </c>
      <c r="D63" s="30">
        <f t="shared" si="0"/>
        <v>0</v>
      </c>
    </row>
    <row r="64" spans="1:4" ht="15.75" hidden="1" x14ac:dyDescent="0.25">
      <c r="A64" s="29">
        <v>2363</v>
      </c>
      <c r="B64" s="64" t="s">
        <v>199</v>
      </c>
      <c r="C64" s="63">
        <v>0</v>
      </c>
      <c r="D64" s="30">
        <f t="shared" si="0"/>
        <v>0</v>
      </c>
    </row>
    <row r="65" spans="1:7" ht="15.75" hidden="1" x14ac:dyDescent="0.25">
      <c r="A65" s="29">
        <v>2370</v>
      </c>
      <c r="B65" s="64" t="s">
        <v>200</v>
      </c>
      <c r="C65" s="63">
        <v>0</v>
      </c>
      <c r="D65" s="30">
        <f t="shared" si="0"/>
        <v>0</v>
      </c>
    </row>
    <row r="66" spans="1:7" ht="15.75" hidden="1" x14ac:dyDescent="0.25">
      <c r="A66" s="29">
        <v>2400</v>
      </c>
      <c r="B66" s="64" t="s">
        <v>201</v>
      </c>
      <c r="C66" s="63">
        <v>0</v>
      </c>
      <c r="D66" s="30">
        <f t="shared" si="0"/>
        <v>0</v>
      </c>
    </row>
    <row r="67" spans="1:7" ht="15" hidden="1" customHeight="1" x14ac:dyDescent="0.25">
      <c r="A67" s="29">
        <v>2512</v>
      </c>
      <c r="B67" s="64" t="s">
        <v>202</v>
      </c>
      <c r="C67" s="63">
        <v>0</v>
      </c>
      <c r="D67" s="30">
        <f t="shared" si="0"/>
        <v>0</v>
      </c>
    </row>
    <row r="68" spans="1:7" ht="15.75" x14ac:dyDescent="0.25">
      <c r="A68" s="29">
        <v>2513</v>
      </c>
      <c r="B68" s="63" t="s">
        <v>185</v>
      </c>
      <c r="C68" s="63">
        <v>1.4599999999999999E-3</v>
      </c>
      <c r="D68" s="30">
        <v>13.09</v>
      </c>
    </row>
    <row r="69" spans="1:7" ht="15.75" x14ac:dyDescent="0.25">
      <c r="A69" s="29">
        <v>2515</v>
      </c>
      <c r="B69" s="64" t="s">
        <v>186</v>
      </c>
      <c r="C69" s="63">
        <v>1.9E-3</v>
      </c>
      <c r="D69" s="30">
        <v>17.03</v>
      </c>
    </row>
    <row r="70" spans="1:7" ht="15.75" x14ac:dyDescent="0.25">
      <c r="A70" s="29">
        <v>2519</v>
      </c>
      <c r="B70" s="64" t="s">
        <v>187</v>
      </c>
      <c r="C70" s="63">
        <v>2E-3</v>
      </c>
      <c r="D70" s="30">
        <v>17.93</v>
      </c>
    </row>
    <row r="71" spans="1:7" ht="15.75" x14ac:dyDescent="0.25">
      <c r="A71" s="29">
        <v>5220</v>
      </c>
      <c r="B71" s="64" t="s">
        <v>188</v>
      </c>
      <c r="C71" s="63">
        <v>1.06E-2</v>
      </c>
      <c r="D71" s="30">
        <v>95.01</v>
      </c>
    </row>
    <row r="72" spans="1:7" ht="15.75" x14ac:dyDescent="0.25">
      <c r="A72" s="29">
        <v>5238</v>
      </c>
      <c r="B72" s="63" t="s">
        <v>189</v>
      </c>
      <c r="C72" s="63">
        <v>1.65E-3</v>
      </c>
      <c r="D72" s="30">
        <v>14.79</v>
      </c>
    </row>
    <row r="73" spans="1:7" ht="15.75" x14ac:dyDescent="0.25">
      <c r="A73" s="29">
        <v>5239</v>
      </c>
      <c r="B73" s="63" t="s">
        <v>190</v>
      </c>
      <c r="C73" s="63">
        <v>1.9800000000000002E-2</v>
      </c>
      <c r="D73" s="30">
        <v>177.47</v>
      </c>
    </row>
    <row r="74" spans="1:7" ht="15.75" x14ac:dyDescent="0.25">
      <c r="A74" s="29">
        <v>5250</v>
      </c>
      <c r="B74" s="64" t="s">
        <v>191</v>
      </c>
      <c r="C74" s="63">
        <v>2.5000000000000001E-2</v>
      </c>
      <c r="D74" s="30">
        <v>224.08</v>
      </c>
    </row>
    <row r="75" spans="1:7" ht="15.75" x14ac:dyDescent="0.2">
      <c r="A75" s="34"/>
      <c r="B75" s="38" t="s">
        <v>9</v>
      </c>
      <c r="C75" s="38"/>
      <c r="D75" s="33">
        <f>SUM(D34:D74)</f>
        <v>8963.3799999999992</v>
      </c>
    </row>
    <row r="76" spans="1:7" ht="15.75" x14ac:dyDescent="0.2">
      <c r="A76" s="34"/>
      <c r="B76" s="38" t="s">
        <v>46</v>
      </c>
      <c r="C76" s="38"/>
      <c r="D76" s="33">
        <f>D75+D32</f>
        <v>21231.249999999996</v>
      </c>
    </row>
    <row r="77" spans="1:7" ht="15.75" x14ac:dyDescent="0.2">
      <c r="A77" s="43"/>
      <c r="B77" s="44"/>
      <c r="C77" s="44"/>
      <c r="D77" s="46"/>
    </row>
    <row r="78" spans="1:7" ht="15" customHeight="1" x14ac:dyDescent="0.25">
      <c r="A78" s="111" t="s">
        <v>52</v>
      </c>
      <c r="B78" s="112"/>
      <c r="C78" s="69"/>
      <c r="D78" s="37">
        <v>395</v>
      </c>
      <c r="F78" s="76"/>
      <c r="G78" s="76"/>
    </row>
    <row r="79" spans="1:7" ht="15.75" customHeight="1" x14ac:dyDescent="0.25">
      <c r="A79" s="111" t="s">
        <v>78</v>
      </c>
      <c r="B79" s="112"/>
      <c r="C79" s="69"/>
      <c r="D79" s="50">
        <f>D76/D78</f>
        <v>53.749999999999993</v>
      </c>
      <c r="F79" s="76"/>
      <c r="G79" s="76"/>
    </row>
    <row r="80" spans="1:7" ht="15.75" customHeight="1" x14ac:dyDescent="0.25">
      <c r="A80" s="22"/>
      <c r="B80" s="15"/>
      <c r="C80" s="15"/>
      <c r="D80" s="45"/>
    </row>
    <row r="81" spans="1:4" s="19" customFormat="1" ht="15.75" customHeight="1" x14ac:dyDescent="0.25">
      <c r="A81" s="111" t="s">
        <v>53</v>
      </c>
      <c r="B81" s="112"/>
      <c r="C81" s="18"/>
      <c r="D81" s="83"/>
    </row>
    <row r="82" spans="1:4" s="19" customFormat="1" ht="15.75" customHeight="1" x14ac:dyDescent="0.25">
      <c r="A82" s="111" t="s">
        <v>80</v>
      </c>
      <c r="B82" s="112"/>
      <c r="C82" s="18"/>
      <c r="D82" s="42"/>
    </row>
    <row r="83" spans="1:4" s="19" customFormat="1" ht="15.75" x14ac:dyDescent="0.25">
      <c r="A83" s="48"/>
      <c r="B83" s="15"/>
      <c r="C83" s="15"/>
    </row>
    <row r="84" spans="1:4" s="19" customFormat="1" ht="15.75" x14ac:dyDescent="0.25">
      <c r="A84" s="19" t="s">
        <v>54</v>
      </c>
    </row>
    <row r="85" spans="1:4" s="19" customFormat="1" ht="15.75" x14ac:dyDescent="0.25"/>
    <row r="86" spans="1:4" s="19" customFormat="1" ht="15.75" x14ac:dyDescent="0.25">
      <c r="A86" s="19" t="s">
        <v>73</v>
      </c>
      <c r="B86" s="20"/>
      <c r="C86" s="20"/>
    </row>
    <row r="87" spans="1:4" s="19" customFormat="1" ht="13.9" customHeight="1" x14ac:dyDescent="0.25">
      <c r="B87" s="21"/>
      <c r="C87" s="21"/>
    </row>
    <row r="88" spans="1:4" s="19" customFormat="1" ht="13.9" customHeight="1" x14ac:dyDescent="0.25">
      <c r="B88" s="21"/>
      <c r="C88" s="21"/>
    </row>
  </sheetData>
  <mergeCells count="11">
    <mergeCell ref="A82:B82"/>
    <mergeCell ref="A10:B10"/>
    <mergeCell ref="A78:B78"/>
    <mergeCell ref="A79:B79"/>
    <mergeCell ref="B12:C12"/>
    <mergeCell ref="B13:C13"/>
    <mergeCell ref="B14:C14"/>
    <mergeCell ref="B15:C15"/>
    <mergeCell ref="A9:B9"/>
    <mergeCell ref="A81:B81"/>
    <mergeCell ref="A7:C7"/>
  </mergeCells>
  <pageMargins left="0.94488188976377963" right="0.55118110236220474" top="0.59055118110236227" bottom="0.62992125984251968" header="0.31496062992125984" footer="0.31496062992125984"/>
  <pageSetup paperSize="9" scale="61" firstPageNumber="12" orientation="portrait" useFirstPageNumber="1" r:id="rId1"/>
  <headerFooter>
    <oddFooter>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4"/>
  <sheetViews>
    <sheetView view="pageLayout" topLeftCell="A54" zoomScale="90" zoomScaleNormal="100" zoomScalePageLayoutView="90" workbookViewId="0">
      <selection activeCell="D89" sqref="D89"/>
    </sheetView>
  </sheetViews>
  <sheetFormatPr defaultRowHeight="15" x14ac:dyDescent="0.2"/>
  <cols>
    <col min="1" max="1" width="11.5703125" style="8" customWidth="1"/>
    <col min="2" max="2" width="78" style="8" customWidth="1"/>
    <col min="3" max="3" width="17.140625" style="8" hidden="1" customWidth="1"/>
    <col min="4" max="4" width="17.140625" style="8" customWidth="1"/>
    <col min="5" max="16384" width="9.140625" style="8"/>
  </cols>
  <sheetData>
    <row r="1" spans="1:4" ht="15.75" x14ac:dyDescent="0.25">
      <c r="A1" s="14"/>
      <c r="B1" s="12"/>
      <c r="C1" s="12"/>
      <c r="D1" s="12" t="s">
        <v>51</v>
      </c>
    </row>
    <row r="2" spans="1:4" ht="15.75" x14ac:dyDescent="0.25">
      <c r="A2" s="14"/>
      <c r="B2" s="13"/>
      <c r="C2" s="13"/>
      <c r="D2" s="39" t="s">
        <v>55</v>
      </c>
    </row>
    <row r="3" spans="1:4" ht="31.5" x14ac:dyDescent="0.25">
      <c r="A3" s="14"/>
      <c r="B3" s="13"/>
      <c r="C3" s="13"/>
      <c r="D3" s="53" t="s">
        <v>156</v>
      </c>
    </row>
    <row r="4" spans="1:4" ht="15.75" x14ac:dyDescent="0.25">
      <c r="A4" s="14"/>
      <c r="B4" s="12"/>
      <c r="C4" s="12"/>
      <c r="D4" s="39"/>
    </row>
    <row r="5" spans="1:4" ht="15.75" x14ac:dyDescent="0.25">
      <c r="A5" s="14"/>
      <c r="B5" s="59"/>
      <c r="C5" s="59"/>
      <c r="D5" s="39" t="s">
        <v>212</v>
      </c>
    </row>
    <row r="6" spans="1:4" ht="15.75" x14ac:dyDescent="0.25">
      <c r="A6" s="14"/>
      <c r="B6" s="12"/>
      <c r="C6" s="12"/>
    </row>
    <row r="7" spans="1:4" ht="15.75" x14ac:dyDescent="0.25">
      <c r="A7" s="108" t="s">
        <v>10</v>
      </c>
      <c r="B7" s="108"/>
      <c r="C7" s="108"/>
      <c r="D7" s="108"/>
    </row>
    <row r="8" spans="1:4" ht="15.75" x14ac:dyDescent="0.25">
      <c r="A8" s="58"/>
      <c r="B8" s="58"/>
      <c r="C8" s="58"/>
    </row>
    <row r="9" spans="1:4" ht="15.75" x14ac:dyDescent="0.2">
      <c r="A9" s="109" t="s">
        <v>1</v>
      </c>
      <c r="B9" s="109"/>
      <c r="C9" s="11"/>
    </row>
    <row r="10" spans="1:4" ht="15.75" x14ac:dyDescent="0.2">
      <c r="A10" s="109" t="s">
        <v>0</v>
      </c>
      <c r="B10" s="109"/>
      <c r="C10" s="11"/>
    </row>
    <row r="11" spans="1:4" ht="15.75" x14ac:dyDescent="0.2">
      <c r="A11" s="11"/>
      <c r="B11" s="11" t="s">
        <v>47</v>
      </c>
      <c r="C11" s="11"/>
    </row>
    <row r="12" spans="1:4" ht="15.75" x14ac:dyDescent="0.2">
      <c r="A12" s="11"/>
      <c r="B12" s="11" t="s">
        <v>50</v>
      </c>
      <c r="C12" s="11"/>
    </row>
    <row r="13" spans="1:4" ht="15.75" customHeight="1" x14ac:dyDescent="0.2">
      <c r="A13" s="11"/>
      <c r="B13" s="123" t="s">
        <v>91</v>
      </c>
      <c r="C13" s="123"/>
      <c r="D13" s="123"/>
    </row>
    <row r="14" spans="1:4" ht="15.75" customHeight="1" x14ac:dyDescent="0.2">
      <c r="A14" s="11" t="s">
        <v>2</v>
      </c>
      <c r="B14" s="11" t="s">
        <v>158</v>
      </c>
      <c r="C14" s="11"/>
    </row>
    <row r="15" spans="1:4" ht="15.75" hidden="1" x14ac:dyDescent="0.2">
      <c r="A15" s="11"/>
      <c r="B15" s="11"/>
      <c r="C15" s="11"/>
    </row>
    <row r="16" spans="1:4" ht="110.25" x14ac:dyDescent="0.2">
      <c r="A16" s="47" t="s">
        <v>3</v>
      </c>
      <c r="B16" s="47" t="s">
        <v>4</v>
      </c>
      <c r="C16" s="47"/>
      <c r="D16" s="47" t="s">
        <v>77</v>
      </c>
    </row>
    <row r="17" spans="1:5" ht="15.75" x14ac:dyDescent="0.2">
      <c r="A17" s="24">
        <v>1</v>
      </c>
      <c r="B17" s="25">
        <v>2</v>
      </c>
      <c r="C17" s="25"/>
      <c r="D17" s="25">
        <v>3</v>
      </c>
    </row>
    <row r="18" spans="1:5" ht="15.75" customHeight="1" x14ac:dyDescent="0.25">
      <c r="A18" s="24"/>
      <c r="B18" s="62" t="s">
        <v>6</v>
      </c>
      <c r="C18" s="62"/>
      <c r="D18" s="77"/>
    </row>
    <row r="19" spans="1:5" ht="15.75" customHeight="1" x14ac:dyDescent="0.2">
      <c r="A19" s="29">
        <v>1100</v>
      </c>
      <c r="B19" s="29" t="s">
        <v>159</v>
      </c>
      <c r="C19" s="30">
        <v>576.62</v>
      </c>
      <c r="D19" s="30">
        <f>C19/1500*800</f>
        <v>307.53066666666666</v>
      </c>
    </row>
    <row r="20" spans="1:5" ht="15.75" customHeight="1" x14ac:dyDescent="0.25">
      <c r="A20" s="29">
        <v>1200</v>
      </c>
      <c r="B20" s="63" t="s">
        <v>160</v>
      </c>
      <c r="C20" s="30">
        <v>138.91</v>
      </c>
      <c r="D20" s="30">
        <f t="shared" ref="D20:D25" si="0">C20/1500*800</f>
        <v>74.085333333333338</v>
      </c>
    </row>
    <row r="21" spans="1:5" ht="15.75" customHeight="1" x14ac:dyDescent="0.25">
      <c r="A21" s="29">
        <v>2222</v>
      </c>
      <c r="B21" s="64" t="s">
        <v>164</v>
      </c>
      <c r="C21" s="30">
        <v>360.14</v>
      </c>
      <c r="D21" s="30">
        <f t="shared" si="0"/>
        <v>192.07466666666667</v>
      </c>
    </row>
    <row r="22" spans="1:5" ht="15.75" customHeight="1" x14ac:dyDescent="0.25">
      <c r="A22" s="29">
        <v>2223</v>
      </c>
      <c r="B22" s="64" t="s">
        <v>165</v>
      </c>
      <c r="C22" s="30">
        <v>428.63</v>
      </c>
      <c r="D22" s="30">
        <f t="shared" si="0"/>
        <v>228.60266666666664</v>
      </c>
    </row>
    <row r="23" spans="1:5" ht="15.75" hidden="1" customHeight="1" x14ac:dyDescent="0.25">
      <c r="A23" s="29">
        <v>2243</v>
      </c>
      <c r="B23" s="64" t="s">
        <v>14</v>
      </c>
      <c r="C23" s="30">
        <v>0</v>
      </c>
      <c r="D23" s="30">
        <f t="shared" si="0"/>
        <v>0</v>
      </c>
    </row>
    <row r="24" spans="1:5" ht="15.75" hidden="1" customHeight="1" x14ac:dyDescent="0.25">
      <c r="A24" s="29">
        <v>2249</v>
      </c>
      <c r="B24" s="64" t="s">
        <v>16</v>
      </c>
      <c r="C24" s="30">
        <v>0</v>
      </c>
      <c r="D24" s="30">
        <f t="shared" si="0"/>
        <v>0</v>
      </c>
    </row>
    <row r="25" spans="1:5" ht="15.75" customHeight="1" x14ac:dyDescent="0.25">
      <c r="A25" s="29">
        <v>2321</v>
      </c>
      <c r="B25" s="64" t="s">
        <v>183</v>
      </c>
      <c r="C25" s="30">
        <v>737.48</v>
      </c>
      <c r="D25" s="30">
        <f t="shared" si="0"/>
        <v>393.32266666666669</v>
      </c>
    </row>
    <row r="26" spans="1:5" ht="15.75" hidden="1" customHeight="1" x14ac:dyDescent="0.25">
      <c r="A26" s="29">
        <v>2341</v>
      </c>
      <c r="B26" s="64" t="s">
        <v>26</v>
      </c>
      <c r="C26" s="30">
        <v>0</v>
      </c>
      <c r="D26" s="30">
        <v>0</v>
      </c>
    </row>
    <row r="27" spans="1:5" ht="15.75" hidden="1" customHeight="1" x14ac:dyDescent="0.25">
      <c r="A27" s="29">
        <v>2350</v>
      </c>
      <c r="B27" s="64" t="s">
        <v>28</v>
      </c>
      <c r="C27" s="30">
        <v>0</v>
      </c>
      <c r="D27" s="30">
        <v>0</v>
      </c>
    </row>
    <row r="28" spans="1:5" ht="15.75" hidden="1" customHeight="1" x14ac:dyDescent="0.25">
      <c r="A28" s="29">
        <v>2363</v>
      </c>
      <c r="B28" s="64" t="s">
        <v>31</v>
      </c>
      <c r="C28" s="30">
        <v>0</v>
      </c>
      <c r="D28" s="30">
        <v>0</v>
      </c>
    </row>
    <row r="29" spans="1:5" ht="15.75" hidden="1" customHeight="1" x14ac:dyDescent="0.25">
      <c r="A29" s="29">
        <v>5232</v>
      </c>
      <c r="B29" s="64" t="s">
        <v>35</v>
      </c>
      <c r="C29" s="30">
        <v>0</v>
      </c>
      <c r="D29" s="30">
        <v>0</v>
      </c>
    </row>
    <row r="30" spans="1:5" ht="15.75" customHeight="1" x14ac:dyDescent="0.25">
      <c r="A30" s="29"/>
      <c r="B30" s="65" t="s">
        <v>7</v>
      </c>
      <c r="C30" s="33">
        <f>SUM(C19:C29)</f>
        <v>2241.7800000000002</v>
      </c>
      <c r="D30" s="33">
        <f>SUM(D19:D29)</f>
        <v>1195.616</v>
      </c>
      <c r="E30" s="86"/>
    </row>
    <row r="31" spans="1:5" ht="15.75" customHeight="1" x14ac:dyDescent="0.25">
      <c r="A31" s="34"/>
      <c r="B31" s="78" t="s">
        <v>8</v>
      </c>
      <c r="C31" s="28"/>
      <c r="D31" s="28"/>
    </row>
    <row r="32" spans="1:5" ht="15.75" customHeight="1" x14ac:dyDescent="0.25">
      <c r="A32" s="29">
        <v>1100</v>
      </c>
      <c r="B32" s="78" t="s">
        <v>84</v>
      </c>
      <c r="C32" s="30">
        <v>5005.55</v>
      </c>
      <c r="D32" s="30">
        <f>C32/1500*800</f>
        <v>2669.6266666666666</v>
      </c>
    </row>
    <row r="33" spans="1:4" ht="15.75" customHeight="1" x14ac:dyDescent="0.25">
      <c r="A33" s="29">
        <v>1200</v>
      </c>
      <c r="B33" s="63" t="s">
        <v>160</v>
      </c>
      <c r="C33" s="30">
        <v>1205.8399999999999</v>
      </c>
      <c r="D33" s="30">
        <f t="shared" ref="D33:D42" si="1">C33/1500*800</f>
        <v>643.11466666666661</v>
      </c>
    </row>
    <row r="34" spans="1:4" ht="15.75" customHeight="1" x14ac:dyDescent="0.2">
      <c r="A34" s="29">
        <v>2100</v>
      </c>
      <c r="B34" s="35" t="s">
        <v>44</v>
      </c>
      <c r="C34" s="30">
        <v>0</v>
      </c>
      <c r="D34" s="30">
        <f t="shared" si="1"/>
        <v>0</v>
      </c>
    </row>
    <row r="35" spans="1:4" ht="15.75" customHeight="1" x14ac:dyDescent="0.25">
      <c r="A35" s="36">
        <v>2210</v>
      </c>
      <c r="B35" s="64" t="s">
        <v>163</v>
      </c>
      <c r="C35" s="30">
        <v>71.680000000000007</v>
      </c>
      <c r="D35" s="30">
        <f t="shared" si="1"/>
        <v>38.229333333333336</v>
      </c>
    </row>
    <row r="36" spans="1:4" ht="15.75" customHeight="1" x14ac:dyDescent="0.25">
      <c r="A36" s="29">
        <v>2222</v>
      </c>
      <c r="B36" s="64" t="s">
        <v>164</v>
      </c>
      <c r="C36" s="30">
        <v>1200.2</v>
      </c>
      <c r="D36" s="30">
        <f t="shared" si="1"/>
        <v>640.10666666666668</v>
      </c>
    </row>
    <row r="37" spans="1:4" ht="15.75" customHeight="1" x14ac:dyDescent="0.25">
      <c r="A37" s="29">
        <v>2223</v>
      </c>
      <c r="B37" s="64" t="s">
        <v>165</v>
      </c>
      <c r="C37" s="30">
        <v>2201.19</v>
      </c>
      <c r="D37" s="30">
        <f t="shared" si="1"/>
        <v>1173.9680000000001</v>
      </c>
    </row>
    <row r="38" spans="1:4" ht="15.75" customHeight="1" x14ac:dyDescent="0.25">
      <c r="A38" s="29">
        <v>2231</v>
      </c>
      <c r="B38" s="62" t="s">
        <v>167</v>
      </c>
      <c r="C38" s="30">
        <v>44.97</v>
      </c>
      <c r="D38" s="30">
        <f t="shared" si="1"/>
        <v>23.983999999999998</v>
      </c>
    </row>
    <row r="39" spans="1:4" ht="15.75" customHeight="1" x14ac:dyDescent="0.25">
      <c r="A39" s="29">
        <v>2239</v>
      </c>
      <c r="B39" s="62" t="s">
        <v>169</v>
      </c>
      <c r="C39" s="30">
        <v>189.75</v>
      </c>
      <c r="D39" s="30">
        <f>C39/1500*800</f>
        <v>101.2</v>
      </c>
    </row>
    <row r="40" spans="1:4" ht="15.75" customHeight="1" x14ac:dyDescent="0.25">
      <c r="A40" s="29">
        <v>2241</v>
      </c>
      <c r="B40" s="62" t="s">
        <v>170</v>
      </c>
      <c r="C40" s="30">
        <v>0</v>
      </c>
      <c r="D40" s="30">
        <f t="shared" si="1"/>
        <v>0</v>
      </c>
    </row>
    <row r="41" spans="1:4" ht="15.75" customHeight="1" x14ac:dyDescent="0.25">
      <c r="A41" s="29">
        <v>2242</v>
      </c>
      <c r="B41" s="64" t="s">
        <v>171</v>
      </c>
      <c r="C41" s="30">
        <v>16.37</v>
      </c>
      <c r="D41" s="30">
        <f t="shared" si="1"/>
        <v>8.7306666666666679</v>
      </c>
    </row>
    <row r="42" spans="1:4" ht="15.75" customHeight="1" x14ac:dyDescent="0.25">
      <c r="A42" s="29">
        <v>2243</v>
      </c>
      <c r="B42" s="62" t="s">
        <v>172</v>
      </c>
      <c r="C42" s="30">
        <v>55.82</v>
      </c>
      <c r="D42" s="30">
        <f t="shared" si="1"/>
        <v>29.770666666666667</v>
      </c>
    </row>
    <row r="43" spans="1:4" ht="15.75" customHeight="1" x14ac:dyDescent="0.25">
      <c r="A43" s="29">
        <v>2244</v>
      </c>
      <c r="B43" s="62" t="s">
        <v>173</v>
      </c>
      <c r="C43" s="30">
        <v>1105.3599999999999</v>
      </c>
      <c r="D43" s="30">
        <v>1893.53</v>
      </c>
    </row>
    <row r="44" spans="1:4" ht="15.75" customHeight="1" x14ac:dyDescent="0.25">
      <c r="A44" s="29">
        <v>2247</v>
      </c>
      <c r="B44" s="62" t="s">
        <v>174</v>
      </c>
      <c r="C44" s="30">
        <v>4.49</v>
      </c>
      <c r="D44" s="30">
        <f>C44/1500*800</f>
        <v>2.3946666666666667</v>
      </c>
    </row>
    <row r="45" spans="1:4" ht="15.75" customHeight="1" x14ac:dyDescent="0.25">
      <c r="A45" s="29">
        <v>2249</v>
      </c>
      <c r="B45" s="62" t="s">
        <v>175</v>
      </c>
      <c r="C45" s="30">
        <v>20.239999999999998</v>
      </c>
      <c r="D45" s="30">
        <f t="shared" ref="D45:D71" si="2">C45/1500*800</f>
        <v>10.794666666666666</v>
      </c>
    </row>
    <row r="46" spans="1:4" ht="15.75" customHeight="1" x14ac:dyDescent="0.25">
      <c r="A46" s="29">
        <v>2250</v>
      </c>
      <c r="B46" s="62" t="s">
        <v>176</v>
      </c>
      <c r="C46" s="30">
        <v>315.20999999999998</v>
      </c>
      <c r="D46" s="30">
        <f>C46/1500*800+0.79</f>
        <v>168.90199999999999</v>
      </c>
    </row>
    <row r="47" spans="1:4" ht="15.75" hidden="1" customHeight="1" x14ac:dyDescent="0.25">
      <c r="A47" s="29">
        <v>2261</v>
      </c>
      <c r="B47" s="64" t="s">
        <v>17</v>
      </c>
      <c r="C47" s="30">
        <v>0</v>
      </c>
      <c r="D47" s="30">
        <f t="shared" si="2"/>
        <v>0</v>
      </c>
    </row>
    <row r="48" spans="1:4" ht="15.75" customHeight="1" x14ac:dyDescent="0.25">
      <c r="A48" s="29">
        <v>2262</v>
      </c>
      <c r="B48" s="64" t="s">
        <v>177</v>
      </c>
      <c r="C48" s="30">
        <v>48.49</v>
      </c>
      <c r="D48" s="30">
        <f t="shared" si="2"/>
        <v>25.861333333333334</v>
      </c>
    </row>
    <row r="49" spans="1:4" ht="15.75" customHeight="1" x14ac:dyDescent="0.25">
      <c r="A49" s="29">
        <v>2263</v>
      </c>
      <c r="B49" s="64" t="s">
        <v>178</v>
      </c>
      <c r="C49" s="30">
        <v>179.01</v>
      </c>
      <c r="D49" s="30">
        <f t="shared" si="2"/>
        <v>95.471999999999994</v>
      </c>
    </row>
    <row r="50" spans="1:4" ht="15.75" customHeight="1" x14ac:dyDescent="0.25">
      <c r="A50" s="29">
        <v>2264</v>
      </c>
      <c r="B50" s="62" t="s">
        <v>179</v>
      </c>
      <c r="C50" s="30">
        <v>0.85</v>
      </c>
      <c r="D50" s="30">
        <f t="shared" si="2"/>
        <v>0.45333333333333325</v>
      </c>
    </row>
    <row r="51" spans="1:4" ht="15.75" customHeight="1" x14ac:dyDescent="0.25">
      <c r="A51" s="29">
        <v>2311</v>
      </c>
      <c r="B51" s="64" t="s">
        <v>180</v>
      </c>
      <c r="C51" s="30">
        <v>18.36</v>
      </c>
      <c r="D51" s="30">
        <f t="shared" si="2"/>
        <v>9.7919999999999998</v>
      </c>
    </row>
    <row r="52" spans="1:4" ht="15.75" customHeight="1" x14ac:dyDescent="0.25">
      <c r="A52" s="29">
        <v>2312</v>
      </c>
      <c r="B52" s="64" t="s">
        <v>181</v>
      </c>
      <c r="C52" s="30">
        <v>134.9</v>
      </c>
      <c r="D52" s="30">
        <f t="shared" si="2"/>
        <v>71.946666666666673</v>
      </c>
    </row>
    <row r="53" spans="1:4" ht="15.75" customHeight="1" x14ac:dyDescent="0.25">
      <c r="A53" s="29">
        <v>2321</v>
      </c>
      <c r="B53" s="64" t="s">
        <v>183</v>
      </c>
      <c r="C53" s="30">
        <v>3606.42</v>
      </c>
      <c r="D53" s="30">
        <f t="shared" si="2"/>
        <v>1923.424</v>
      </c>
    </row>
    <row r="54" spans="1:4" ht="15.75" customHeight="1" x14ac:dyDescent="0.25">
      <c r="A54" s="29">
        <v>2322</v>
      </c>
      <c r="B54" s="64" t="s">
        <v>184</v>
      </c>
      <c r="C54" s="30">
        <v>130.01</v>
      </c>
      <c r="D54" s="30">
        <f t="shared" si="2"/>
        <v>69.338666666666654</v>
      </c>
    </row>
    <row r="55" spans="1:4" ht="15.75" hidden="1" customHeight="1" x14ac:dyDescent="0.25">
      <c r="A55" s="29">
        <v>2341</v>
      </c>
      <c r="B55" s="64" t="s">
        <v>26</v>
      </c>
      <c r="C55" s="30">
        <v>0</v>
      </c>
      <c r="D55" s="30">
        <f t="shared" si="2"/>
        <v>0</v>
      </c>
    </row>
    <row r="56" spans="1:4" ht="15.75" hidden="1" customHeight="1" x14ac:dyDescent="0.25">
      <c r="A56" s="29">
        <v>2344</v>
      </c>
      <c r="B56" s="64" t="s">
        <v>27</v>
      </c>
      <c r="C56" s="30">
        <v>0</v>
      </c>
      <c r="D56" s="30">
        <f t="shared" si="2"/>
        <v>0</v>
      </c>
    </row>
    <row r="57" spans="1:4" ht="15.75" customHeight="1" x14ac:dyDescent="0.25">
      <c r="A57" s="29">
        <v>2350</v>
      </c>
      <c r="B57" s="63" t="s">
        <v>162</v>
      </c>
      <c r="C57" s="30">
        <v>159.28</v>
      </c>
      <c r="D57" s="30">
        <f t="shared" si="2"/>
        <v>84.949333333333328</v>
      </c>
    </row>
    <row r="58" spans="1:4" ht="15.75" customHeight="1" x14ac:dyDescent="0.25">
      <c r="A58" s="29">
        <v>2361</v>
      </c>
      <c r="B58" s="64" t="s">
        <v>197</v>
      </c>
      <c r="C58" s="30">
        <v>17.84</v>
      </c>
      <c r="D58" s="30">
        <f t="shared" si="2"/>
        <v>9.5146666666666668</v>
      </c>
    </row>
    <row r="59" spans="1:4" ht="15.75" hidden="1" customHeight="1" x14ac:dyDescent="0.25">
      <c r="A59" s="29">
        <v>2362</v>
      </c>
      <c r="B59" s="64" t="s">
        <v>198</v>
      </c>
      <c r="C59" s="30">
        <v>0</v>
      </c>
      <c r="D59" s="30">
        <f t="shared" si="2"/>
        <v>0</v>
      </c>
    </row>
    <row r="60" spans="1:4" ht="15.75" hidden="1" customHeight="1" x14ac:dyDescent="0.25">
      <c r="A60" s="29">
        <v>2363</v>
      </c>
      <c r="B60" s="64" t="s">
        <v>199</v>
      </c>
      <c r="C60" s="30">
        <v>0</v>
      </c>
      <c r="D60" s="30">
        <f t="shared" si="2"/>
        <v>0</v>
      </c>
    </row>
    <row r="61" spans="1:4" ht="15.75" hidden="1" customHeight="1" x14ac:dyDescent="0.25">
      <c r="A61" s="29">
        <v>2370</v>
      </c>
      <c r="B61" s="64" t="s">
        <v>200</v>
      </c>
      <c r="C61" s="30">
        <v>0</v>
      </c>
      <c r="D61" s="30">
        <f t="shared" si="2"/>
        <v>0</v>
      </c>
    </row>
    <row r="62" spans="1:4" ht="15.75" hidden="1" customHeight="1" x14ac:dyDescent="0.25">
      <c r="A62" s="29">
        <v>2400</v>
      </c>
      <c r="B62" s="64" t="s">
        <v>201</v>
      </c>
      <c r="C62" s="30">
        <v>0</v>
      </c>
      <c r="D62" s="30">
        <f t="shared" si="2"/>
        <v>0</v>
      </c>
    </row>
    <row r="63" spans="1:4" ht="15.75" hidden="1" customHeight="1" x14ac:dyDescent="0.25">
      <c r="A63" s="29">
        <v>2512</v>
      </c>
      <c r="B63" s="64" t="s">
        <v>202</v>
      </c>
      <c r="C63" s="30">
        <v>0</v>
      </c>
      <c r="D63" s="30">
        <f t="shared" si="2"/>
        <v>0</v>
      </c>
    </row>
    <row r="64" spans="1:4" ht="15.75" customHeight="1" x14ac:dyDescent="0.25">
      <c r="A64" s="29">
        <v>2513</v>
      </c>
      <c r="B64" s="64" t="s">
        <v>213</v>
      </c>
      <c r="C64" s="30">
        <v>129.55000000000001</v>
      </c>
      <c r="D64" s="30">
        <f t="shared" si="2"/>
        <v>69.093333333333334</v>
      </c>
    </row>
    <row r="65" spans="1:5" ht="15.75" customHeight="1" x14ac:dyDescent="0.25">
      <c r="A65" s="29">
        <v>2515</v>
      </c>
      <c r="B65" s="64" t="s">
        <v>186</v>
      </c>
      <c r="C65" s="30">
        <v>5.17</v>
      </c>
      <c r="D65" s="30">
        <f t="shared" si="2"/>
        <v>2.757333333333333</v>
      </c>
    </row>
    <row r="66" spans="1:5" ht="15.75" customHeight="1" x14ac:dyDescent="0.25">
      <c r="A66" s="29">
        <v>2519</v>
      </c>
      <c r="B66" s="64" t="s">
        <v>36</v>
      </c>
      <c r="C66" s="30">
        <v>31.78</v>
      </c>
      <c r="D66" s="30">
        <f t="shared" si="2"/>
        <v>16.949333333333332</v>
      </c>
    </row>
    <row r="67" spans="1:5" ht="15.75" hidden="1" customHeight="1" x14ac:dyDescent="0.25">
      <c r="A67" s="29">
        <v>6240</v>
      </c>
      <c r="B67" s="64" t="s">
        <v>48</v>
      </c>
      <c r="C67" s="30">
        <v>0</v>
      </c>
      <c r="D67" s="30">
        <f t="shared" si="2"/>
        <v>0</v>
      </c>
    </row>
    <row r="68" spans="1:5" ht="15.75" hidden="1" customHeight="1" x14ac:dyDescent="0.25">
      <c r="A68" s="29">
        <v>6290</v>
      </c>
      <c r="B68" s="64" t="s">
        <v>49</v>
      </c>
      <c r="C68" s="30">
        <v>0</v>
      </c>
      <c r="D68" s="30">
        <f t="shared" si="2"/>
        <v>0</v>
      </c>
    </row>
    <row r="69" spans="1:5" ht="15.75" customHeight="1" x14ac:dyDescent="0.25">
      <c r="A69" s="29">
        <v>5238</v>
      </c>
      <c r="B69" s="64" t="s">
        <v>189</v>
      </c>
      <c r="C69" s="30">
        <v>0</v>
      </c>
      <c r="D69" s="30">
        <v>12.22</v>
      </c>
    </row>
    <row r="70" spans="1:5" ht="15.75" customHeight="1" x14ac:dyDescent="0.25">
      <c r="A70" s="29">
        <v>5239</v>
      </c>
      <c r="B70" s="63" t="s">
        <v>190</v>
      </c>
      <c r="C70" s="30">
        <v>3.13</v>
      </c>
      <c r="D70" s="30">
        <f>108.67+1.67</f>
        <v>110.34</v>
      </c>
      <c r="E70" s="80"/>
    </row>
    <row r="71" spans="1:5" ht="15.75" customHeight="1" x14ac:dyDescent="0.25">
      <c r="A71" s="29">
        <v>5250</v>
      </c>
      <c r="B71" s="64" t="s">
        <v>191</v>
      </c>
      <c r="C71" s="30">
        <v>453.6</v>
      </c>
      <c r="D71" s="30">
        <f t="shared" si="2"/>
        <v>241.92000000000002</v>
      </c>
      <c r="E71" s="80"/>
    </row>
    <row r="72" spans="1:5" ht="15.75" x14ac:dyDescent="0.25">
      <c r="A72" s="34"/>
      <c r="B72" s="67" t="s">
        <v>9</v>
      </c>
      <c r="C72" s="33">
        <f>SUM(C32:C71)</f>
        <v>16355.060000000001</v>
      </c>
      <c r="D72" s="33">
        <f>SUM(D32:D71)</f>
        <v>10148.384</v>
      </c>
      <c r="E72" s="45"/>
    </row>
    <row r="73" spans="1:5" ht="15.75" x14ac:dyDescent="0.25">
      <c r="A73" s="34"/>
      <c r="B73" s="67" t="s">
        <v>46</v>
      </c>
      <c r="C73" s="33">
        <f>C72+C30</f>
        <v>18596.84</v>
      </c>
      <c r="D73" s="33">
        <f>D72+D30</f>
        <v>11344</v>
      </c>
      <c r="E73" s="45"/>
    </row>
    <row r="74" spans="1:5" ht="15.75" x14ac:dyDescent="0.25">
      <c r="A74" s="39"/>
      <c r="B74" s="22"/>
      <c r="C74" s="79"/>
      <c r="D74" s="79"/>
      <c r="E74" s="81"/>
    </row>
    <row r="75" spans="1:5" ht="15" customHeight="1" x14ac:dyDescent="0.25">
      <c r="A75" s="111" t="s">
        <v>52</v>
      </c>
      <c r="B75" s="112"/>
      <c r="C75" s="23">
        <v>1500</v>
      </c>
      <c r="D75" s="51">
        <v>800</v>
      </c>
      <c r="E75" s="81"/>
    </row>
    <row r="76" spans="1:5" ht="15" customHeight="1" x14ac:dyDescent="0.25">
      <c r="A76" s="124" t="s">
        <v>78</v>
      </c>
      <c r="B76" s="125"/>
      <c r="C76" s="41">
        <f>C73/C75</f>
        <v>12.397893333333334</v>
      </c>
      <c r="D76" s="52">
        <f>D73/D75</f>
        <v>14.18</v>
      </c>
    </row>
    <row r="77" spans="1:5" ht="15.75" x14ac:dyDescent="0.25">
      <c r="A77" s="22"/>
      <c r="B77" s="15"/>
      <c r="C77" s="15"/>
    </row>
    <row r="78" spans="1:5" ht="15" customHeight="1" x14ac:dyDescent="0.25">
      <c r="A78" s="111" t="s">
        <v>53</v>
      </c>
      <c r="B78" s="112"/>
      <c r="C78" s="18">
        <v>12.55</v>
      </c>
      <c r="D78" s="42"/>
    </row>
    <row r="79" spans="1:5" ht="15" customHeight="1" x14ac:dyDescent="0.25">
      <c r="A79" s="111" t="s">
        <v>79</v>
      </c>
      <c r="B79" s="112"/>
      <c r="C79" s="18"/>
      <c r="D79" s="42"/>
    </row>
    <row r="80" spans="1:5" ht="15.75" x14ac:dyDescent="0.25">
      <c r="A80" s="19"/>
      <c r="B80" s="19"/>
      <c r="C80" s="19"/>
      <c r="D80" s="19"/>
    </row>
    <row r="81" spans="1:4" ht="15.75" x14ac:dyDescent="0.25">
      <c r="A81" s="19" t="s">
        <v>54</v>
      </c>
      <c r="B81" s="19"/>
      <c r="C81" s="19"/>
      <c r="D81" s="19"/>
    </row>
    <row r="82" spans="1:4" ht="15.75" x14ac:dyDescent="0.25">
      <c r="A82" s="19"/>
      <c r="B82" s="19"/>
      <c r="C82" s="19"/>
      <c r="D82" s="19"/>
    </row>
    <row r="83" spans="1:4" ht="15.75" x14ac:dyDescent="0.25">
      <c r="A83" s="19" t="s">
        <v>73</v>
      </c>
      <c r="B83" s="20"/>
      <c r="C83" s="20"/>
      <c r="D83" s="19"/>
    </row>
    <row r="84" spans="1:4" ht="15.75" x14ac:dyDescent="0.25">
      <c r="A84" s="19"/>
      <c r="B84" s="21"/>
      <c r="C84" s="21"/>
      <c r="D84" s="19"/>
    </row>
  </sheetData>
  <mergeCells count="8">
    <mergeCell ref="A78:B78"/>
    <mergeCell ref="A79:B79"/>
    <mergeCell ref="A7:D7"/>
    <mergeCell ref="A9:B9"/>
    <mergeCell ref="A10:B10"/>
    <mergeCell ref="B13:D13"/>
    <mergeCell ref="A75:B75"/>
    <mergeCell ref="A76:B76"/>
  </mergeCells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headerFooter>
    <oddFooter>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90" zoomScalePageLayoutView="90" workbookViewId="0">
      <selection activeCell="D5" sqref="D5"/>
    </sheetView>
  </sheetViews>
  <sheetFormatPr defaultRowHeight="15.75" x14ac:dyDescent="0.25"/>
  <cols>
    <col min="1" max="1" width="22" style="14" customWidth="1"/>
    <col min="2" max="2" width="88.7109375" style="14" customWidth="1"/>
    <col min="3" max="3" width="10" style="14" hidden="1" customWidth="1"/>
    <col min="4" max="4" width="26.42578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144</v>
      </c>
      <c r="C14" s="109"/>
      <c r="D14" s="22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717.6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169.28</v>
      </c>
      <c r="E20" s="60"/>
      <c r="F20" s="60"/>
    </row>
    <row r="21" spans="1:8" x14ac:dyDescent="0.25">
      <c r="A21" s="29">
        <v>2222</v>
      </c>
      <c r="B21" s="64" t="s">
        <v>164</v>
      </c>
      <c r="C21" s="63"/>
      <c r="D21" s="30">
        <v>30.49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38.020000000000003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2.12*5*5</f>
        <v>53.000000000000007</v>
      </c>
    </row>
    <row r="25" spans="1:8" x14ac:dyDescent="0.25">
      <c r="A25" s="29">
        <v>2312</v>
      </c>
      <c r="B25" s="62" t="s">
        <v>181</v>
      </c>
      <c r="C25" s="63"/>
      <c r="D25" s="30">
        <v>7.1</v>
      </c>
    </row>
    <row r="26" spans="1:8" x14ac:dyDescent="0.25">
      <c r="A26" s="29">
        <v>2321</v>
      </c>
      <c r="B26" s="64" t="s">
        <v>183</v>
      </c>
      <c r="C26" s="63"/>
      <c r="D26" s="30">
        <v>45.78</v>
      </c>
    </row>
    <row r="27" spans="1:8" x14ac:dyDescent="0.25">
      <c r="A27" s="29">
        <v>2341</v>
      </c>
      <c r="B27" s="64" t="s">
        <v>161</v>
      </c>
      <c r="C27" s="63"/>
      <c r="D27" s="30">
        <v>67.87</v>
      </c>
    </row>
    <row r="28" spans="1:8" x14ac:dyDescent="0.25">
      <c r="A28" s="29">
        <v>2361</v>
      </c>
      <c r="B28" s="64" t="s">
        <v>197</v>
      </c>
      <c r="C28" s="63"/>
      <c r="D28" s="30">
        <f>0.28*5*5+1.97*5*5</f>
        <v>56.25</v>
      </c>
    </row>
    <row r="29" spans="1:8" x14ac:dyDescent="0.25">
      <c r="A29" s="29">
        <v>2363</v>
      </c>
      <c r="B29" s="64" t="s">
        <v>199</v>
      </c>
      <c r="C29" s="63"/>
      <c r="D29" s="30">
        <f>8.12*5*5</f>
        <v>202.99999999999997</v>
      </c>
    </row>
    <row r="30" spans="1:8" x14ac:dyDescent="0.25">
      <c r="A30" s="29">
        <v>5239</v>
      </c>
      <c r="B30" s="63" t="s">
        <v>190</v>
      </c>
      <c r="C30" s="63"/>
      <c r="D30" s="30">
        <v>32.450000000000003</v>
      </c>
    </row>
    <row r="31" spans="1:8" x14ac:dyDescent="0.25">
      <c r="A31" s="29"/>
      <c r="B31" s="65" t="s">
        <v>7</v>
      </c>
      <c r="C31" s="65"/>
      <c r="D31" s="33">
        <f>SUM(D19:D30)</f>
        <v>1420.84</v>
      </c>
    </row>
    <row r="32" spans="1:8" x14ac:dyDescent="0.25">
      <c r="A32" s="34"/>
      <c r="B32" s="65" t="s">
        <v>8</v>
      </c>
      <c r="C32" s="65"/>
      <c r="D32" s="3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457.77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107.99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1.3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8.44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10.56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21.13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5.5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1.72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1.83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4.9000000000000004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18.329999999999998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2.5099999999999998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36.22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226.63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0.8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0.26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26.7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 t="shared" ref="D50:D66" si="0">C50*1111.1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6.96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50.89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1.66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5.3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6.43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2.4700000000000002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22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3.89</v>
      </c>
    </row>
    <row r="59" spans="1:4" hidden="1" x14ac:dyDescent="0.25">
      <c r="A59" s="29">
        <v>2341</v>
      </c>
      <c r="B59" s="64" t="s">
        <v>161</v>
      </c>
      <c r="C59" s="63"/>
      <c r="D59" s="30">
        <f t="shared" si="0"/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9.44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si="0"/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1.62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2.11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2.2200000000000002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11.78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2.02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22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27.78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1111.1599999999999</v>
      </c>
    </row>
    <row r="75" spans="1:7" x14ac:dyDescent="0.25">
      <c r="A75" s="34"/>
      <c r="B75" s="67" t="s">
        <v>193</v>
      </c>
      <c r="C75" s="67"/>
      <c r="D75" s="33">
        <f>D31+D74</f>
        <v>2532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506.4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B2:D2"/>
    <mergeCell ref="A7:D7"/>
    <mergeCell ref="A9:B9"/>
    <mergeCell ref="A10:B10"/>
    <mergeCell ref="B13:C13"/>
    <mergeCell ref="B14:C14"/>
    <mergeCell ref="A77:B77"/>
    <mergeCell ref="A80:B80"/>
    <mergeCell ref="A78:B78"/>
  </mergeCells>
  <pageMargins left="0.70866141732283472" right="0.70866141732283472" top="0.74803149606299213" bottom="0.55118110236220474" header="0.31496062992125984" footer="0.31496062992125984"/>
  <pageSetup paperSize="9" scale="61" orientation="portrait" r:id="rId1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100" zoomScalePageLayoutView="90" workbookViewId="0">
      <selection activeCell="B15" sqref="B15"/>
    </sheetView>
  </sheetViews>
  <sheetFormatPr defaultRowHeight="15.75" x14ac:dyDescent="0.25"/>
  <cols>
    <col min="1" max="1" width="24.85546875" style="14" customWidth="1"/>
    <col min="2" max="2" width="87.5703125" style="14" customWidth="1"/>
    <col min="3" max="3" width="10" style="14" hidden="1" customWidth="1"/>
    <col min="4" max="4" width="26.42578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143</v>
      </c>
      <c r="C14" s="109"/>
      <c r="D14" s="22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717.6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169.28</v>
      </c>
    </row>
    <row r="21" spans="1:8" x14ac:dyDescent="0.25">
      <c r="A21" s="29">
        <v>2222</v>
      </c>
      <c r="B21" s="64" t="s">
        <v>164</v>
      </c>
      <c r="C21" s="63"/>
      <c r="D21" s="30">
        <v>29.06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39.42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2.12*5*5/2</f>
        <v>26.500000000000004</v>
      </c>
    </row>
    <row r="25" spans="1:8" x14ac:dyDescent="0.25">
      <c r="A25" s="29">
        <v>2312</v>
      </c>
      <c r="B25" s="62" t="s">
        <v>181</v>
      </c>
      <c r="C25" s="63"/>
      <c r="D25" s="30">
        <v>7.1</v>
      </c>
    </row>
    <row r="26" spans="1:8" x14ac:dyDescent="0.25">
      <c r="A26" s="29">
        <v>2321</v>
      </c>
      <c r="B26" s="64" t="s">
        <v>183</v>
      </c>
      <c r="C26" s="63"/>
      <c r="D26" s="30">
        <v>46.84</v>
      </c>
    </row>
    <row r="27" spans="1:8" x14ac:dyDescent="0.25">
      <c r="A27" s="29">
        <v>2341</v>
      </c>
      <c r="B27" s="64" t="s">
        <v>161</v>
      </c>
      <c r="C27" s="63"/>
      <c r="D27" s="30">
        <v>67.81</v>
      </c>
    </row>
    <row r="28" spans="1:8" x14ac:dyDescent="0.25">
      <c r="A28" s="29">
        <v>2361</v>
      </c>
      <c r="B28" s="64" t="s">
        <v>197</v>
      </c>
      <c r="C28" s="63"/>
      <c r="D28" s="30">
        <f>0.28*5*5+1.97*5*5</f>
        <v>56.25</v>
      </c>
    </row>
    <row r="29" spans="1:8" x14ac:dyDescent="0.25">
      <c r="A29" s="29">
        <v>2363</v>
      </c>
      <c r="B29" s="64" t="s">
        <v>199</v>
      </c>
      <c r="C29" s="63"/>
      <c r="D29" s="30">
        <v>203</v>
      </c>
    </row>
    <row r="30" spans="1:8" x14ac:dyDescent="0.25">
      <c r="A30" s="29">
        <v>5239</v>
      </c>
      <c r="B30" s="63" t="s">
        <v>190</v>
      </c>
      <c r="C30" s="63"/>
      <c r="D30" s="30">
        <v>33.229999999999997</v>
      </c>
    </row>
    <row r="31" spans="1:8" x14ac:dyDescent="0.25">
      <c r="A31" s="29"/>
      <c r="B31" s="65" t="s">
        <v>7</v>
      </c>
      <c r="C31" s="65"/>
      <c r="D31" s="33">
        <f>SUM(D19:D30)</f>
        <v>1396.09</v>
      </c>
      <c r="E31" s="60"/>
      <c r="F31" s="60"/>
    </row>
    <row r="32" spans="1:8" x14ac:dyDescent="0.25">
      <c r="A32" s="34"/>
      <c r="B32" s="65" t="s">
        <v>8</v>
      </c>
      <c r="C32" s="65"/>
      <c r="D32" s="3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305.05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71.959999999999994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0.86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5.63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7.03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14.08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3.67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1.1499999999999999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1.22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3.27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12.22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1.67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24.14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151.02000000000001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0.53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0.17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17.79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C50*740.41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4.63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33.909999999999997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1.1000000000000001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3.53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4.29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1.64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14.66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2.59</v>
      </c>
    </row>
    <row r="59" spans="1:4" hidden="1" x14ac:dyDescent="0.25">
      <c r="A59" s="29">
        <v>2341</v>
      </c>
      <c r="B59" s="64" t="s">
        <v>161</v>
      </c>
      <c r="C59" s="63"/>
      <c r="D59" s="30">
        <f>C59*740.41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6.29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C61*740.41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1.08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1.41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1.48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7.85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1.32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14.66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18.510000000000002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740.40999999999985</v>
      </c>
    </row>
    <row r="75" spans="1:7" x14ac:dyDescent="0.25">
      <c r="A75" s="34"/>
      <c r="B75" s="67" t="s">
        <v>193</v>
      </c>
      <c r="C75" s="67"/>
      <c r="D75" s="33">
        <f>D31+D74</f>
        <v>2136.5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427.3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B2:D2"/>
    <mergeCell ref="A81:B81"/>
    <mergeCell ref="A7:D7"/>
    <mergeCell ref="A9:B9"/>
    <mergeCell ref="A10:B10"/>
    <mergeCell ref="B13:C13"/>
    <mergeCell ref="B14:C14"/>
    <mergeCell ref="A78:B78"/>
    <mergeCell ref="A77:B77"/>
    <mergeCell ref="A80:B80"/>
  </mergeCells>
  <pageMargins left="0.76388888888888884" right="0.70866141732283472" top="0.74803149606299213" bottom="0.74803149606299213" header="0.31496062992125984" footer="0.31496062992125984"/>
  <pageSetup paperSize="9" scale="60" orientation="portrait" r:id="rId1"/>
  <headerFooter>
    <oddFooter>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3" zoomScale="90" zoomScaleNormal="100" zoomScalePageLayoutView="90" workbookViewId="0">
      <selection activeCell="B15" sqref="B15"/>
    </sheetView>
  </sheetViews>
  <sheetFormatPr defaultRowHeight="15.75" x14ac:dyDescent="0.25"/>
  <cols>
    <col min="1" max="1" width="24" style="14" customWidth="1"/>
    <col min="2" max="2" width="86.28515625" style="14" customWidth="1"/>
    <col min="3" max="3" width="10" style="14" hidden="1" customWidth="1"/>
    <col min="4" max="4" width="26.42578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214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535.85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126.41</v>
      </c>
      <c r="E20" s="60"/>
      <c r="F20" s="60"/>
    </row>
    <row r="21" spans="1:8" x14ac:dyDescent="0.25">
      <c r="A21" s="29">
        <v>2222</v>
      </c>
      <c r="B21" s="64" t="s">
        <v>164</v>
      </c>
      <c r="C21" s="63"/>
      <c r="D21" s="30">
        <v>30.54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32.659999999999997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'4.3.1.1.'!D24</f>
        <v>53.000000000000007</v>
      </c>
    </row>
    <row r="25" spans="1:8" x14ac:dyDescent="0.25">
      <c r="A25" s="29">
        <v>2312</v>
      </c>
      <c r="B25" s="62" t="s">
        <v>181</v>
      </c>
      <c r="C25" s="63"/>
      <c r="D25" s="30">
        <f>'4.3.1.1.'!D25</f>
        <v>7.1</v>
      </c>
    </row>
    <row r="26" spans="1:8" x14ac:dyDescent="0.25">
      <c r="A26" s="29">
        <v>2321</v>
      </c>
      <c r="B26" s="64" t="s">
        <v>183</v>
      </c>
      <c r="C26" s="63"/>
      <c r="D26" s="30">
        <v>39.92</v>
      </c>
    </row>
    <row r="27" spans="1:8" x14ac:dyDescent="0.25">
      <c r="A27" s="29">
        <v>2341</v>
      </c>
      <c r="B27" s="64" t="s">
        <v>161</v>
      </c>
      <c r="C27" s="63"/>
      <c r="D27" s="30">
        <v>57.18</v>
      </c>
    </row>
    <row r="28" spans="1:8" x14ac:dyDescent="0.25">
      <c r="A28" s="29">
        <v>2361</v>
      </c>
      <c r="B28" s="64" t="s">
        <v>197</v>
      </c>
      <c r="C28" s="63"/>
      <c r="D28" s="30">
        <f>'4.3.1.1.'!D28</f>
        <v>56.25</v>
      </c>
    </row>
    <row r="29" spans="1:8" x14ac:dyDescent="0.25">
      <c r="A29" s="29">
        <v>2363</v>
      </c>
      <c r="B29" s="64" t="s">
        <v>199</v>
      </c>
      <c r="C29" s="63"/>
      <c r="D29" s="30">
        <v>203</v>
      </c>
    </row>
    <row r="30" spans="1:8" x14ac:dyDescent="0.25">
      <c r="A30" s="29">
        <v>5239</v>
      </c>
      <c r="B30" s="63" t="s">
        <v>190</v>
      </c>
      <c r="C30" s="63"/>
      <c r="D30" s="30">
        <v>31.61</v>
      </c>
    </row>
    <row r="31" spans="1:8" x14ac:dyDescent="0.25">
      <c r="A31" s="29"/>
      <c r="B31" s="65" t="s">
        <v>7</v>
      </c>
      <c r="C31" s="65"/>
      <c r="D31" s="33">
        <f>SUM(D19:D30)</f>
        <v>1173.5199999999998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420.57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99.21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1.19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7.76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9.6999999999999993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19.420000000000002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5.05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1.58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1.68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4.5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16.84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2.31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33.28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208.21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0.73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0.24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25.53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C50*1020.79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6.39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46.75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1.52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5.87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5.91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2.27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21.21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3.57</v>
      </c>
    </row>
    <row r="59" spans="1:4" hidden="1" x14ac:dyDescent="0.25">
      <c r="A59" s="29">
        <v>2341</v>
      </c>
      <c r="B59" s="64" t="s">
        <v>161</v>
      </c>
      <c r="C59" s="63"/>
      <c r="D59" s="30">
        <f>C59*1020.79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8.68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C61*1020.79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1.49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1.94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2.68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10.82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3.1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20.21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25.52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1025.73</v>
      </c>
    </row>
    <row r="75" spans="1:7" x14ac:dyDescent="0.25">
      <c r="A75" s="34"/>
      <c r="B75" s="67" t="s">
        <v>193</v>
      </c>
      <c r="C75" s="67"/>
      <c r="D75" s="33">
        <f>D31+D74</f>
        <v>2199.25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439.85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B14:D14"/>
    <mergeCell ref="B2:D2"/>
    <mergeCell ref="A7:D7"/>
    <mergeCell ref="A9:B9"/>
    <mergeCell ref="A10:B10"/>
    <mergeCell ref="B13:C13"/>
    <mergeCell ref="A77:B77"/>
    <mergeCell ref="A80:B80"/>
    <mergeCell ref="A78:B78"/>
  </mergeCells>
  <pageMargins left="0.85416666666666663" right="0.70866141732283472" top="0.74803149606299213" bottom="0.74803149606299213" header="0.31496062992125984" footer="0.31496062992125984"/>
  <pageSetup paperSize="9" scale="60" orientation="portrait" r:id="rId1"/>
  <headerFooter>
    <oddFooter>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40" zoomScale="90" zoomScaleNormal="100" zoomScalePageLayoutView="90" workbookViewId="0">
      <selection activeCell="C78" sqref="C78"/>
    </sheetView>
  </sheetViews>
  <sheetFormatPr defaultRowHeight="15.75" x14ac:dyDescent="0.25"/>
  <cols>
    <col min="1" max="1" width="20.7109375" style="14" customWidth="1"/>
    <col min="2" max="2" width="87.5703125" style="14" customWidth="1"/>
    <col min="3" max="3" width="25" style="14" customWidth="1"/>
    <col min="4" max="4" width="12.28515625" style="14" customWidth="1"/>
    <col min="5" max="16384" width="9.140625" style="14"/>
  </cols>
  <sheetData>
    <row r="1" spans="1:3" ht="15.75" customHeight="1" x14ac:dyDescent="0.25">
      <c r="B1" s="12"/>
      <c r="C1" s="57" t="s">
        <v>51</v>
      </c>
    </row>
    <row r="2" spans="1:3" x14ac:dyDescent="0.25">
      <c r="B2" s="106" t="s">
        <v>55</v>
      </c>
      <c r="C2" s="107"/>
    </row>
    <row r="3" spans="1:3" x14ac:dyDescent="0.25">
      <c r="B3" s="13"/>
      <c r="C3" s="53" t="s">
        <v>81</v>
      </c>
    </row>
    <row r="4" spans="1:3" x14ac:dyDescent="0.25">
      <c r="B4" s="12"/>
      <c r="C4" s="39"/>
    </row>
    <row r="5" spans="1:3" x14ac:dyDescent="0.25">
      <c r="B5" s="59"/>
      <c r="C5" s="39" t="s">
        <v>237</v>
      </c>
    </row>
    <row r="6" spans="1:3" x14ac:dyDescent="0.25">
      <c r="C6" s="22"/>
    </row>
    <row r="7" spans="1:3" x14ac:dyDescent="0.25">
      <c r="A7" s="108" t="s">
        <v>10</v>
      </c>
      <c r="B7" s="108"/>
      <c r="C7" s="108"/>
    </row>
    <row r="8" spans="1:3" x14ac:dyDescent="0.25">
      <c r="B8" s="61"/>
      <c r="C8" s="22"/>
    </row>
    <row r="9" spans="1:3" x14ac:dyDescent="0.25">
      <c r="A9" s="109" t="s">
        <v>1</v>
      </c>
      <c r="B9" s="109"/>
      <c r="C9" s="22"/>
    </row>
    <row r="10" spans="1:3" x14ac:dyDescent="0.25">
      <c r="A10" s="109" t="s">
        <v>0</v>
      </c>
      <c r="B10" s="109"/>
      <c r="C10" s="22"/>
    </row>
    <row r="11" spans="1:3" x14ac:dyDescent="0.25">
      <c r="A11" s="11"/>
      <c r="B11" s="11" t="s">
        <v>47</v>
      </c>
      <c r="C11" s="22"/>
    </row>
    <row r="12" spans="1:3" x14ac:dyDescent="0.25">
      <c r="A12" s="11"/>
      <c r="B12" s="11" t="s">
        <v>92</v>
      </c>
      <c r="C12" s="22"/>
    </row>
    <row r="13" spans="1:3" x14ac:dyDescent="0.25">
      <c r="A13" s="11"/>
      <c r="B13" s="11" t="s">
        <v>93</v>
      </c>
      <c r="C13" s="22"/>
    </row>
    <row r="14" spans="1:3" ht="15.75" customHeight="1" x14ac:dyDescent="0.25">
      <c r="A14" s="11"/>
      <c r="B14" s="109" t="s">
        <v>215</v>
      </c>
      <c r="C14" s="109"/>
    </row>
    <row r="15" spans="1:3" x14ac:dyDescent="0.25">
      <c r="A15" s="11" t="s">
        <v>2</v>
      </c>
      <c r="B15" s="11" t="s">
        <v>232</v>
      </c>
      <c r="C15" s="22"/>
    </row>
    <row r="16" spans="1:3" ht="69.75" customHeight="1" x14ac:dyDescent="0.25">
      <c r="A16" s="47" t="s">
        <v>3</v>
      </c>
      <c r="B16" s="47" t="s">
        <v>4</v>
      </c>
      <c r="C16" s="47" t="s">
        <v>5</v>
      </c>
    </row>
    <row r="17" spans="1:7" x14ac:dyDescent="0.25">
      <c r="A17" s="24">
        <v>1</v>
      </c>
      <c r="B17" s="25">
        <v>2</v>
      </c>
      <c r="C17" s="25">
        <v>3</v>
      </c>
    </row>
    <row r="18" spans="1:7" x14ac:dyDescent="0.25">
      <c r="A18" s="24"/>
      <c r="B18" s="62" t="s">
        <v>6</v>
      </c>
      <c r="C18" s="63"/>
    </row>
    <row r="19" spans="1:7" x14ac:dyDescent="0.25">
      <c r="A19" s="29">
        <v>1100</v>
      </c>
      <c r="B19" s="29" t="s">
        <v>159</v>
      </c>
      <c r="C19" s="30">
        <v>535.85</v>
      </c>
      <c r="D19" s="60"/>
      <c r="E19" s="60"/>
      <c r="F19" s="60"/>
      <c r="G19" s="60"/>
    </row>
    <row r="20" spans="1:7" x14ac:dyDescent="0.25">
      <c r="A20" s="29">
        <v>1200</v>
      </c>
      <c r="B20" s="63" t="s">
        <v>160</v>
      </c>
      <c r="C20" s="30">
        <v>126.41</v>
      </c>
      <c r="E20" s="60"/>
    </row>
    <row r="21" spans="1:7" x14ac:dyDescent="0.25">
      <c r="A21" s="29">
        <v>2222</v>
      </c>
      <c r="B21" s="64" t="s">
        <v>164</v>
      </c>
      <c r="C21" s="30">
        <v>29.12</v>
      </c>
    </row>
    <row r="22" spans="1:7" x14ac:dyDescent="0.25">
      <c r="A22" s="29">
        <v>2223</v>
      </c>
      <c r="B22" s="64" t="s">
        <v>165</v>
      </c>
      <c r="C22" s="30">
        <v>34.06</v>
      </c>
    </row>
    <row r="23" spans="1:7" hidden="1" x14ac:dyDescent="0.25">
      <c r="A23" s="29">
        <v>2243</v>
      </c>
      <c r="B23" s="62" t="s">
        <v>172</v>
      </c>
      <c r="C23" s="30">
        <v>0</v>
      </c>
    </row>
    <row r="24" spans="1:7" x14ac:dyDescent="0.25">
      <c r="A24" s="29">
        <v>2244</v>
      </c>
      <c r="B24" s="62" t="s">
        <v>173</v>
      </c>
      <c r="C24" s="30">
        <f>'4.3.1.2.'!D24</f>
        <v>26.500000000000004</v>
      </c>
    </row>
    <row r="25" spans="1:7" x14ac:dyDescent="0.25">
      <c r="A25" s="29">
        <v>2312</v>
      </c>
      <c r="B25" s="62" t="s">
        <v>181</v>
      </c>
      <c r="C25" s="30">
        <v>7.1</v>
      </c>
    </row>
    <row r="26" spans="1:7" x14ac:dyDescent="0.25">
      <c r="A26" s="29">
        <v>2321</v>
      </c>
      <c r="B26" s="64" t="s">
        <v>183</v>
      </c>
      <c r="C26" s="30">
        <v>40.98</v>
      </c>
    </row>
    <row r="27" spans="1:7" x14ac:dyDescent="0.25">
      <c r="A27" s="29">
        <v>2341</v>
      </c>
      <c r="B27" s="64" t="s">
        <v>161</v>
      </c>
      <c r="C27" s="30">
        <v>57.12</v>
      </c>
    </row>
    <row r="28" spans="1:7" x14ac:dyDescent="0.25">
      <c r="A28" s="29">
        <v>2361</v>
      </c>
      <c r="B28" s="64" t="s">
        <v>197</v>
      </c>
      <c r="C28" s="30">
        <v>56.25</v>
      </c>
    </row>
    <row r="29" spans="1:7" x14ac:dyDescent="0.25">
      <c r="A29" s="29">
        <v>2363</v>
      </c>
      <c r="B29" s="64" t="s">
        <v>199</v>
      </c>
      <c r="C29" s="30">
        <v>203</v>
      </c>
    </row>
    <row r="30" spans="1:7" x14ac:dyDescent="0.25">
      <c r="A30" s="29">
        <v>5239</v>
      </c>
      <c r="B30" s="63" t="s">
        <v>190</v>
      </c>
      <c r="C30" s="30">
        <v>32.39</v>
      </c>
    </row>
    <row r="31" spans="1:7" x14ac:dyDescent="0.25">
      <c r="A31" s="29"/>
      <c r="B31" s="65" t="s">
        <v>7</v>
      </c>
      <c r="C31" s="33">
        <f>SUM(C19:C30)</f>
        <v>1148.7800000000002</v>
      </c>
      <c r="E31" s="60"/>
    </row>
    <row r="32" spans="1:7" x14ac:dyDescent="0.25">
      <c r="A32" s="34"/>
      <c r="B32" s="65" t="s">
        <v>8</v>
      </c>
      <c r="C32" s="30"/>
      <c r="D32" s="60"/>
    </row>
    <row r="33" spans="1:3" x14ac:dyDescent="0.25">
      <c r="A33" s="29">
        <v>1100</v>
      </c>
      <c r="B33" s="62" t="s">
        <v>159</v>
      </c>
      <c r="C33" s="30">
        <v>267.81</v>
      </c>
    </row>
    <row r="34" spans="1:3" ht="16.5" customHeight="1" x14ac:dyDescent="0.25">
      <c r="A34" s="29">
        <v>1200</v>
      </c>
      <c r="B34" s="62" t="s">
        <v>160</v>
      </c>
      <c r="C34" s="30">
        <v>63.18</v>
      </c>
    </row>
    <row r="35" spans="1:3" ht="16.5" customHeight="1" x14ac:dyDescent="0.25">
      <c r="A35" s="29">
        <v>2100</v>
      </c>
      <c r="B35" s="35" t="s">
        <v>44</v>
      </c>
      <c r="C35" s="30">
        <v>0.76</v>
      </c>
    </row>
    <row r="36" spans="1:3" x14ac:dyDescent="0.25">
      <c r="A36" s="36">
        <v>2210</v>
      </c>
      <c r="B36" s="64" t="s">
        <v>163</v>
      </c>
      <c r="C36" s="30">
        <v>4.9400000000000004</v>
      </c>
    </row>
    <row r="37" spans="1:3" x14ac:dyDescent="0.25">
      <c r="A37" s="29">
        <v>2222</v>
      </c>
      <c r="B37" s="64" t="s">
        <v>164</v>
      </c>
      <c r="C37" s="30">
        <v>6.18</v>
      </c>
    </row>
    <row r="38" spans="1:3" x14ac:dyDescent="0.25">
      <c r="A38" s="29">
        <v>2223</v>
      </c>
      <c r="B38" s="64" t="s">
        <v>165</v>
      </c>
      <c r="C38" s="30">
        <v>12.36</v>
      </c>
    </row>
    <row r="39" spans="1:3" ht="31.5" x14ac:dyDescent="0.25">
      <c r="A39" s="29">
        <v>2224</v>
      </c>
      <c r="B39" s="64" t="s">
        <v>166</v>
      </c>
      <c r="C39" s="30">
        <v>3.22</v>
      </c>
    </row>
    <row r="40" spans="1:3" ht="15.75" customHeight="1" x14ac:dyDescent="0.25">
      <c r="A40" s="29">
        <v>2231</v>
      </c>
      <c r="B40" s="62" t="s">
        <v>167</v>
      </c>
      <c r="C40" s="30">
        <v>1.01</v>
      </c>
    </row>
    <row r="41" spans="1:3" ht="15.75" customHeight="1" x14ac:dyDescent="0.25">
      <c r="A41" s="29">
        <v>2235</v>
      </c>
      <c r="B41" s="66" t="s">
        <v>168</v>
      </c>
      <c r="C41" s="30">
        <v>1.07</v>
      </c>
    </row>
    <row r="42" spans="1:3" x14ac:dyDescent="0.25">
      <c r="A42" s="29">
        <v>2239</v>
      </c>
      <c r="B42" s="62" t="s">
        <v>169</v>
      </c>
      <c r="C42" s="30">
        <v>2.87</v>
      </c>
    </row>
    <row r="43" spans="1:3" x14ac:dyDescent="0.25">
      <c r="A43" s="29">
        <v>2241</v>
      </c>
      <c r="B43" s="62" t="s">
        <v>170</v>
      </c>
      <c r="C43" s="30">
        <v>10.73</v>
      </c>
    </row>
    <row r="44" spans="1:3" x14ac:dyDescent="0.25">
      <c r="A44" s="29">
        <v>2242</v>
      </c>
      <c r="B44" s="64" t="s">
        <v>171</v>
      </c>
      <c r="C44" s="30">
        <v>1.47</v>
      </c>
    </row>
    <row r="45" spans="1:3" ht="15.75" customHeight="1" x14ac:dyDescent="0.25">
      <c r="A45" s="29">
        <v>2243</v>
      </c>
      <c r="B45" s="62" t="s">
        <v>172</v>
      </c>
      <c r="C45" s="30">
        <v>21.19</v>
      </c>
    </row>
    <row r="46" spans="1:3" x14ac:dyDescent="0.25">
      <c r="A46" s="29">
        <v>2244</v>
      </c>
      <c r="B46" s="62" t="s">
        <v>173</v>
      </c>
      <c r="C46" s="30">
        <v>132.59</v>
      </c>
    </row>
    <row r="47" spans="1:3" x14ac:dyDescent="0.25">
      <c r="A47" s="29">
        <v>2247</v>
      </c>
      <c r="B47" s="62" t="s">
        <v>174</v>
      </c>
      <c r="C47" s="30">
        <v>0.47</v>
      </c>
    </row>
    <row r="48" spans="1:3" x14ac:dyDescent="0.25">
      <c r="A48" s="29">
        <v>2249</v>
      </c>
      <c r="B48" s="62" t="s">
        <v>175</v>
      </c>
      <c r="C48" s="30">
        <v>0.15</v>
      </c>
    </row>
    <row r="49" spans="1:3" x14ac:dyDescent="0.25">
      <c r="A49" s="29">
        <v>2250</v>
      </c>
      <c r="B49" s="62" t="s">
        <v>176</v>
      </c>
      <c r="C49" s="30">
        <v>15.62</v>
      </c>
    </row>
    <row r="50" spans="1:3" hidden="1" x14ac:dyDescent="0.25">
      <c r="A50" s="29">
        <v>2261</v>
      </c>
      <c r="B50" s="64" t="s">
        <v>196</v>
      </c>
      <c r="C50" s="30"/>
    </row>
    <row r="51" spans="1:3" x14ac:dyDescent="0.25">
      <c r="A51" s="29">
        <v>2262</v>
      </c>
      <c r="B51" s="64" t="s">
        <v>177</v>
      </c>
      <c r="C51" s="30">
        <v>4.07</v>
      </c>
    </row>
    <row r="52" spans="1:3" x14ac:dyDescent="0.25">
      <c r="A52" s="29">
        <v>2263</v>
      </c>
      <c r="B52" s="64" t="s">
        <v>178</v>
      </c>
      <c r="C52" s="30">
        <v>29.77</v>
      </c>
    </row>
    <row r="53" spans="1:3" x14ac:dyDescent="0.25">
      <c r="A53" s="29">
        <v>2264</v>
      </c>
      <c r="B53" s="62" t="s">
        <v>179</v>
      </c>
      <c r="C53" s="30">
        <v>0.97</v>
      </c>
    </row>
    <row r="54" spans="1:3" x14ac:dyDescent="0.25">
      <c r="A54" s="29">
        <v>2311</v>
      </c>
      <c r="B54" s="64" t="s">
        <v>180</v>
      </c>
      <c r="C54" s="30">
        <v>3.1</v>
      </c>
    </row>
    <row r="55" spans="1:3" x14ac:dyDescent="0.25">
      <c r="A55" s="29">
        <v>2312</v>
      </c>
      <c r="B55" s="64" t="s">
        <v>181</v>
      </c>
      <c r="C55" s="30">
        <v>3.76</v>
      </c>
    </row>
    <row r="56" spans="1:3" x14ac:dyDescent="0.25">
      <c r="A56" s="29">
        <v>2314</v>
      </c>
      <c r="B56" s="66" t="s">
        <v>182</v>
      </c>
      <c r="C56" s="30">
        <v>1.44</v>
      </c>
    </row>
    <row r="57" spans="1:3" x14ac:dyDescent="0.25">
      <c r="A57" s="29">
        <v>2321</v>
      </c>
      <c r="B57" s="64" t="s">
        <v>183</v>
      </c>
      <c r="C57" s="30">
        <v>12.87</v>
      </c>
    </row>
    <row r="58" spans="1:3" x14ac:dyDescent="0.25">
      <c r="A58" s="29">
        <v>2322</v>
      </c>
      <c r="B58" s="64" t="s">
        <v>184</v>
      </c>
      <c r="C58" s="30">
        <v>2.2799999999999998</v>
      </c>
    </row>
    <row r="59" spans="1:3" hidden="1" x14ac:dyDescent="0.25">
      <c r="A59" s="29">
        <v>2341</v>
      </c>
      <c r="B59" s="64" t="s">
        <v>161</v>
      </c>
      <c r="C59" s="30"/>
    </row>
    <row r="60" spans="1:3" x14ac:dyDescent="0.25">
      <c r="A60" s="29">
        <v>2350</v>
      </c>
      <c r="B60" s="63" t="s">
        <v>162</v>
      </c>
      <c r="C60" s="30">
        <v>5.97</v>
      </c>
    </row>
    <row r="61" spans="1:3" hidden="1" x14ac:dyDescent="0.25">
      <c r="A61" s="29">
        <v>2361</v>
      </c>
      <c r="B61" s="64" t="s">
        <v>197</v>
      </c>
      <c r="C61" s="30"/>
    </row>
    <row r="62" spans="1:3" hidden="1" x14ac:dyDescent="0.25">
      <c r="A62" s="29">
        <v>2362</v>
      </c>
      <c r="B62" s="64" t="s">
        <v>198</v>
      </c>
      <c r="C62" s="30"/>
    </row>
    <row r="63" spans="1:3" hidden="1" x14ac:dyDescent="0.25">
      <c r="A63" s="29">
        <v>2363</v>
      </c>
      <c r="B63" s="64" t="s">
        <v>199</v>
      </c>
      <c r="C63" s="30"/>
    </row>
    <row r="64" spans="1:3" hidden="1" x14ac:dyDescent="0.25">
      <c r="A64" s="29">
        <v>2370</v>
      </c>
      <c r="B64" s="64" t="s">
        <v>200</v>
      </c>
      <c r="C64" s="30"/>
    </row>
    <row r="65" spans="1:6" hidden="1" x14ac:dyDescent="0.25">
      <c r="A65" s="29">
        <v>2400</v>
      </c>
      <c r="B65" s="64" t="s">
        <v>201</v>
      </c>
      <c r="C65" s="30"/>
    </row>
    <row r="66" spans="1:6" hidden="1" x14ac:dyDescent="0.25">
      <c r="A66" s="29">
        <v>2512</v>
      </c>
      <c r="B66" s="64" t="s">
        <v>202</v>
      </c>
      <c r="C66" s="30"/>
    </row>
    <row r="67" spans="1:6" ht="15.75" customHeight="1" x14ac:dyDescent="0.25">
      <c r="A67" s="29">
        <v>2513</v>
      </c>
      <c r="B67" s="63" t="s">
        <v>185</v>
      </c>
      <c r="C67" s="30">
        <v>1.05</v>
      </c>
    </row>
    <row r="68" spans="1:6" x14ac:dyDescent="0.25">
      <c r="A68" s="29">
        <v>2515</v>
      </c>
      <c r="B68" s="64" t="s">
        <v>186</v>
      </c>
      <c r="C68" s="30">
        <v>1.24</v>
      </c>
    </row>
    <row r="69" spans="1:6" x14ac:dyDescent="0.25">
      <c r="A69" s="29">
        <v>2519</v>
      </c>
      <c r="B69" s="64" t="s">
        <v>187</v>
      </c>
      <c r="C69" s="30">
        <v>1.7</v>
      </c>
    </row>
    <row r="70" spans="1:6" x14ac:dyDescent="0.25">
      <c r="A70" s="29">
        <v>5220</v>
      </c>
      <c r="B70" s="64" t="s">
        <v>188</v>
      </c>
      <c r="C70" s="30">
        <v>7.89</v>
      </c>
    </row>
    <row r="71" spans="1:6" x14ac:dyDescent="0.25">
      <c r="A71" s="29">
        <v>5238</v>
      </c>
      <c r="B71" s="63" t="s">
        <v>189</v>
      </c>
      <c r="C71" s="30">
        <v>2.12</v>
      </c>
    </row>
    <row r="72" spans="1:6" x14ac:dyDescent="0.25">
      <c r="A72" s="29">
        <v>5239</v>
      </c>
      <c r="B72" s="63" t="s">
        <v>190</v>
      </c>
      <c r="C72" s="30">
        <v>13.87</v>
      </c>
    </row>
    <row r="73" spans="1:6" x14ac:dyDescent="0.25">
      <c r="A73" s="29">
        <v>5250</v>
      </c>
      <c r="B73" s="64" t="s">
        <v>191</v>
      </c>
      <c r="C73" s="30">
        <v>17.25</v>
      </c>
    </row>
    <row r="74" spans="1:6" x14ac:dyDescent="0.25">
      <c r="A74" s="34"/>
      <c r="B74" s="67" t="s">
        <v>192</v>
      </c>
      <c r="C74" s="33">
        <f>SUM(C33:C73)</f>
        <v>654.97000000000025</v>
      </c>
    </row>
    <row r="75" spans="1:6" x14ac:dyDescent="0.25">
      <c r="A75" s="34"/>
      <c r="B75" s="67" t="s">
        <v>193</v>
      </c>
      <c r="C75" s="33">
        <f>C31+C74</f>
        <v>1803.7500000000005</v>
      </c>
      <c r="D75" s="60"/>
    </row>
    <row r="76" spans="1:6" ht="12.75" customHeight="1" x14ac:dyDescent="0.25">
      <c r="A76" s="39"/>
      <c r="B76" s="22"/>
      <c r="C76" s="68"/>
    </row>
    <row r="77" spans="1:6" ht="15.75" customHeight="1" x14ac:dyDescent="0.25">
      <c r="A77" s="110" t="s">
        <v>52</v>
      </c>
      <c r="B77" s="110"/>
      <c r="C77" s="51">
        <v>5</v>
      </c>
    </row>
    <row r="78" spans="1:6" ht="15.75" customHeight="1" x14ac:dyDescent="0.25">
      <c r="A78" s="110" t="s">
        <v>59</v>
      </c>
      <c r="B78" s="110"/>
      <c r="C78" s="52">
        <f>C75/C77</f>
        <v>360.75000000000011</v>
      </c>
      <c r="D78" s="60"/>
      <c r="F78" s="60"/>
    </row>
    <row r="79" spans="1:6" ht="9.75" customHeight="1" x14ac:dyDescent="0.25">
      <c r="A79" s="44"/>
      <c r="B79" s="46"/>
    </row>
    <row r="80" spans="1:6" ht="15.75" customHeight="1" x14ac:dyDescent="0.25">
      <c r="A80" s="105" t="s">
        <v>53</v>
      </c>
      <c r="B80" s="105"/>
      <c r="C80" s="42"/>
    </row>
    <row r="81" spans="1:3" ht="15.75" customHeight="1" x14ac:dyDescent="0.25">
      <c r="A81" s="105" t="s">
        <v>79</v>
      </c>
      <c r="B81" s="105"/>
      <c r="C81" s="42"/>
    </row>
    <row r="82" spans="1:3" ht="8.25" customHeight="1" x14ac:dyDescent="0.25">
      <c r="A82" s="19"/>
      <c r="B82" s="19"/>
      <c r="C82" s="19"/>
    </row>
    <row r="83" spans="1:3" x14ac:dyDescent="0.25">
      <c r="A83" s="19" t="s">
        <v>54</v>
      </c>
      <c r="B83" s="19"/>
      <c r="C83" s="55"/>
    </row>
    <row r="84" spans="1:3" x14ac:dyDescent="0.25">
      <c r="A84" s="19"/>
      <c r="B84" s="19"/>
      <c r="C84" s="55"/>
    </row>
    <row r="85" spans="1:3" x14ac:dyDescent="0.25">
      <c r="A85" s="19" t="s">
        <v>73</v>
      </c>
      <c r="B85" s="20"/>
      <c r="C85" s="19"/>
    </row>
    <row r="86" spans="1:3" x14ac:dyDescent="0.25">
      <c r="B86" s="71"/>
      <c r="C86" s="72"/>
    </row>
    <row r="88" spans="1:3" x14ac:dyDescent="0.25">
      <c r="C88" s="60"/>
    </row>
  </sheetData>
  <mergeCells count="9">
    <mergeCell ref="B14:C14"/>
    <mergeCell ref="A78:B78"/>
    <mergeCell ref="A81:B81"/>
    <mergeCell ref="A77:B77"/>
    <mergeCell ref="A80:B80"/>
    <mergeCell ref="B2:C2"/>
    <mergeCell ref="A7:C7"/>
    <mergeCell ref="A9:B9"/>
    <mergeCell ref="A10:B10"/>
  </mergeCells>
  <pageMargins left="0.85393518518518519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9" zoomScale="90" zoomScaleNormal="100" zoomScalePageLayoutView="90" workbookViewId="0">
      <selection activeCell="B15" sqref="B15"/>
    </sheetView>
  </sheetViews>
  <sheetFormatPr defaultRowHeight="15.75" x14ac:dyDescent="0.25"/>
  <cols>
    <col min="1" max="1" width="20.140625" style="14" customWidth="1"/>
    <col min="2" max="2" width="85.42578125" style="14" customWidth="1"/>
    <col min="3" max="3" width="10" style="14" hidden="1" customWidth="1"/>
    <col min="4" max="4" width="23.285156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227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1009.32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238.1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57.3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62.21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2.12*7*5</f>
        <v>74.2</v>
      </c>
    </row>
    <row r="25" spans="1:8" x14ac:dyDescent="0.25">
      <c r="A25" s="29">
        <v>2312</v>
      </c>
      <c r="B25" s="62" t="s">
        <v>181</v>
      </c>
      <c r="C25" s="63"/>
      <c r="D25" s="30">
        <v>13.91</v>
      </c>
    </row>
    <row r="26" spans="1:8" x14ac:dyDescent="0.25">
      <c r="A26" s="29">
        <v>2321</v>
      </c>
      <c r="B26" s="64" t="s">
        <v>183</v>
      </c>
      <c r="C26" s="63"/>
      <c r="D26" s="30">
        <v>74.48</v>
      </c>
    </row>
    <row r="27" spans="1:8" x14ac:dyDescent="0.25">
      <c r="A27" s="29">
        <v>2341</v>
      </c>
      <c r="B27" s="64" t="s">
        <v>161</v>
      </c>
      <c r="C27" s="63"/>
      <c r="D27" s="30">
        <v>110.81</v>
      </c>
    </row>
    <row r="28" spans="1:8" x14ac:dyDescent="0.25">
      <c r="A28" s="29">
        <v>2361</v>
      </c>
      <c r="B28" s="64" t="s">
        <v>197</v>
      </c>
      <c r="C28" s="63"/>
      <c r="D28" s="30">
        <f>56.25/5/5*7*5</f>
        <v>78.75</v>
      </c>
    </row>
    <row r="29" spans="1:8" x14ac:dyDescent="0.25">
      <c r="A29" s="29">
        <v>2363</v>
      </c>
      <c r="B29" s="64" t="s">
        <v>199</v>
      </c>
      <c r="C29" s="63"/>
      <c r="D29" s="30">
        <f>8.12*7*5</f>
        <v>284.2</v>
      </c>
    </row>
    <row r="30" spans="1:8" x14ac:dyDescent="0.25">
      <c r="A30" s="29">
        <v>5239</v>
      </c>
      <c r="B30" s="63" t="s">
        <v>190</v>
      </c>
      <c r="C30" s="63"/>
      <c r="D30" s="30">
        <v>61.34</v>
      </c>
    </row>
    <row r="31" spans="1:8" x14ac:dyDescent="0.25">
      <c r="A31" s="29"/>
      <c r="B31" s="65" t="s">
        <v>7</v>
      </c>
      <c r="C31" s="65"/>
      <c r="D31" s="33">
        <f>SUM(D19:D30)</f>
        <v>2064.6200000000003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779.12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183.79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2.2000000000000002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14.37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17.97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35.97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9.36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2.93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3.12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8.34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31.2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4.2699999999999996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61.65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385.72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1.36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0.44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45.44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C50*1891.08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11.84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86.61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2.82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9.02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10.95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4.2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37.44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6.62</v>
      </c>
    </row>
    <row r="59" spans="1:4" hidden="1" x14ac:dyDescent="0.25">
      <c r="A59" s="29">
        <v>2341</v>
      </c>
      <c r="B59" s="64" t="s">
        <v>161</v>
      </c>
      <c r="C59" s="63"/>
      <c r="D59" s="30">
        <f>C59*1891.08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16.07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C61*1891.08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2.76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3.59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3.78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20.05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3.36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37.44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47.28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1891.0799999999995</v>
      </c>
    </row>
    <row r="75" spans="1:7" x14ac:dyDescent="0.25">
      <c r="A75" s="34"/>
      <c r="B75" s="67" t="s">
        <v>193</v>
      </c>
      <c r="C75" s="67"/>
      <c r="D75" s="33">
        <f>D31+D74</f>
        <v>3955.7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791.14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0:B80"/>
    <mergeCell ref="A81:B81"/>
    <mergeCell ref="B2:D2"/>
    <mergeCell ref="A7:D7"/>
    <mergeCell ref="A9:B9"/>
    <mergeCell ref="A10:B10"/>
    <mergeCell ref="B13:C13"/>
    <mergeCell ref="B14:D14"/>
    <mergeCell ref="A78:B78"/>
    <mergeCell ref="A77:B77"/>
  </mergeCells>
  <pageMargins left="0.85393518518518519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100" zoomScalePageLayoutView="90" workbookViewId="0">
      <selection activeCell="B15" sqref="B15"/>
    </sheetView>
  </sheetViews>
  <sheetFormatPr defaultRowHeight="15.75" x14ac:dyDescent="0.25"/>
  <cols>
    <col min="1" max="1" width="18" style="14" customWidth="1"/>
    <col min="2" max="2" width="86.140625" style="14" customWidth="1"/>
    <col min="3" max="3" width="10" style="14" hidden="1" customWidth="1"/>
    <col min="4" max="4" width="25.8554687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228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1009.32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238.1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56.46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67.27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2.12*7*5/2</f>
        <v>37.1</v>
      </c>
    </row>
    <row r="25" spans="1:8" x14ac:dyDescent="0.25">
      <c r="A25" s="29">
        <v>2312</v>
      </c>
      <c r="B25" s="62" t="s">
        <v>181</v>
      </c>
      <c r="C25" s="63"/>
      <c r="D25" s="30">
        <v>14.41</v>
      </c>
    </row>
    <row r="26" spans="1:8" x14ac:dyDescent="0.25">
      <c r="A26" s="29">
        <v>2321</v>
      </c>
      <c r="B26" s="64" t="s">
        <v>183</v>
      </c>
      <c r="C26" s="63"/>
      <c r="D26" s="30">
        <v>79.3</v>
      </c>
    </row>
    <row r="27" spans="1:8" x14ac:dyDescent="0.25">
      <c r="A27" s="29">
        <v>2341</v>
      </c>
      <c r="B27" s="64" t="s">
        <v>161</v>
      </c>
      <c r="C27" s="63"/>
      <c r="D27" s="30">
        <v>114.65</v>
      </c>
    </row>
    <row r="28" spans="1:8" x14ac:dyDescent="0.25">
      <c r="A28" s="29">
        <v>2361</v>
      </c>
      <c r="B28" s="64" t="s">
        <v>197</v>
      </c>
      <c r="C28" s="63"/>
      <c r="D28" s="30">
        <f>56.25/5*7</f>
        <v>78.75</v>
      </c>
    </row>
    <row r="29" spans="1:8" x14ac:dyDescent="0.25">
      <c r="A29" s="29">
        <v>2363</v>
      </c>
      <c r="B29" s="64" t="s">
        <v>199</v>
      </c>
      <c r="C29" s="63"/>
      <c r="D29" s="30">
        <f>8.12*7*5</f>
        <v>284.2</v>
      </c>
    </row>
    <row r="30" spans="1:8" x14ac:dyDescent="0.25">
      <c r="A30" s="29">
        <v>5239</v>
      </c>
      <c r="B30" s="63" t="s">
        <v>190</v>
      </c>
      <c r="C30" s="63"/>
      <c r="D30" s="30">
        <v>65.12</v>
      </c>
    </row>
    <row r="31" spans="1:8" x14ac:dyDescent="0.25">
      <c r="A31" s="29"/>
      <c r="B31" s="65" t="s">
        <v>7</v>
      </c>
      <c r="C31" s="65"/>
      <c r="D31" s="33">
        <f>SUM(D19:D30)</f>
        <v>2044.6800000000003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559.22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131.91999999999999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1.58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10.32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12.89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25.82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6.72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2.1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2.2400000000000002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5.99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22.4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3.07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44.25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276.85000000000002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0.98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0.31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32.61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C50*1357.32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8.5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62.17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2.02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6.47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7.86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3.01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26.87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4.75</v>
      </c>
    </row>
    <row r="59" spans="1:4" hidden="1" x14ac:dyDescent="0.25">
      <c r="A59" s="29">
        <v>2341</v>
      </c>
      <c r="B59" s="64" t="s">
        <v>161</v>
      </c>
      <c r="C59" s="63"/>
      <c r="D59" s="30">
        <f>C59*1357.32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11.54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C61*1357.32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1.98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2.58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2.71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14.39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2.4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26.87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33.93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1357.3200000000002</v>
      </c>
    </row>
    <row r="75" spans="1:7" x14ac:dyDescent="0.25">
      <c r="A75" s="34"/>
      <c r="B75" s="67" t="s">
        <v>193</v>
      </c>
      <c r="C75" s="67"/>
      <c r="D75" s="33">
        <f>D31+D74</f>
        <v>3402.0000000000005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680.40000000000009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B14:D14"/>
    <mergeCell ref="A78:B78"/>
    <mergeCell ref="A81:B81"/>
    <mergeCell ref="B2:D2"/>
    <mergeCell ref="A7:D7"/>
    <mergeCell ref="A9:B9"/>
    <mergeCell ref="A10:B10"/>
    <mergeCell ref="B13:C13"/>
    <mergeCell ref="A77:B77"/>
    <mergeCell ref="A80:B80"/>
  </mergeCells>
  <pageMargins left="0.81087962962962967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0" zoomScale="90" zoomScaleNormal="100" zoomScalePageLayoutView="90" workbookViewId="0">
      <selection activeCell="B15" sqref="B15"/>
    </sheetView>
  </sheetViews>
  <sheetFormatPr defaultRowHeight="15.75" x14ac:dyDescent="0.25"/>
  <cols>
    <col min="1" max="1" width="20" style="14" customWidth="1"/>
    <col min="2" max="2" width="87.140625" style="14" customWidth="1"/>
    <col min="3" max="3" width="10" style="14" hidden="1" customWidth="1"/>
    <col min="4" max="4" width="26.1406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229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1139.1400000000001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268.72000000000003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52.39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56.88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2.12*10*5</f>
        <v>106.00000000000001</v>
      </c>
    </row>
    <row r="25" spans="1:8" x14ac:dyDescent="0.25">
      <c r="A25" s="29">
        <v>2312</v>
      </c>
      <c r="B25" s="62" t="s">
        <v>181</v>
      </c>
      <c r="C25" s="63"/>
      <c r="D25" s="30">
        <v>12.72</v>
      </c>
    </row>
    <row r="26" spans="1:8" x14ac:dyDescent="0.25">
      <c r="A26" s="29">
        <v>2321</v>
      </c>
      <c r="B26" s="64" t="s">
        <v>183</v>
      </c>
      <c r="C26" s="63"/>
      <c r="D26" s="30">
        <v>68.09</v>
      </c>
    </row>
    <row r="27" spans="1:8" x14ac:dyDescent="0.25">
      <c r="A27" s="29">
        <v>2341</v>
      </c>
      <c r="B27" s="64" t="s">
        <v>161</v>
      </c>
      <c r="C27" s="63"/>
      <c r="D27" s="30">
        <v>101.32</v>
      </c>
    </row>
    <row r="28" spans="1:8" x14ac:dyDescent="0.25">
      <c r="A28" s="29">
        <v>2361</v>
      </c>
      <c r="B28" s="64" t="s">
        <v>197</v>
      </c>
      <c r="C28" s="63"/>
      <c r="D28" s="30">
        <f>56.25/5/5*10*4</f>
        <v>90</v>
      </c>
    </row>
    <row r="29" spans="1:8" x14ac:dyDescent="0.25">
      <c r="A29" s="29">
        <v>2363</v>
      </c>
      <c r="B29" s="64" t="s">
        <v>199</v>
      </c>
      <c r="C29" s="63"/>
      <c r="D29" s="30">
        <f>8.12*10*4</f>
        <v>324.79999999999995</v>
      </c>
    </row>
    <row r="30" spans="1:8" x14ac:dyDescent="0.25">
      <c r="A30" s="29">
        <v>5239</v>
      </c>
      <c r="B30" s="63" t="s">
        <v>190</v>
      </c>
      <c r="C30" s="63"/>
      <c r="D30" s="30">
        <v>56.09</v>
      </c>
    </row>
    <row r="31" spans="1:8" x14ac:dyDescent="0.25">
      <c r="A31" s="29"/>
      <c r="B31" s="65" t="s">
        <v>7</v>
      </c>
      <c r="C31" s="65"/>
      <c r="D31" s="33">
        <f>SUM(D19:D30)</f>
        <v>2276.1500000000005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5" x14ac:dyDescent="0.25">
      <c r="A33" s="29">
        <v>1100</v>
      </c>
      <c r="B33" s="62" t="s">
        <v>159</v>
      </c>
      <c r="C33" s="63">
        <f>0.388+0.024</f>
        <v>0.41200000000000003</v>
      </c>
      <c r="D33" s="30">
        <v>732.1</v>
      </c>
      <c r="E33" s="60"/>
    </row>
    <row r="34" spans="1:5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172.7</v>
      </c>
    </row>
    <row r="35" spans="1:5" ht="16.5" customHeight="1" x14ac:dyDescent="0.25">
      <c r="A35" s="29">
        <v>2100</v>
      </c>
      <c r="B35" s="35" t="s">
        <v>44</v>
      </c>
      <c r="C35" s="63">
        <v>1.1659999999999999E-3</v>
      </c>
      <c r="D35" s="30">
        <v>2.0699999999999998</v>
      </c>
    </row>
    <row r="36" spans="1:5" x14ac:dyDescent="0.25">
      <c r="A36" s="36">
        <v>2210</v>
      </c>
      <c r="B36" s="64" t="s">
        <v>163</v>
      </c>
      <c r="C36" s="63">
        <v>7.6E-3</v>
      </c>
      <c r="D36" s="30">
        <v>13.5</v>
      </c>
    </row>
    <row r="37" spans="1:5" x14ac:dyDescent="0.25">
      <c r="A37" s="29">
        <v>2222</v>
      </c>
      <c r="B37" s="64" t="s">
        <v>164</v>
      </c>
      <c r="C37" s="63">
        <v>9.4999999999999998E-3</v>
      </c>
      <c r="D37" s="30">
        <v>16.88</v>
      </c>
    </row>
    <row r="38" spans="1:5" x14ac:dyDescent="0.25">
      <c r="A38" s="29">
        <v>2223</v>
      </c>
      <c r="B38" s="64" t="s">
        <v>165</v>
      </c>
      <c r="C38" s="63">
        <v>1.9019999999999999E-2</v>
      </c>
      <c r="D38" s="30">
        <v>33.799999999999997</v>
      </c>
    </row>
    <row r="39" spans="1:5" ht="31.5" x14ac:dyDescent="0.25">
      <c r="A39" s="29">
        <v>2224</v>
      </c>
      <c r="B39" s="64" t="s">
        <v>166</v>
      </c>
      <c r="C39" s="63">
        <v>4.9500000000000004E-3</v>
      </c>
      <c r="D39" s="30">
        <v>8.8000000000000007</v>
      </c>
    </row>
    <row r="40" spans="1:5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2.75</v>
      </c>
    </row>
    <row r="41" spans="1:5" ht="15.75" customHeight="1" x14ac:dyDescent="0.25">
      <c r="A41" s="29">
        <v>2235</v>
      </c>
      <c r="B41" s="66" t="s">
        <v>168</v>
      </c>
      <c r="C41" s="63">
        <v>1.65E-3</v>
      </c>
      <c r="D41" s="30">
        <v>2.93</v>
      </c>
    </row>
    <row r="42" spans="1:5" x14ac:dyDescent="0.25">
      <c r="A42" s="29">
        <v>2239</v>
      </c>
      <c r="B42" s="62" t="s">
        <v>169</v>
      </c>
      <c r="C42" s="63">
        <v>4.4099999999999999E-3</v>
      </c>
      <c r="D42" s="30">
        <v>7.84</v>
      </c>
    </row>
    <row r="43" spans="1:5" x14ac:dyDescent="0.25">
      <c r="A43" s="29">
        <v>2241</v>
      </c>
      <c r="B43" s="62" t="s">
        <v>170</v>
      </c>
      <c r="C43" s="63">
        <v>1.6500000000000001E-2</v>
      </c>
      <c r="D43" s="30">
        <v>29.32</v>
      </c>
    </row>
    <row r="44" spans="1:5" x14ac:dyDescent="0.25">
      <c r="A44" s="29">
        <v>2242</v>
      </c>
      <c r="B44" s="64" t="s">
        <v>171</v>
      </c>
      <c r="C44" s="63">
        <v>2.2599999999999999E-3</v>
      </c>
      <c r="D44" s="30">
        <v>4.0199999999999996</v>
      </c>
    </row>
    <row r="45" spans="1:5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57.93</v>
      </c>
    </row>
    <row r="46" spans="1:5" x14ac:dyDescent="0.25">
      <c r="A46" s="29">
        <v>2244</v>
      </c>
      <c r="B46" s="62" t="s">
        <v>173</v>
      </c>
      <c r="C46" s="63">
        <v>0.20397000000000001</v>
      </c>
      <c r="D46" s="30">
        <v>362.44</v>
      </c>
    </row>
    <row r="47" spans="1:5" x14ac:dyDescent="0.25">
      <c r="A47" s="29">
        <v>2247</v>
      </c>
      <c r="B47" s="62" t="s">
        <v>174</v>
      </c>
      <c r="C47" s="63">
        <v>7.1900000000000002E-4</v>
      </c>
      <c r="D47" s="30">
        <v>1.28</v>
      </c>
    </row>
    <row r="48" spans="1:5" x14ac:dyDescent="0.25">
      <c r="A48" s="29">
        <v>2249</v>
      </c>
      <c r="B48" s="62" t="s">
        <v>175</v>
      </c>
      <c r="C48" s="63">
        <v>2.32E-4</v>
      </c>
      <c r="D48" s="30">
        <v>0.41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42.69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C50*1776.93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11.12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81.38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2.65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8.48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10.29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3.94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35.18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6.22</v>
      </c>
    </row>
    <row r="59" spans="1:4" hidden="1" x14ac:dyDescent="0.25">
      <c r="A59" s="29">
        <v>2341</v>
      </c>
      <c r="B59" s="64" t="s">
        <v>161</v>
      </c>
      <c r="C59" s="63"/>
      <c r="D59" s="30">
        <f>C59*1776.93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15.1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C61*1776.93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2.59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3.38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3.55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18.84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3.15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35.18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44.42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1776.9300000000003</v>
      </c>
    </row>
    <row r="75" spans="1:7" x14ac:dyDescent="0.25">
      <c r="A75" s="34"/>
      <c r="B75" s="67" t="s">
        <v>193</v>
      </c>
      <c r="C75" s="67"/>
      <c r="D75" s="33">
        <f>D31+D74</f>
        <v>4053.0800000000008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4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1013.2700000000002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  <c r="E80" s="60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B2:D2"/>
    <mergeCell ref="A7:D7"/>
    <mergeCell ref="A9:B9"/>
    <mergeCell ref="A10:B10"/>
    <mergeCell ref="B13:C13"/>
    <mergeCell ref="B14:D14"/>
    <mergeCell ref="A77:B77"/>
    <mergeCell ref="A80:B80"/>
    <mergeCell ref="A78:B78"/>
  </mergeCells>
  <pageMargins left="0.85416666666666663" right="0.70866141732283472" top="0.74803149606299213" bottom="0.74803149606299213" header="0.31496062992125984" footer="0.31496062992125984"/>
  <pageSetup paperSize="9" scale="60" orientation="portrait" r:id="rId1"/>
  <headerFooter>
    <oddFooter>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9" zoomScale="90" zoomScaleNormal="100" zoomScalePageLayoutView="90" workbookViewId="0">
      <selection activeCell="B15" sqref="B15"/>
    </sheetView>
  </sheetViews>
  <sheetFormatPr defaultRowHeight="15.75" x14ac:dyDescent="0.25"/>
  <cols>
    <col min="1" max="1" width="19.7109375" style="14" customWidth="1"/>
    <col min="2" max="2" width="88" style="14" customWidth="1"/>
    <col min="3" max="3" width="10" style="14" hidden="1" customWidth="1"/>
    <col min="4" max="4" width="26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230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1139.1400000000001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268.72000000000003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51.17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60.97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2.12*10*5/2</f>
        <v>53.000000000000007</v>
      </c>
    </row>
    <row r="25" spans="1:8" x14ac:dyDescent="0.25">
      <c r="A25" s="29">
        <v>2312</v>
      </c>
      <c r="B25" s="62" t="s">
        <v>181</v>
      </c>
      <c r="C25" s="63"/>
      <c r="D25" s="30">
        <v>13.05</v>
      </c>
    </row>
    <row r="26" spans="1:8" x14ac:dyDescent="0.25">
      <c r="A26" s="29">
        <v>2321</v>
      </c>
      <c r="B26" s="64" t="s">
        <v>183</v>
      </c>
      <c r="C26" s="63"/>
      <c r="D26" s="30">
        <v>71.88</v>
      </c>
    </row>
    <row r="27" spans="1:8" x14ac:dyDescent="0.25">
      <c r="A27" s="29">
        <v>2341</v>
      </c>
      <c r="B27" s="64" t="s">
        <v>161</v>
      </c>
      <c r="C27" s="63"/>
      <c r="D27" s="30">
        <v>103.95</v>
      </c>
    </row>
    <row r="28" spans="1:8" x14ac:dyDescent="0.25">
      <c r="A28" s="29">
        <v>2361</v>
      </c>
      <c r="B28" s="64" t="s">
        <v>197</v>
      </c>
      <c r="C28" s="63"/>
      <c r="D28" s="30">
        <f>56.25/5/5*10*4</f>
        <v>90</v>
      </c>
    </row>
    <row r="29" spans="1:8" x14ac:dyDescent="0.25">
      <c r="A29" s="29">
        <v>2363</v>
      </c>
      <c r="B29" s="64" t="s">
        <v>199</v>
      </c>
      <c r="C29" s="63"/>
      <c r="D29" s="30">
        <f>8.12*10*4</f>
        <v>324.79999999999995</v>
      </c>
    </row>
    <row r="30" spans="1:8" x14ac:dyDescent="0.25">
      <c r="A30" s="29">
        <v>5239</v>
      </c>
      <c r="B30" s="63" t="s">
        <v>190</v>
      </c>
      <c r="C30" s="63"/>
      <c r="D30" s="30">
        <v>59.03</v>
      </c>
    </row>
    <row r="31" spans="1:8" x14ac:dyDescent="0.25">
      <c r="A31" s="29"/>
      <c r="B31" s="65" t="s">
        <v>7</v>
      </c>
      <c r="C31" s="65"/>
      <c r="D31" s="33">
        <f>SUM(D19:D30)</f>
        <v>2235.7100000000005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5" x14ac:dyDescent="0.25">
      <c r="A33" s="29">
        <v>1100</v>
      </c>
      <c r="B33" s="62" t="s">
        <v>159</v>
      </c>
      <c r="C33" s="63">
        <f>0.388+0.024</f>
        <v>0.41200000000000003</v>
      </c>
      <c r="D33" s="30">
        <v>488.04</v>
      </c>
      <c r="E33" s="60"/>
    </row>
    <row r="34" spans="1:5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115.13</v>
      </c>
    </row>
    <row r="35" spans="1:5" ht="16.5" customHeight="1" x14ac:dyDescent="0.25">
      <c r="A35" s="29">
        <v>2100</v>
      </c>
      <c r="B35" s="35" t="s">
        <v>44</v>
      </c>
      <c r="C35" s="63">
        <v>1.1659999999999999E-3</v>
      </c>
      <c r="D35" s="30">
        <v>1.38</v>
      </c>
    </row>
    <row r="36" spans="1:5" x14ac:dyDescent="0.25">
      <c r="A36" s="36">
        <v>2210</v>
      </c>
      <c r="B36" s="64" t="s">
        <v>163</v>
      </c>
      <c r="C36" s="63">
        <v>7.6E-3</v>
      </c>
      <c r="D36" s="30">
        <v>9</v>
      </c>
    </row>
    <row r="37" spans="1:5" x14ac:dyDescent="0.25">
      <c r="A37" s="29">
        <v>2222</v>
      </c>
      <c r="B37" s="64" t="s">
        <v>164</v>
      </c>
      <c r="C37" s="63">
        <v>9.4999999999999998E-3</v>
      </c>
      <c r="D37" s="30">
        <v>11.25</v>
      </c>
    </row>
    <row r="38" spans="1:5" x14ac:dyDescent="0.25">
      <c r="A38" s="29">
        <v>2223</v>
      </c>
      <c r="B38" s="64" t="s">
        <v>165</v>
      </c>
      <c r="C38" s="63">
        <v>1.9019999999999999E-2</v>
      </c>
      <c r="D38" s="30">
        <v>22.53</v>
      </c>
    </row>
    <row r="39" spans="1:5" ht="31.5" x14ac:dyDescent="0.25">
      <c r="A39" s="29">
        <v>2224</v>
      </c>
      <c r="B39" s="64" t="s">
        <v>166</v>
      </c>
      <c r="C39" s="63">
        <v>4.9500000000000004E-3</v>
      </c>
      <c r="D39" s="30">
        <v>5.86</v>
      </c>
    </row>
    <row r="40" spans="1:5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1.84</v>
      </c>
    </row>
    <row r="41" spans="1:5" ht="15.75" customHeight="1" x14ac:dyDescent="0.25">
      <c r="A41" s="29">
        <v>2235</v>
      </c>
      <c r="B41" s="66" t="s">
        <v>168</v>
      </c>
      <c r="C41" s="63">
        <v>1.65E-3</v>
      </c>
      <c r="D41" s="30">
        <v>1.95</v>
      </c>
    </row>
    <row r="42" spans="1:5" x14ac:dyDescent="0.25">
      <c r="A42" s="29">
        <v>2239</v>
      </c>
      <c r="B42" s="62" t="s">
        <v>169</v>
      </c>
      <c r="C42" s="63">
        <v>4.4099999999999999E-3</v>
      </c>
      <c r="D42" s="30">
        <v>5.22</v>
      </c>
    </row>
    <row r="43" spans="1:5" x14ac:dyDescent="0.25">
      <c r="A43" s="29">
        <v>2241</v>
      </c>
      <c r="B43" s="62" t="s">
        <v>170</v>
      </c>
      <c r="C43" s="63">
        <v>1.6500000000000001E-2</v>
      </c>
      <c r="D43" s="30">
        <v>19.55</v>
      </c>
    </row>
    <row r="44" spans="1:5" x14ac:dyDescent="0.25">
      <c r="A44" s="29">
        <v>2242</v>
      </c>
      <c r="B44" s="64" t="s">
        <v>171</v>
      </c>
      <c r="C44" s="63">
        <v>2.2599999999999999E-3</v>
      </c>
      <c r="D44" s="30">
        <v>2.68</v>
      </c>
    </row>
    <row r="45" spans="1:5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38.619999999999997</v>
      </c>
    </row>
    <row r="46" spans="1:5" x14ac:dyDescent="0.25">
      <c r="A46" s="29">
        <v>2244</v>
      </c>
      <c r="B46" s="62" t="s">
        <v>173</v>
      </c>
      <c r="C46" s="63">
        <v>0.20397000000000001</v>
      </c>
      <c r="D46" s="30">
        <v>241.62</v>
      </c>
    </row>
    <row r="47" spans="1:5" x14ac:dyDescent="0.25">
      <c r="A47" s="29">
        <v>2247</v>
      </c>
      <c r="B47" s="62" t="s">
        <v>174</v>
      </c>
      <c r="C47" s="63">
        <v>7.1900000000000002E-4</v>
      </c>
      <c r="D47" s="30">
        <v>0.85</v>
      </c>
    </row>
    <row r="48" spans="1:5" x14ac:dyDescent="0.25">
      <c r="A48" s="29">
        <v>2249</v>
      </c>
      <c r="B48" s="62" t="s">
        <v>175</v>
      </c>
      <c r="C48" s="63">
        <v>2.32E-4</v>
      </c>
      <c r="D48" s="30">
        <v>0.27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28.46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C50*1184.57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7.42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54.25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1.77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5.65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6.86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2.63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23.45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4.1500000000000004</v>
      </c>
    </row>
    <row r="59" spans="1:4" hidden="1" x14ac:dyDescent="0.25">
      <c r="A59" s="29">
        <v>2341</v>
      </c>
      <c r="B59" s="64" t="s">
        <v>161</v>
      </c>
      <c r="C59" s="63"/>
      <c r="D59" s="30">
        <f>C59*1184.57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10.07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C61*1184.57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1.73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2.25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2.37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12.56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2.1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23.45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29.61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1184.57</v>
      </c>
    </row>
    <row r="75" spans="1:7" x14ac:dyDescent="0.25">
      <c r="A75" s="34"/>
      <c r="B75" s="67" t="s">
        <v>193</v>
      </c>
      <c r="C75" s="67"/>
      <c r="D75" s="33">
        <f>D31+D74</f>
        <v>3420.2800000000007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4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855.07000000000016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  <c r="E80" s="60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B14:D14"/>
    <mergeCell ref="A78:B78"/>
    <mergeCell ref="A81:B81"/>
    <mergeCell ref="B2:D2"/>
    <mergeCell ref="A7:D7"/>
    <mergeCell ref="A9:B9"/>
    <mergeCell ref="A10:B10"/>
    <mergeCell ref="B13:C13"/>
    <mergeCell ref="A77:B77"/>
    <mergeCell ref="A80:B80"/>
  </mergeCells>
  <pageMargins left="0.88981481481481484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55" zoomScale="90" zoomScaleNormal="100" zoomScalePageLayoutView="90" workbookViewId="0">
      <selection activeCell="B15" sqref="B15"/>
    </sheetView>
  </sheetViews>
  <sheetFormatPr defaultRowHeight="15.75" x14ac:dyDescent="0.25"/>
  <cols>
    <col min="1" max="1" width="22" style="14" customWidth="1"/>
    <col min="2" max="2" width="85.42578125" style="14" customWidth="1"/>
    <col min="3" max="3" width="10" style="14" hidden="1" customWidth="1"/>
    <col min="4" max="4" width="26.8554687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224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461.78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108.93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27.3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24.76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2.12*3*5</f>
        <v>31.8</v>
      </c>
    </row>
    <row r="25" spans="1:8" x14ac:dyDescent="0.25">
      <c r="A25" s="29">
        <v>2312</v>
      </c>
      <c r="B25" s="62" t="s">
        <v>181</v>
      </c>
      <c r="C25" s="63"/>
      <c r="D25" s="30">
        <v>5.54</v>
      </c>
    </row>
    <row r="26" spans="1:8" x14ac:dyDescent="0.25">
      <c r="A26" s="29">
        <v>2321</v>
      </c>
      <c r="B26" s="64" t="s">
        <v>183</v>
      </c>
      <c r="C26" s="63"/>
      <c r="D26" s="30">
        <v>29.64</v>
      </c>
    </row>
    <row r="27" spans="1:8" x14ac:dyDescent="0.25">
      <c r="A27" s="29">
        <v>2341</v>
      </c>
      <c r="B27" s="64" t="s">
        <v>161</v>
      </c>
      <c r="C27" s="63"/>
      <c r="D27" s="30">
        <v>44.1</v>
      </c>
    </row>
    <row r="28" spans="1:8" x14ac:dyDescent="0.25">
      <c r="A28" s="29">
        <v>2361</v>
      </c>
      <c r="B28" s="64" t="s">
        <v>197</v>
      </c>
      <c r="C28" s="63"/>
      <c r="D28" s="30">
        <f>56.25/5/5*3*5</f>
        <v>33.75</v>
      </c>
    </row>
    <row r="29" spans="1:8" x14ac:dyDescent="0.25">
      <c r="A29" s="29">
        <v>2363</v>
      </c>
      <c r="B29" s="64" t="s">
        <v>199</v>
      </c>
      <c r="C29" s="63"/>
      <c r="D29" s="30">
        <f>8.12*3*5</f>
        <v>121.8</v>
      </c>
    </row>
    <row r="30" spans="1:8" x14ac:dyDescent="0.25">
      <c r="A30" s="29">
        <v>5239</v>
      </c>
      <c r="B30" s="63" t="s">
        <v>190</v>
      </c>
      <c r="C30" s="63"/>
      <c r="D30" s="30">
        <v>24.42</v>
      </c>
    </row>
    <row r="31" spans="1:8" x14ac:dyDescent="0.25">
      <c r="A31" s="29"/>
      <c r="B31" s="65" t="s">
        <v>7</v>
      </c>
      <c r="C31" s="65"/>
      <c r="D31" s="33">
        <f>SUM(D19:D30)</f>
        <v>913.81999999999982</v>
      </c>
      <c r="F31" s="60"/>
    </row>
    <row r="32" spans="1:8" x14ac:dyDescent="0.25">
      <c r="A32" s="34"/>
      <c r="B32" s="65" t="s">
        <v>8</v>
      </c>
      <c r="C32" s="87"/>
      <c r="D32" s="30"/>
      <c r="E32" s="60"/>
    </row>
    <row r="33" spans="1:5" x14ac:dyDescent="0.25">
      <c r="A33" s="29">
        <v>1100</v>
      </c>
      <c r="B33" s="62" t="s">
        <v>159</v>
      </c>
      <c r="C33" s="63">
        <f>0.388+0.024</f>
        <v>0.41200000000000003</v>
      </c>
      <c r="D33" s="30">
        <v>333.98</v>
      </c>
      <c r="E33" s="60"/>
    </row>
    <row r="34" spans="1:5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78.790000000000006</v>
      </c>
    </row>
    <row r="35" spans="1:5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0.95</v>
      </c>
    </row>
    <row r="36" spans="1:5" x14ac:dyDescent="0.25">
      <c r="A36" s="36">
        <v>2210</v>
      </c>
      <c r="B36" s="64" t="s">
        <v>163</v>
      </c>
      <c r="C36" s="63">
        <v>7.6E-3</v>
      </c>
      <c r="D36" s="30">
        <v>6.16</v>
      </c>
    </row>
    <row r="37" spans="1:5" x14ac:dyDescent="0.25">
      <c r="A37" s="29">
        <v>2222</v>
      </c>
      <c r="B37" s="64" t="s">
        <v>164</v>
      </c>
      <c r="C37" s="63">
        <v>9.4999999999999998E-3</v>
      </c>
      <c r="D37" s="30">
        <v>7.7</v>
      </c>
    </row>
    <row r="38" spans="1:5" x14ac:dyDescent="0.25">
      <c r="A38" s="29">
        <v>2223</v>
      </c>
      <c r="B38" s="64" t="s">
        <v>165</v>
      </c>
      <c r="C38" s="63">
        <v>1.9019999999999999E-2</v>
      </c>
      <c r="D38" s="30">
        <v>15.42</v>
      </c>
    </row>
    <row r="39" spans="1:5" ht="31.5" x14ac:dyDescent="0.25">
      <c r="A39" s="29">
        <v>2224</v>
      </c>
      <c r="B39" s="64" t="s">
        <v>166</v>
      </c>
      <c r="C39" s="63">
        <v>4.9500000000000004E-3</v>
      </c>
      <c r="D39" s="30">
        <v>4.01</v>
      </c>
    </row>
    <row r="40" spans="1:5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1.26</v>
      </c>
    </row>
    <row r="41" spans="1:5" ht="15.75" customHeight="1" x14ac:dyDescent="0.25">
      <c r="A41" s="29">
        <v>2235</v>
      </c>
      <c r="B41" s="66" t="s">
        <v>168</v>
      </c>
      <c r="C41" s="63">
        <v>1.65E-3</v>
      </c>
      <c r="D41" s="30">
        <v>1.34</v>
      </c>
    </row>
    <row r="42" spans="1:5" x14ac:dyDescent="0.25">
      <c r="A42" s="29">
        <v>2239</v>
      </c>
      <c r="B42" s="62" t="s">
        <v>169</v>
      </c>
      <c r="C42" s="63">
        <v>4.4099999999999999E-3</v>
      </c>
      <c r="D42" s="30">
        <v>3.57</v>
      </c>
    </row>
    <row r="43" spans="1:5" x14ac:dyDescent="0.25">
      <c r="A43" s="29">
        <v>2241</v>
      </c>
      <c r="B43" s="62" t="s">
        <v>170</v>
      </c>
      <c r="C43" s="63">
        <v>1.6500000000000001E-2</v>
      </c>
      <c r="D43" s="30">
        <v>13.38</v>
      </c>
    </row>
    <row r="44" spans="1:5" x14ac:dyDescent="0.25">
      <c r="A44" s="29">
        <v>2242</v>
      </c>
      <c r="B44" s="64" t="s">
        <v>171</v>
      </c>
      <c r="C44" s="63">
        <v>2.2599999999999999E-3</v>
      </c>
      <c r="D44" s="30">
        <v>1.83</v>
      </c>
    </row>
    <row r="45" spans="1:5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26.43</v>
      </c>
    </row>
    <row r="46" spans="1:5" x14ac:dyDescent="0.25">
      <c r="A46" s="29">
        <v>2244</v>
      </c>
      <c r="B46" s="62" t="s">
        <v>173</v>
      </c>
      <c r="C46" s="63">
        <v>0.20397000000000001</v>
      </c>
      <c r="D46" s="30">
        <v>165.34</v>
      </c>
    </row>
    <row r="47" spans="1:5" x14ac:dyDescent="0.25">
      <c r="A47" s="29">
        <v>2247</v>
      </c>
      <c r="B47" s="62" t="s">
        <v>174</v>
      </c>
      <c r="C47" s="63">
        <v>7.1900000000000002E-4</v>
      </c>
      <c r="D47" s="30">
        <v>0.57999999999999996</v>
      </c>
    </row>
    <row r="48" spans="1:5" x14ac:dyDescent="0.25">
      <c r="A48" s="29">
        <v>2249</v>
      </c>
      <c r="B48" s="62" t="s">
        <v>175</v>
      </c>
      <c r="C48" s="63">
        <v>2.32E-4</v>
      </c>
      <c r="D48" s="30">
        <v>0.19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19.48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 t="shared" ref="D50:D66" si="0">C50*810.62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5.07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37.130000000000003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1.21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3.87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4.6900000000000004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1.8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16.05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2.84</v>
      </c>
    </row>
    <row r="59" spans="1:4" hidden="1" x14ac:dyDescent="0.25">
      <c r="A59" s="29">
        <v>2341</v>
      </c>
      <c r="B59" s="64" t="s">
        <v>161</v>
      </c>
      <c r="C59" s="63"/>
      <c r="D59" s="30">
        <f t="shared" si="0"/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6.89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si="0"/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1.18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1.54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1.62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8.59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1.42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16.05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20.27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810.63</v>
      </c>
    </row>
    <row r="75" spans="1:7" x14ac:dyDescent="0.25">
      <c r="A75" s="34"/>
      <c r="B75" s="67" t="s">
        <v>193</v>
      </c>
      <c r="C75" s="67"/>
      <c r="D75" s="33">
        <f>D31+D74</f>
        <v>1724.4499999999998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344.89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  <c r="E80" s="60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B2:D2"/>
    <mergeCell ref="A7:D7"/>
    <mergeCell ref="A9:B9"/>
    <mergeCell ref="A10:B10"/>
    <mergeCell ref="B13:C13"/>
    <mergeCell ref="B14:D14"/>
    <mergeCell ref="A77:B77"/>
    <mergeCell ref="A80:B80"/>
    <mergeCell ref="A78:B78"/>
  </mergeCells>
  <pageMargins left="0.96527777777777779" right="0.70866141732283472" top="0.74803149606299213" bottom="0.74803149606299213" header="0.31496062992125984" footer="0.31496062992125984"/>
  <pageSetup paperSize="9" scale="60" orientation="portrait" r:id="rId1"/>
  <headerFooter>
    <oddFooter>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6" zoomScale="90" zoomScaleNormal="100" zoomScalePageLayoutView="90" workbookViewId="0">
      <selection activeCell="B15" sqref="B15"/>
    </sheetView>
  </sheetViews>
  <sheetFormatPr defaultRowHeight="15.75" x14ac:dyDescent="0.25"/>
  <cols>
    <col min="1" max="1" width="19.85546875" style="14" customWidth="1"/>
    <col min="2" max="2" width="84.5703125" style="14" customWidth="1"/>
    <col min="3" max="3" width="10" style="14" hidden="1" customWidth="1"/>
    <col min="4" max="4" width="26.8554687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93</v>
      </c>
      <c r="C13" s="109"/>
      <c r="D13" s="22"/>
    </row>
    <row r="14" spans="1:4" x14ac:dyDescent="0.25">
      <c r="A14" s="11"/>
      <c r="B14" s="109" t="s">
        <v>226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461.78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108.93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27.3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24.76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2.12*3*5/2</f>
        <v>15.9</v>
      </c>
    </row>
    <row r="25" spans="1:8" x14ac:dyDescent="0.25">
      <c r="A25" s="29">
        <v>2312</v>
      </c>
      <c r="B25" s="62" t="s">
        <v>181</v>
      </c>
      <c r="C25" s="63"/>
      <c r="D25" s="30">
        <v>5.54</v>
      </c>
    </row>
    <row r="26" spans="1:8" x14ac:dyDescent="0.25">
      <c r="A26" s="29">
        <v>2321</v>
      </c>
      <c r="B26" s="64" t="s">
        <v>183</v>
      </c>
      <c r="C26" s="63"/>
      <c r="D26" s="30">
        <v>29.64</v>
      </c>
    </row>
    <row r="27" spans="1:8" x14ac:dyDescent="0.25">
      <c r="A27" s="29">
        <v>2341</v>
      </c>
      <c r="B27" s="64" t="s">
        <v>161</v>
      </c>
      <c r="C27" s="63"/>
      <c r="D27" s="30">
        <v>44.1</v>
      </c>
    </row>
    <row r="28" spans="1:8" x14ac:dyDescent="0.25">
      <c r="A28" s="29">
        <v>2361</v>
      </c>
      <c r="B28" s="64" t="s">
        <v>197</v>
      </c>
      <c r="C28" s="63"/>
      <c r="D28" s="30">
        <f>56.25/5/5*3*5</f>
        <v>33.75</v>
      </c>
    </row>
    <row r="29" spans="1:8" x14ac:dyDescent="0.25">
      <c r="A29" s="29">
        <v>2363</v>
      </c>
      <c r="B29" s="64" t="s">
        <v>199</v>
      </c>
      <c r="C29" s="63"/>
      <c r="D29" s="30">
        <f>8.12*3*5</f>
        <v>121.8</v>
      </c>
    </row>
    <row r="30" spans="1:8" x14ac:dyDescent="0.25">
      <c r="A30" s="29">
        <v>5239</v>
      </c>
      <c r="B30" s="63" t="s">
        <v>190</v>
      </c>
      <c r="C30" s="63"/>
      <c r="D30" s="30">
        <v>24.42</v>
      </c>
    </row>
    <row r="31" spans="1:8" x14ac:dyDescent="0.25">
      <c r="A31" s="29"/>
      <c r="B31" s="65" t="s">
        <v>7</v>
      </c>
      <c r="C31" s="65"/>
      <c r="D31" s="33">
        <f>SUM(D19:D30)</f>
        <v>897.91999999999985</v>
      </c>
      <c r="F31" s="60"/>
    </row>
    <row r="32" spans="1:8" x14ac:dyDescent="0.25">
      <c r="A32" s="34"/>
      <c r="B32" s="65" t="s">
        <v>8</v>
      </c>
      <c r="C32" s="87"/>
      <c r="D32" s="30"/>
      <c r="E32" s="60"/>
    </row>
    <row r="33" spans="1:5" x14ac:dyDescent="0.25">
      <c r="A33" s="29">
        <v>1100</v>
      </c>
      <c r="B33" s="62" t="s">
        <v>159</v>
      </c>
      <c r="C33" s="63">
        <f>0.388+0.024</f>
        <v>0.41200000000000003</v>
      </c>
      <c r="D33" s="30">
        <v>242.76</v>
      </c>
      <c r="E33" s="60"/>
    </row>
    <row r="34" spans="1:5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57.27</v>
      </c>
    </row>
    <row r="35" spans="1:5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0.69</v>
      </c>
    </row>
    <row r="36" spans="1:5" x14ac:dyDescent="0.25">
      <c r="A36" s="36">
        <v>2210</v>
      </c>
      <c r="B36" s="64" t="s">
        <v>163</v>
      </c>
      <c r="C36" s="63">
        <v>7.6E-3</v>
      </c>
      <c r="D36" s="30">
        <v>4.4800000000000004</v>
      </c>
    </row>
    <row r="37" spans="1:5" x14ac:dyDescent="0.25">
      <c r="A37" s="29">
        <v>2222</v>
      </c>
      <c r="B37" s="64" t="s">
        <v>164</v>
      </c>
      <c r="C37" s="63">
        <v>9.4999999999999998E-3</v>
      </c>
      <c r="D37" s="30">
        <v>5.6</v>
      </c>
    </row>
    <row r="38" spans="1:5" x14ac:dyDescent="0.25">
      <c r="A38" s="29">
        <v>2223</v>
      </c>
      <c r="B38" s="64" t="s">
        <v>165</v>
      </c>
      <c r="C38" s="63">
        <v>1.9019999999999999E-2</v>
      </c>
      <c r="D38" s="30">
        <v>11.21</v>
      </c>
    </row>
    <row r="39" spans="1:5" ht="31.5" x14ac:dyDescent="0.25">
      <c r="A39" s="29">
        <v>2224</v>
      </c>
      <c r="B39" s="64" t="s">
        <v>166</v>
      </c>
      <c r="C39" s="63">
        <v>4.9500000000000004E-3</v>
      </c>
      <c r="D39" s="30">
        <v>2.92</v>
      </c>
    </row>
    <row r="40" spans="1:5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0.91</v>
      </c>
    </row>
    <row r="41" spans="1:5" ht="15.75" customHeight="1" x14ac:dyDescent="0.25">
      <c r="A41" s="29">
        <v>2235</v>
      </c>
      <c r="B41" s="66" t="s">
        <v>168</v>
      </c>
      <c r="C41" s="63">
        <v>1.65E-3</v>
      </c>
      <c r="D41" s="30">
        <v>0.97</v>
      </c>
    </row>
    <row r="42" spans="1:5" x14ac:dyDescent="0.25">
      <c r="A42" s="29">
        <v>2239</v>
      </c>
      <c r="B42" s="62" t="s">
        <v>169</v>
      </c>
      <c r="C42" s="63">
        <v>4.4099999999999999E-3</v>
      </c>
      <c r="D42" s="30">
        <v>2.6</v>
      </c>
    </row>
    <row r="43" spans="1:5" x14ac:dyDescent="0.25">
      <c r="A43" s="29">
        <v>2241</v>
      </c>
      <c r="B43" s="62" t="s">
        <v>170</v>
      </c>
      <c r="C43" s="63">
        <v>1.6500000000000001E-2</v>
      </c>
      <c r="D43" s="30">
        <v>9.7200000000000006</v>
      </c>
    </row>
    <row r="44" spans="1:5" x14ac:dyDescent="0.25">
      <c r="A44" s="29">
        <v>2242</v>
      </c>
      <c r="B44" s="64" t="s">
        <v>171</v>
      </c>
      <c r="C44" s="63">
        <v>2.2599999999999999E-3</v>
      </c>
      <c r="D44" s="30">
        <v>1.33</v>
      </c>
    </row>
    <row r="45" spans="1:5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19.21</v>
      </c>
    </row>
    <row r="46" spans="1:5" x14ac:dyDescent="0.25">
      <c r="A46" s="29">
        <v>2244</v>
      </c>
      <c r="B46" s="62" t="s">
        <v>173</v>
      </c>
      <c r="C46" s="63">
        <v>0.20397000000000001</v>
      </c>
      <c r="D46" s="30">
        <v>120.19</v>
      </c>
    </row>
    <row r="47" spans="1:5" x14ac:dyDescent="0.25">
      <c r="A47" s="29">
        <v>2247</v>
      </c>
      <c r="B47" s="62" t="s">
        <v>174</v>
      </c>
      <c r="C47" s="63">
        <v>7.1900000000000002E-4</v>
      </c>
      <c r="D47" s="30">
        <v>0.42</v>
      </c>
    </row>
    <row r="48" spans="1:5" x14ac:dyDescent="0.25">
      <c r="A48" s="29">
        <v>2249</v>
      </c>
      <c r="B48" s="62" t="s">
        <v>175</v>
      </c>
      <c r="C48" s="63">
        <v>2.32E-4</v>
      </c>
      <c r="D48" s="30">
        <v>0.14000000000000001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14.16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 t="shared" ref="D50:D66" si="0">C50*589.23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3.69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26.99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0.88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2.81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3.41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1.31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11.67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2.06</v>
      </c>
    </row>
    <row r="59" spans="1:4" hidden="1" x14ac:dyDescent="0.25">
      <c r="A59" s="29">
        <v>2341</v>
      </c>
      <c r="B59" s="64" t="s">
        <v>161</v>
      </c>
      <c r="C59" s="63"/>
      <c r="D59" s="30">
        <f t="shared" si="0"/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5.01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si="0"/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0.86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1.1200000000000001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1.18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6.25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1.01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11.67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14.73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589.22999999999979</v>
      </c>
    </row>
    <row r="75" spans="1:7" x14ac:dyDescent="0.25">
      <c r="A75" s="34"/>
      <c r="B75" s="67" t="s">
        <v>193</v>
      </c>
      <c r="C75" s="67"/>
      <c r="D75" s="33">
        <f>D31+D74</f>
        <v>1487.1499999999996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297.42999999999995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  <c r="E80" s="60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B14:D14"/>
    <mergeCell ref="A78:B78"/>
    <mergeCell ref="A81:B81"/>
    <mergeCell ref="A77:B77"/>
    <mergeCell ref="A80:B80"/>
    <mergeCell ref="B2:D2"/>
    <mergeCell ref="A7:D7"/>
    <mergeCell ref="A9:B9"/>
    <mergeCell ref="A10:B10"/>
    <mergeCell ref="B13:C13"/>
  </mergeCells>
  <pageMargins left="0.85393518518518519" right="0.70866141732283472" top="0.35433070866141736" bottom="0.73" header="0.31496062992125984" footer="0.52"/>
  <pageSetup paperSize="9" scale="62" orientation="portrait" r:id="rId1"/>
  <headerFooter>
    <oddFooter>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100" zoomScalePageLayoutView="90" workbookViewId="0">
      <selection activeCell="B14" sqref="B14:C14"/>
    </sheetView>
  </sheetViews>
  <sheetFormatPr defaultRowHeight="15.75" x14ac:dyDescent="0.25"/>
  <cols>
    <col min="1" max="1" width="20.28515625" style="14" customWidth="1"/>
    <col min="2" max="2" width="83.5703125" style="14" customWidth="1"/>
    <col min="3" max="3" width="10" style="14" hidden="1" customWidth="1"/>
    <col min="4" max="4" width="26.42578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216</v>
      </c>
      <c r="C14" s="109"/>
      <c r="D14" s="22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717.6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169.28</v>
      </c>
      <c r="E20" s="60"/>
      <c r="F20" s="60"/>
    </row>
    <row r="21" spans="1:8" x14ac:dyDescent="0.25">
      <c r="A21" s="29">
        <v>2222</v>
      </c>
      <c r="B21" s="64" t="s">
        <v>164</v>
      </c>
      <c r="C21" s="63"/>
      <c r="D21" s="30">
        <v>30.49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32.409999999999997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53/20*14</f>
        <v>37.1</v>
      </c>
    </row>
    <row r="25" spans="1:8" x14ac:dyDescent="0.25">
      <c r="A25" s="29">
        <v>2312</v>
      </c>
      <c r="B25" s="62" t="s">
        <v>181</v>
      </c>
      <c r="C25" s="63"/>
      <c r="D25" s="30">
        <v>7.1</v>
      </c>
    </row>
    <row r="26" spans="1:8" x14ac:dyDescent="0.25">
      <c r="A26" s="29">
        <v>2321</v>
      </c>
      <c r="B26" s="64" t="s">
        <v>183</v>
      </c>
      <c r="C26" s="63"/>
      <c r="D26" s="30">
        <v>45.57</v>
      </c>
    </row>
    <row r="27" spans="1:8" x14ac:dyDescent="0.25">
      <c r="A27" s="29">
        <v>2341</v>
      </c>
      <c r="B27" s="64" t="s">
        <v>161</v>
      </c>
      <c r="C27" s="63"/>
      <c r="D27" s="30">
        <v>67.87</v>
      </c>
    </row>
    <row r="28" spans="1:8" x14ac:dyDescent="0.25">
      <c r="A28" s="29">
        <v>2361</v>
      </c>
      <c r="B28" s="64" t="s">
        <v>197</v>
      </c>
      <c r="C28" s="63"/>
      <c r="D28" s="30">
        <f>0.28*5*5+1.97*5*5</f>
        <v>56.25</v>
      </c>
    </row>
    <row r="29" spans="1:8" x14ac:dyDescent="0.25">
      <c r="A29" s="29">
        <v>2363</v>
      </c>
      <c r="B29" s="64" t="s">
        <v>199</v>
      </c>
      <c r="C29" s="63"/>
      <c r="D29" s="30">
        <f>8.12*5*5</f>
        <v>202.99999999999997</v>
      </c>
    </row>
    <row r="30" spans="1:8" x14ac:dyDescent="0.25">
      <c r="A30" s="29">
        <v>5239</v>
      </c>
      <c r="B30" s="63" t="s">
        <v>190</v>
      </c>
      <c r="C30" s="63"/>
      <c r="D30" s="30">
        <v>9.27</v>
      </c>
    </row>
    <row r="31" spans="1:8" x14ac:dyDescent="0.25">
      <c r="A31" s="29"/>
      <c r="B31" s="65" t="s">
        <v>7</v>
      </c>
      <c r="C31" s="65"/>
      <c r="D31" s="33">
        <f>SUM(D19:D30)</f>
        <v>1375.94</v>
      </c>
      <c r="F31" s="60"/>
    </row>
    <row r="32" spans="1:8" x14ac:dyDescent="0.25">
      <c r="A32" s="34"/>
      <c r="B32" s="65" t="s">
        <v>8</v>
      </c>
      <c r="C32" s="65"/>
      <c r="D32" s="3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309.63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73.040000000000006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0.9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5.9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7.37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14.76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3.84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1.2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1.28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3.42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12.8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1.75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25.29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148.24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0.56000000000000005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0.18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18.64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C50*775.79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4.8600000000000003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35.53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1.1599999999999999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3.7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4.49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1.72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15.36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2.72</v>
      </c>
    </row>
    <row r="59" spans="1:4" hidden="1" x14ac:dyDescent="0.25">
      <c r="A59" s="29">
        <v>2341</v>
      </c>
      <c r="B59" s="64" t="s">
        <v>161</v>
      </c>
      <c r="C59" s="63"/>
      <c r="D59" s="30">
        <f>C59*775.79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6.59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C61*775.79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1.1299999999999999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1.47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1.55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8.2200000000000006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1.38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15.36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15.27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749.31</v>
      </c>
    </row>
    <row r="75" spans="1:7" x14ac:dyDescent="0.25">
      <c r="A75" s="34"/>
      <c r="B75" s="67" t="s">
        <v>193</v>
      </c>
      <c r="C75" s="67"/>
      <c r="D75" s="33">
        <f>D31+D74</f>
        <v>2125.25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425.05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9:B9"/>
    <mergeCell ref="A10:B10"/>
    <mergeCell ref="B2:D2"/>
    <mergeCell ref="A7:D7"/>
    <mergeCell ref="A78:B78"/>
    <mergeCell ref="A81:B81"/>
    <mergeCell ref="B13:C13"/>
    <mergeCell ref="B14:C14"/>
    <mergeCell ref="A77:B77"/>
    <mergeCell ref="A80:B80"/>
  </mergeCells>
  <pageMargins left="0.88263888888888886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31" zoomScale="90" zoomScaleNormal="100" zoomScalePageLayoutView="90" workbookViewId="0">
      <selection activeCell="B6" sqref="B6"/>
    </sheetView>
  </sheetViews>
  <sheetFormatPr defaultRowHeight="15.75" x14ac:dyDescent="0.25"/>
  <cols>
    <col min="1" max="1" width="18.28515625" style="14" customWidth="1"/>
    <col min="2" max="2" width="85.7109375" style="14" customWidth="1"/>
    <col min="3" max="3" width="10" style="14" hidden="1" customWidth="1"/>
    <col min="4" max="4" width="26.42578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145</v>
      </c>
      <c r="C14" s="109"/>
      <c r="D14" s="22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717.6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169.28</v>
      </c>
    </row>
    <row r="21" spans="1:8" x14ac:dyDescent="0.25">
      <c r="A21" s="29">
        <v>2222</v>
      </c>
      <c r="B21" s="64" t="s">
        <v>164</v>
      </c>
      <c r="C21" s="63"/>
      <c r="D21" s="30">
        <f>'4.3.1.2.'!D21</f>
        <v>29.06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29.85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v>21.2</v>
      </c>
    </row>
    <row r="25" spans="1:8" x14ac:dyDescent="0.25">
      <c r="A25" s="29">
        <v>2312</v>
      </c>
      <c r="B25" s="62" t="s">
        <v>181</v>
      </c>
      <c r="C25" s="63"/>
      <c r="D25" s="30">
        <v>6.74</v>
      </c>
    </row>
    <row r="26" spans="1:8" x14ac:dyDescent="0.25">
      <c r="A26" s="29">
        <v>2321</v>
      </c>
      <c r="B26" s="64" t="s">
        <v>183</v>
      </c>
      <c r="C26" s="63"/>
      <c r="D26" s="30">
        <v>40.93</v>
      </c>
    </row>
    <row r="27" spans="1:8" x14ac:dyDescent="0.25">
      <c r="A27" s="29">
        <v>2341</v>
      </c>
      <c r="B27" s="64" t="s">
        <v>161</v>
      </c>
      <c r="C27" s="63"/>
      <c r="D27" s="30">
        <v>67.87</v>
      </c>
    </row>
    <row r="28" spans="1:8" x14ac:dyDescent="0.25">
      <c r="A28" s="29">
        <v>2361</v>
      </c>
      <c r="B28" s="64" t="s">
        <v>197</v>
      </c>
      <c r="C28" s="63"/>
      <c r="D28" s="30">
        <f>0.28*5*5+1.97*5*5</f>
        <v>56.25</v>
      </c>
    </row>
    <row r="29" spans="1:8" x14ac:dyDescent="0.25">
      <c r="A29" s="29">
        <v>2363</v>
      </c>
      <c r="B29" s="64" t="s">
        <v>199</v>
      </c>
      <c r="C29" s="63"/>
      <c r="D29" s="30">
        <v>203</v>
      </c>
    </row>
    <row r="30" spans="1:8" x14ac:dyDescent="0.25">
      <c r="A30" s="29">
        <v>5239</v>
      </c>
      <c r="B30" s="63" t="s">
        <v>190</v>
      </c>
      <c r="C30" s="63"/>
      <c r="D30" s="30">
        <v>8.86</v>
      </c>
    </row>
    <row r="31" spans="1:8" x14ac:dyDescent="0.25">
      <c r="A31" s="29"/>
      <c r="B31" s="65" t="s">
        <v>7</v>
      </c>
      <c r="C31" s="65"/>
      <c r="D31" s="33">
        <f>SUM(D19:D30)</f>
        <v>1350.6399999999999</v>
      </c>
      <c r="E31" s="60"/>
      <c r="F31" s="60"/>
    </row>
    <row r="32" spans="1:8" x14ac:dyDescent="0.25">
      <c r="A32" s="34"/>
      <c r="B32" s="65" t="s">
        <v>8</v>
      </c>
      <c r="C32" s="65"/>
      <c r="D32" s="3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286.91000000000003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67.680000000000007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0.81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5.29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6.62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13.25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3.45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1.08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1.1499999999999999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3.07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11.49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1.57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24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142.04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0.5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0.16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16.73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C50*696.38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4.3600000000000003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31.89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1.04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3.32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4.03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1.55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14.72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2.44</v>
      </c>
    </row>
    <row r="59" spans="1:4" hidden="1" x14ac:dyDescent="0.25">
      <c r="A59" s="29">
        <v>2341</v>
      </c>
      <c r="B59" s="64" t="s">
        <v>161</v>
      </c>
      <c r="C59" s="63"/>
      <c r="D59" s="30">
        <f>C59*696.38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6.92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C61*696.38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1.02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1.32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1.39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7.38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4.7300000000000004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13.79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17.41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703.1099999999999</v>
      </c>
    </row>
    <row r="75" spans="1:7" x14ac:dyDescent="0.25">
      <c r="A75" s="34"/>
      <c r="B75" s="67" t="s">
        <v>193</v>
      </c>
      <c r="C75" s="67"/>
      <c r="D75" s="33">
        <f>D31+D74</f>
        <v>2053.75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410.75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C14"/>
    <mergeCell ref="A77:B77"/>
    <mergeCell ref="A78:B78"/>
  </mergeCells>
  <pageMargins left="0.83240740740740737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9" zoomScale="90" zoomScaleNormal="100" zoomScalePageLayoutView="90" workbookViewId="0">
      <selection activeCell="B15" sqref="B15"/>
    </sheetView>
  </sheetViews>
  <sheetFormatPr defaultRowHeight="15.75" x14ac:dyDescent="0.25"/>
  <cols>
    <col min="1" max="1" width="19.28515625" style="14" customWidth="1"/>
    <col min="2" max="2" width="83.5703125" style="14" customWidth="1"/>
    <col min="3" max="3" width="10" style="14" hidden="1" customWidth="1"/>
    <col min="4" max="4" width="25.8554687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217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535.85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126.41</v>
      </c>
      <c r="E20" s="60"/>
      <c r="F20" s="60"/>
    </row>
    <row r="21" spans="1:8" x14ac:dyDescent="0.25">
      <c r="A21" s="29">
        <v>2222</v>
      </c>
      <c r="B21" s="64" t="s">
        <v>164</v>
      </c>
      <c r="C21" s="63"/>
      <c r="D21" s="30">
        <v>30.54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22.05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v>37.1</v>
      </c>
    </row>
    <row r="25" spans="1:8" x14ac:dyDescent="0.25">
      <c r="A25" s="29">
        <v>2312</v>
      </c>
      <c r="B25" s="62" t="s">
        <v>181</v>
      </c>
      <c r="C25" s="63"/>
      <c r="D25" s="30">
        <v>7.1</v>
      </c>
    </row>
    <row r="26" spans="1:8" x14ac:dyDescent="0.25">
      <c r="A26" s="29">
        <v>2321</v>
      </c>
      <c r="B26" s="64" t="s">
        <v>183</v>
      </c>
      <c r="C26" s="63"/>
      <c r="D26" s="30">
        <v>34.71</v>
      </c>
    </row>
    <row r="27" spans="1:8" x14ac:dyDescent="0.25">
      <c r="A27" s="29">
        <v>2341</v>
      </c>
      <c r="B27" s="64" t="s">
        <v>161</v>
      </c>
      <c r="C27" s="63"/>
      <c r="D27" s="30">
        <v>57.18</v>
      </c>
    </row>
    <row r="28" spans="1:8" x14ac:dyDescent="0.25">
      <c r="A28" s="29">
        <v>2361</v>
      </c>
      <c r="B28" s="64" t="s">
        <v>197</v>
      </c>
      <c r="C28" s="63"/>
      <c r="D28" s="30">
        <v>56.25</v>
      </c>
    </row>
    <row r="29" spans="1:8" x14ac:dyDescent="0.25">
      <c r="A29" s="29">
        <v>2363</v>
      </c>
      <c r="B29" s="64" t="s">
        <v>199</v>
      </c>
      <c r="C29" s="63"/>
      <c r="D29" s="30">
        <v>203</v>
      </c>
    </row>
    <row r="30" spans="1:8" x14ac:dyDescent="0.25">
      <c r="A30" s="29">
        <v>5239</v>
      </c>
      <c r="B30" s="63" t="s">
        <v>190</v>
      </c>
      <c r="C30" s="63"/>
      <c r="D30" s="30">
        <v>8.42</v>
      </c>
    </row>
    <row r="31" spans="1:8" x14ac:dyDescent="0.25">
      <c r="A31" s="29"/>
      <c r="B31" s="65" t="s">
        <v>7</v>
      </c>
      <c r="C31" s="65"/>
      <c r="D31" s="33">
        <f>SUM(D19:D30)</f>
        <v>1118.6100000000001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279.47000000000003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65.930000000000007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0.79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5.16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6.44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12.9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3.36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1.05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1.1200000000000001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2.99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11.19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1.53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22.11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138.36000000000001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0.49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0.16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16.3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C50*678.33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4.25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31.07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1.01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3.24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3.93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1.51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13.43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2.37</v>
      </c>
    </row>
    <row r="59" spans="1:4" hidden="1" x14ac:dyDescent="0.25">
      <c r="A59" s="29">
        <v>2341</v>
      </c>
      <c r="B59" s="64" t="s">
        <v>161</v>
      </c>
      <c r="C59" s="63"/>
      <c r="D59" s="30">
        <f>C59*678.33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5.77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C61*678.33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0.99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1.29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1.36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7.19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1.18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10.43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15.52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673.88999999999987</v>
      </c>
    </row>
    <row r="75" spans="1:7" x14ac:dyDescent="0.25">
      <c r="A75" s="34"/>
      <c r="B75" s="67" t="s">
        <v>193</v>
      </c>
      <c r="C75" s="67"/>
      <c r="D75" s="33">
        <f>D31+D74</f>
        <v>1792.5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358.5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0:B80"/>
    <mergeCell ref="A78:B78"/>
    <mergeCell ref="A81:B81"/>
    <mergeCell ref="B2:D2"/>
    <mergeCell ref="A7:D7"/>
    <mergeCell ref="B13:C13"/>
    <mergeCell ref="B14:D14"/>
    <mergeCell ref="A77:B77"/>
    <mergeCell ref="A9:B9"/>
    <mergeCell ref="A10:B10"/>
  </mergeCells>
  <pageMargins left="0.91851851851851851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52" zoomScale="90" zoomScaleNormal="100" zoomScalePageLayoutView="90" workbookViewId="0">
      <selection activeCell="B15" sqref="B15"/>
    </sheetView>
  </sheetViews>
  <sheetFormatPr defaultRowHeight="15.75" x14ac:dyDescent="0.25"/>
  <cols>
    <col min="1" max="1" width="18.42578125" style="14" customWidth="1"/>
    <col min="2" max="2" width="86" style="14" customWidth="1"/>
    <col min="3" max="3" width="10" style="14" hidden="1" customWidth="1"/>
    <col min="4" max="4" width="25.710937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ht="15.75" customHeight="1" x14ac:dyDescent="0.25">
      <c r="A14" s="11"/>
      <c r="B14" s="109" t="s">
        <v>218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535.85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126.41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29.12</v>
      </c>
    </row>
    <row r="22" spans="1:8" x14ac:dyDescent="0.25">
      <c r="A22" s="29">
        <v>2223</v>
      </c>
      <c r="B22" s="64" t="s">
        <v>165</v>
      </c>
      <c r="C22" s="63"/>
      <c r="D22" s="30">
        <v>20.99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v>21.2</v>
      </c>
    </row>
    <row r="25" spans="1:8" x14ac:dyDescent="0.25">
      <c r="A25" s="29">
        <v>2312</v>
      </c>
      <c r="B25" s="62" t="s">
        <v>181</v>
      </c>
      <c r="C25" s="63"/>
      <c r="D25" s="30">
        <v>6.74</v>
      </c>
    </row>
    <row r="26" spans="1:8" x14ac:dyDescent="0.25">
      <c r="A26" s="29">
        <v>2321</v>
      </c>
      <c r="B26" s="64" t="s">
        <v>183</v>
      </c>
      <c r="C26" s="63"/>
      <c r="D26" s="30">
        <v>33.07</v>
      </c>
    </row>
    <row r="27" spans="1:8" x14ac:dyDescent="0.25">
      <c r="A27" s="29">
        <v>2341</v>
      </c>
      <c r="B27" s="64" t="s">
        <v>161</v>
      </c>
      <c r="C27" s="63"/>
      <c r="D27" s="30">
        <v>57.12</v>
      </c>
    </row>
    <row r="28" spans="1:8" x14ac:dyDescent="0.25">
      <c r="A28" s="29">
        <v>2361</v>
      </c>
      <c r="B28" s="64" t="s">
        <v>197</v>
      </c>
      <c r="C28" s="63"/>
      <c r="D28" s="30">
        <v>56.25</v>
      </c>
    </row>
    <row r="29" spans="1:8" x14ac:dyDescent="0.25">
      <c r="A29" s="29">
        <v>2363</v>
      </c>
      <c r="B29" s="64" t="s">
        <v>199</v>
      </c>
      <c r="C29" s="63"/>
      <c r="D29" s="30">
        <v>203</v>
      </c>
    </row>
    <row r="30" spans="1:8" x14ac:dyDescent="0.25">
      <c r="A30" s="29">
        <v>5239</v>
      </c>
      <c r="B30" s="63" t="s">
        <v>190</v>
      </c>
      <c r="C30" s="63"/>
      <c r="D30" s="30">
        <v>8.02</v>
      </c>
    </row>
    <row r="31" spans="1:8" x14ac:dyDescent="0.25">
      <c r="A31" s="29"/>
      <c r="B31" s="65" t="s">
        <v>7</v>
      </c>
      <c r="C31" s="65"/>
      <c r="D31" s="33">
        <f>SUM(D19:D30)</f>
        <v>1097.77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254.59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60.06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0.72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4.7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5.87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11.75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3.06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0.96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1.02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2.73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10.199999999999999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1.4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21.44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126.04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0.44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0.14000000000000001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14.85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C50*617.93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3.87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28.3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0.92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2.95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3.58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1.37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13.24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2.16</v>
      </c>
    </row>
    <row r="59" spans="1:4" hidden="1" x14ac:dyDescent="0.25">
      <c r="A59" s="29">
        <v>2341</v>
      </c>
      <c r="B59" s="64" t="s">
        <v>161</v>
      </c>
      <c r="C59" s="63"/>
      <c r="D59" s="30">
        <f>C59*617.93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6.25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C61*617.93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0.9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1.17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1.24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6.55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3.07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12.24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15.45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623.2299999999999</v>
      </c>
    </row>
    <row r="75" spans="1:7" x14ac:dyDescent="0.25">
      <c r="A75" s="34"/>
      <c r="B75" s="67" t="s">
        <v>193</v>
      </c>
      <c r="C75" s="67"/>
      <c r="D75" s="33">
        <f>D31+D74</f>
        <v>1721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344.2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88263888888888886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100" zoomScalePageLayoutView="90" workbookViewId="0">
      <selection activeCell="B15" sqref="B15"/>
    </sheetView>
  </sheetViews>
  <sheetFormatPr defaultRowHeight="15.75" x14ac:dyDescent="0.25"/>
  <cols>
    <col min="1" max="1" width="20.85546875" style="14" customWidth="1"/>
    <col min="2" max="2" width="83.5703125" style="14" customWidth="1"/>
    <col min="3" max="3" width="10" style="14" hidden="1" customWidth="1"/>
    <col min="4" max="4" width="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222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1009.32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238.1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57.3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62.21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f>74.2/20*14</f>
        <v>51.94</v>
      </c>
    </row>
    <row r="25" spans="1:8" x14ac:dyDescent="0.25">
      <c r="A25" s="29">
        <v>2312</v>
      </c>
      <c r="B25" s="62" t="s">
        <v>181</v>
      </c>
      <c r="C25" s="63"/>
      <c r="D25" s="30">
        <v>10.09</v>
      </c>
    </row>
    <row r="26" spans="1:8" x14ac:dyDescent="0.25">
      <c r="A26" s="29">
        <v>2321</v>
      </c>
      <c r="B26" s="64" t="s">
        <v>183</v>
      </c>
      <c r="C26" s="63"/>
      <c r="D26" s="30">
        <v>74.48</v>
      </c>
    </row>
    <row r="27" spans="1:8" x14ac:dyDescent="0.25">
      <c r="A27" s="29">
        <v>2341</v>
      </c>
      <c r="B27" s="64" t="s">
        <v>161</v>
      </c>
      <c r="C27" s="63"/>
      <c r="D27" s="30">
        <v>110.81</v>
      </c>
    </row>
    <row r="28" spans="1:8" x14ac:dyDescent="0.25">
      <c r="A28" s="29">
        <v>2361</v>
      </c>
      <c r="B28" s="64" t="s">
        <v>197</v>
      </c>
      <c r="C28" s="63"/>
      <c r="D28" s="30">
        <f>56.25/5/5*7*5</f>
        <v>78.75</v>
      </c>
    </row>
    <row r="29" spans="1:8" x14ac:dyDescent="0.25">
      <c r="A29" s="29">
        <v>2363</v>
      </c>
      <c r="B29" s="64" t="s">
        <v>199</v>
      </c>
      <c r="C29" s="63"/>
      <c r="D29" s="30">
        <f>8.12*7*5</f>
        <v>284.2</v>
      </c>
    </row>
    <row r="30" spans="1:8" x14ac:dyDescent="0.25">
      <c r="A30" s="29">
        <v>5239</v>
      </c>
      <c r="B30" s="63" t="s">
        <v>190</v>
      </c>
      <c r="C30" s="63"/>
      <c r="D30" s="30">
        <v>16.47</v>
      </c>
    </row>
    <row r="31" spans="1:8" x14ac:dyDescent="0.25">
      <c r="A31" s="29"/>
      <c r="B31" s="65" t="s">
        <v>7</v>
      </c>
      <c r="C31" s="65"/>
      <c r="D31" s="33">
        <f>SUM(D19:D30)</f>
        <v>1993.67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573.74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135.35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1.62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10.58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13.23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26.49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6.89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2.16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2.2999999999999998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6.14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22.98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3.15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45.4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284.04000000000002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1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0.32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33.46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C50*1392.58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8.7200000000000006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63.78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2.0699999999999998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6.64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8.06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3.09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27.57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4.87</v>
      </c>
    </row>
    <row r="59" spans="1:4" hidden="1" x14ac:dyDescent="0.25">
      <c r="A59" s="29">
        <v>2341</v>
      </c>
      <c r="B59" s="64" t="s">
        <v>161</v>
      </c>
      <c r="C59" s="63"/>
      <c r="D59" s="30">
        <f>C59*1392.58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11.84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C61*1392.58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2.0299999999999998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2.65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2.79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14.76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2.48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27.57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34.81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1392.5799999999995</v>
      </c>
    </row>
    <row r="75" spans="1:7" x14ac:dyDescent="0.25">
      <c r="A75" s="34"/>
      <c r="B75" s="67" t="s">
        <v>193</v>
      </c>
      <c r="C75" s="67"/>
      <c r="D75" s="33">
        <f>D31+D74</f>
        <v>3386.2499999999995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677.24999999999989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1134259259259254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3" zoomScale="90" zoomScaleNormal="100" zoomScalePageLayoutView="90" workbookViewId="0">
      <selection activeCell="B15" sqref="B15"/>
    </sheetView>
  </sheetViews>
  <sheetFormatPr defaultRowHeight="15.75" x14ac:dyDescent="0.25"/>
  <cols>
    <col min="1" max="1" width="18" style="14" customWidth="1"/>
    <col min="2" max="2" width="83.5703125" style="14" customWidth="1"/>
    <col min="3" max="3" width="10" style="14" hidden="1" customWidth="1"/>
    <col min="4" max="4" width="26.42578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221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1009.32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238.1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56.46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39.340000000000003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v>29.68</v>
      </c>
    </row>
    <row r="25" spans="1:8" x14ac:dyDescent="0.25">
      <c r="A25" s="29">
        <v>2312</v>
      </c>
      <c r="B25" s="62" t="s">
        <v>181</v>
      </c>
      <c r="C25" s="63"/>
      <c r="D25" s="30">
        <v>10.94</v>
      </c>
    </row>
    <row r="26" spans="1:8" x14ac:dyDescent="0.25">
      <c r="A26" s="29">
        <v>2321</v>
      </c>
      <c r="B26" s="64" t="s">
        <v>183</v>
      </c>
      <c r="C26" s="63"/>
      <c r="D26" s="30">
        <v>61.05</v>
      </c>
    </row>
    <row r="27" spans="1:8" x14ac:dyDescent="0.25">
      <c r="A27" s="29">
        <v>2341</v>
      </c>
      <c r="B27" s="64" t="s">
        <v>161</v>
      </c>
      <c r="C27" s="63"/>
      <c r="D27" s="30">
        <v>114.65</v>
      </c>
    </row>
    <row r="28" spans="1:8" x14ac:dyDescent="0.25">
      <c r="A28" s="29">
        <v>2361</v>
      </c>
      <c r="B28" s="64" t="s">
        <v>197</v>
      </c>
      <c r="C28" s="63"/>
      <c r="D28" s="30">
        <f>56.25/5*7</f>
        <v>78.75</v>
      </c>
    </row>
    <row r="29" spans="1:8" x14ac:dyDescent="0.25">
      <c r="A29" s="29">
        <v>2363</v>
      </c>
      <c r="B29" s="64" t="s">
        <v>199</v>
      </c>
      <c r="C29" s="63"/>
      <c r="D29" s="30">
        <f>8.12*7*5</f>
        <v>284.2</v>
      </c>
    </row>
    <row r="30" spans="1:8" x14ac:dyDescent="0.25">
      <c r="A30" s="29">
        <v>5239</v>
      </c>
      <c r="B30" s="63" t="s">
        <v>190</v>
      </c>
      <c r="C30" s="63"/>
      <c r="D30" s="30">
        <v>15.11</v>
      </c>
    </row>
    <row r="31" spans="1:8" x14ac:dyDescent="0.25">
      <c r="A31" s="29"/>
      <c r="B31" s="65" t="s">
        <v>7</v>
      </c>
      <c r="C31" s="65"/>
      <c r="D31" s="33">
        <f>SUM(D19:D30)</f>
        <v>1937.6000000000001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4" x14ac:dyDescent="0.25">
      <c r="A33" s="29">
        <v>1100</v>
      </c>
      <c r="B33" s="62" t="s">
        <v>159</v>
      </c>
      <c r="C33" s="63">
        <f>0.388+0.024</f>
        <v>0.41200000000000003</v>
      </c>
      <c r="D33" s="30">
        <v>552.54999999999995</v>
      </c>
    </row>
    <row r="34" spans="1:4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130.35</v>
      </c>
    </row>
    <row r="35" spans="1:4" ht="16.5" customHeight="1" x14ac:dyDescent="0.25">
      <c r="A35" s="29">
        <v>2100</v>
      </c>
      <c r="B35" s="35" t="s">
        <v>44</v>
      </c>
      <c r="C35" s="63">
        <v>1.1659999999999999E-3</v>
      </c>
      <c r="D35" s="30">
        <v>1.56</v>
      </c>
    </row>
    <row r="36" spans="1:4" x14ac:dyDescent="0.25">
      <c r="A36" s="36">
        <v>2210</v>
      </c>
      <c r="B36" s="64" t="s">
        <v>163</v>
      </c>
      <c r="C36" s="63">
        <v>7.6E-3</v>
      </c>
      <c r="D36" s="30">
        <v>10.19</v>
      </c>
    </row>
    <row r="37" spans="1:4" x14ac:dyDescent="0.25">
      <c r="A37" s="29">
        <v>2222</v>
      </c>
      <c r="B37" s="64" t="s">
        <v>164</v>
      </c>
      <c r="C37" s="63">
        <v>9.4999999999999998E-3</v>
      </c>
      <c r="D37" s="30">
        <v>12.74</v>
      </c>
    </row>
    <row r="38" spans="1:4" x14ac:dyDescent="0.25">
      <c r="A38" s="29">
        <v>2223</v>
      </c>
      <c r="B38" s="64" t="s">
        <v>165</v>
      </c>
      <c r="C38" s="63">
        <v>1.9019999999999999E-2</v>
      </c>
      <c r="D38" s="30">
        <v>25.51</v>
      </c>
    </row>
    <row r="39" spans="1:4" ht="31.5" x14ac:dyDescent="0.25">
      <c r="A39" s="29">
        <v>2224</v>
      </c>
      <c r="B39" s="64" t="s">
        <v>166</v>
      </c>
      <c r="C39" s="63">
        <v>4.9500000000000004E-3</v>
      </c>
      <c r="D39" s="30">
        <v>6.64</v>
      </c>
    </row>
    <row r="40" spans="1:4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2.08</v>
      </c>
    </row>
    <row r="41" spans="1:4" ht="15.75" customHeight="1" x14ac:dyDescent="0.25">
      <c r="A41" s="29">
        <v>2235</v>
      </c>
      <c r="B41" s="66" t="s">
        <v>168</v>
      </c>
      <c r="C41" s="63">
        <v>1.65E-3</v>
      </c>
      <c r="D41" s="30">
        <v>2.21</v>
      </c>
    </row>
    <row r="42" spans="1:4" x14ac:dyDescent="0.25">
      <c r="A42" s="29">
        <v>2239</v>
      </c>
      <c r="B42" s="62" t="s">
        <v>169</v>
      </c>
      <c r="C42" s="63">
        <v>4.4099999999999999E-3</v>
      </c>
      <c r="D42" s="30">
        <v>5.91</v>
      </c>
    </row>
    <row r="43" spans="1:4" x14ac:dyDescent="0.25">
      <c r="A43" s="29">
        <v>2241</v>
      </c>
      <c r="B43" s="62" t="s">
        <v>170</v>
      </c>
      <c r="C43" s="63">
        <v>1.6500000000000001E-2</v>
      </c>
      <c r="D43" s="30">
        <v>22.13</v>
      </c>
    </row>
    <row r="44" spans="1:4" x14ac:dyDescent="0.25">
      <c r="A44" s="29">
        <v>2242</v>
      </c>
      <c r="B44" s="64" t="s">
        <v>171</v>
      </c>
      <c r="C44" s="63">
        <v>2.2599999999999999E-3</v>
      </c>
      <c r="D44" s="30">
        <v>3.03</v>
      </c>
    </row>
    <row r="45" spans="1:4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43.72</v>
      </c>
    </row>
    <row r="46" spans="1:4" x14ac:dyDescent="0.25">
      <c r="A46" s="29">
        <v>2244</v>
      </c>
      <c r="B46" s="62" t="s">
        <v>173</v>
      </c>
      <c r="C46" s="63">
        <v>0.20397000000000001</v>
      </c>
      <c r="D46" s="30">
        <v>273.55</v>
      </c>
    </row>
    <row r="47" spans="1:4" x14ac:dyDescent="0.25">
      <c r="A47" s="29">
        <v>2247</v>
      </c>
      <c r="B47" s="62" t="s">
        <v>174</v>
      </c>
      <c r="C47" s="63">
        <v>7.1900000000000002E-4</v>
      </c>
      <c r="D47" s="30">
        <v>0.96</v>
      </c>
    </row>
    <row r="48" spans="1:4" x14ac:dyDescent="0.25">
      <c r="A48" s="29">
        <v>2249</v>
      </c>
      <c r="B48" s="62" t="s">
        <v>175</v>
      </c>
      <c r="C48" s="63">
        <v>2.32E-4</v>
      </c>
      <c r="D48" s="30">
        <v>0.31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32.22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C50*1341.13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8.4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61.42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2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6.4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7.77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2.98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26.55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4.6900000000000004</v>
      </c>
    </row>
    <row r="59" spans="1:4" hidden="1" x14ac:dyDescent="0.25">
      <c r="A59" s="29">
        <v>2341</v>
      </c>
      <c r="B59" s="64" t="s">
        <v>161</v>
      </c>
      <c r="C59" s="63"/>
      <c r="D59" s="30">
        <f>C59*1341.13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18.53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C61*1341.13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1.96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2.5499999999999998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2.68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14.22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5.37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24.84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32.53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1348.5500000000002</v>
      </c>
    </row>
    <row r="75" spans="1:7" x14ac:dyDescent="0.25">
      <c r="A75" s="34"/>
      <c r="B75" s="67" t="s">
        <v>193</v>
      </c>
      <c r="C75" s="67"/>
      <c r="D75" s="33">
        <f>D31+D74</f>
        <v>3286.1500000000005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657.23000000000013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5439814814814816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view="pageLayout" topLeftCell="A43" zoomScale="90" zoomScaleNormal="100" zoomScalePageLayoutView="90" workbookViewId="0">
      <selection activeCell="B15" sqref="B15"/>
    </sheetView>
  </sheetViews>
  <sheetFormatPr defaultRowHeight="15.75" x14ac:dyDescent="0.25"/>
  <cols>
    <col min="1" max="1" width="21" style="14" customWidth="1"/>
    <col min="2" max="2" width="83.5703125" style="14" customWidth="1"/>
    <col min="3" max="3" width="10" style="14" hidden="1" customWidth="1"/>
    <col min="4" max="4" width="26.710937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219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1139.1400000000001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268.72000000000003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52.39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37.25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v>74.2</v>
      </c>
    </row>
    <row r="25" spans="1:8" x14ac:dyDescent="0.25">
      <c r="A25" s="29">
        <v>2312</v>
      </c>
      <c r="B25" s="62" t="s">
        <v>181</v>
      </c>
      <c r="C25" s="63"/>
      <c r="D25" s="30">
        <v>8.9</v>
      </c>
    </row>
    <row r="26" spans="1:8" x14ac:dyDescent="0.25">
      <c r="A26" s="29">
        <v>2321</v>
      </c>
      <c r="B26" s="64" t="s">
        <v>183</v>
      </c>
      <c r="C26" s="63"/>
      <c r="D26" s="30">
        <v>60.33</v>
      </c>
    </row>
    <row r="27" spans="1:8" x14ac:dyDescent="0.25">
      <c r="A27" s="29">
        <v>2341</v>
      </c>
      <c r="B27" s="64" t="s">
        <v>161</v>
      </c>
      <c r="C27" s="63"/>
      <c r="D27" s="30">
        <v>101.32</v>
      </c>
    </row>
    <row r="28" spans="1:8" x14ac:dyDescent="0.25">
      <c r="A28" s="29">
        <v>2361</v>
      </c>
      <c r="B28" s="64" t="s">
        <v>197</v>
      </c>
      <c r="C28" s="63"/>
      <c r="D28" s="30">
        <f>56.25/5/5*10*4</f>
        <v>90</v>
      </c>
    </row>
    <row r="29" spans="1:8" x14ac:dyDescent="0.25">
      <c r="A29" s="29">
        <v>2363</v>
      </c>
      <c r="B29" s="64" t="s">
        <v>199</v>
      </c>
      <c r="C29" s="63"/>
      <c r="D29" s="30">
        <f>8.12*10*4</f>
        <v>324.79999999999995</v>
      </c>
    </row>
    <row r="30" spans="1:8" x14ac:dyDescent="0.25">
      <c r="A30" s="29">
        <v>5239</v>
      </c>
      <c r="B30" s="63" t="s">
        <v>190</v>
      </c>
      <c r="C30" s="63"/>
      <c r="D30" s="30">
        <v>14.93</v>
      </c>
    </row>
    <row r="31" spans="1:8" x14ac:dyDescent="0.25">
      <c r="A31" s="29"/>
      <c r="B31" s="65" t="s">
        <v>7</v>
      </c>
      <c r="C31" s="65"/>
      <c r="D31" s="33">
        <f>SUM(D19:D30)</f>
        <v>2171.98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5" x14ac:dyDescent="0.25">
      <c r="A33" s="29">
        <v>1100</v>
      </c>
      <c r="B33" s="62" t="s">
        <v>159</v>
      </c>
      <c r="C33" s="63">
        <f>0.388+0.024</f>
        <v>0.41200000000000003</v>
      </c>
      <c r="D33" s="30">
        <v>506.88</v>
      </c>
      <c r="E33" s="60"/>
    </row>
    <row r="34" spans="1:5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119.57</v>
      </c>
    </row>
    <row r="35" spans="1:5" ht="16.5" customHeight="1" x14ac:dyDescent="0.25">
      <c r="A35" s="29">
        <v>2100</v>
      </c>
      <c r="B35" s="35" t="s">
        <v>44</v>
      </c>
      <c r="C35" s="63">
        <v>1.1659999999999999E-3</v>
      </c>
      <c r="D35" s="30">
        <v>1.43</v>
      </c>
    </row>
    <row r="36" spans="1:5" x14ac:dyDescent="0.25">
      <c r="A36" s="36">
        <v>2210</v>
      </c>
      <c r="B36" s="64" t="s">
        <v>163</v>
      </c>
      <c r="C36" s="63">
        <v>7.6E-3</v>
      </c>
      <c r="D36" s="30">
        <v>9.35</v>
      </c>
    </row>
    <row r="37" spans="1:5" x14ac:dyDescent="0.25">
      <c r="A37" s="29">
        <v>2222</v>
      </c>
      <c r="B37" s="64" t="s">
        <v>164</v>
      </c>
      <c r="C37" s="63">
        <v>9.4999999999999998E-3</v>
      </c>
      <c r="D37" s="30">
        <v>11.69</v>
      </c>
    </row>
    <row r="38" spans="1:5" x14ac:dyDescent="0.25">
      <c r="A38" s="29">
        <v>2223</v>
      </c>
      <c r="B38" s="64" t="s">
        <v>165</v>
      </c>
      <c r="C38" s="63">
        <v>1.9019999999999999E-2</v>
      </c>
      <c r="D38" s="30">
        <v>23.4</v>
      </c>
    </row>
    <row r="39" spans="1:5" ht="31.5" x14ac:dyDescent="0.25">
      <c r="A39" s="29">
        <v>2224</v>
      </c>
      <c r="B39" s="64" t="s">
        <v>166</v>
      </c>
      <c r="C39" s="63">
        <v>4.9500000000000004E-3</v>
      </c>
      <c r="D39" s="30">
        <v>6.09</v>
      </c>
    </row>
    <row r="40" spans="1:5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1.91</v>
      </c>
    </row>
    <row r="41" spans="1:5" ht="15.75" customHeight="1" x14ac:dyDescent="0.25">
      <c r="A41" s="29">
        <v>2235</v>
      </c>
      <c r="B41" s="66" t="s">
        <v>168</v>
      </c>
      <c r="C41" s="63">
        <v>1.65E-3</v>
      </c>
      <c r="D41" s="30">
        <v>2.0299999999999998</v>
      </c>
    </row>
    <row r="42" spans="1:5" x14ac:dyDescent="0.25">
      <c r="A42" s="29">
        <v>2239</v>
      </c>
      <c r="B42" s="62" t="s">
        <v>169</v>
      </c>
      <c r="C42" s="63">
        <v>4.4099999999999999E-3</v>
      </c>
      <c r="D42" s="30">
        <v>5.43</v>
      </c>
    </row>
    <row r="43" spans="1:5" x14ac:dyDescent="0.25">
      <c r="A43" s="29">
        <v>2241</v>
      </c>
      <c r="B43" s="62" t="s">
        <v>170</v>
      </c>
      <c r="C43" s="63">
        <v>1.6500000000000001E-2</v>
      </c>
      <c r="D43" s="30">
        <v>20.3</v>
      </c>
    </row>
    <row r="44" spans="1:5" x14ac:dyDescent="0.25">
      <c r="A44" s="29">
        <v>2242</v>
      </c>
      <c r="B44" s="64" t="s">
        <v>171</v>
      </c>
      <c r="C44" s="63">
        <v>2.2599999999999999E-3</v>
      </c>
      <c r="D44" s="30">
        <v>2.78</v>
      </c>
    </row>
    <row r="45" spans="1:5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40.11</v>
      </c>
    </row>
    <row r="46" spans="1:5" x14ac:dyDescent="0.25">
      <c r="A46" s="29">
        <v>2244</v>
      </c>
      <c r="B46" s="62" t="s">
        <v>173</v>
      </c>
      <c r="C46" s="63">
        <v>0.20397000000000001</v>
      </c>
      <c r="D46" s="30">
        <v>250.94</v>
      </c>
    </row>
    <row r="47" spans="1:5" x14ac:dyDescent="0.25">
      <c r="A47" s="29">
        <v>2247</v>
      </c>
      <c r="B47" s="62" t="s">
        <v>174</v>
      </c>
      <c r="C47" s="63">
        <v>7.1900000000000002E-4</v>
      </c>
      <c r="D47" s="30">
        <v>0.88</v>
      </c>
    </row>
    <row r="48" spans="1:5" x14ac:dyDescent="0.25">
      <c r="A48" s="29">
        <v>2249</v>
      </c>
      <c r="B48" s="62" t="s">
        <v>175</v>
      </c>
      <c r="C48" s="63">
        <v>2.32E-4</v>
      </c>
      <c r="D48" s="30">
        <v>0.28999999999999998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29.56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C50*1230.3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7.7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56.35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1.83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5.87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7.12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2.73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24.36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4.3099999999999996</v>
      </c>
    </row>
    <row r="59" spans="1:4" hidden="1" x14ac:dyDescent="0.25">
      <c r="A59" s="29">
        <v>2341</v>
      </c>
      <c r="B59" s="64" t="s">
        <v>161</v>
      </c>
      <c r="C59" s="63"/>
      <c r="D59" s="30">
        <f>C59*1230.3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10.46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C61*1230.3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1.8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2.34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2.46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13.04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2.17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24.36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30.76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1230.2999999999993</v>
      </c>
    </row>
    <row r="75" spans="1:7" x14ac:dyDescent="0.25">
      <c r="A75" s="34"/>
      <c r="B75" s="67" t="s">
        <v>193</v>
      </c>
      <c r="C75" s="67"/>
      <c r="D75" s="33">
        <f>D31+D74</f>
        <v>3402.2799999999993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4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850.56999999999982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  <c r="E80" s="60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7916666666666663" right="0.70866141732283472" top="0.74803149606299213" bottom="0.74803149606299213" header="0.31496062992125984" footer="0.31496062992125984"/>
  <pageSetup paperSize="9" scale="60" fitToHeight="0" orientation="portrait" r:id="rId1"/>
  <headerFooter>
    <oddFooter>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43" zoomScale="90" zoomScaleNormal="100" zoomScalePageLayoutView="90" workbookViewId="0">
      <selection activeCell="B15" sqref="B15"/>
    </sheetView>
  </sheetViews>
  <sheetFormatPr defaultRowHeight="15.75" x14ac:dyDescent="0.25"/>
  <cols>
    <col min="1" max="1" width="19.42578125" style="14" customWidth="1"/>
    <col min="2" max="2" width="84.42578125" style="14" customWidth="1"/>
    <col min="3" max="3" width="10" style="14" hidden="1" customWidth="1"/>
    <col min="4" max="4" width="24.5703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220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1139.1400000000001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268.72000000000003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51.17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37.25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v>42.4</v>
      </c>
    </row>
    <row r="25" spans="1:8" x14ac:dyDescent="0.25">
      <c r="A25" s="29">
        <v>2312</v>
      </c>
      <c r="B25" s="62" t="s">
        <v>181</v>
      </c>
      <c r="C25" s="63"/>
      <c r="D25" s="30">
        <v>12.51</v>
      </c>
    </row>
    <row r="26" spans="1:8" x14ac:dyDescent="0.25">
      <c r="A26" s="29">
        <v>2321</v>
      </c>
      <c r="B26" s="64" t="s">
        <v>183</v>
      </c>
      <c r="C26" s="63"/>
      <c r="D26" s="30">
        <v>57.81</v>
      </c>
    </row>
    <row r="27" spans="1:8" x14ac:dyDescent="0.25">
      <c r="A27" s="29">
        <v>2341</v>
      </c>
      <c r="B27" s="64" t="s">
        <v>161</v>
      </c>
      <c r="C27" s="63"/>
      <c r="D27" s="30">
        <v>103.95</v>
      </c>
    </row>
    <row r="28" spans="1:8" x14ac:dyDescent="0.25">
      <c r="A28" s="29">
        <v>2361</v>
      </c>
      <c r="B28" s="64" t="s">
        <v>197</v>
      </c>
      <c r="C28" s="63"/>
      <c r="D28" s="30">
        <f>56.25/5/5*10*4</f>
        <v>90</v>
      </c>
    </row>
    <row r="29" spans="1:8" x14ac:dyDescent="0.25">
      <c r="A29" s="29">
        <v>2363</v>
      </c>
      <c r="B29" s="64" t="s">
        <v>199</v>
      </c>
      <c r="C29" s="63"/>
      <c r="D29" s="30">
        <f>8.12*10*4</f>
        <v>324.79999999999995</v>
      </c>
    </row>
    <row r="30" spans="1:8" x14ac:dyDescent="0.25">
      <c r="A30" s="29">
        <v>5239</v>
      </c>
      <c r="B30" s="63" t="s">
        <v>190</v>
      </c>
      <c r="C30" s="63"/>
      <c r="D30" s="30">
        <v>14.31</v>
      </c>
    </row>
    <row r="31" spans="1:8" x14ac:dyDescent="0.25">
      <c r="A31" s="29"/>
      <c r="B31" s="65" t="s">
        <v>7</v>
      </c>
      <c r="C31" s="65"/>
      <c r="D31" s="33">
        <f>SUM(D19:D30)</f>
        <v>2142.06</v>
      </c>
      <c r="F31" s="60"/>
    </row>
    <row r="32" spans="1:8" x14ac:dyDescent="0.25">
      <c r="A32" s="34"/>
      <c r="B32" s="65" t="s">
        <v>8</v>
      </c>
      <c r="C32" s="65"/>
      <c r="D32" s="30"/>
      <c r="E32" s="60"/>
    </row>
    <row r="33" spans="1:5" x14ac:dyDescent="0.25">
      <c r="A33" s="29">
        <v>1100</v>
      </c>
      <c r="B33" s="62" t="s">
        <v>159</v>
      </c>
      <c r="C33" s="63">
        <f>0.388+0.024</f>
        <v>0.41200000000000003</v>
      </c>
      <c r="D33" s="30">
        <v>472.08</v>
      </c>
      <c r="E33" s="60"/>
    </row>
    <row r="34" spans="1:5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111.36</v>
      </c>
    </row>
    <row r="35" spans="1:5" ht="16.5" customHeight="1" x14ac:dyDescent="0.25">
      <c r="A35" s="29">
        <v>2100</v>
      </c>
      <c r="B35" s="35" t="s">
        <v>44</v>
      </c>
      <c r="C35" s="63">
        <v>1.1659999999999999E-3</v>
      </c>
      <c r="D35" s="30">
        <v>1.34</v>
      </c>
    </row>
    <row r="36" spans="1:5" x14ac:dyDescent="0.25">
      <c r="A36" s="36">
        <v>2210</v>
      </c>
      <c r="B36" s="64" t="s">
        <v>163</v>
      </c>
      <c r="C36" s="63">
        <v>7.6E-3</v>
      </c>
      <c r="D36" s="30">
        <v>8.7100000000000009</v>
      </c>
    </row>
    <row r="37" spans="1:5" x14ac:dyDescent="0.25">
      <c r="A37" s="29">
        <v>2222</v>
      </c>
      <c r="B37" s="64" t="s">
        <v>164</v>
      </c>
      <c r="C37" s="63">
        <v>9.4999999999999998E-3</v>
      </c>
      <c r="D37" s="30">
        <v>10.89</v>
      </c>
    </row>
    <row r="38" spans="1:5" x14ac:dyDescent="0.25">
      <c r="A38" s="29">
        <v>2223</v>
      </c>
      <c r="B38" s="64" t="s">
        <v>165</v>
      </c>
      <c r="C38" s="63">
        <v>1.9019999999999999E-2</v>
      </c>
      <c r="D38" s="30">
        <v>21.79</v>
      </c>
    </row>
    <row r="39" spans="1:5" ht="31.5" x14ac:dyDescent="0.25">
      <c r="A39" s="29">
        <v>2224</v>
      </c>
      <c r="B39" s="64" t="s">
        <v>166</v>
      </c>
      <c r="C39" s="63">
        <v>4.9500000000000004E-3</v>
      </c>
      <c r="D39" s="30">
        <v>5.67</v>
      </c>
    </row>
    <row r="40" spans="1:5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1.78</v>
      </c>
    </row>
    <row r="41" spans="1:5" ht="15.75" customHeight="1" x14ac:dyDescent="0.25">
      <c r="A41" s="29">
        <v>2235</v>
      </c>
      <c r="B41" s="66" t="s">
        <v>168</v>
      </c>
      <c r="C41" s="63">
        <v>1.65E-3</v>
      </c>
      <c r="D41" s="30">
        <v>1.89</v>
      </c>
    </row>
    <row r="42" spans="1:5" x14ac:dyDescent="0.25">
      <c r="A42" s="29">
        <v>2239</v>
      </c>
      <c r="B42" s="62" t="s">
        <v>169</v>
      </c>
      <c r="C42" s="63">
        <v>4.4099999999999999E-3</v>
      </c>
      <c r="D42" s="30">
        <v>5.05</v>
      </c>
    </row>
    <row r="43" spans="1:5" x14ac:dyDescent="0.25">
      <c r="A43" s="29">
        <v>2241</v>
      </c>
      <c r="B43" s="62" t="s">
        <v>170</v>
      </c>
      <c r="C43" s="63">
        <v>1.6500000000000001E-2</v>
      </c>
      <c r="D43" s="30">
        <v>18.91</v>
      </c>
    </row>
    <row r="44" spans="1:5" x14ac:dyDescent="0.25">
      <c r="A44" s="29">
        <v>2242</v>
      </c>
      <c r="B44" s="64" t="s">
        <v>171</v>
      </c>
      <c r="C44" s="63">
        <v>2.2599999999999999E-3</v>
      </c>
      <c r="D44" s="30">
        <v>2.59</v>
      </c>
    </row>
    <row r="45" spans="1:5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37.35</v>
      </c>
    </row>
    <row r="46" spans="1:5" x14ac:dyDescent="0.25">
      <c r="A46" s="29">
        <v>2244</v>
      </c>
      <c r="B46" s="62" t="s">
        <v>173</v>
      </c>
      <c r="C46" s="63">
        <v>0.20397000000000001</v>
      </c>
      <c r="D46" s="30">
        <v>233.71</v>
      </c>
    </row>
    <row r="47" spans="1:5" x14ac:dyDescent="0.25">
      <c r="A47" s="29">
        <v>2247</v>
      </c>
      <c r="B47" s="62" t="s">
        <v>174</v>
      </c>
      <c r="C47" s="63">
        <v>7.1900000000000002E-4</v>
      </c>
      <c r="D47" s="30">
        <v>0.82</v>
      </c>
    </row>
    <row r="48" spans="1:5" x14ac:dyDescent="0.25">
      <c r="A48" s="29">
        <v>2249</v>
      </c>
      <c r="B48" s="62" t="s">
        <v>175</v>
      </c>
      <c r="C48" s="63">
        <v>2.32E-4</v>
      </c>
      <c r="D48" s="30">
        <v>0.27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27.53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>C50*1145.82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7.17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52.48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1.71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5.47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6.63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2.54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22.69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4.01</v>
      </c>
    </row>
    <row r="59" spans="1:4" hidden="1" x14ac:dyDescent="0.25">
      <c r="A59" s="29">
        <v>2341</v>
      </c>
      <c r="B59" s="64" t="s">
        <v>161</v>
      </c>
      <c r="C59" s="63"/>
      <c r="D59" s="30">
        <f>C59*1145.82</f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9.74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ref="D61:D66" si="0">C61*1145.82</f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1.67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2.1800000000000002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2.29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12.15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2.0099999999999998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22.69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28.65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1145.8200000000004</v>
      </c>
    </row>
    <row r="75" spans="1:7" x14ac:dyDescent="0.25">
      <c r="A75" s="34"/>
      <c r="B75" s="67" t="s">
        <v>193</v>
      </c>
      <c r="C75" s="67"/>
      <c r="D75" s="33">
        <f>D31+D74</f>
        <v>3287.88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4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821.97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  <c r="E80" s="60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8136574074074079" right="0.70866141732283472" top="0.74803149606299213" bottom="0.55118110236220474" header="0.31496062992125984" footer="0.31496062992125984"/>
  <pageSetup paperSize="9" scale="61" orientation="portrait" r:id="rId1"/>
  <headerFooter>
    <oddFooter>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="90" zoomScaleNormal="100" zoomScalePageLayoutView="90" workbookViewId="0">
      <selection activeCell="A9" sqref="A9:B9"/>
    </sheetView>
  </sheetViews>
  <sheetFormatPr defaultRowHeight="15.75" x14ac:dyDescent="0.25"/>
  <cols>
    <col min="1" max="1" width="17.140625" style="14" customWidth="1"/>
    <col min="2" max="2" width="83.5703125" style="14" customWidth="1"/>
    <col min="3" max="3" width="10" style="14" hidden="1" customWidth="1"/>
    <col min="4" max="4" width="25.5703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223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461.78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108.93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27.3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17.37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v>22.26</v>
      </c>
    </row>
    <row r="25" spans="1:8" x14ac:dyDescent="0.25">
      <c r="A25" s="29">
        <v>2312</v>
      </c>
      <c r="B25" s="62" t="s">
        <v>181</v>
      </c>
      <c r="C25" s="63"/>
      <c r="D25" s="30">
        <v>5.54</v>
      </c>
    </row>
    <row r="26" spans="1:8" x14ac:dyDescent="0.25">
      <c r="A26" s="29">
        <v>2321</v>
      </c>
      <c r="B26" s="64" t="s">
        <v>183</v>
      </c>
      <c r="C26" s="63"/>
      <c r="D26" s="30">
        <v>26.96</v>
      </c>
    </row>
    <row r="27" spans="1:8" x14ac:dyDescent="0.25">
      <c r="A27" s="29">
        <v>2341</v>
      </c>
      <c r="B27" s="64" t="s">
        <v>161</v>
      </c>
      <c r="C27" s="63"/>
      <c r="D27" s="30">
        <v>44.1</v>
      </c>
    </row>
    <row r="28" spans="1:8" x14ac:dyDescent="0.25">
      <c r="A28" s="29">
        <v>2361</v>
      </c>
      <c r="B28" s="64" t="s">
        <v>197</v>
      </c>
      <c r="C28" s="63"/>
      <c r="D28" s="30">
        <f>56.25/5/5*3*5</f>
        <v>33.75</v>
      </c>
    </row>
    <row r="29" spans="1:8" x14ac:dyDescent="0.25">
      <c r="A29" s="29">
        <v>2363</v>
      </c>
      <c r="B29" s="64" t="s">
        <v>199</v>
      </c>
      <c r="C29" s="63"/>
      <c r="D29" s="30">
        <f>8.12*3*5</f>
        <v>121.8</v>
      </c>
    </row>
    <row r="30" spans="1:8" x14ac:dyDescent="0.25">
      <c r="A30" s="29">
        <v>5239</v>
      </c>
      <c r="B30" s="63" t="s">
        <v>190</v>
      </c>
      <c r="C30" s="63"/>
      <c r="D30" s="30">
        <v>6.67</v>
      </c>
    </row>
    <row r="31" spans="1:8" x14ac:dyDescent="0.25">
      <c r="A31" s="29"/>
      <c r="B31" s="65" t="s">
        <v>7</v>
      </c>
      <c r="C31" s="65"/>
      <c r="D31" s="33">
        <f>SUM(D19:D30)</f>
        <v>876.45999999999992</v>
      </c>
      <c r="F31" s="60"/>
    </row>
    <row r="32" spans="1:8" x14ac:dyDescent="0.25">
      <c r="A32" s="34"/>
      <c r="B32" s="65" t="s">
        <v>8</v>
      </c>
      <c r="C32" s="87"/>
      <c r="D32" s="30"/>
      <c r="E32" s="60"/>
    </row>
    <row r="33" spans="1:5" x14ac:dyDescent="0.25">
      <c r="A33" s="29">
        <v>1100</v>
      </c>
      <c r="B33" s="62" t="s">
        <v>159</v>
      </c>
      <c r="C33" s="63">
        <f>0.388+0.024</f>
        <v>0.41200000000000003</v>
      </c>
      <c r="D33" s="30">
        <v>248.82</v>
      </c>
      <c r="E33" s="60"/>
    </row>
    <row r="34" spans="1:5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58.7</v>
      </c>
    </row>
    <row r="35" spans="1:5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0.7</v>
      </c>
    </row>
    <row r="36" spans="1:5" x14ac:dyDescent="0.25">
      <c r="A36" s="36">
        <v>2210</v>
      </c>
      <c r="B36" s="64" t="s">
        <v>163</v>
      </c>
      <c r="C36" s="63">
        <v>7.6E-3</v>
      </c>
      <c r="D36" s="30">
        <v>4.59</v>
      </c>
    </row>
    <row r="37" spans="1:5" x14ac:dyDescent="0.25">
      <c r="A37" s="29">
        <v>2222</v>
      </c>
      <c r="B37" s="64" t="s">
        <v>164</v>
      </c>
      <c r="C37" s="63">
        <v>9.4999999999999998E-3</v>
      </c>
      <c r="D37" s="30">
        <v>5.74</v>
      </c>
    </row>
    <row r="38" spans="1:5" x14ac:dyDescent="0.25">
      <c r="A38" s="29">
        <v>2223</v>
      </c>
      <c r="B38" s="64" t="s">
        <v>165</v>
      </c>
      <c r="C38" s="63">
        <v>1.9019999999999999E-2</v>
      </c>
      <c r="D38" s="30">
        <v>11.49</v>
      </c>
    </row>
    <row r="39" spans="1:5" ht="31.5" x14ac:dyDescent="0.25">
      <c r="A39" s="29">
        <v>2224</v>
      </c>
      <c r="B39" s="64" t="s">
        <v>166</v>
      </c>
      <c r="C39" s="63">
        <v>4.9500000000000004E-3</v>
      </c>
      <c r="D39" s="30">
        <v>2.99</v>
      </c>
    </row>
    <row r="40" spans="1:5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0.94</v>
      </c>
    </row>
    <row r="41" spans="1:5" ht="15.75" customHeight="1" x14ac:dyDescent="0.25">
      <c r="A41" s="29">
        <v>2235</v>
      </c>
      <c r="B41" s="66" t="s">
        <v>168</v>
      </c>
      <c r="C41" s="63">
        <v>1.65E-3</v>
      </c>
      <c r="D41" s="30">
        <v>1</v>
      </c>
    </row>
    <row r="42" spans="1:5" x14ac:dyDescent="0.25">
      <c r="A42" s="29">
        <v>2239</v>
      </c>
      <c r="B42" s="62" t="s">
        <v>169</v>
      </c>
      <c r="C42" s="63">
        <v>4.4099999999999999E-3</v>
      </c>
      <c r="D42" s="30">
        <v>2.66</v>
      </c>
    </row>
    <row r="43" spans="1:5" x14ac:dyDescent="0.25">
      <c r="A43" s="29">
        <v>2241</v>
      </c>
      <c r="B43" s="62" t="s">
        <v>170</v>
      </c>
      <c r="C43" s="63">
        <v>1.6500000000000001E-2</v>
      </c>
      <c r="D43" s="30">
        <v>9.9700000000000006</v>
      </c>
    </row>
    <row r="44" spans="1:5" x14ac:dyDescent="0.25">
      <c r="A44" s="29">
        <v>2242</v>
      </c>
      <c r="B44" s="64" t="s">
        <v>171</v>
      </c>
      <c r="C44" s="63">
        <v>2.2599999999999999E-3</v>
      </c>
      <c r="D44" s="30">
        <v>1.36</v>
      </c>
    </row>
    <row r="45" spans="1:5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19.690000000000001</v>
      </c>
    </row>
    <row r="46" spans="1:5" x14ac:dyDescent="0.25">
      <c r="A46" s="29">
        <v>2244</v>
      </c>
      <c r="B46" s="62" t="s">
        <v>173</v>
      </c>
      <c r="C46" s="63">
        <v>0.20397000000000001</v>
      </c>
      <c r="D46" s="30">
        <v>123.19</v>
      </c>
    </row>
    <row r="47" spans="1:5" x14ac:dyDescent="0.25">
      <c r="A47" s="29">
        <v>2247</v>
      </c>
      <c r="B47" s="62" t="s">
        <v>174</v>
      </c>
      <c r="C47" s="63">
        <v>7.1900000000000002E-4</v>
      </c>
      <c r="D47" s="30">
        <v>0.43</v>
      </c>
    </row>
    <row r="48" spans="1:5" x14ac:dyDescent="0.25">
      <c r="A48" s="29">
        <v>2249</v>
      </c>
      <c r="B48" s="62" t="s">
        <v>175</v>
      </c>
      <c r="C48" s="63">
        <v>2.32E-4</v>
      </c>
      <c r="D48" s="30">
        <v>0.14000000000000001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14.51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 t="shared" ref="D50:D66" si="0">C50*603.94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3.78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27.66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0.9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2.88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3.5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1.34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11.96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2.11</v>
      </c>
    </row>
    <row r="59" spans="1:4" hidden="1" x14ac:dyDescent="0.25">
      <c r="A59" s="29">
        <v>2341</v>
      </c>
      <c r="B59" s="64" t="s">
        <v>161</v>
      </c>
      <c r="C59" s="63"/>
      <c r="D59" s="30">
        <f t="shared" si="0"/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5.13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si="0"/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0.88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1.1499999999999999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1.21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6.4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1.06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11.96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15.1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603.94000000000005</v>
      </c>
    </row>
    <row r="75" spans="1:7" x14ac:dyDescent="0.25">
      <c r="A75" s="34"/>
      <c r="B75" s="67" t="s">
        <v>193</v>
      </c>
      <c r="C75" s="67"/>
      <c r="D75" s="33">
        <f>D31+D74</f>
        <v>1480.4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296.08000000000004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  <c r="E80" s="60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97592592592592597" right="0.70866141732283472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13" zoomScale="90" zoomScaleNormal="100" zoomScalePageLayoutView="90" workbookViewId="0">
      <selection activeCell="B14" sqref="B14:D14"/>
    </sheetView>
  </sheetViews>
  <sheetFormatPr defaultRowHeight="15.75" x14ac:dyDescent="0.25"/>
  <cols>
    <col min="1" max="1" width="17.28515625" style="14" customWidth="1"/>
    <col min="2" max="2" width="84.85546875" style="14" customWidth="1"/>
    <col min="3" max="3" width="10" style="14" hidden="1" customWidth="1"/>
    <col min="4" max="4" width="25.42578125" style="14" customWidth="1"/>
    <col min="5" max="5" width="12.28515625" style="14" customWidth="1"/>
    <col min="6" max="16384" width="9.140625" style="14"/>
  </cols>
  <sheetData>
    <row r="1" spans="1:4" ht="15.75" customHeight="1" x14ac:dyDescent="0.25">
      <c r="B1" s="12"/>
      <c r="C1" s="12"/>
      <c r="D1" s="57" t="s">
        <v>51</v>
      </c>
    </row>
    <row r="2" spans="1:4" x14ac:dyDescent="0.25">
      <c r="B2" s="106" t="s">
        <v>55</v>
      </c>
      <c r="C2" s="106"/>
      <c r="D2" s="107"/>
    </row>
    <row r="3" spans="1:4" x14ac:dyDescent="0.25">
      <c r="B3" s="13"/>
      <c r="C3" s="13"/>
      <c r="D3" s="53" t="s">
        <v>81</v>
      </c>
    </row>
    <row r="4" spans="1:4" x14ac:dyDescent="0.25">
      <c r="B4" s="12"/>
      <c r="C4" s="12"/>
      <c r="D4" s="39"/>
    </row>
    <row r="5" spans="1:4" x14ac:dyDescent="0.25">
      <c r="B5" s="59"/>
      <c r="C5" s="59"/>
      <c r="D5" s="39" t="s">
        <v>237</v>
      </c>
    </row>
    <row r="6" spans="1:4" x14ac:dyDescent="0.25">
      <c r="D6" s="22"/>
    </row>
    <row r="7" spans="1:4" x14ac:dyDescent="0.25">
      <c r="A7" s="108" t="s">
        <v>10</v>
      </c>
      <c r="B7" s="108"/>
      <c r="C7" s="108"/>
      <c r="D7" s="108"/>
    </row>
    <row r="8" spans="1:4" x14ac:dyDescent="0.25">
      <c r="B8" s="61"/>
      <c r="C8" s="61"/>
      <c r="D8" s="22"/>
    </row>
    <row r="9" spans="1:4" x14ac:dyDescent="0.25">
      <c r="A9" s="109" t="s">
        <v>1</v>
      </c>
      <c r="B9" s="109"/>
      <c r="C9" s="11"/>
      <c r="D9" s="22"/>
    </row>
    <row r="10" spans="1:4" x14ac:dyDescent="0.25">
      <c r="A10" s="109" t="s">
        <v>0</v>
      </c>
      <c r="B10" s="109"/>
      <c r="C10" s="11"/>
      <c r="D10" s="22"/>
    </row>
    <row r="11" spans="1:4" x14ac:dyDescent="0.25">
      <c r="A11" s="11"/>
      <c r="B11" s="11" t="s">
        <v>47</v>
      </c>
      <c r="C11" s="11"/>
      <c r="D11" s="22"/>
    </row>
    <row r="12" spans="1:4" x14ac:dyDescent="0.25">
      <c r="A12" s="11"/>
      <c r="B12" s="11" t="s">
        <v>92</v>
      </c>
      <c r="C12" s="11"/>
      <c r="D12" s="22"/>
    </row>
    <row r="13" spans="1:4" x14ac:dyDescent="0.25">
      <c r="A13" s="11"/>
      <c r="B13" s="109" t="s">
        <v>104</v>
      </c>
      <c r="C13" s="109"/>
      <c r="D13" s="22"/>
    </row>
    <row r="14" spans="1:4" x14ac:dyDescent="0.25">
      <c r="A14" s="11"/>
      <c r="B14" s="109" t="s">
        <v>225</v>
      </c>
      <c r="C14" s="109"/>
      <c r="D14" s="109"/>
    </row>
    <row r="15" spans="1:4" x14ac:dyDescent="0.25">
      <c r="A15" s="11" t="s">
        <v>2</v>
      </c>
      <c r="B15" s="11" t="s">
        <v>232</v>
      </c>
      <c r="C15" s="11"/>
      <c r="D15" s="22"/>
    </row>
    <row r="16" spans="1:4" ht="69.75" customHeight="1" x14ac:dyDescent="0.25">
      <c r="A16" s="47" t="s">
        <v>3</v>
      </c>
      <c r="B16" s="47" t="s">
        <v>4</v>
      </c>
      <c r="C16" s="47"/>
      <c r="D16" s="47" t="s">
        <v>5</v>
      </c>
    </row>
    <row r="17" spans="1:8" x14ac:dyDescent="0.25">
      <c r="A17" s="24">
        <v>1</v>
      </c>
      <c r="B17" s="25">
        <v>2</v>
      </c>
      <c r="C17" s="25"/>
      <c r="D17" s="25">
        <v>3</v>
      </c>
    </row>
    <row r="18" spans="1:8" x14ac:dyDescent="0.25">
      <c r="A18" s="24"/>
      <c r="B18" s="62" t="s">
        <v>6</v>
      </c>
      <c r="C18" s="62"/>
      <c r="D18" s="63"/>
    </row>
    <row r="19" spans="1:8" x14ac:dyDescent="0.25">
      <c r="A19" s="29">
        <v>1100</v>
      </c>
      <c r="B19" s="29" t="s">
        <v>159</v>
      </c>
      <c r="C19" s="29"/>
      <c r="D19" s="30">
        <v>461.78</v>
      </c>
      <c r="E19" s="60"/>
      <c r="F19" s="60"/>
      <c r="G19" s="60"/>
      <c r="H19" s="60"/>
    </row>
    <row r="20" spans="1:8" x14ac:dyDescent="0.25">
      <c r="A20" s="29">
        <v>1200</v>
      </c>
      <c r="B20" s="63" t="s">
        <v>160</v>
      </c>
      <c r="C20" s="63"/>
      <c r="D20" s="30">
        <v>108.93</v>
      </c>
      <c r="F20" s="60"/>
    </row>
    <row r="21" spans="1:8" x14ac:dyDescent="0.25">
      <c r="A21" s="29">
        <v>2222</v>
      </c>
      <c r="B21" s="64" t="s">
        <v>164</v>
      </c>
      <c r="C21" s="63"/>
      <c r="D21" s="30">
        <v>27.3</v>
      </c>
      <c r="E21" s="60"/>
    </row>
    <row r="22" spans="1:8" x14ac:dyDescent="0.25">
      <c r="A22" s="29">
        <v>2223</v>
      </c>
      <c r="B22" s="64" t="s">
        <v>165</v>
      </c>
      <c r="C22" s="63"/>
      <c r="D22" s="30">
        <v>16.920000000000002</v>
      </c>
    </row>
    <row r="23" spans="1:8" hidden="1" x14ac:dyDescent="0.25">
      <c r="A23" s="29">
        <v>2243</v>
      </c>
      <c r="B23" s="62" t="s">
        <v>172</v>
      </c>
      <c r="C23" s="63"/>
      <c r="D23" s="30">
        <v>0</v>
      </c>
    </row>
    <row r="24" spans="1:8" x14ac:dyDescent="0.25">
      <c r="A24" s="29">
        <v>2244</v>
      </c>
      <c r="B24" s="62" t="s">
        <v>173</v>
      </c>
      <c r="C24" s="63"/>
      <c r="D24" s="30">
        <v>12.72</v>
      </c>
    </row>
    <row r="25" spans="1:8" x14ac:dyDescent="0.25">
      <c r="A25" s="29">
        <v>2312</v>
      </c>
      <c r="B25" s="62" t="s">
        <v>181</v>
      </c>
      <c r="C25" s="63"/>
      <c r="D25" s="30">
        <v>5.54</v>
      </c>
    </row>
    <row r="26" spans="1:8" x14ac:dyDescent="0.25">
      <c r="A26" s="29">
        <v>2321</v>
      </c>
      <c r="B26" s="64" t="s">
        <v>183</v>
      </c>
      <c r="C26" s="63"/>
      <c r="D26" s="30">
        <v>23.71</v>
      </c>
    </row>
    <row r="27" spans="1:8" x14ac:dyDescent="0.25">
      <c r="A27" s="29">
        <v>2341</v>
      </c>
      <c r="B27" s="64" t="s">
        <v>161</v>
      </c>
      <c r="C27" s="63"/>
      <c r="D27" s="30">
        <v>44.1</v>
      </c>
    </row>
    <row r="28" spans="1:8" x14ac:dyDescent="0.25">
      <c r="A28" s="29">
        <v>2361</v>
      </c>
      <c r="B28" s="64" t="s">
        <v>197</v>
      </c>
      <c r="C28" s="63"/>
      <c r="D28" s="30">
        <f>56.25/5/5*3*5</f>
        <v>33.75</v>
      </c>
    </row>
    <row r="29" spans="1:8" x14ac:dyDescent="0.25">
      <c r="A29" s="29">
        <v>2363</v>
      </c>
      <c r="B29" s="64" t="s">
        <v>199</v>
      </c>
      <c r="C29" s="63"/>
      <c r="D29" s="30">
        <f>8.12*3*5</f>
        <v>121.8</v>
      </c>
    </row>
    <row r="30" spans="1:8" x14ac:dyDescent="0.25">
      <c r="A30" s="29">
        <v>5239</v>
      </c>
      <c r="B30" s="63" t="s">
        <v>190</v>
      </c>
      <c r="C30" s="63"/>
      <c r="D30" s="30">
        <v>6.5</v>
      </c>
    </row>
    <row r="31" spans="1:8" x14ac:dyDescent="0.25">
      <c r="A31" s="29"/>
      <c r="B31" s="65" t="s">
        <v>7</v>
      </c>
      <c r="C31" s="65"/>
      <c r="D31" s="33">
        <f>SUM(D19:D30)</f>
        <v>863.05</v>
      </c>
      <c r="F31" s="60"/>
    </row>
    <row r="32" spans="1:8" x14ac:dyDescent="0.25">
      <c r="A32" s="34"/>
      <c r="B32" s="65" t="s">
        <v>8</v>
      </c>
      <c r="C32" s="87"/>
      <c r="D32" s="30"/>
      <c r="E32" s="60"/>
    </row>
    <row r="33" spans="1:5" x14ac:dyDescent="0.25">
      <c r="A33" s="29">
        <v>1100</v>
      </c>
      <c r="B33" s="62" t="s">
        <v>159</v>
      </c>
      <c r="C33" s="63">
        <f>0.388+0.024</f>
        <v>0.41200000000000003</v>
      </c>
      <c r="D33" s="30">
        <v>236.67</v>
      </c>
      <c r="E33" s="60"/>
    </row>
    <row r="34" spans="1:5" ht="16.5" customHeight="1" x14ac:dyDescent="0.25">
      <c r="A34" s="29">
        <v>1200</v>
      </c>
      <c r="B34" s="62" t="s">
        <v>160</v>
      </c>
      <c r="C34" s="63">
        <f>C33*0.2359</f>
        <v>9.7190800000000008E-2</v>
      </c>
      <c r="D34" s="30">
        <v>55.83</v>
      </c>
    </row>
    <row r="35" spans="1:5" ht="16.5" customHeight="1" x14ac:dyDescent="0.25">
      <c r="A35" s="29">
        <v>2100</v>
      </c>
      <c r="B35" s="35" t="s">
        <v>44</v>
      </c>
      <c r="C35" s="63">
        <v>1.1659999999999999E-3</v>
      </c>
      <c r="D35" s="30">
        <v>0.67</v>
      </c>
    </row>
    <row r="36" spans="1:5" x14ac:dyDescent="0.25">
      <c r="A36" s="36">
        <v>2210</v>
      </c>
      <c r="B36" s="64" t="s">
        <v>163</v>
      </c>
      <c r="C36" s="63">
        <v>7.6E-3</v>
      </c>
      <c r="D36" s="30">
        <v>4.37</v>
      </c>
    </row>
    <row r="37" spans="1:5" x14ac:dyDescent="0.25">
      <c r="A37" s="29">
        <v>2222</v>
      </c>
      <c r="B37" s="64" t="s">
        <v>164</v>
      </c>
      <c r="C37" s="63">
        <v>9.4999999999999998E-3</v>
      </c>
      <c r="D37" s="30">
        <v>5.46</v>
      </c>
    </row>
    <row r="38" spans="1:5" x14ac:dyDescent="0.25">
      <c r="A38" s="29">
        <v>2223</v>
      </c>
      <c r="B38" s="64" t="s">
        <v>165</v>
      </c>
      <c r="C38" s="63">
        <v>1.9019999999999999E-2</v>
      </c>
      <c r="D38" s="30">
        <v>10.93</v>
      </c>
    </row>
    <row r="39" spans="1:5" ht="31.5" x14ac:dyDescent="0.25">
      <c r="A39" s="29">
        <v>2224</v>
      </c>
      <c r="B39" s="64" t="s">
        <v>166</v>
      </c>
      <c r="C39" s="63">
        <v>4.9500000000000004E-3</v>
      </c>
      <c r="D39" s="30">
        <v>2.84</v>
      </c>
    </row>
    <row r="40" spans="1:5" ht="15.75" customHeight="1" x14ac:dyDescent="0.25">
      <c r="A40" s="29">
        <v>2231</v>
      </c>
      <c r="B40" s="62" t="s">
        <v>167</v>
      </c>
      <c r="C40" s="63">
        <v>1.5499999999999999E-3</v>
      </c>
      <c r="D40" s="30">
        <v>0.89</v>
      </c>
    </row>
    <row r="41" spans="1:5" ht="15.75" customHeight="1" x14ac:dyDescent="0.25">
      <c r="A41" s="29">
        <v>2235</v>
      </c>
      <c r="B41" s="66" t="s">
        <v>168</v>
      </c>
      <c r="C41" s="63">
        <v>1.65E-3</v>
      </c>
      <c r="D41" s="30">
        <v>0.95</v>
      </c>
    </row>
    <row r="42" spans="1:5" x14ac:dyDescent="0.25">
      <c r="A42" s="29">
        <v>2239</v>
      </c>
      <c r="B42" s="62" t="s">
        <v>169</v>
      </c>
      <c r="C42" s="63">
        <v>4.4099999999999999E-3</v>
      </c>
      <c r="D42" s="30">
        <v>2.5299999999999998</v>
      </c>
    </row>
    <row r="43" spans="1:5" x14ac:dyDescent="0.25">
      <c r="A43" s="29">
        <v>2241</v>
      </c>
      <c r="B43" s="62" t="s">
        <v>170</v>
      </c>
      <c r="C43" s="63">
        <v>1.6500000000000001E-2</v>
      </c>
      <c r="D43" s="30">
        <v>9.48</v>
      </c>
    </row>
    <row r="44" spans="1:5" x14ac:dyDescent="0.25">
      <c r="A44" s="29">
        <v>2242</v>
      </c>
      <c r="B44" s="64" t="s">
        <v>171</v>
      </c>
      <c r="C44" s="63">
        <v>2.2599999999999999E-3</v>
      </c>
      <c r="D44" s="30">
        <v>1.3</v>
      </c>
    </row>
    <row r="45" spans="1:5" ht="15.75" customHeight="1" x14ac:dyDescent="0.25">
      <c r="A45" s="29">
        <v>2243</v>
      </c>
      <c r="B45" s="62" t="s">
        <v>172</v>
      </c>
      <c r="C45" s="63">
        <v>3.2599999999999997E-2</v>
      </c>
      <c r="D45" s="30">
        <v>18.73</v>
      </c>
    </row>
    <row r="46" spans="1:5" x14ac:dyDescent="0.25">
      <c r="A46" s="29">
        <v>2244</v>
      </c>
      <c r="B46" s="62" t="s">
        <v>173</v>
      </c>
      <c r="C46" s="63">
        <v>0.20397000000000001</v>
      </c>
      <c r="D46" s="30">
        <v>117.17</v>
      </c>
    </row>
    <row r="47" spans="1:5" x14ac:dyDescent="0.25">
      <c r="A47" s="29">
        <v>2247</v>
      </c>
      <c r="B47" s="62" t="s">
        <v>174</v>
      </c>
      <c r="C47" s="63">
        <v>7.1900000000000002E-4</v>
      </c>
      <c r="D47" s="30">
        <v>0.41</v>
      </c>
    </row>
    <row r="48" spans="1:5" x14ac:dyDescent="0.25">
      <c r="A48" s="29">
        <v>2249</v>
      </c>
      <c r="B48" s="62" t="s">
        <v>175</v>
      </c>
      <c r="C48" s="63">
        <v>2.32E-4</v>
      </c>
      <c r="D48" s="30">
        <v>0.13</v>
      </c>
    </row>
    <row r="49" spans="1:4" x14ac:dyDescent="0.25">
      <c r="A49" s="29">
        <v>2250</v>
      </c>
      <c r="B49" s="62" t="s">
        <v>176</v>
      </c>
      <c r="C49" s="63">
        <v>2.4025999999999999E-2</v>
      </c>
      <c r="D49" s="30">
        <v>13.8</v>
      </c>
    </row>
    <row r="50" spans="1:4" hidden="1" x14ac:dyDescent="0.25">
      <c r="A50" s="29">
        <v>2261</v>
      </c>
      <c r="B50" s="64" t="s">
        <v>196</v>
      </c>
      <c r="C50" s="63">
        <v>0</v>
      </c>
      <c r="D50" s="30">
        <f t="shared" ref="D50:D66" si="0">C50*574.45</f>
        <v>0</v>
      </c>
    </row>
    <row r="51" spans="1:4" x14ac:dyDescent="0.25">
      <c r="A51" s="29">
        <v>2262</v>
      </c>
      <c r="B51" s="64" t="s">
        <v>177</v>
      </c>
      <c r="C51" s="63">
        <v>6.2599999999999999E-3</v>
      </c>
      <c r="D51" s="30">
        <v>3.6</v>
      </c>
    </row>
    <row r="52" spans="1:4" x14ac:dyDescent="0.25">
      <c r="A52" s="29">
        <v>2263</v>
      </c>
      <c r="B52" s="64" t="s">
        <v>178</v>
      </c>
      <c r="C52" s="63">
        <v>4.58E-2</v>
      </c>
      <c r="D52" s="30">
        <v>26.31</v>
      </c>
    </row>
    <row r="53" spans="1:4" x14ac:dyDescent="0.25">
      <c r="A53" s="29">
        <v>2264</v>
      </c>
      <c r="B53" s="62" t="s">
        <v>179</v>
      </c>
      <c r="C53" s="63">
        <v>1.49E-3</v>
      </c>
      <c r="D53" s="30">
        <v>0.86</v>
      </c>
    </row>
    <row r="54" spans="1:4" x14ac:dyDescent="0.25">
      <c r="A54" s="29">
        <v>2311</v>
      </c>
      <c r="B54" s="64" t="s">
        <v>180</v>
      </c>
      <c r="C54" s="63">
        <v>4.7699999999999999E-3</v>
      </c>
      <c r="D54" s="30">
        <v>2.74</v>
      </c>
    </row>
    <row r="55" spans="1:4" x14ac:dyDescent="0.25">
      <c r="A55" s="29">
        <v>2312</v>
      </c>
      <c r="B55" s="64" t="s">
        <v>181</v>
      </c>
      <c r="C55" s="63">
        <v>5.79E-3</v>
      </c>
      <c r="D55" s="30">
        <v>3.33</v>
      </c>
    </row>
    <row r="56" spans="1:4" x14ac:dyDescent="0.25">
      <c r="A56" s="29">
        <v>2314</v>
      </c>
      <c r="B56" s="66" t="s">
        <v>182</v>
      </c>
      <c r="C56" s="63">
        <v>2.2200000000000002E-3</v>
      </c>
      <c r="D56" s="30">
        <v>1.28</v>
      </c>
    </row>
    <row r="57" spans="1:4" x14ac:dyDescent="0.25">
      <c r="A57" s="29">
        <v>2321</v>
      </c>
      <c r="B57" s="64" t="s">
        <v>183</v>
      </c>
      <c r="C57" s="63">
        <v>1.9800000000000002E-2</v>
      </c>
      <c r="D57" s="30">
        <v>11.37</v>
      </c>
    </row>
    <row r="58" spans="1:4" x14ac:dyDescent="0.25">
      <c r="A58" s="29">
        <v>2322</v>
      </c>
      <c r="B58" s="64" t="s">
        <v>184</v>
      </c>
      <c r="C58" s="63">
        <v>3.5000000000000001E-3</v>
      </c>
      <c r="D58" s="30">
        <v>2.0099999999999998</v>
      </c>
    </row>
    <row r="59" spans="1:4" hidden="1" x14ac:dyDescent="0.25">
      <c r="A59" s="29">
        <v>2341</v>
      </c>
      <c r="B59" s="64" t="s">
        <v>161</v>
      </c>
      <c r="C59" s="63"/>
      <c r="D59" s="30">
        <f t="shared" si="0"/>
        <v>0</v>
      </c>
    </row>
    <row r="60" spans="1:4" x14ac:dyDescent="0.25">
      <c r="A60" s="29">
        <v>2350</v>
      </c>
      <c r="B60" s="63" t="s">
        <v>162</v>
      </c>
      <c r="C60" s="63">
        <v>8.5000000000000006E-3</v>
      </c>
      <c r="D60" s="30">
        <v>4.88</v>
      </c>
    </row>
    <row r="61" spans="1:4" hidden="1" x14ac:dyDescent="0.25">
      <c r="A61" s="29">
        <v>2361</v>
      </c>
      <c r="B61" s="64" t="s">
        <v>197</v>
      </c>
      <c r="C61" s="63">
        <v>0</v>
      </c>
      <c r="D61" s="30">
        <f t="shared" si="0"/>
        <v>0</v>
      </c>
    </row>
    <row r="62" spans="1:4" hidden="1" x14ac:dyDescent="0.25">
      <c r="A62" s="29">
        <v>2362</v>
      </c>
      <c r="B62" s="64" t="s">
        <v>198</v>
      </c>
      <c r="C62" s="63">
        <v>0</v>
      </c>
      <c r="D62" s="30">
        <f t="shared" si="0"/>
        <v>0</v>
      </c>
    </row>
    <row r="63" spans="1:4" hidden="1" x14ac:dyDescent="0.25">
      <c r="A63" s="29">
        <v>2363</v>
      </c>
      <c r="B63" s="64" t="s">
        <v>199</v>
      </c>
      <c r="C63" s="63">
        <v>0</v>
      </c>
      <c r="D63" s="30">
        <f t="shared" si="0"/>
        <v>0</v>
      </c>
    </row>
    <row r="64" spans="1:4" hidden="1" x14ac:dyDescent="0.25">
      <c r="A64" s="29">
        <v>2370</v>
      </c>
      <c r="B64" s="64" t="s">
        <v>200</v>
      </c>
      <c r="C64" s="63">
        <v>0</v>
      </c>
      <c r="D64" s="30">
        <f t="shared" si="0"/>
        <v>0</v>
      </c>
    </row>
    <row r="65" spans="1:7" hidden="1" x14ac:dyDescent="0.25">
      <c r="A65" s="29">
        <v>2400</v>
      </c>
      <c r="B65" s="64" t="s">
        <v>201</v>
      </c>
      <c r="C65" s="63">
        <v>0</v>
      </c>
      <c r="D65" s="30">
        <f t="shared" si="0"/>
        <v>0</v>
      </c>
    </row>
    <row r="66" spans="1:7" hidden="1" x14ac:dyDescent="0.25">
      <c r="A66" s="29">
        <v>2512</v>
      </c>
      <c r="B66" s="64" t="s">
        <v>202</v>
      </c>
      <c r="C66" s="63">
        <v>0</v>
      </c>
      <c r="D66" s="30">
        <f t="shared" si="0"/>
        <v>0</v>
      </c>
    </row>
    <row r="67" spans="1:7" ht="15.75" customHeight="1" x14ac:dyDescent="0.25">
      <c r="A67" s="29">
        <v>2513</v>
      </c>
      <c r="B67" s="63" t="s">
        <v>185</v>
      </c>
      <c r="C67" s="63">
        <v>1.4599999999999999E-3</v>
      </c>
      <c r="D67" s="30">
        <v>0.84</v>
      </c>
    </row>
    <row r="68" spans="1:7" x14ac:dyDescent="0.25">
      <c r="A68" s="29">
        <v>2515</v>
      </c>
      <c r="B68" s="64" t="s">
        <v>186</v>
      </c>
      <c r="C68" s="63">
        <v>1.9E-3</v>
      </c>
      <c r="D68" s="30">
        <v>1.0900000000000001</v>
      </c>
    </row>
    <row r="69" spans="1:7" x14ac:dyDescent="0.25">
      <c r="A69" s="29">
        <v>2519</v>
      </c>
      <c r="B69" s="64" t="s">
        <v>187</v>
      </c>
      <c r="C69" s="63">
        <v>2E-3</v>
      </c>
      <c r="D69" s="30">
        <v>1.1499999999999999</v>
      </c>
    </row>
    <row r="70" spans="1:7" x14ac:dyDescent="0.25">
      <c r="A70" s="29">
        <v>5220</v>
      </c>
      <c r="B70" s="64" t="s">
        <v>188</v>
      </c>
      <c r="C70" s="63">
        <v>1.06E-2</v>
      </c>
      <c r="D70" s="30">
        <v>6.09</v>
      </c>
    </row>
    <row r="71" spans="1:7" x14ac:dyDescent="0.25">
      <c r="A71" s="29">
        <v>5238</v>
      </c>
      <c r="B71" s="63" t="s">
        <v>189</v>
      </c>
      <c r="C71" s="63">
        <v>1.65E-3</v>
      </c>
      <c r="D71" s="30">
        <v>1.01</v>
      </c>
    </row>
    <row r="72" spans="1:7" x14ac:dyDescent="0.25">
      <c r="A72" s="29">
        <v>5239</v>
      </c>
      <c r="B72" s="63" t="s">
        <v>190</v>
      </c>
      <c r="C72" s="63">
        <v>1.9800000000000002E-2</v>
      </c>
      <c r="D72" s="30">
        <v>11.37</v>
      </c>
    </row>
    <row r="73" spans="1:7" x14ac:dyDescent="0.25">
      <c r="A73" s="29">
        <v>5250</v>
      </c>
      <c r="B73" s="64" t="s">
        <v>191</v>
      </c>
      <c r="C73" s="63">
        <v>2.5000000000000001E-2</v>
      </c>
      <c r="D73" s="30">
        <v>14.36</v>
      </c>
    </row>
    <row r="74" spans="1:7" x14ac:dyDescent="0.25">
      <c r="A74" s="34"/>
      <c r="B74" s="67" t="s">
        <v>192</v>
      </c>
      <c r="C74" s="63">
        <f>SUM(C33:C73)</f>
        <v>0.99988380000000032</v>
      </c>
      <c r="D74" s="33">
        <f>SUM(D33:D73)</f>
        <v>574.45000000000016</v>
      </c>
    </row>
    <row r="75" spans="1:7" x14ac:dyDescent="0.25">
      <c r="A75" s="34"/>
      <c r="B75" s="67" t="s">
        <v>193</v>
      </c>
      <c r="C75" s="67"/>
      <c r="D75" s="33">
        <f>D31+D74</f>
        <v>1437.5</v>
      </c>
      <c r="E75" s="60"/>
    </row>
    <row r="76" spans="1:7" ht="12.75" customHeight="1" x14ac:dyDescent="0.25">
      <c r="A76" s="39"/>
      <c r="B76" s="22"/>
      <c r="C76" s="22"/>
      <c r="D76" s="68"/>
    </row>
    <row r="77" spans="1:7" ht="15.75" customHeight="1" x14ac:dyDescent="0.25">
      <c r="A77" s="110" t="s">
        <v>52</v>
      </c>
      <c r="B77" s="110"/>
      <c r="C77" s="69"/>
      <c r="D77" s="51">
        <v>5</v>
      </c>
    </row>
    <row r="78" spans="1:7" ht="15.75" customHeight="1" x14ac:dyDescent="0.25">
      <c r="A78" s="110" t="s">
        <v>59</v>
      </c>
      <c r="B78" s="110"/>
      <c r="C78" s="69"/>
      <c r="D78" s="52">
        <f>D75/D77</f>
        <v>287.5</v>
      </c>
      <c r="E78" s="60"/>
      <c r="G78" s="60"/>
    </row>
    <row r="79" spans="1:7" ht="9.75" customHeight="1" x14ac:dyDescent="0.25">
      <c r="A79" s="44"/>
      <c r="B79" s="46"/>
      <c r="C79" s="46"/>
    </row>
    <row r="80" spans="1:7" ht="15.75" customHeight="1" x14ac:dyDescent="0.25">
      <c r="A80" s="105" t="s">
        <v>53</v>
      </c>
      <c r="B80" s="105"/>
      <c r="C80" s="70"/>
      <c r="D80" s="42"/>
      <c r="E80" s="60"/>
    </row>
    <row r="81" spans="1:4" ht="15.75" customHeight="1" x14ac:dyDescent="0.25">
      <c r="A81" s="105" t="s">
        <v>79</v>
      </c>
      <c r="B81" s="105"/>
      <c r="C81" s="70"/>
      <c r="D81" s="42"/>
    </row>
    <row r="82" spans="1:4" ht="8.25" customHeight="1" x14ac:dyDescent="0.25">
      <c r="A82" s="19"/>
      <c r="B82" s="19"/>
      <c r="C82" s="19"/>
      <c r="D82" s="19"/>
    </row>
    <row r="83" spans="1:4" x14ac:dyDescent="0.25">
      <c r="A83" s="19" t="s">
        <v>54</v>
      </c>
      <c r="B83" s="19"/>
      <c r="C83" s="19"/>
      <c r="D83" s="55"/>
    </row>
    <row r="84" spans="1:4" x14ac:dyDescent="0.25">
      <c r="A84" s="19"/>
      <c r="B84" s="19"/>
      <c r="C84" s="19"/>
      <c r="D84" s="55"/>
    </row>
    <row r="85" spans="1:4" x14ac:dyDescent="0.25">
      <c r="A85" s="19" t="s">
        <v>73</v>
      </c>
      <c r="B85" s="20"/>
      <c r="C85" s="20"/>
      <c r="D85" s="19"/>
    </row>
    <row r="86" spans="1:4" x14ac:dyDescent="0.25">
      <c r="B86" s="71"/>
      <c r="C86" s="71"/>
      <c r="D86" s="72"/>
    </row>
    <row r="88" spans="1:4" x14ac:dyDescent="0.25">
      <c r="D88" s="60"/>
    </row>
  </sheetData>
  <mergeCells count="10">
    <mergeCell ref="A81:B81"/>
    <mergeCell ref="A9:B9"/>
    <mergeCell ref="A10:B10"/>
    <mergeCell ref="A80:B80"/>
    <mergeCell ref="B2:D2"/>
    <mergeCell ref="A7:D7"/>
    <mergeCell ref="B13:C13"/>
    <mergeCell ref="B14:D14"/>
    <mergeCell ref="A77:B77"/>
    <mergeCell ref="A78:B78"/>
  </mergeCells>
  <pageMargins left="0.8969907407407407" right="0.82523148148148151" top="0.55118110236220474" bottom="0.55118110236220474" header="0.31496062992125984" footer="0.31496062992125984"/>
  <pageSetup paperSize="9" scale="62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Saturs</vt:lpstr>
      <vt:lpstr>4.1.1.1.</vt:lpstr>
      <vt:lpstr>4.1.1.2.1.</vt:lpstr>
      <vt:lpstr>4.1.1.2.2.</vt:lpstr>
      <vt:lpstr>4.1.1.3.</vt:lpstr>
      <vt:lpstr>4.1.1.4.</vt:lpstr>
      <vt:lpstr>4.1.1.5.</vt:lpstr>
      <vt:lpstr>4.1.1.6.</vt:lpstr>
      <vt:lpstr>4.1.2.1.</vt:lpstr>
      <vt:lpstr>4.1.2.2.</vt:lpstr>
      <vt:lpstr>4.1.2.3.</vt:lpstr>
      <vt:lpstr>4.1.2.4.</vt:lpstr>
      <vt:lpstr>4.1.2.5.</vt:lpstr>
      <vt:lpstr>4.2.1.</vt:lpstr>
      <vt:lpstr>4.3.1.1.</vt:lpstr>
      <vt:lpstr>4.3.1.2.</vt:lpstr>
      <vt:lpstr>4.3.1.3.</vt:lpstr>
      <vt:lpstr>4.3.1.4.</vt:lpstr>
      <vt:lpstr>4.3.1.5.</vt:lpstr>
      <vt:lpstr>4.3.1.6.</vt:lpstr>
      <vt:lpstr>4.3.1.7.</vt:lpstr>
      <vt:lpstr>4.3.1.8.</vt:lpstr>
      <vt:lpstr>4.3.1.9.</vt:lpstr>
      <vt:lpstr>4.3.1.10.</vt:lpstr>
      <vt:lpstr>4.3.2.1.</vt:lpstr>
      <vt:lpstr>4.3.2.2.</vt:lpstr>
      <vt:lpstr>4.3.2.3.</vt:lpstr>
      <vt:lpstr>4.3.2.4.</vt:lpstr>
      <vt:lpstr>4.3.2.5.</vt:lpstr>
      <vt:lpstr>4.3.2.6.</vt:lpstr>
      <vt:lpstr>4.3.2.7.</vt:lpstr>
      <vt:lpstr>4.3.2.8.</vt:lpstr>
      <vt:lpstr>4.3.2.9.</vt:lpstr>
      <vt:lpstr>4.3.2.10.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Installer;Līga Juste</dc:creator>
  <dc:description>Inese Ķīse, 67021651, Inese.Kise@lm.gov.lv, fakss 67021678</dc:description>
  <cp:lastModifiedBy>Inga Martinsone</cp:lastModifiedBy>
  <cp:lastPrinted>2021-08-26T11:14:51Z</cp:lastPrinted>
  <dcterms:created xsi:type="dcterms:W3CDTF">2008-09-26T08:09:16Z</dcterms:created>
  <dcterms:modified xsi:type="dcterms:W3CDTF">2021-12-09T18:28:57Z</dcterms:modified>
</cp:coreProperties>
</file>