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veselibasministrija-my.sharepoint.com/personal/liene_abola_vm_gov_lv/Documents/Documents/Info_zinojums_farmaceita_maks/"/>
    </mc:Choice>
  </mc:AlternateContent>
  <xr:revisionPtr revIDLastSave="1173" documentId="8_{D624074C-5744-4904-8304-C1F95F9A504C}" xr6:coauthVersionLast="47" xr6:coauthVersionMax="47" xr10:uidLastSave="{E744776E-3EF3-448B-B12C-1B9683C95BB3}"/>
  <bookViews>
    <workbookView xWindow="-120" yWindow="-120" windowWidth="29040" windowHeight="15720" xr2:uid="{4D5CFF4E-215E-4DA4-82C7-638BEBB952D7}"/>
  </bookViews>
  <sheets>
    <sheet name="KOPSAVILKUMS" sheetId="1" r:id="rId1"/>
    <sheet name="Neizpilde" sheetId="2" r:id="rId2"/>
    <sheet name="Vakcīnas" sheetId="3" r:id="rId3"/>
    <sheet name="Kardio_kabinets" sheetId="5" r:id="rId4"/>
    <sheet name="Kopa_Stacionariem" sheetId="6" r:id="rId5"/>
    <sheet name="Stac_parstrades" sheetId="7" r:id="rId6"/>
    <sheet name="Stac_apjoma_paliel" sheetId="8" r:id="rId7"/>
    <sheet name="Kopā_ambul_pak_stac" sheetId="12" r:id="rId8"/>
    <sheet name="Dienas_stac_II_III_lim_stac" sheetId="9" r:id="rId9"/>
    <sheet name="Neatliekamas_vajadz_ambul_pak" sheetId="10" r:id="rId10"/>
    <sheet name="Rehab_dienas_stac" sheetId="11" r:id="rId11"/>
    <sheet name="VADC" sheetId="4" r:id="rId12"/>
  </sheets>
  <definedNames>
    <definedName name="_xlnm._FilterDatabase" localSheetId="8" hidden="1">Dienas_stac_II_III_lim_stac!$A$6:$L$32</definedName>
    <definedName name="_xlnm._FilterDatabase" localSheetId="10" hidden="1">Rehab_dienas_stac!$A$5:$L$39</definedName>
    <definedName name="_xlnm._FilterDatabase" localSheetId="6" hidden="1">Stac_apjoma_paliel!$A$6:$Q$35</definedName>
    <definedName name="_xlnm._FilterDatabase" localSheetId="5" hidden="1">Stac_parstrades!$A$6:$O$75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 i="9" l="1"/>
  <c r="J21" i="9"/>
  <c r="L21" i="9" s="1"/>
  <c r="H21" i="9"/>
  <c r="J13" i="11"/>
  <c r="J9" i="11"/>
  <c r="J11" i="9"/>
  <c r="J8" i="9"/>
  <c r="J7" i="11"/>
  <c r="I17" i="11"/>
  <c r="I18" i="11"/>
  <c r="I19" i="11"/>
  <c r="I20" i="11"/>
  <c r="I21" i="11"/>
  <c r="I22" i="11"/>
  <c r="I23" i="11"/>
  <c r="I24" i="11"/>
  <c r="I25" i="11"/>
  <c r="I26" i="11"/>
  <c r="I27" i="11"/>
  <c r="I28" i="11"/>
  <c r="I29" i="11"/>
  <c r="I30" i="11"/>
  <c r="I31" i="11"/>
  <c r="I32" i="11"/>
  <c r="I33" i="11"/>
  <c r="I34" i="11"/>
  <c r="I35" i="11"/>
  <c r="I36" i="11"/>
  <c r="I37" i="11"/>
  <c r="I38" i="11"/>
  <c r="I7" i="11"/>
  <c r="I8" i="11"/>
  <c r="I9" i="11"/>
  <c r="I10" i="11"/>
  <c r="I11" i="11"/>
  <c r="I12" i="11"/>
  <c r="I13" i="11"/>
  <c r="I14" i="11"/>
  <c r="I15" i="11"/>
  <c r="H18" i="11"/>
  <c r="J18" i="11" s="1"/>
  <c r="L18" i="11" s="1"/>
  <c r="H19" i="11"/>
  <c r="J19" i="11" s="1"/>
  <c r="L19" i="11" s="1"/>
  <c r="H20" i="11"/>
  <c r="J20" i="11" s="1"/>
  <c r="L20" i="11" s="1"/>
  <c r="H21" i="11"/>
  <c r="J21" i="11" s="1"/>
  <c r="L21" i="11" s="1"/>
  <c r="H22" i="11"/>
  <c r="J22" i="11" s="1"/>
  <c r="H23" i="11"/>
  <c r="J23" i="11" s="1"/>
  <c r="L23" i="11" s="1"/>
  <c r="H24" i="11"/>
  <c r="J24" i="11" s="1"/>
  <c r="L24" i="11" s="1"/>
  <c r="H25" i="11"/>
  <c r="H26" i="11"/>
  <c r="J26" i="11" s="1"/>
  <c r="L26" i="11" s="1"/>
  <c r="H27" i="11"/>
  <c r="J27" i="11" s="1"/>
  <c r="L27" i="11" s="1"/>
  <c r="H28" i="11"/>
  <c r="J28" i="11" s="1"/>
  <c r="D7" i="12" s="1"/>
  <c r="E7" i="12" s="1"/>
  <c r="C6" i="6" s="1"/>
  <c r="H29" i="11"/>
  <c r="J29" i="11" s="1"/>
  <c r="D11" i="12" s="1"/>
  <c r="H30" i="11"/>
  <c r="J30" i="11" s="1"/>
  <c r="L30" i="11" s="1"/>
  <c r="H31" i="11"/>
  <c r="J31" i="11" s="1"/>
  <c r="L31" i="11" s="1"/>
  <c r="H32" i="11"/>
  <c r="J32" i="11" s="1"/>
  <c r="L32" i="11" s="1"/>
  <c r="H33" i="11"/>
  <c r="J33" i="11" s="1"/>
  <c r="L33" i="11" s="1"/>
  <c r="H34" i="11"/>
  <c r="J34" i="11" s="1"/>
  <c r="L34" i="11" s="1"/>
  <c r="H35" i="11"/>
  <c r="J35" i="11" s="1"/>
  <c r="L35" i="11" s="1"/>
  <c r="H36" i="11"/>
  <c r="J36" i="11" s="1"/>
  <c r="L36" i="11" s="1"/>
  <c r="H37" i="11"/>
  <c r="J37" i="11" s="1"/>
  <c r="L37" i="11" s="1"/>
  <c r="H38" i="11"/>
  <c r="H17" i="11"/>
  <c r="J17" i="11" s="1"/>
  <c r="L17" i="11" s="1"/>
  <c r="H8" i="11"/>
  <c r="J8" i="11" s="1"/>
  <c r="H9" i="11"/>
  <c r="H10" i="11"/>
  <c r="J10" i="11" s="1"/>
  <c r="D30" i="12" s="1"/>
  <c r="E30" i="12" s="1"/>
  <c r="C36" i="6" s="1"/>
  <c r="H11" i="11"/>
  <c r="J11" i="11" s="1"/>
  <c r="H12" i="11"/>
  <c r="J12" i="11" s="1"/>
  <c r="L12" i="11" s="1"/>
  <c r="H13" i="11"/>
  <c r="L13" i="11" s="1"/>
  <c r="H14" i="11"/>
  <c r="J14" i="11" s="1"/>
  <c r="H15" i="11"/>
  <c r="J15" i="11" s="1"/>
  <c r="H7" i="11"/>
  <c r="D26" i="12" s="1"/>
  <c r="E26" i="12" s="1"/>
  <c r="C32" i="6" s="1"/>
  <c r="G16" i="11"/>
  <c r="F16" i="11"/>
  <c r="E16" i="11"/>
  <c r="G6" i="11"/>
  <c r="F6" i="11"/>
  <c r="E6" i="11"/>
  <c r="F33" i="10"/>
  <c r="F34" i="10"/>
  <c r="E34" i="10"/>
  <c r="E33" i="10"/>
  <c r="F26" i="10"/>
  <c r="D26" i="10"/>
  <c r="E26" i="10" s="1"/>
  <c r="E20" i="10"/>
  <c r="F17" i="10"/>
  <c r="D17" i="10"/>
  <c r="F11" i="10"/>
  <c r="G11" i="10" s="1"/>
  <c r="I34" i="10"/>
  <c r="D32" i="10"/>
  <c r="C32" i="10"/>
  <c r="B32" i="10"/>
  <c r="F10" i="10"/>
  <c r="G10" i="10" s="1"/>
  <c r="H10" i="10" s="1"/>
  <c r="F9" i="10"/>
  <c r="G9" i="10" s="1"/>
  <c r="J25" i="9"/>
  <c r="L25" i="9" s="1"/>
  <c r="J26" i="9"/>
  <c r="L26" i="9" s="1"/>
  <c r="J27" i="9"/>
  <c r="J28" i="9"/>
  <c r="L28" i="9" s="1"/>
  <c r="J29" i="9"/>
  <c r="L29" i="9" s="1"/>
  <c r="J30" i="9"/>
  <c r="L30" i="9" s="1"/>
  <c r="J31" i="9"/>
  <c r="J24" i="9"/>
  <c r="L24" i="9" s="1"/>
  <c r="J22" i="9"/>
  <c r="L22" i="9" s="1"/>
  <c r="J19" i="9"/>
  <c r="L19" i="9" s="1"/>
  <c r="J20" i="9"/>
  <c r="L20" i="9" s="1"/>
  <c r="J18" i="9"/>
  <c r="J16" i="9"/>
  <c r="L16" i="9" s="1"/>
  <c r="J10" i="9"/>
  <c r="L10" i="9" s="1"/>
  <c r="L11" i="9"/>
  <c r="J12" i="9"/>
  <c r="L12" i="9" s="1"/>
  <c r="J13" i="9"/>
  <c r="L13" i="9" s="1"/>
  <c r="J14" i="9"/>
  <c r="L14" i="9" s="1"/>
  <c r="J15" i="9"/>
  <c r="L15" i="9" s="1"/>
  <c r="I24" i="9"/>
  <c r="I25" i="9"/>
  <c r="I26" i="9"/>
  <c r="I27" i="9"/>
  <c r="I28" i="9"/>
  <c r="I29" i="9"/>
  <c r="I30" i="9"/>
  <c r="I31" i="9"/>
  <c r="I18" i="9"/>
  <c r="I19" i="9"/>
  <c r="I20" i="9"/>
  <c r="I21" i="9"/>
  <c r="I22" i="9"/>
  <c r="I8" i="9"/>
  <c r="I9" i="9"/>
  <c r="I10" i="9"/>
  <c r="I11" i="9"/>
  <c r="I12" i="9"/>
  <c r="I13" i="9"/>
  <c r="I14" i="9"/>
  <c r="I15" i="9"/>
  <c r="I16" i="9"/>
  <c r="H25" i="9"/>
  <c r="H26" i="9"/>
  <c r="H27" i="9"/>
  <c r="H28" i="9"/>
  <c r="H29" i="9"/>
  <c r="H30" i="9"/>
  <c r="H31" i="9"/>
  <c r="H24" i="9"/>
  <c r="H19" i="9"/>
  <c r="H20" i="9"/>
  <c r="H22" i="9"/>
  <c r="H18" i="9"/>
  <c r="H9" i="9"/>
  <c r="H10" i="9"/>
  <c r="H11" i="9"/>
  <c r="H12" i="9"/>
  <c r="H13" i="9"/>
  <c r="H14" i="9"/>
  <c r="H15" i="9"/>
  <c r="H16" i="9"/>
  <c r="H8" i="9"/>
  <c r="G23" i="9"/>
  <c r="F23" i="9"/>
  <c r="E23" i="9"/>
  <c r="G17" i="9"/>
  <c r="F17" i="9"/>
  <c r="E17" i="9"/>
  <c r="G7" i="9"/>
  <c r="F7" i="9"/>
  <c r="E7" i="9"/>
  <c r="N8" i="8"/>
  <c r="N9" i="8"/>
  <c r="N10" i="8"/>
  <c r="N11" i="8"/>
  <c r="N12" i="8"/>
  <c r="N13" i="8"/>
  <c r="N14" i="8"/>
  <c r="N15" i="8"/>
  <c r="N16" i="8"/>
  <c r="N17" i="8"/>
  <c r="N18" i="8"/>
  <c r="N19" i="8"/>
  <c r="N20" i="8"/>
  <c r="N21" i="8"/>
  <c r="N22" i="8"/>
  <c r="N23" i="8"/>
  <c r="N24" i="8"/>
  <c r="N25" i="8"/>
  <c r="N26" i="8"/>
  <c r="N27" i="8"/>
  <c r="N28" i="8"/>
  <c r="N29" i="8"/>
  <c r="N30" i="8"/>
  <c r="N31" i="8"/>
  <c r="N32" i="8"/>
  <c r="N33" i="8"/>
  <c r="N34" i="8"/>
  <c r="N7" i="8"/>
  <c r="P35" i="8"/>
  <c r="O35" i="8"/>
  <c r="M35" i="8"/>
  <c r="J35" i="8"/>
  <c r="I35" i="8"/>
  <c r="H35" i="8"/>
  <c r="G35" i="8"/>
  <c r="F35" i="8"/>
  <c r="E35" i="8"/>
  <c r="Q34" i="8"/>
  <c r="Q33" i="8"/>
  <c r="Q32" i="8"/>
  <c r="Q31" i="8"/>
  <c r="Q30" i="8"/>
  <c r="Q29" i="8"/>
  <c r="Q28" i="8"/>
  <c r="Q27" i="8"/>
  <c r="Q26" i="8"/>
  <c r="Q25" i="8"/>
  <c r="Q24" i="8"/>
  <c r="Q23" i="8"/>
  <c r="Q22" i="8"/>
  <c r="B18" i="6" s="1"/>
  <c r="Q21" i="8"/>
  <c r="Q20" i="8"/>
  <c r="Q19" i="8"/>
  <c r="Q18" i="8"/>
  <c r="Q17" i="8"/>
  <c r="Q16" i="8"/>
  <c r="Q15" i="8"/>
  <c r="Q14" i="8"/>
  <c r="Q13" i="8"/>
  <c r="Q12" i="8"/>
  <c r="Q11" i="8"/>
  <c r="Q10" i="8"/>
  <c r="Q9" i="8"/>
  <c r="Q8" i="8"/>
  <c r="Q7" i="8"/>
  <c r="N72" i="7"/>
  <c r="O72" i="7" s="1"/>
  <c r="J75" i="7"/>
  <c r="I75" i="7"/>
  <c r="H75" i="7"/>
  <c r="G75" i="7"/>
  <c r="F75" i="7"/>
  <c r="E75" i="7"/>
  <c r="N74" i="7"/>
  <c r="O74" i="7" s="1"/>
  <c r="M74" i="7"/>
  <c r="L74" i="7"/>
  <c r="K74" i="7"/>
  <c r="N73" i="7"/>
  <c r="O73" i="7" s="1"/>
  <c r="B30" i="6" s="1"/>
  <c r="D30" i="6" s="1"/>
  <c r="M73" i="7"/>
  <c r="L73" i="7"/>
  <c r="K73" i="7"/>
  <c r="M72" i="7"/>
  <c r="L72" i="7"/>
  <c r="K72" i="7"/>
  <c r="N71" i="7"/>
  <c r="O71" i="7" s="1"/>
  <c r="M71" i="7"/>
  <c r="L71" i="7"/>
  <c r="K71" i="7"/>
  <c r="N70" i="7"/>
  <c r="O70" i="7" s="1"/>
  <c r="M70" i="7"/>
  <c r="L70" i="7"/>
  <c r="K70" i="7"/>
  <c r="N69" i="7"/>
  <c r="O69" i="7" s="1"/>
  <c r="M69" i="7"/>
  <c r="L69" i="7"/>
  <c r="K69" i="7"/>
  <c r="N68" i="7"/>
  <c r="O68" i="7" s="1"/>
  <c r="M68" i="7"/>
  <c r="L68" i="7"/>
  <c r="K68" i="7"/>
  <c r="N67" i="7"/>
  <c r="O67" i="7" s="1"/>
  <c r="M67" i="7"/>
  <c r="N66" i="7"/>
  <c r="O66" i="7" s="1"/>
  <c r="M66" i="7"/>
  <c r="L66" i="7"/>
  <c r="N65" i="7"/>
  <c r="O65" i="7" s="1"/>
  <c r="M65" i="7"/>
  <c r="L65" i="7"/>
  <c r="N64" i="7"/>
  <c r="O64" i="7" s="1"/>
  <c r="M64" i="7"/>
  <c r="L64" i="7"/>
  <c r="N63" i="7"/>
  <c r="O63" i="7" s="1"/>
  <c r="M63" i="7"/>
  <c r="L63" i="7"/>
  <c r="N62" i="7"/>
  <c r="O62" i="7" s="1"/>
  <c r="M62" i="7"/>
  <c r="L62" i="7"/>
  <c r="N61" i="7"/>
  <c r="O61" i="7" s="1"/>
  <c r="M61" i="7"/>
  <c r="L61" i="7"/>
  <c r="N60" i="7"/>
  <c r="O60" i="7" s="1"/>
  <c r="B26" i="6" s="1"/>
  <c r="M60" i="7"/>
  <c r="L60" i="7"/>
  <c r="N59" i="7"/>
  <c r="O59" i="7" s="1"/>
  <c r="M59" i="7"/>
  <c r="L59" i="7"/>
  <c r="N58" i="7"/>
  <c r="O58" i="7" s="1"/>
  <c r="M58" i="7"/>
  <c r="L58" i="7"/>
  <c r="N57" i="7"/>
  <c r="O57" i="7" s="1"/>
  <c r="M57" i="7"/>
  <c r="L57" i="7"/>
  <c r="N56" i="7"/>
  <c r="O56" i="7" s="1"/>
  <c r="M56" i="7"/>
  <c r="L56" i="7"/>
  <c r="N55" i="7"/>
  <c r="O55" i="7" s="1"/>
  <c r="M55" i="7"/>
  <c r="L55" i="7"/>
  <c r="N54" i="7"/>
  <c r="O54" i="7" s="1"/>
  <c r="M54" i="7"/>
  <c r="L54" i="7"/>
  <c r="N53" i="7"/>
  <c r="O53" i="7" s="1"/>
  <c r="M53" i="7"/>
  <c r="L53" i="7"/>
  <c r="N52" i="7"/>
  <c r="O52" i="7" s="1"/>
  <c r="M52" i="7"/>
  <c r="L52" i="7"/>
  <c r="N51" i="7"/>
  <c r="O51" i="7" s="1"/>
  <c r="M51" i="7"/>
  <c r="L51" i="7"/>
  <c r="N50" i="7"/>
  <c r="O50" i="7" s="1"/>
  <c r="M50" i="7"/>
  <c r="L50" i="7"/>
  <c r="N49" i="7"/>
  <c r="O49" i="7" s="1"/>
  <c r="M49" i="7"/>
  <c r="L49" i="7"/>
  <c r="N48" i="7"/>
  <c r="O48" i="7" s="1"/>
  <c r="B14" i="6" s="1"/>
  <c r="M48" i="7"/>
  <c r="L48" i="7"/>
  <c r="N47" i="7"/>
  <c r="O47" i="7" s="1"/>
  <c r="B13" i="6" s="1"/>
  <c r="D13" i="6" s="1"/>
  <c r="M47" i="7"/>
  <c r="L47" i="7"/>
  <c r="N46" i="7"/>
  <c r="O46" i="7" s="1"/>
  <c r="M46" i="7"/>
  <c r="L46" i="7"/>
  <c r="N45" i="7"/>
  <c r="O45" i="7" s="1"/>
  <c r="B25" i="6" s="1"/>
  <c r="M45" i="7"/>
  <c r="L45" i="7"/>
  <c r="N44" i="7"/>
  <c r="O44" i="7" s="1"/>
  <c r="M44" i="7"/>
  <c r="L44" i="7"/>
  <c r="K44" i="7"/>
  <c r="N43" i="7"/>
  <c r="O43" i="7" s="1"/>
  <c r="M43" i="7"/>
  <c r="L43" i="7"/>
  <c r="K43" i="7"/>
  <c r="N42" i="7"/>
  <c r="O42" i="7" s="1"/>
  <c r="M42" i="7"/>
  <c r="L42" i="7"/>
  <c r="K42" i="7"/>
  <c r="N41" i="7"/>
  <c r="O41" i="7" s="1"/>
  <c r="M41" i="7"/>
  <c r="L41" i="7"/>
  <c r="K41" i="7"/>
  <c r="N40" i="7"/>
  <c r="O40" i="7" s="1"/>
  <c r="M40" i="7"/>
  <c r="L40" i="7"/>
  <c r="K40" i="7"/>
  <c r="N39" i="7"/>
  <c r="O39" i="7" s="1"/>
  <c r="M39" i="7"/>
  <c r="L39" i="7"/>
  <c r="K39" i="7"/>
  <c r="N38" i="7"/>
  <c r="O38" i="7" s="1"/>
  <c r="M38" i="7"/>
  <c r="L38" i="7"/>
  <c r="K38" i="7"/>
  <c r="N37" i="7"/>
  <c r="O37" i="7" s="1"/>
  <c r="M37" i="7"/>
  <c r="L37" i="7"/>
  <c r="K37" i="7"/>
  <c r="N36" i="7"/>
  <c r="O36" i="7" s="1"/>
  <c r="M36" i="7"/>
  <c r="L36" i="7"/>
  <c r="K36" i="7"/>
  <c r="N35" i="7"/>
  <c r="O35" i="7" s="1"/>
  <c r="M35" i="7"/>
  <c r="L35" i="7"/>
  <c r="K35" i="7"/>
  <c r="N34" i="7"/>
  <c r="O34" i="7" s="1"/>
  <c r="M34" i="7"/>
  <c r="L34" i="7"/>
  <c r="K34" i="7"/>
  <c r="N33" i="7"/>
  <c r="O33" i="7" s="1"/>
  <c r="M33" i="7"/>
  <c r="L33" i="7"/>
  <c r="K33" i="7"/>
  <c r="N32" i="7"/>
  <c r="O32" i="7" s="1"/>
  <c r="M32" i="7"/>
  <c r="L32" i="7"/>
  <c r="K32" i="7"/>
  <c r="N31" i="7"/>
  <c r="O31" i="7" s="1"/>
  <c r="M31" i="7"/>
  <c r="L31" i="7"/>
  <c r="K31" i="7"/>
  <c r="N30" i="7"/>
  <c r="O30" i="7" s="1"/>
  <c r="M30" i="7"/>
  <c r="L30" i="7"/>
  <c r="K30" i="7"/>
  <c r="N29" i="7"/>
  <c r="O29" i="7" s="1"/>
  <c r="M29" i="7"/>
  <c r="L29" i="7"/>
  <c r="K29" i="7"/>
  <c r="N28" i="7"/>
  <c r="O28" i="7" s="1"/>
  <c r="M28" i="7"/>
  <c r="L28" i="7"/>
  <c r="K28" i="7"/>
  <c r="N27" i="7"/>
  <c r="O27" i="7" s="1"/>
  <c r="M27" i="7"/>
  <c r="L27" i="7"/>
  <c r="K27" i="7"/>
  <c r="N26" i="7"/>
  <c r="O26" i="7" s="1"/>
  <c r="M26" i="7"/>
  <c r="L26" i="7"/>
  <c r="K26" i="7"/>
  <c r="N25" i="7"/>
  <c r="O25" i="7" s="1"/>
  <c r="M25" i="7"/>
  <c r="L25" i="7"/>
  <c r="K25" i="7"/>
  <c r="N24" i="7"/>
  <c r="O24" i="7" s="1"/>
  <c r="M24" i="7"/>
  <c r="L24" i="7"/>
  <c r="K24" i="7"/>
  <c r="N23" i="7"/>
  <c r="O23" i="7" s="1"/>
  <c r="M23" i="7"/>
  <c r="L23" i="7"/>
  <c r="K23" i="7"/>
  <c r="N22" i="7"/>
  <c r="O22" i="7" s="1"/>
  <c r="M22" i="7"/>
  <c r="L22" i="7"/>
  <c r="K22" i="7"/>
  <c r="N21" i="7"/>
  <c r="O21" i="7" s="1"/>
  <c r="M21" i="7"/>
  <c r="L21" i="7"/>
  <c r="K21" i="7"/>
  <c r="N20" i="7"/>
  <c r="O20" i="7" s="1"/>
  <c r="M20" i="7"/>
  <c r="L20" i="7"/>
  <c r="K20" i="7"/>
  <c r="N19" i="7"/>
  <c r="O19" i="7" s="1"/>
  <c r="M19" i="7"/>
  <c r="L19" i="7"/>
  <c r="K19" i="7"/>
  <c r="N18" i="7"/>
  <c r="O18" i="7" s="1"/>
  <c r="M18" i="7"/>
  <c r="L18" i="7"/>
  <c r="K18" i="7"/>
  <c r="N17" i="7"/>
  <c r="O17" i="7" s="1"/>
  <c r="M17" i="7"/>
  <c r="L17" i="7"/>
  <c r="K17" i="7"/>
  <c r="N16" i="7"/>
  <c r="O16" i="7" s="1"/>
  <c r="M16" i="7"/>
  <c r="L16" i="7"/>
  <c r="K16" i="7"/>
  <c r="N15" i="7"/>
  <c r="O15" i="7" s="1"/>
  <c r="B28" i="6" s="1"/>
  <c r="M15" i="7"/>
  <c r="L15" i="7"/>
  <c r="K15" i="7"/>
  <c r="N14" i="7"/>
  <c r="O14" i="7" s="1"/>
  <c r="M14" i="7"/>
  <c r="L14" i="7"/>
  <c r="K14" i="7"/>
  <c r="N13" i="7"/>
  <c r="O13" i="7" s="1"/>
  <c r="M13" i="7"/>
  <c r="L13" i="7"/>
  <c r="K13" i="7"/>
  <c r="N12" i="7"/>
  <c r="O12" i="7" s="1"/>
  <c r="M12" i="7"/>
  <c r="L12" i="7"/>
  <c r="K12" i="7"/>
  <c r="N11" i="7"/>
  <c r="O11" i="7" s="1"/>
  <c r="M11" i="7"/>
  <c r="L11" i="7"/>
  <c r="K11" i="7"/>
  <c r="N10" i="7"/>
  <c r="O10" i="7" s="1"/>
  <c r="M10" i="7"/>
  <c r="L10" i="7"/>
  <c r="K10" i="7"/>
  <c r="N9" i="7"/>
  <c r="O9" i="7" s="1"/>
  <c r="M9" i="7"/>
  <c r="L9" i="7"/>
  <c r="K9" i="7"/>
  <c r="N8" i="7"/>
  <c r="O8" i="7" s="1"/>
  <c r="M8" i="7"/>
  <c r="L8" i="7"/>
  <c r="K8" i="7"/>
  <c r="N7" i="7"/>
  <c r="M7" i="7"/>
  <c r="L7" i="7"/>
  <c r="K7" i="7"/>
  <c r="B18" i="1"/>
  <c r="E7" i="5"/>
  <c r="D7" i="5"/>
  <c r="A40" i="5"/>
  <c r="T40" i="5"/>
  <c r="V40" i="5"/>
  <c r="W40" i="5" s="1"/>
  <c r="X40" i="5"/>
  <c r="Z40" i="5" s="1"/>
  <c r="AA40" i="5" s="1"/>
  <c r="A41" i="5"/>
  <c r="J41" i="5"/>
  <c r="T41" i="5"/>
  <c r="V41" i="5" s="1"/>
  <c r="W41" i="5" s="1"/>
  <c r="J42" i="5"/>
  <c r="T42" i="5"/>
  <c r="X42" i="5" s="1"/>
  <c r="Z42" i="5" s="1"/>
  <c r="AA42" i="5" s="1"/>
  <c r="A43" i="5"/>
  <c r="J43" i="5"/>
  <c r="T43" i="5"/>
  <c r="V43" i="5" s="1"/>
  <c r="W43" i="5" s="1"/>
  <c r="A44" i="5"/>
  <c r="J44" i="5"/>
  <c r="T44" i="5"/>
  <c r="V44" i="5" s="1"/>
  <c r="W44" i="5" s="1"/>
  <c r="A45" i="5"/>
  <c r="J45" i="5"/>
  <c r="T45" i="5"/>
  <c r="X45" i="5" s="1"/>
  <c r="Z45" i="5" s="1"/>
  <c r="AA45" i="5" s="1"/>
  <c r="V45" i="5"/>
  <c r="W45" i="5" s="1"/>
  <c r="J46" i="5"/>
  <c r="T46" i="5"/>
  <c r="V46" i="5" s="1"/>
  <c r="W46" i="5" s="1"/>
  <c r="J47" i="5"/>
  <c r="T47" i="5"/>
  <c r="V47" i="5" s="1"/>
  <c r="W47" i="5" s="1"/>
  <c r="A48" i="5"/>
  <c r="J48" i="5"/>
  <c r="T48" i="5"/>
  <c r="V48" i="5"/>
  <c r="W48" i="5"/>
  <c r="X48" i="5"/>
  <c r="Z48" i="5" s="1"/>
  <c r="AA48" i="5" s="1"/>
  <c r="A49" i="5"/>
  <c r="J49" i="5"/>
  <c r="T49" i="5"/>
  <c r="V49" i="5" s="1"/>
  <c r="W49" i="5" s="1"/>
  <c r="X49" i="5"/>
  <c r="Z49" i="5" s="1"/>
  <c r="AA49" i="5" s="1"/>
  <c r="A50" i="5"/>
  <c r="J50" i="5"/>
  <c r="T50" i="5"/>
  <c r="V50" i="5" s="1"/>
  <c r="W50" i="5" s="1"/>
  <c r="A51" i="5"/>
  <c r="J51" i="5"/>
  <c r="T51" i="5"/>
  <c r="V51" i="5" s="1"/>
  <c r="W51" i="5" s="1"/>
  <c r="A52" i="5"/>
  <c r="J52" i="5"/>
  <c r="T52" i="5"/>
  <c r="V52" i="5" s="1"/>
  <c r="W52" i="5" s="1"/>
  <c r="X52" i="5"/>
  <c r="Z52" i="5" s="1"/>
  <c r="AA52" i="5" s="1"/>
  <c r="J53" i="5"/>
  <c r="T53" i="5"/>
  <c r="X53" i="5" s="1"/>
  <c r="Z53" i="5" s="1"/>
  <c r="AA53" i="5" s="1"/>
  <c r="V53" i="5"/>
  <c r="W53" i="5" s="1"/>
  <c r="A54" i="5"/>
  <c r="J54" i="5"/>
  <c r="T54" i="5"/>
  <c r="X54" i="5" s="1"/>
  <c r="Z54" i="5" s="1"/>
  <c r="AA54" i="5" s="1"/>
  <c r="J55" i="5"/>
  <c r="T55" i="5"/>
  <c r="V55" i="5" s="1"/>
  <c r="W55" i="5" s="1"/>
  <c r="T56" i="5"/>
  <c r="X56" i="5" s="1"/>
  <c r="Z56" i="5" s="1"/>
  <c r="AA56" i="5" s="1"/>
  <c r="V56" i="5"/>
  <c r="W56" i="5" s="1"/>
  <c r="T65" i="5"/>
  <c r="X65" i="5" s="1"/>
  <c r="T64" i="5"/>
  <c r="V64" i="5" s="1"/>
  <c r="W64" i="5" s="1"/>
  <c r="J64" i="5"/>
  <c r="A64" i="5"/>
  <c r="T32" i="5"/>
  <c r="X32" i="5" s="1"/>
  <c r="T31" i="5"/>
  <c r="V31" i="5" s="1"/>
  <c r="W31" i="5" s="1"/>
  <c r="J31" i="5"/>
  <c r="A31" i="5"/>
  <c r="T30" i="5"/>
  <c r="X30" i="5" s="1"/>
  <c r="J30" i="5"/>
  <c r="T29" i="5"/>
  <c r="V29" i="5" s="1"/>
  <c r="W29" i="5" s="1"/>
  <c r="J29" i="5"/>
  <c r="T28" i="5"/>
  <c r="V28" i="5" s="1"/>
  <c r="W28" i="5" s="1"/>
  <c r="J28" i="5"/>
  <c r="A28" i="5"/>
  <c r="T27" i="5"/>
  <c r="X27" i="5" s="1"/>
  <c r="J27" i="5"/>
  <c r="A27" i="5"/>
  <c r="T26" i="5"/>
  <c r="V26" i="5" s="1"/>
  <c r="J26" i="5"/>
  <c r="A26" i="5"/>
  <c r="T25" i="5"/>
  <c r="V25" i="5" s="1"/>
  <c r="W25" i="5" s="1"/>
  <c r="J25" i="5"/>
  <c r="T24" i="5"/>
  <c r="J24" i="5"/>
  <c r="A24" i="5"/>
  <c r="T23" i="5"/>
  <c r="X23" i="5" s="1"/>
  <c r="A23" i="5"/>
  <c r="C16" i="5"/>
  <c r="E16" i="5" s="1"/>
  <c r="D12" i="5"/>
  <c r="C12" i="5"/>
  <c r="G44" i="5" s="1"/>
  <c r="B12" i="5"/>
  <c r="F49" i="5" s="1"/>
  <c r="J17" i="9" l="1"/>
  <c r="B19" i="12"/>
  <c r="B28" i="12"/>
  <c r="L9" i="9"/>
  <c r="G26" i="10"/>
  <c r="C28" i="12" s="1"/>
  <c r="E32" i="10"/>
  <c r="L9" i="11"/>
  <c r="D29" i="12"/>
  <c r="E29" i="12" s="1"/>
  <c r="C35" i="6" s="1"/>
  <c r="D21" i="12"/>
  <c r="E21" i="12" s="1"/>
  <c r="C25" i="6" s="1"/>
  <c r="D25" i="6" s="1"/>
  <c r="B36" i="6"/>
  <c r="B35" i="6"/>
  <c r="B16" i="6"/>
  <c r="D36" i="6"/>
  <c r="D28" i="12"/>
  <c r="D24" i="12"/>
  <c r="E24" i="12" s="1"/>
  <c r="C28" i="6" s="1"/>
  <c r="D28" i="6" s="1"/>
  <c r="D25" i="12"/>
  <c r="E25" i="12" s="1"/>
  <c r="C29" i="6" s="1"/>
  <c r="D23" i="12"/>
  <c r="E23" i="12" s="1"/>
  <c r="C27" i="6" s="1"/>
  <c r="D17" i="12"/>
  <c r="E17" i="12" s="1"/>
  <c r="C20" i="6" s="1"/>
  <c r="D22" i="12"/>
  <c r="D19" i="12"/>
  <c r="D18" i="12"/>
  <c r="E18" i="12" s="1"/>
  <c r="C22" i="6" s="1"/>
  <c r="D16" i="12"/>
  <c r="E16" i="12" s="1"/>
  <c r="C18" i="6" s="1"/>
  <c r="D18" i="6" s="1"/>
  <c r="D15" i="12"/>
  <c r="D14" i="12"/>
  <c r="D12" i="12"/>
  <c r="E12" i="12" s="1"/>
  <c r="C14" i="6" s="1"/>
  <c r="D14" i="6" s="1"/>
  <c r="D10" i="12"/>
  <c r="E10" i="12" s="1"/>
  <c r="C11" i="6" s="1"/>
  <c r="D11" i="6" s="1"/>
  <c r="I6" i="11"/>
  <c r="D8" i="12"/>
  <c r="I16" i="11"/>
  <c r="H16" i="11"/>
  <c r="J38" i="11"/>
  <c r="J25" i="11"/>
  <c r="L14" i="11"/>
  <c r="B22" i="12"/>
  <c r="E22" i="12" s="1"/>
  <c r="C26" i="6" s="1"/>
  <c r="D26" i="6" s="1"/>
  <c r="B20" i="12"/>
  <c r="E20" i="12" s="1"/>
  <c r="C24" i="6" s="1"/>
  <c r="B15" i="12"/>
  <c r="B14" i="12"/>
  <c r="E14" i="12" s="1"/>
  <c r="C16" i="6" s="1"/>
  <c r="B13" i="12"/>
  <c r="E13" i="12" s="1"/>
  <c r="C15" i="6" s="1"/>
  <c r="B11" i="12"/>
  <c r="E11" i="12" s="1"/>
  <c r="C12" i="6" s="1"/>
  <c r="B8" i="12"/>
  <c r="E8" i="12" s="1"/>
  <c r="C8" i="6" s="1"/>
  <c r="B9" i="12"/>
  <c r="H23" i="9"/>
  <c r="B34" i="6"/>
  <c r="B22" i="6"/>
  <c r="B33" i="6"/>
  <c r="B32" i="6"/>
  <c r="D32" i="6" s="1"/>
  <c r="B31" i="6"/>
  <c r="D31" i="6" s="1"/>
  <c r="B27" i="6"/>
  <c r="B29" i="6"/>
  <c r="B24" i="6"/>
  <c r="B21" i="6"/>
  <c r="D21" i="6" s="1"/>
  <c r="B15" i="6"/>
  <c r="B23" i="6"/>
  <c r="B17" i="6"/>
  <c r="B20" i="6"/>
  <c r="D20" i="6" s="1"/>
  <c r="B12" i="6"/>
  <c r="B10" i="6"/>
  <c r="B7" i="6"/>
  <c r="B8" i="6"/>
  <c r="B9" i="6"/>
  <c r="D9" i="6" s="1"/>
  <c r="H7" i="9"/>
  <c r="H17" i="9"/>
  <c r="I17" i="9"/>
  <c r="I23" i="9"/>
  <c r="B6" i="6"/>
  <c r="D6" i="6" s="1"/>
  <c r="L29" i="11"/>
  <c r="L28" i="11"/>
  <c r="L15" i="11"/>
  <c r="L11" i="11"/>
  <c r="L10" i="11"/>
  <c r="L7" i="11"/>
  <c r="H6" i="11"/>
  <c r="J6" i="11"/>
  <c r="L22" i="11"/>
  <c r="L8" i="11"/>
  <c r="H9" i="10"/>
  <c r="I9" i="10" s="1"/>
  <c r="E17" i="10"/>
  <c r="G17" i="10" s="1"/>
  <c r="F32" i="10"/>
  <c r="F20" i="10"/>
  <c r="G20" i="10" s="1"/>
  <c r="I10" i="10"/>
  <c r="H11" i="10"/>
  <c r="I11" i="10" s="1"/>
  <c r="G12" i="10"/>
  <c r="J7" i="9"/>
  <c r="I7" i="9"/>
  <c r="J23" i="9"/>
  <c r="L27" i="9"/>
  <c r="L18" i="9"/>
  <c r="L17" i="9" s="1"/>
  <c r="N35" i="8"/>
  <c r="Q35" i="8"/>
  <c r="M75" i="7"/>
  <c r="N75" i="7"/>
  <c r="O7" i="7"/>
  <c r="X43" i="5"/>
  <c r="Z43" i="5" s="1"/>
  <c r="AA43" i="5" s="1"/>
  <c r="X64" i="5"/>
  <c r="F53" i="5"/>
  <c r="V42" i="5"/>
  <c r="W42" i="5" s="1"/>
  <c r="Z65" i="5"/>
  <c r="AA65" i="5" s="1"/>
  <c r="W57" i="5"/>
  <c r="G52" i="5"/>
  <c r="G48" i="5"/>
  <c r="X44" i="5"/>
  <c r="Z44" i="5" s="1"/>
  <c r="AA44" i="5" s="1"/>
  <c r="F52" i="5"/>
  <c r="F48" i="5"/>
  <c r="G43" i="5"/>
  <c r="V54" i="5"/>
  <c r="W54" i="5" s="1"/>
  <c r="F43" i="5"/>
  <c r="F51" i="5"/>
  <c r="F47" i="5"/>
  <c r="G42" i="5"/>
  <c r="G55" i="5"/>
  <c r="X51" i="5"/>
  <c r="Z51" i="5" s="1"/>
  <c r="AA51" i="5" s="1"/>
  <c r="X47" i="5"/>
  <c r="Z47" i="5" s="1"/>
  <c r="AA47" i="5" s="1"/>
  <c r="G46" i="5"/>
  <c r="F42" i="5"/>
  <c r="F55" i="5"/>
  <c r="G50" i="5"/>
  <c r="F46" i="5"/>
  <c r="G41" i="5"/>
  <c r="F44" i="5"/>
  <c r="G51" i="5"/>
  <c r="G47" i="5"/>
  <c r="X55" i="5"/>
  <c r="Z55" i="5" s="1"/>
  <c r="AA55" i="5" s="1"/>
  <c r="G54" i="5"/>
  <c r="F50" i="5"/>
  <c r="X46" i="5"/>
  <c r="Z46" i="5" s="1"/>
  <c r="AA46" i="5" s="1"/>
  <c r="G45" i="5"/>
  <c r="F41" i="5"/>
  <c r="F54" i="5"/>
  <c r="X50" i="5"/>
  <c r="Z50" i="5" s="1"/>
  <c r="AA50" i="5" s="1"/>
  <c r="F45" i="5"/>
  <c r="X41" i="5"/>
  <c r="Z41" i="5" s="1"/>
  <c r="AA41" i="5" s="1"/>
  <c r="G40" i="5"/>
  <c r="X31" i="5"/>
  <c r="G49" i="5"/>
  <c r="I49" i="5" s="1"/>
  <c r="F40" i="5"/>
  <c r="G53" i="5"/>
  <c r="I53" i="5" s="1"/>
  <c r="X29" i="5"/>
  <c r="Z29" i="5" s="1"/>
  <c r="AA29" i="5" s="1"/>
  <c r="X28" i="5"/>
  <c r="Z32" i="5"/>
  <c r="AA32" i="5" s="1"/>
  <c r="X26" i="5"/>
  <c r="Z26" i="5" s="1"/>
  <c r="Z27" i="5"/>
  <c r="AA27" i="5" s="1"/>
  <c r="X25" i="5"/>
  <c r="Z25" i="5" s="1"/>
  <c r="AA25" i="5" s="1"/>
  <c r="X24" i="5"/>
  <c r="Z24" i="5" s="1"/>
  <c r="AA24" i="5" s="1"/>
  <c r="Z30" i="5"/>
  <c r="AA30" i="5" s="1"/>
  <c r="Z23" i="5"/>
  <c r="AA23" i="5" s="1"/>
  <c r="Z28" i="5"/>
  <c r="AA28" i="5" s="1"/>
  <c r="Z31" i="5"/>
  <c r="AA31" i="5" s="1"/>
  <c r="V65" i="5"/>
  <c r="W65" i="5" s="1"/>
  <c r="W66" i="5" s="1"/>
  <c r="V24" i="5"/>
  <c r="W24" i="5" s="1"/>
  <c r="F27" i="5"/>
  <c r="V30" i="5"/>
  <c r="W30" i="5" s="1"/>
  <c r="F26" i="5"/>
  <c r="F30" i="5"/>
  <c r="Z64" i="5"/>
  <c r="AA64" i="5" s="1"/>
  <c r="V27" i="5"/>
  <c r="W27" i="5" s="1"/>
  <c r="V23" i="5"/>
  <c r="W23" i="5" s="1"/>
  <c r="G26" i="5"/>
  <c r="D16" i="5"/>
  <c r="F31" i="5"/>
  <c r="F64" i="5"/>
  <c r="G31" i="5"/>
  <c r="G30" i="5"/>
  <c r="F23" i="5"/>
  <c r="G27" i="5"/>
  <c r="V32" i="5"/>
  <c r="W32" i="5" s="1"/>
  <c r="G23" i="5"/>
  <c r="F24" i="5"/>
  <c r="F28" i="5"/>
  <c r="G24" i="5"/>
  <c r="G28" i="5"/>
  <c r="F25" i="5"/>
  <c r="F29" i="5"/>
  <c r="G25" i="5"/>
  <c r="G29" i="5"/>
  <c r="E28" i="12" l="1"/>
  <c r="C34" i="6" s="1"/>
  <c r="D16" i="6"/>
  <c r="D15" i="6"/>
  <c r="D35" i="6"/>
  <c r="D12" i="6"/>
  <c r="D22" i="6"/>
  <c r="D34" i="6"/>
  <c r="D29" i="6"/>
  <c r="D27" i="6"/>
  <c r="D8" i="6"/>
  <c r="D24" i="6"/>
  <c r="L25" i="11"/>
  <c r="D27" i="12"/>
  <c r="E27" i="12" s="1"/>
  <c r="C33" i="6" s="1"/>
  <c r="D33" i="6" s="1"/>
  <c r="L38" i="11"/>
  <c r="D9" i="12"/>
  <c r="D31" i="12" s="1"/>
  <c r="J16" i="11"/>
  <c r="J39" i="11" s="1"/>
  <c r="L6" i="11"/>
  <c r="L16" i="11"/>
  <c r="B31" i="12"/>
  <c r="O75" i="7"/>
  <c r="B19" i="6"/>
  <c r="D19" i="6" s="1"/>
  <c r="I12" i="10"/>
  <c r="C6" i="12" s="1"/>
  <c r="G21" i="10"/>
  <c r="C15" i="12" s="1"/>
  <c r="E15" i="12" s="1"/>
  <c r="C17" i="6" s="1"/>
  <c r="H12" i="10"/>
  <c r="J32" i="9"/>
  <c r="N53" i="5"/>
  <c r="P53" i="5"/>
  <c r="AA66" i="5"/>
  <c r="N48" i="5"/>
  <c r="O48" i="5"/>
  <c r="P48" i="5"/>
  <c r="I48" i="5"/>
  <c r="Q48" i="5" s="1"/>
  <c r="N52" i="5"/>
  <c r="O52" i="5"/>
  <c r="P52" i="5"/>
  <c r="I52" i="5"/>
  <c r="Q52" i="5"/>
  <c r="I40" i="5"/>
  <c r="N40" i="5"/>
  <c r="O40" i="5"/>
  <c r="P40" i="5"/>
  <c r="O45" i="5"/>
  <c r="I45" i="5"/>
  <c r="N45" i="5"/>
  <c r="P45" i="5"/>
  <c r="I44" i="5"/>
  <c r="N44" i="5"/>
  <c r="O44" i="5"/>
  <c r="P44" i="5"/>
  <c r="P47" i="5"/>
  <c r="O47" i="5"/>
  <c r="I47" i="5"/>
  <c r="N47" i="5"/>
  <c r="P49" i="5"/>
  <c r="I54" i="5"/>
  <c r="N54" i="5"/>
  <c r="O54" i="5"/>
  <c r="P54" i="5"/>
  <c r="Q54" i="5" s="1"/>
  <c r="I46" i="5"/>
  <c r="N46" i="5"/>
  <c r="O46" i="5"/>
  <c r="P46" i="5"/>
  <c r="P51" i="5"/>
  <c r="O51" i="5"/>
  <c r="I51" i="5"/>
  <c r="N51" i="5"/>
  <c r="O49" i="5"/>
  <c r="I41" i="5"/>
  <c r="N41" i="5"/>
  <c r="O41" i="5"/>
  <c r="P41" i="5"/>
  <c r="Q45" i="5"/>
  <c r="O53" i="5"/>
  <c r="Q53" i="5" s="1"/>
  <c r="N43" i="5"/>
  <c r="O43" i="5"/>
  <c r="P43" i="5"/>
  <c r="I43" i="5"/>
  <c r="N49" i="5"/>
  <c r="I55" i="5"/>
  <c r="N55" i="5"/>
  <c r="P55" i="5"/>
  <c r="O55" i="5"/>
  <c r="Q55" i="5" s="1"/>
  <c r="N50" i="5"/>
  <c r="O50" i="5"/>
  <c r="I50" i="5"/>
  <c r="Q50" i="5" s="1"/>
  <c r="P50" i="5"/>
  <c r="I42" i="5"/>
  <c r="P42" i="5"/>
  <c r="N42" i="5"/>
  <c r="O42" i="5"/>
  <c r="O26" i="5"/>
  <c r="N30" i="5"/>
  <c r="O27" i="5"/>
  <c r="O30" i="5"/>
  <c r="N27" i="5"/>
  <c r="I28" i="5"/>
  <c r="O28" i="5"/>
  <c r="P28" i="5"/>
  <c r="N28" i="5"/>
  <c r="N26" i="5"/>
  <c r="I27" i="5"/>
  <c r="I24" i="5"/>
  <c r="P24" i="5"/>
  <c r="O24" i="5"/>
  <c r="N24" i="5"/>
  <c r="P30" i="5"/>
  <c r="P27" i="5"/>
  <c r="P26" i="5"/>
  <c r="P23" i="5"/>
  <c r="O23" i="5"/>
  <c r="N23" i="5"/>
  <c r="I23" i="5"/>
  <c r="P64" i="5"/>
  <c r="O64" i="5"/>
  <c r="N64" i="5"/>
  <c r="I64" i="5"/>
  <c r="P29" i="5"/>
  <c r="O29" i="5"/>
  <c r="N29" i="5"/>
  <c r="I29" i="5"/>
  <c r="I31" i="5"/>
  <c r="N31" i="5"/>
  <c r="P31" i="5"/>
  <c r="O31" i="5"/>
  <c r="I26" i="5"/>
  <c r="I25" i="5"/>
  <c r="P25" i="5"/>
  <c r="O25" i="5"/>
  <c r="N25" i="5"/>
  <c r="I30" i="5"/>
  <c r="E6" i="12" l="1"/>
  <c r="C7" i="6" s="1"/>
  <c r="D7" i="6" s="1"/>
  <c r="E9" i="12"/>
  <c r="D17" i="6"/>
  <c r="L39" i="11"/>
  <c r="B37" i="6"/>
  <c r="B21" i="1" s="1"/>
  <c r="Q46" i="5"/>
  <c r="Q49" i="5"/>
  <c r="Q43" i="5"/>
  <c r="Q51" i="5"/>
  <c r="Q47" i="5"/>
  <c r="Q41" i="5"/>
  <c r="Q42" i="5"/>
  <c r="Q44" i="5"/>
  <c r="Q40" i="5"/>
  <c r="Q28" i="5"/>
  <c r="Q23" i="5"/>
  <c r="Q30" i="5"/>
  <c r="Q27" i="5"/>
  <c r="Q31" i="5"/>
  <c r="Q25" i="5"/>
  <c r="Q26" i="5"/>
  <c r="S26" i="5" s="1"/>
  <c r="W26" i="5" s="1"/>
  <c r="W33" i="5" s="1"/>
  <c r="Q24" i="5"/>
  <c r="Q29" i="5"/>
  <c r="Q64" i="5"/>
  <c r="C10" i="6" l="1"/>
  <c r="AA26" i="5"/>
  <c r="AA33" i="5" s="1"/>
  <c r="D10" i="6" l="1"/>
  <c r="B25" i="1"/>
  <c r="C30" i="1"/>
  <c r="C29" i="1"/>
  <c r="C27" i="1"/>
  <c r="B26" i="1" l="1"/>
  <c r="B22" i="1" l="1"/>
  <c r="E8" i="4"/>
  <c r="E10" i="4" s="1"/>
  <c r="B17" i="1"/>
  <c r="B16" i="1"/>
  <c r="B15" i="1" s="1"/>
  <c r="C16" i="3"/>
  <c r="B16" i="3"/>
  <c r="E30" i="3"/>
  <c r="E26" i="3"/>
  <c r="E22" i="3"/>
  <c r="G30" i="3"/>
  <c r="G26" i="3"/>
  <c r="G22" i="3"/>
  <c r="H22" i="3" l="1"/>
  <c r="H26" i="3"/>
  <c r="H30" i="3"/>
  <c r="D6" i="3" l="1"/>
  <c r="F9" i="3"/>
  <c r="C9" i="3"/>
  <c r="F8" i="3"/>
  <c r="G8" i="3" s="1"/>
  <c r="F7" i="3"/>
  <c r="C7" i="3"/>
  <c r="G7" i="3" s="1"/>
  <c r="G9" i="3" l="1"/>
  <c r="G6" i="3" s="1"/>
  <c r="I6" i="3" s="1"/>
  <c r="H9" i="3"/>
  <c r="C6" i="3"/>
  <c r="H8" i="3"/>
  <c r="H7" i="3"/>
  <c r="H6" i="3" l="1"/>
  <c r="J6" i="3" s="1"/>
  <c r="C10" i="1" l="1"/>
  <c r="D10" i="1" s="1"/>
  <c r="C9" i="1"/>
  <c r="D9" i="1" s="1"/>
  <c r="C8" i="1"/>
  <c r="C35" i="2"/>
  <c r="B35" i="2"/>
  <c r="D32" i="2"/>
  <c r="D31" i="2"/>
  <c r="C32" i="2"/>
  <c r="C31" i="2"/>
  <c r="B32" i="2"/>
  <c r="D23" i="2"/>
  <c r="C23" i="2"/>
  <c r="B23" i="2"/>
  <c r="E22" i="2"/>
  <c r="F22" i="2" s="1"/>
  <c r="B11" i="2"/>
  <c r="B16" i="2" s="1"/>
  <c r="B9" i="2"/>
  <c r="B10" i="2" s="1"/>
  <c r="B12" i="2" s="1"/>
  <c r="B7" i="1"/>
  <c r="C7" i="1" l="1"/>
  <c r="B13" i="2"/>
  <c r="C16" i="2" s="1"/>
  <c r="D8" i="1"/>
  <c r="D7" i="1" s="1"/>
  <c r="G22" i="2"/>
  <c r="G23" i="2" s="1"/>
  <c r="F23" i="2"/>
  <c r="E23" i="2"/>
  <c r="L31" i="9" l="1"/>
  <c r="L23" i="9" s="1"/>
  <c r="L8" i="9"/>
  <c r="L7" i="9" s="1"/>
  <c r="L32" i="9" s="1"/>
  <c r="G32" i="10" l="1"/>
  <c r="C19" i="12"/>
  <c r="C31" i="12" s="1"/>
  <c r="I33" i="10"/>
  <c r="I32" i="10" s="1"/>
  <c r="E19" i="12" l="1"/>
  <c r="E31" i="12" l="1"/>
  <c r="C23" i="6"/>
  <c r="D23" i="6" l="1"/>
  <c r="D37" i="6" s="1"/>
  <c r="C37" i="6"/>
  <c r="B20" i="1" s="1"/>
  <c r="C28" i="1" l="1"/>
  <c r="C25" i="1" s="1"/>
  <c r="B19" i="1"/>
  <c r="B14" i="1" s="1"/>
</calcChain>
</file>

<file path=xl/sharedStrings.xml><?xml version="1.0" encoding="utf-8"?>
<sst xmlns="http://schemas.openxmlformats.org/spreadsheetml/2006/main" count="1097" uniqueCount="358">
  <si>
    <t>Papildus piešķirtais finansējums, EUR</t>
  </si>
  <si>
    <t>KOPĀ, tai skaitā:</t>
  </si>
  <si>
    <t xml:space="preserve">Personām ar 1. grupas invaliditāti </t>
  </si>
  <si>
    <t>Recepšu medikamentiem, kam vienības cena ir līdz 10 euro</t>
  </si>
  <si>
    <t>Pielāgojumu informācijas sistēmā un to uzturēšana kontekstā ar farmaceita pakalpojuma apmaksu veikšanai</t>
  </si>
  <si>
    <t>Indikatīvi prognozētais finansējuma izlietojums, ņemot vērā, ka prioritārajā pasākumā no 2026. gada plānoto farmaceita pakalpojuma maksas atvieglojumi tiks ieviesti no 2026. gada 1. jūlija (par recepšu medikamentiem ar vienības cenu līdz 10 euro) un no 2026. gada 1. septembra (farmaceita pakalpojuma maksas segšana personām ar 1. grupas invaliditāti)</t>
  </si>
  <si>
    <t>1. Maksas par farmaceita pakalpojuma sniegšanu segšana 100% apmērā no valsts budžeta līdzekļiem personām ar 1. grupas invaliditāti</t>
  </si>
  <si>
    <t>Indikatīvi prognozētā izpilde, EUR</t>
  </si>
  <si>
    <t>Personas ar 1. grupas invaliditāti, skaits</t>
  </si>
  <si>
    <t>Recepšu skaits GADĀ, kam tiks segta FP maksa (vid. 20 receptes uz personu)</t>
  </si>
  <si>
    <t xml:space="preserve">Recepšu skaits 2026. gadā, kam tiks segta FP maksa * </t>
  </si>
  <si>
    <t>PP plānotais finansējums GADAM</t>
  </si>
  <si>
    <t>Kopā, EUR</t>
  </si>
  <si>
    <t>* PP tiks ieviests no 2026. gada 1. septembra</t>
  </si>
  <si>
    <t>Indikatīvi prognozētais finansējuma izlietojums 2026. gadam *</t>
  </si>
  <si>
    <t>Indikatīvi prognozētais finansējuma izlietojums 2027. gadam un turpmāk ik gadu</t>
  </si>
  <si>
    <t>Indikatīvi prognozētā neizpilde</t>
  </si>
  <si>
    <t>2027. gads un turpmāk ik gadu, EUR</t>
  </si>
  <si>
    <t xml:space="preserve">2.	Maksas par farmaceita pakalpojuma sniegšanu segšana 100% apmērā no valsts budžeta līdzekļiem par recepšu medikamentiem, kam vienības cena ir līdz 10 euro </t>
  </si>
  <si>
    <t>Prioritārajā pasākumā plānotais un papildus piešķirtais 2026. gadam</t>
  </si>
  <si>
    <t>Prioritārajā pasākumā plānotais un papildus piešķirtais 2027. gadam un turpmāk ik gadu</t>
  </si>
  <si>
    <t>Faktiskā izpilde 2025. gada janvāris - novembris</t>
  </si>
  <si>
    <t>Pacienta maksas daļa par farmaceita pakalpojumu recepšu zālēm līdz 10 euro par iepakojumu, EUR</t>
  </si>
  <si>
    <t>Indikatīvā prognoze finansējuma izlietojumam 2026. gada 1.jūlijs - 31. decembris  *</t>
  </si>
  <si>
    <t>* PP tiks ieviests no 2026. gada 1. jūlija</t>
  </si>
  <si>
    <t>** papildu nepieciešamais finansējums farmaceita pakalpojuma segšanai 100% apmērā no valsts budžeta par recepšu zālēm ar iepakojuma cenu līdz 10 euro, balstoties uz 2025. gada 11 mēnešu izpildi ir mazāks, nekā veicot sākotnējo prognozi uz 2025. gada 7 mēnešu faktisko izpildi</t>
  </si>
  <si>
    <t>Indikatīvā prognoze gadam, balstoties uz 2025. gadam 11 mēnešu faktisko izpildi **</t>
  </si>
  <si>
    <t>Receptes (skaits) ***</t>
  </si>
  <si>
    <t>Pacienti, kuri iegādāsies kompensējamās recepšu zāles ar iepakojuma aptiekas cenu līdz 10 euro un zāļu kompensāciju 100% apmērā  no farmaceita pakalpojuma maksas 0,75 euro apmērā netiks atbrīvoti</t>
  </si>
  <si>
    <t>Indikatīvā izdevumu samazinājuma prognoze gadam, balstoties uz 2025. gadam 11 mēnešu faktisko izpildi</t>
  </si>
  <si>
    <t>Indikatīvā izdevumu samazinājuma prognoze 2026. gada 1.jūlijs - 31. decembris</t>
  </si>
  <si>
    <t xml:space="preserve">Receptes ar 100% kompensāciju ar cenu līdz 10 euro (skaits) </t>
  </si>
  <si>
    <t>Pacienta maksas daļa par farmaceita pakalpojumu recepšu zālēm līdz 10 euro par iepakojumu 100% valsts kompensētām zālēm, EUR</t>
  </si>
  <si>
    <t>2026. gads</t>
  </si>
  <si>
    <t>Indikatīvā prognoze finansējuma izlietojumam gadam ar 5 % rezervi *</t>
  </si>
  <si>
    <r>
      <t>*** plānotajā recepšu skaitā arī receptes grūtniecēm (diagnozes kods Z 33) un sievietēm līdz 70 pēcdzemdību perioda dienai (diagnozes kods Z 39.2), iegādājoties minētām diagnozēm paredzētās kompensējamo zāļu M saraksta zāles ar 25% kompensāciju un kuru iepakojuma aptiekas</t>
    </r>
    <r>
      <rPr>
        <b/>
        <i/>
        <sz val="11"/>
        <color theme="1"/>
        <rFont val="Aptos Narrow"/>
        <family val="2"/>
        <scheme val="minor"/>
      </rPr>
      <t xml:space="preserve"> cena ir līdz 10 euro (tika apkopots kopējais recepšu skaits medikamentiem </t>
    </r>
    <r>
      <rPr>
        <b/>
        <i/>
        <u/>
        <sz val="11"/>
        <color theme="1"/>
        <rFont val="Aptos Narrow"/>
        <family val="2"/>
        <scheme val="minor"/>
      </rPr>
      <t>ar cenu līdz 10 euro</t>
    </r>
    <r>
      <rPr>
        <b/>
        <i/>
        <sz val="11"/>
        <color theme="1"/>
        <rFont val="Aptos Narrow"/>
        <family val="2"/>
        <scheme val="minor"/>
      </rPr>
      <t>)</t>
    </r>
  </si>
  <si>
    <t>Indikatīvi prognozētā neizpilde, EUR</t>
  </si>
  <si>
    <t>1. Pielikums rīkojuma projekta "Par apropriācijas pārdali" anotācijai</t>
  </si>
  <si>
    <t>2026. – 2028. gada prioritārā pasākumam 29_04_P “Medikamentu pieejamības stiprināšana medikamentu cenu segmentā līdz 10 euro un invalīdiem (farmācijas pakalpojuma līdzfinansējuma korekcija)” papildus piešķirtais finansējums, 2026. gada prognozētā izpilde un neizpildes novirzīšana citiem mērķiem</t>
  </si>
  <si>
    <t>2. Pielikums rīkojuma projekta "Par apropriācijas pārdali" anotācijai</t>
  </si>
  <si>
    <t>Pārdales 2026.gadam no prioritārā pasākuma neizpildes uz citiem pasākumiem</t>
  </si>
  <si>
    <t>Budžeta apakšprogramma</t>
  </si>
  <si>
    <t>Gripas vakcīnu iegādei</t>
  </si>
  <si>
    <t>Papildus novirzāmais finansējums, EUR</t>
  </si>
  <si>
    <t>Vakcīnas nosaukums</t>
  </si>
  <si>
    <t>Cena bez PVN, EUR</t>
  </si>
  <si>
    <t xml:space="preserve">Cena ar PVN, EUR </t>
  </si>
  <si>
    <t>Augstu devu vakcīna pret gripas vīrusa infekciju</t>
  </si>
  <si>
    <t>Efluelda</t>
  </si>
  <si>
    <t>Intranazāli lietojama vakcīna pret gripas vīrusa infekciju (bērniem)</t>
  </si>
  <si>
    <t>Fluenz</t>
  </si>
  <si>
    <t>Standarta vakcīna pret gripas vīrusa infekciju</t>
  </si>
  <si>
    <t>Vaxigrip</t>
  </si>
  <si>
    <t>Plānotais daudzums 2026./2027. gada sezonai (NVD esošā budžeta ietvaros)</t>
  </si>
  <si>
    <t>1. Plānotais finansējums gripas vakcīnām 2026./2027. gada sezonai un papildus nepieciešamais</t>
  </si>
  <si>
    <t>KOPĀ</t>
  </si>
  <si>
    <t>Papildus nepieciešamais daudzums, lai paplašinātu vakscinācijas aptveri riska grupā</t>
  </si>
  <si>
    <t>Līguma summa ar PVN (ar papildus devām), EUR</t>
  </si>
  <si>
    <t>NVD esošais budžets gripas vakcīnu nodrošināšanai, EUR</t>
  </si>
  <si>
    <t>Papildus nepieciešamais finansējums papildus devu nodrošināšanai, EUR</t>
  </si>
  <si>
    <t>3. Pielikums rīkojuma projekta "Par apropriācijas pārdali" anotācijai</t>
  </si>
  <si>
    <t>Vecuma grupa</t>
  </si>
  <si>
    <t>Rekomendētā vakcinācijas aptvere</t>
  </si>
  <si>
    <t>Prognozējamais daudzums (vakcīnas devas apaļojot)</t>
  </si>
  <si>
    <t>Prognozējamais daudzums 2026.gadam no jūlija (40% no gada aprēķina)</t>
  </si>
  <si>
    <t>Vakcīna pret masalām, masaliņām un epidēmisko parotītu (MPR)</t>
  </si>
  <si>
    <t>4 gadi</t>
  </si>
  <si>
    <t>5 gadi</t>
  </si>
  <si>
    <t>6 gadi</t>
  </si>
  <si>
    <t>2. Papildus nepieciešamais finansējums vakcīna pret masalām, masaliņām un epidēmisko parotītu nodrošināšanai</t>
  </si>
  <si>
    <t xml:space="preserve">Vienas devas cena (bez PVN), EUR </t>
  </si>
  <si>
    <t>Vienas devas cena (ar PVN), EUR</t>
  </si>
  <si>
    <t>Līguma summa ar PVN (NVD esošā budžeta ietvaros), EUR</t>
  </si>
  <si>
    <t>Papildus nepieciešamais finansējums vakcīnu iegādei (ar PVN), EUR</t>
  </si>
  <si>
    <t>Papildus nepieciešamais vakcīnu skaits</t>
  </si>
  <si>
    <t>Papildus nepieciešamais finansējums, EUR</t>
  </si>
  <si>
    <t>Vakcīna pret masalām, masaliņām un epidēmisko parotītu</t>
  </si>
  <si>
    <t>Valsts asinsdonoru centram asins komponentu sagatavošanai un izmeklēšanai</t>
  </si>
  <si>
    <t>Nosaukums</t>
  </si>
  <si>
    <t>EKK</t>
  </si>
  <si>
    <t xml:space="preserve">Vienas asins sagatavošanas devas pašizmaksa </t>
  </si>
  <si>
    <t>KOPĀ SUMMA:</t>
  </si>
  <si>
    <t>2026. gada virsplāna sagatavoto asins devu sagatavošanai nepieciešamo finanšu līdzekļu aprēķins</t>
  </si>
  <si>
    <t>Vienas asins devas sagatavošanas pašizmaksa, EUR</t>
  </si>
  <si>
    <t>VADC daļu no papildus izdevumiem virsplāna asins devu sagatavošnai nosegs iestādes esošā finansējuma ietvaros</t>
  </si>
  <si>
    <t>Papildus nepieciešamais  finansējums, EUR</t>
  </si>
  <si>
    <t>Asins devu skaita palielinājums *</t>
  </si>
  <si>
    <t>* prognoze balstīta uz 2025. gada faktisko izpildi, kur virplāna tika sagatvotas 10 757 asins devas</t>
  </si>
  <si>
    <t>39.03.00  Asins un asins komponentu nodrošināšana</t>
  </si>
  <si>
    <t>33.04.00 Centralizēta medikamentu un materiālu iegāde</t>
  </si>
  <si>
    <t>33.03.00 Kompensējamo medikamentu un materiālu apmaksāšana</t>
  </si>
  <si>
    <t>Masalu, masaliņu, epidēmiskā parotīta kombinēto vakcīnu iegādei</t>
  </si>
  <si>
    <t>33.21.00 Stacionāro veselības aprūpes pakalpojumu nodrošināšana</t>
  </si>
  <si>
    <t>Stacionāro ārstniecības iestāžu darbības nepārtrauktības un pieejamības nodrošināšanai, tai skaitā:</t>
  </si>
  <si>
    <t>Sekundāro ambulatoro veselības aprūpes pakalpojumu nepārtrauktības un pieejamības nodrošināšanai stacionārajās ārstniecības iestādēs</t>
  </si>
  <si>
    <t>33.16.00 Pārējo ambulatoro veselības aprūpes pakalpojumu nodrošināšana</t>
  </si>
  <si>
    <t>Kardioloģiskās aprūpes kabineta pilotprojekta realizācijai SIA "Vidzemes slimnīca"</t>
  </si>
  <si>
    <t>Vakcīnu iegādei, tai skaitā:</t>
  </si>
  <si>
    <t>KOPĀ, tai skaitā pa APAKŠPROGRAMMĀM:</t>
  </si>
  <si>
    <t>2026. GADA neizpilde PP “Medikamentu pieejamības stiprināšana medikamentu cenu segmentā līdz 10 euro un invalīdiem (farmācijas pakalpojuma līdzfinansējuma korekcija)”  papildu piešķirtā finansējuma ietvaros</t>
  </si>
  <si>
    <t>Pārdale no, EUR</t>
  </si>
  <si>
    <t>Pārdale uz, EUR</t>
  </si>
  <si>
    <t>Pielikums Nr.2.2.1.</t>
  </si>
  <si>
    <t>Apakšprogrammas nosaukums</t>
  </si>
  <si>
    <t> </t>
  </si>
  <si>
    <t>Ārsts</t>
  </si>
  <si>
    <t>Māsa</t>
  </si>
  <si>
    <t>Palīgpersonāls</t>
  </si>
  <si>
    <t>Soc.nodoklis </t>
  </si>
  <si>
    <t xml:space="preserve">Pieskaitāmās un netiešās ražošanas izmaksas </t>
  </si>
  <si>
    <t xml:space="preserve">Administratīvās izmaksas </t>
  </si>
  <si>
    <t xml:space="preserve">Pārējo pamatlīdzekļu amortizācija </t>
  </si>
  <si>
    <t>Mēneša darba samaksa</t>
  </si>
  <si>
    <t>1 minūtes vērtība darba samaksai</t>
  </si>
  <si>
    <t>Koeficienti</t>
  </si>
  <si>
    <t>Pacientu koordinators</t>
  </si>
  <si>
    <t>Amats</t>
  </si>
  <si>
    <t>Slodze</t>
  </si>
  <si>
    <t>Izmaksas mēnesī, euro</t>
  </si>
  <si>
    <t>Izmaksas gadā, euro</t>
  </si>
  <si>
    <t>Koordinators</t>
  </si>
  <si>
    <t>Izmaksas uz gadu</t>
  </si>
  <si>
    <t>Manipulācijas kods</t>
  </si>
  <si>
    <t>Manipulācijas nosaukums</t>
  </si>
  <si>
    <t>Mainīgās izmaksas</t>
  </si>
  <si>
    <t>Kopējās izmaksas, euro</t>
  </si>
  <si>
    <t>Pacienta līdzmaksājums, euro*</t>
  </si>
  <si>
    <t>Tarifs, euro</t>
  </si>
  <si>
    <t>Pacientu skaits vienā kabinetā**</t>
  </si>
  <si>
    <t>Reižu skaits vienam pacientam**</t>
  </si>
  <si>
    <t>Reizes kopā</t>
  </si>
  <si>
    <t>Summa</t>
  </si>
  <si>
    <t>Darba laiks (minūtes)</t>
  </si>
  <si>
    <t>Darba samaksa D, euro</t>
  </si>
  <si>
    <t>Valsts sociālās apdrošināšanas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</si>
  <si>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</si>
  <si>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</si>
  <si>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</si>
  <si>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</si>
  <si>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</si>
  <si>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</si>
  <si>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</si>
  <si>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</si>
  <si>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</si>
  <si>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</si>
  <si>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</si>
  <si>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</si>
  <si>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</si>
  <si>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Ehokardiogrāfija ar doplerogrāfiju</t>
  </si>
  <si>
    <t>Holtera monitorēšana no 18 līdz 24 stundām</t>
  </si>
  <si>
    <t>Jauna1</t>
  </si>
  <si>
    <t>Holtera monitorēšana no 18 līdz 24 stundām  (katras nākamās 24 stundas)</t>
  </si>
  <si>
    <t>Elektrokardiogrammas ar 12 novadījumiem pieraksts</t>
  </si>
  <si>
    <t>Elektrokardiogrammas ar 12 novadījumiem apraksts</t>
  </si>
  <si>
    <t>Veloergometrijas slodzes tests</t>
  </si>
  <si>
    <t>Jauna2</t>
  </si>
  <si>
    <t>Neinvazīvā asinspiediena monitorēšana no 18 līdz 24 stundām</t>
  </si>
  <si>
    <t>Ārsta-speciālista sniegta attālināta konsultācija ģimenes ārstam vai citas specialitātes ārstam-speciālistam (manipulāciju norāda ārsts-speciālists)</t>
  </si>
  <si>
    <t>*Sešu minūšu iešanas tests</t>
  </si>
  <si>
    <t>Kardiolga aprūpes epizode</t>
  </si>
  <si>
    <t>* MK 555 noteikumu 13. pielikums</t>
  </si>
  <si>
    <t>Vienam kabinetam</t>
  </si>
  <si>
    <t>** Latvijas Kardiologu biedrība</t>
  </si>
  <si>
    <t>Pacientu skaits**</t>
  </si>
  <si>
    <t>Elektroimpulsu plānveida terapija (defibrilācija)</t>
  </si>
  <si>
    <t>*Vienkameras elektrokardiostimulatora darbības pārbaude un programmēšana</t>
  </si>
  <si>
    <t>*Divkameru elektrokardiostimulatora darbības pārbaude un programmēšana</t>
  </si>
  <si>
    <t>*Vienkameras ventrikulārā ICD pārbaude un programmēšana</t>
  </si>
  <si>
    <t>*Divkameru (DDD) ICD pārbaude un programmēšana</t>
  </si>
  <si>
    <t>Jauna3</t>
  </si>
  <si>
    <t>Attālināta implantētas sirds ritma kontroles ierīces pārbaude</t>
  </si>
  <si>
    <t>Jauna4</t>
  </si>
  <si>
    <t>Implantētas sirds ritma diagnostikas un ārstēšanas ierīces attālinātas telemonitorēšanas iekārta</t>
  </si>
  <si>
    <t>Kardiologa aprūpes epizode</t>
  </si>
  <si>
    <t>Brahiocefālo asinsvadu dupleksskenēšana ar krāsas doplerogrāfiju un spektra analīzi</t>
  </si>
  <si>
    <t>Neirologa aprūpes epizode</t>
  </si>
  <si>
    <t>Kardioloģiskās aprūpes kabineta pilotprojekta realizācijai SIA "Vidzemes slimnīca" - nodrošināta hronisko pacientu dinamiskā novērošana ar hronisku slimību slimojošiem pacientiem pēc akūta notikuma vai intervences</t>
  </si>
  <si>
    <t>4. Pielikums rīkojuma projekta "Par apropriācijas pārdali" anotācijai</t>
  </si>
  <si>
    <t>Papildus nepieciešamais finansējums GADAM</t>
  </si>
  <si>
    <t>Papildus nepieciešamais finansējums 2026. gadam</t>
  </si>
  <si>
    <t>Izmaksas 4 mēnešiem</t>
  </si>
  <si>
    <t>1 000 pacientu saņēmuši hroniskas slimības intensificētu dinamisko novērošanu (gadā)</t>
  </si>
  <si>
    <t>Plānotā ieviešana: no 2026. gada 1. septembra</t>
  </si>
  <si>
    <t>250 pacienti saņēmuši elektrokardiostimulatora darbības pārbaudi un programmēšanu (gadā)</t>
  </si>
  <si>
    <t>Izmaksas uz 4 mēnešiem</t>
  </si>
  <si>
    <t>2026. gada 4 mēnēšos netiks ieviests</t>
  </si>
  <si>
    <t>1 000 pacientiem vismaz 1 reizi pēc simptomātiska insulta vai tranzitoras išēmiskas lēkmes saņemta neirologa konsultācija un veikta neirosonoloģiskā izmeklēšana (gadā)</t>
  </si>
  <si>
    <t>Papildu nepieciešamais finansējuma apjoms stacionāro ārstniecības iestāžu darbības nepārtrauktības un pieejamības nodrošināšanai</t>
  </si>
  <si>
    <t>Ārstniecības iestādes nosaukums</t>
  </si>
  <si>
    <t>Papildus nepieciešamais finansējums stacionāro pakalpojumu nepārtrauktības un pieejamības nodrošināšanai</t>
  </si>
  <si>
    <t xml:space="preserve">Papildu nepieciešamais finansējums sekundāro ambulatoro veselības aprūpes pakalpojumu nepārtrauktības un pieejamības nodrošināšanai </t>
  </si>
  <si>
    <t>Kopā papildu nepieciešams</t>
  </si>
  <si>
    <t>Aizkraukles klīnika</t>
  </si>
  <si>
    <t>Alūksnes slimnīca</t>
  </si>
  <si>
    <t>Balvu un Gulbenes slimnīcu apvienība</t>
  </si>
  <si>
    <t>Bauskas slimnīca</t>
  </si>
  <si>
    <t>Cēsu klīnika</t>
  </si>
  <si>
    <t>Daugavpils reģionālā slimnīca</t>
  </si>
  <si>
    <t>Dobeles un apkārtnes slimnīca</t>
  </si>
  <si>
    <t>Jelgavas pilsētas slimnīca</t>
  </si>
  <si>
    <t>Jēkabpils reģionālā slimnīca</t>
  </si>
  <si>
    <t>Jūrmalas slimnīca</t>
  </si>
  <si>
    <t>Krāslavas slimnīca</t>
  </si>
  <si>
    <t>Kuldīgas slimnīca</t>
  </si>
  <si>
    <t>Latvijas Jūras medicīnas centrs</t>
  </si>
  <si>
    <t>Liepājas reģionālā slimnīca</t>
  </si>
  <si>
    <t>Limbažu slimnīca</t>
  </si>
  <si>
    <t>Līvānu slimnīca</t>
  </si>
  <si>
    <t>Ludzas medicīnas centrs</t>
  </si>
  <si>
    <t>Madonas slimnīca</t>
  </si>
  <si>
    <t>Ogres rajona slimnīca</t>
  </si>
  <si>
    <t>Paula Stradiņa klīniskā universitātes slimnīca</t>
  </si>
  <si>
    <t>Preiļu slimnīca</t>
  </si>
  <si>
    <t>Rēzeknes slimnīca</t>
  </si>
  <si>
    <t>Rīgas 2. slimnīca</t>
  </si>
  <si>
    <t>Rīgas Austrumu klīniskā universitātes slimnīca</t>
  </si>
  <si>
    <t>Saldus medicīnas centrs</t>
  </si>
  <si>
    <t>Sanare KRC Jaunķemeri</t>
  </si>
  <si>
    <t>Siguldas slimnīca</t>
  </si>
  <si>
    <t>Traumatoloģijas un ortopēdijas slimnīca</t>
  </si>
  <si>
    <t>Tukuma slimnīca</t>
  </si>
  <si>
    <t>Vidzemes slimnīca</t>
  </si>
  <si>
    <t>Ziemeļkurzemes reģionālā slimnīca</t>
  </si>
  <si>
    <t>KOPĀ:</t>
  </si>
  <si>
    <t>5. Pielikums rīkojuma projekta "Par apropriācijas pārdali" anotācijai</t>
  </si>
  <si>
    <t>Papildu nepieciešamais finansējuma stacionāro veselības aprūpes pakalpojumu pārstrāžu segšanai 2026_3M</t>
  </si>
  <si>
    <t>Ārstniecības iestāde</t>
  </si>
  <si>
    <t>Pakalpojuma programmas virssadaļa</t>
  </si>
  <si>
    <t>Pakalpojuma programmas sadaļa</t>
  </si>
  <si>
    <t>Pakalpojuma programmas nosaukums</t>
  </si>
  <si>
    <t>Plāns 2026 (1. rīkojums)</t>
  </si>
  <si>
    <t>Plāns 2026 (janvāris - marts)</t>
  </si>
  <si>
    <t>Izpilde 2026 (janvāris - marts)</t>
  </si>
  <si>
    <t>Papildus nepieciešams pārstrāžu segšanai</t>
  </si>
  <si>
    <t>Pacientu skaits</t>
  </si>
  <si>
    <t>Finansējums, EUR</t>
  </si>
  <si>
    <t>% Pacientu izpilde</t>
  </si>
  <si>
    <t>% Finansējuma izpilde</t>
  </si>
  <si>
    <t>Pacientu skaitu starpība</t>
  </si>
  <si>
    <t>Finansējuma starpība, EUR</t>
  </si>
  <si>
    <t>01. DRG fiksētais maksājums</t>
  </si>
  <si>
    <t>DRG fiksētais maksājums</t>
  </si>
  <si>
    <t>07. Maksājums pa pakalpojumu programmām</t>
  </si>
  <si>
    <t>Hronisko pacientu aprūpe ar ārstēšanās ilgumu līdz 14 gultasdienām</t>
  </si>
  <si>
    <t>Hronisko pacientu aprūpe no 15. ārstēšanās dienas vai aprūpes turpināšana pēc akūta ārstēšanas perioda iestādes ietvaros</t>
  </si>
  <si>
    <t>09. Piemaksājamās manipulācijas</t>
  </si>
  <si>
    <t>09.04. Piemaksa par akūto rehabilitāciju jaukta profila gultās</t>
  </si>
  <si>
    <t>Akūtā rehabilitācija jaukta profila gultās</t>
  </si>
  <si>
    <t>Pakalpojumi aprūpes slimnīcā vai aprūpes gultā</t>
  </si>
  <si>
    <t>Papildu nepieciešamais finansējuma stacionāro veselības aprūpes pakalpojumu apjoma palielināšanai  hroniskās aprūpes nodrošināšanai 2026_3M</t>
  </si>
  <si>
    <t>Pacientu skaits (virs 90% izpilde)</t>
  </si>
  <si>
    <t>Finnsējums apjoma palielināšanai (virs 90% izpilde)</t>
  </si>
  <si>
    <t>6. Pielikums rīkojuma projekta "Par apropriācijas pārdali" anotācijai</t>
  </si>
  <si>
    <t>7. Pielikums rīkojuma projekta "Par apropriācijas pārdali" anotācijai</t>
  </si>
  <si>
    <t>Papildu nepieciešamais finansējuma apjoms II un III līmeņa stacionāro ārstniecības iestāžu dienas stacionāru pakalpojumu programmu nepārtrauktības un pieejamības nodrošināšanai 2026.gadam</t>
  </si>
  <si>
    <t>Teritoriālā nodaļa</t>
  </si>
  <si>
    <t>Ārstniecības iestādes kods</t>
  </si>
  <si>
    <t>Pakalpojumu programmas nosaukums</t>
  </si>
  <si>
    <t>Līguma summa 2026.gadam</t>
  </si>
  <si>
    <t>Līgums uz periodu 2026.gada janvāris-marts</t>
  </si>
  <si>
    <t>Veiktais darbs uz periodu 2026.gada janvāris-marts</t>
  </si>
  <si>
    <t>Pārstrāde (+)/
neizpilde (-) 2026.gada janvāris-marts</t>
  </si>
  <si>
    <t>Izpilde, % 2026.gada janvaris-marts</t>
  </si>
  <si>
    <t>Viena izmeklējuma vidējā plānotā izmaksa 2026.gadam iestādē, euro</t>
  </si>
  <si>
    <t>Indikatīvais pakalpojumu apjoms</t>
  </si>
  <si>
    <t>Vidzemes nodaļa</t>
  </si>
  <si>
    <t>Madonas slimnīca, Madonas novada pašvaldības SIA</t>
  </si>
  <si>
    <t>Traumatoloģija, ortopēdija, rokas un rekonstruktīvā mikroķirurģija, plastiskā ķirurģija dienas stacionārā</t>
  </si>
  <si>
    <t>Kurzemes nodaļa</t>
  </si>
  <si>
    <t>Tukuma slimnīca, Sabiedrība ar ierobežotu atbildību</t>
  </si>
  <si>
    <t>Rīgas nodaļa</t>
  </si>
  <si>
    <t>Jūrmalas slimnīca, Sabiedrība ar ierobežotu atbildību</t>
  </si>
  <si>
    <t>CĒSU KLĪNIKA, Sabiedrība ar ierobežotu atbildību</t>
  </si>
  <si>
    <t>Latgales nodaļa</t>
  </si>
  <si>
    <t>Preiļu slimnīca, Sabiedrība ar ierobežotu atbildību</t>
  </si>
  <si>
    <t>Zemgales nodaļa</t>
  </si>
  <si>
    <t>Ogres rajona slimnīca, Sabiedrība ar ierobežotu atbildību</t>
  </si>
  <si>
    <t>Balvu un Gulbenes slimnīcu apvienība, Sabiedrība ar ierobežotu atbildību</t>
  </si>
  <si>
    <t>Krāslavas slimnīca, Sabiedrība ar ierobežotu atbildību</t>
  </si>
  <si>
    <t>Kuldīgas slimnīca, Sabiedrība ar ierobežotu atbildību</t>
  </si>
  <si>
    <t>Rehabilitācija dienas stacionārā pieaugušajiem</t>
  </si>
  <si>
    <t>Dobeles un apkārtnes slimnīca, SIA</t>
  </si>
  <si>
    <t>Vispārējie ķirurģiskie pakalpojumi dienas stacionārā</t>
  </si>
  <si>
    <t>PAVISAM KOPĀ:</t>
  </si>
  <si>
    <t>8. Pielikums rīkojuma projekta "Par apropriācijas pārdali" anotācijai</t>
  </si>
  <si>
    <t>Papildus sniegtais indikatīvais pakalpojumu apjoms atbilstoši papildus pieškirtajam finansējumam</t>
  </si>
  <si>
    <t>Papildu nepieciešamais finansējuma apjoms stacionārām ambulatorajā ārstniecības iestādēm neatliekamu ambulatoro pakalpojumu pieejamības nodrošināšanai 2026.gadam</t>
  </si>
  <si>
    <t>Papildu nepieciešamais finansējums  SIA "Alūksnes slimnīca" jaunu neatliekamu sekundārās ambulatorās veselības aprūpes pakalpojumu uzsākšanai ar 01.06.2026</t>
  </si>
  <si>
    <t>Pakalpojumu programma</t>
  </si>
  <si>
    <t>Izmeklējumu skaits mēnesī</t>
  </si>
  <si>
    <t>Mēnešu skaits</t>
  </si>
  <si>
    <r>
      <t xml:space="preserve">Viena izmeklējuma vidējā plānotā izmaksa 2026.gadam VALSTĪ, </t>
    </r>
    <r>
      <rPr>
        <i/>
        <sz val="10"/>
        <color theme="1"/>
        <rFont val="Times New Roman"/>
        <family val="1"/>
        <charset val="186"/>
      </rPr>
      <t>euro</t>
    </r>
  </si>
  <si>
    <r>
      <t xml:space="preserve">Plānotā pacienta līdzmaksājuma kompensācija 2026.gadam VALSTĪ, </t>
    </r>
    <r>
      <rPr>
        <i/>
        <sz val="10"/>
        <color theme="1"/>
        <rFont val="Times New Roman"/>
        <family val="1"/>
        <charset val="186"/>
      </rPr>
      <t>euro</t>
    </r>
  </si>
  <si>
    <t>Izmeklējumu skaits pārskata periodā</t>
  </si>
  <si>
    <r>
      <t xml:space="preserve">Papildu nepieciešamais finansējums, </t>
    </r>
    <r>
      <rPr>
        <i/>
        <sz val="10"/>
        <color theme="1"/>
        <rFont val="Times New Roman"/>
        <family val="1"/>
        <charset val="186"/>
      </rPr>
      <t>euro</t>
    </r>
    <r>
      <rPr>
        <sz val="10"/>
        <color theme="1"/>
        <rFont val="Times New Roman"/>
        <family val="1"/>
        <charset val="186"/>
      </rPr>
      <t xml:space="preserve"> </t>
    </r>
  </si>
  <si>
    <t>KOPĀ papildu nepieciešamais finansējuma apjoms, euro</t>
  </si>
  <si>
    <t>Pakalpojumu apmasai</t>
  </si>
  <si>
    <t>Pacientu līdzmaksājuma kompensācijai</t>
  </si>
  <si>
    <t>Nefroloģija</t>
  </si>
  <si>
    <t>Pulmonoloģija pieaugušajiem</t>
  </si>
  <si>
    <t>Endokrinoloģija pieaugušajiem</t>
  </si>
  <si>
    <t>Papildu nepieciešamais finansējums  SIA "Kuldīgas slimnīca" jaunu neatliekamu sekundārās ambulatorās veselības aprūpes pakalpojumu uzsākšanai ar 01.06.2026</t>
  </si>
  <si>
    <t>Kabineta nosaukums</t>
  </si>
  <si>
    <t>Kabineta plānotais darbības periods mēnešos 2026.gadā</t>
  </si>
  <si>
    <t xml:space="preserve">Māsas slodzes
 </t>
  </si>
  <si>
    <t>Māsas darba samaksa, EUR</t>
  </si>
  <si>
    <t>VSAOI, EUR</t>
  </si>
  <si>
    <t>Kabineta fiksētais maksājums, EUR MK 1 slodzei gadā laika periodā no 01.04. 2026 līdz 31.12.2026</t>
  </si>
  <si>
    <t>Diabētiskās pēdas aprūpes kabinets</t>
  </si>
  <si>
    <t>Viena izmeklējuma vidējā plānotā izmaksa 2026.gadam VALSTĪ, euro</t>
  </si>
  <si>
    <t>Plānotā pacienta līdzmaksājuma kompensācija 2026.gadam, euro, VALSTĪ</t>
  </si>
  <si>
    <t xml:space="preserve">Izmeklējumu skaits </t>
  </si>
  <si>
    <t>Finansējums pakalpojumu apmaksai, EUR</t>
  </si>
  <si>
    <t>Finansējuma apjoms pacienta līdzmaksājuma kompensācija, euro</t>
  </si>
  <si>
    <t>Neiroloģija</t>
  </si>
  <si>
    <t>Papildu nepieciešamais finansējums  SIA "Tukuma slimnīca" jaunu neatliekamu sekundārās ambulatorās veselības aprūpes pakalpojumu uzsākšanai ar 01.06.2026</t>
  </si>
  <si>
    <t>Pneimonologa kabinets</t>
  </si>
  <si>
    <t>Papildu nepieciešamais finansējuma apjoms SIA "Madonas slimnīca" dienas stacionāru pakalpojumu programmu nepārtrauktības nodrošināšanai</t>
  </si>
  <si>
    <t>9. Pielikums rīkojuma projekta "Par apropriācijas pārdali" anotācijai</t>
  </si>
  <si>
    <t>Papildu nepieciešamais finansējuma apjoms stacionāro ārstniecības iestāžu dienas stacionāru un rehabilitācijas pakalpojumu programmu nepārtrauktības un pieejamības nodrošināšanai 2026.gadam</t>
  </si>
  <si>
    <t>Pārstrāde (+)/
neizpilde (-)</t>
  </si>
  <si>
    <t>Izpilde, %</t>
  </si>
  <si>
    <t>Papildu finansējums, lai nodrošinātu pakalpojumu pieejamību un nepārtaruktībus 2026.gadā, euro</t>
  </si>
  <si>
    <t>Siguldas slimnīca, SIA</t>
  </si>
  <si>
    <t>Latvijas Jūras medicīnas centrs, Akciju sabiedrība</t>
  </si>
  <si>
    <t>Paula Stradiņa klīniskā universitātes slimnīca, Valsts sabiedrība ar ierobežotu atbildību</t>
  </si>
  <si>
    <t>Ziemeļkurzemes reģionālā slimnīca, SIA</t>
  </si>
  <si>
    <t>Vidzemes slimnīca, Sabiedrība ar ierobežotu atbildību</t>
  </si>
  <si>
    <t>RĒZEKNES SLIMNĪCA, Sabiedrība ar ierobežotu atbildību</t>
  </si>
  <si>
    <t>Daugavpils reģionālā slimnīca, Sabiedrība ar ierobežotu atbildību</t>
  </si>
  <si>
    <t>Limbažu slimnīca, Sabiedrība ar ierobežotu atbildību</t>
  </si>
  <si>
    <t>Rīgas 2. slimnīca, SIA</t>
  </si>
  <si>
    <t>Rehabilitācijas pakalpojumi pieaugušajiem</t>
  </si>
  <si>
    <t>Ludzas medicīnas centrs, Sabiedrība ar ierobežotu atbildību</t>
  </si>
  <si>
    <t>Rīgas Austrumu klīniskā universitātes slimnīca, Sabiedrība ar ierobežotu atbildību</t>
  </si>
  <si>
    <t>Traumatoloģijas un ortopēdijas slimnīca, Valsts sabiedrība ar ierobežotu atbildību</t>
  </si>
  <si>
    <t xml:space="preserve">Aizkraukles klīnika, SIA </t>
  </si>
  <si>
    <t>Jēkabpils reģionālā slimnīca, Sabiedrība ar ierobežotu atbildību</t>
  </si>
  <si>
    <t>10. Pielikums rīkojuma projekta "Par apropriācijas pārdali" anotācijai</t>
  </si>
  <si>
    <t>Papildu nepieciešamais finansējums sekundārās ambulatorās veselības aprūpes pakalpojumu nepārtrauktības un pieejamības nodrošināšamai 2026.gadā</t>
  </si>
  <si>
    <t xml:space="preserve">Papildu nepieciešamais finansējuma apjoms II un III līmeņa stacionāro ārstniecības iestāžu DS pakalpojumu programmu nepārtrauktības un pieejamības nodrošināšanai </t>
  </si>
  <si>
    <t>Papildu nepieciešamais finansējuma apjoms stacionārām ambulatorajā ārstniecības iestādēm neatliekamu ambulatoro pakalpojumu pieejamības nodrošināšanai</t>
  </si>
  <si>
    <t xml:space="preserve">Papildu nepieciešamais finansējuma apjoms stacionāro ārstniecības iestāžu DS un rehabilitācijas pakalpojumu programmu nepārtrauktības un pieejamības nodrošināšanai </t>
  </si>
  <si>
    <t>Papildu nepieciešamais finansējuma apjoms</t>
  </si>
  <si>
    <t>Alūksnes slimnīca, Sabiedrība ar ierobežotu atbildību</t>
  </si>
  <si>
    <t>11. Pielikums rīkojuma projekta "Par apropriācijas pārdali" anotācijai</t>
  </si>
  <si>
    <t>12. Pielikums rīkojuma projekta "Par apropriācijas pārdali" anotācijai</t>
  </si>
  <si>
    <t>Stacionāro veselības aprūpes pakalpojumu nepārtrauktības un pieejamības nodrošināšanai</t>
  </si>
  <si>
    <t>Papildu nepieciešamais finansējuma apjoms, lai nodrošinātu pakalpojumu pieejamību un nepārtrauktību  2026.gadam, euro *</t>
  </si>
  <si>
    <t>Papildus nepieciešams apjoma palielināšanai *</t>
  </si>
  <si>
    <t>Papildus nepieciešamais finansējums, euro *</t>
  </si>
  <si>
    <t>* Covid- 19 pandēmijas laikā būtiski tika samazināta dienas stacionāra pakalpojumu pieejamība, tādējādi šobrīd radot pacientu uzkrāšanos gaidīšanas rindās. Lai mazinātu gaidīšanas rindas un laiku konkrēto pakalpojumu saņemšanai, SIA "Madonas slimnīca" vienreizēji tiek piešķirts papildus finansējums pieejamības veicināšanai un rindu mazināšanai.</t>
  </si>
  <si>
    <t>Indikatīvais pakalpojumu apjoms *</t>
  </si>
  <si>
    <t>* Papildus novirzāmais finansējums tikai daļēji sedz viss veselības nozares vajadzības un pārstrādes. Līguma summa rehabilitācijas dienas stacionāra un ambulatorajiem rehabilitācijas pakalpojumiem ir palielināta, izvērtējot 2026. gada pirmā ceturkšņa izpildes datus, atbilstoši kam daļēji – 44 % apmērā – segtu pārstrādes izmaksas un nodrošinātu pakalpojumu pieejamības nepārtrauktību. Rehabilitācijas pakalpojumi ir pēctecīgi pacientiem pēc ārstēšanās stacionārā vai pēc traumatoloģijas un ķirurģijas dienas stacionāra pakalpojumu saņemšanas, kas būtiski ietekmē pieprasījumu pēc rehabilitācijas.</t>
  </si>
  <si>
    <t>* Slimnīcu tīkla pārskatīšanas procesā tika secināts, ka būtisku noslodzi uz klīniskās universitātes slimnīcām rada hronisko pacientu īpatsvars no reģioniem. Lai stiprinātu veselības aprūpes pakalpojumu pieejamību tuvāk pacienta dzīvesvietai, būtiski ir stiprināt zemāka līmeņa ārstniecības iestādes spējā nodrošināt hronisko aprūpi, tādējādi proporcionāli sākotnēji plānotajam pakalpojuma apjomam par vidēji 26,5 % iestādēm tiek palielināts finansējums pakalpojumu nodrošināšanai.</t>
  </si>
  <si>
    <t>** Visi papildus piešķīrumi 2026. gadam vienreizēji.  Nākošajos gados tiks vērtēta vajadzība pakalpojumu turpinājumam, ja pakalpojumi būs turpināmi, tad tiks nodrošināti  veselības nozares esošā budžeta ietvaros.</t>
  </si>
  <si>
    <t>** Finansējums ambulatorajiem pakalpojumiem tiek piešķirts atbilstoši pieejamam finansējumam budžetā, katra iestāde plāno tā izlietojumu gada griezumā individuāli. Nelielas nobīdes no ceturkšna plāna var ietekmēt, piemēram, speciālista darba nespēja. Lai vienmērīgi samazinātu gaidīšanas rindas pa reģioniem, finansējums tiek piešķirts pēc iepriekš minētiem principiem. Jo liela pārstrāde 1. ceturksnī ir iestādes plānošana (atbilstoši faktiskai situācijai - lielas gaidīšanas rindas), bet atbilstoši ambulatoro pakalpojumu plānošanas principiem negarantē papildus finansējumu gada otrā pusē.</t>
  </si>
  <si>
    <t>* Papildus novirzāmais finansējums tikai daļēji sedz viss veselības nozares vajadzības. Tika vērtēti ne tikai procentuālās izpildes rādītāji, bet arī pakalpojumu pieejamība, pieprasījums, kā arī veselības aprūpes sistēmas kopējās vajadzība. Covid- 19 pandēmijas laikā būtiski tika samazināta dienas stacionāra pakalpojumu pieejamība, kā arī šobrīd pieaugot operāciju skaitam, stacionāros palielinās rehabilitācijas pakalpojumu pieprasījums dienas stacionārā, tādējādi šobrīd radot pacientu uzkrāšanos gaidīšanas rindās. Kā arī ārstniecības iestādes slimnīcu tīkla reformas ietvaros  veic veselības aprūpes pakalpojumu pāreju no stacionārās aprūpes uz dienas stacionāru, kas sniedz ekonomisko efektivitāti, jo dienas stacionāra pakalpojumi ir lētāki nekā pilna stacionāra ārstēšana.  Lai mazinātu gaidīšanas rindas un laiku konkrēto pakalpojumu saņemšanai, tiek novirzīts papildus finansējums. Papildus finansējuma piešķiršanas principi: iestādēm, kas līguma summu 2026. gada 3 mēnešos ir apguvušas =/&lt;100% tiek novirzīti papildus finansējums 30% no līguma kopsummas 2026. gadam, iestādēm, kas 2026. gada 3 mēnešos apguvušas &lt;90% no plānotās līguma summas 3 mēnešiem tiek novirzīts papildus finansējums 25% no līguma kopsummas 2026. gadam, iestādēm, kas apguvušas mazāk kā 90% no plānotās līguma kopsummas 3 mēnšos, papildus finansējums netiek novirzīts.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</si>
</sst>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_-* #,##0_-;\-* #,##0_-;_-* &quot;-&quot;??_-;_-@_-"/>
    <numFmt numFmtId="165" formatCode="#,##0_ ;\-#,##0\ "/>
    <numFmt numFmtId="166" formatCode="#,##0.0"/>
    <numFmt numFmtId="167" formatCode="_(* #,##0_);_(* \(#,##0\);_(* &quot;-&quot;??_);_(@_)"/>
    <numFmt numFmtId="168" formatCode="_(* #,##0.00_);_(* \(#,##0.00\);_(* &quot;-&quot;??_);_(@_)"/>
    <numFmt numFmtId="169" formatCode="0.00000"/>
  </numFmts>
  <fonts count="43" x14ac:knownFonts="1">
    <font>
      <sz val="11"/>
      <color theme="1"/>
      <name val="Aptos Narrow"/>
      <family val="2"/>
      <charset val="186"/>
      <scheme val="minor"/>
    </font>
    <font>
      <i/>
      <sz val="11"/>
      <color theme="1"/>
      <name val="Aptos Narrow"/>
      <family val="2"/>
      <scheme val="minor"/>
    </font>
    <font>
      <b/>
      <i/>
      <sz val="11"/>
      <color theme="1"/>
      <name val="Aptos Narrow"/>
      <family val="2"/>
      <scheme val="minor"/>
    </font>
    <font>
      <b/>
      <sz val="11"/>
      <color theme="1"/>
      <name val="Aptos Narrow"/>
      <family val="2"/>
      <scheme val="minor"/>
    </font>
    <font>
      <b/>
      <sz val="11"/>
      <color theme="1"/>
      <name val="Aptos"/>
      <family val="2"/>
    </font>
    <font>
      <sz val="11"/>
      <color theme="1"/>
      <name val="Aptos"/>
      <family val="2"/>
    </font>
    <font>
      <b/>
      <i/>
      <u/>
      <sz val="11"/>
      <color theme="1"/>
      <name val="Aptos Narrow"/>
      <family val="2"/>
      <scheme val="minor"/>
    </font>
    <font>
      <sz val="11"/>
      <color theme="1"/>
      <name val="Aptos Narrow"/>
      <family val="2"/>
      <charset val="186"/>
      <scheme val="minor"/>
    </font>
    <font>
      <sz val="9"/>
      <color theme="1"/>
      <name val="Aptos Narrow"/>
      <family val="2"/>
      <charset val="186"/>
      <scheme val="minor"/>
    </font>
    <font>
      <sz val="10"/>
      <name val="Arial"/>
      <family val="2"/>
      <charset val="186"/>
    </font>
    <font>
      <sz val="10"/>
      <name val="Times New Roman"/>
      <family val="1"/>
      <charset val="186"/>
    </font>
    <font>
      <b/>
      <sz val="10"/>
      <name val="Times New Roman"/>
      <family val="1"/>
      <charset val="186"/>
    </font>
    <font>
      <sz val="10"/>
      <color rgb="FF000000"/>
      <name val="Times New Roman"/>
      <family val="1"/>
    </font>
    <font>
      <sz val="9"/>
      <name val="Times New Roman"/>
      <family val="1"/>
      <charset val="186"/>
    </font>
    <font>
      <b/>
      <sz val="10"/>
      <color theme="1"/>
      <name val="Times New Roman"/>
      <family val="1"/>
      <charset val="186"/>
    </font>
    <font>
      <b/>
      <sz val="11"/>
      <name val="Times New Roman"/>
      <family val="1"/>
      <charset val="186"/>
    </font>
    <font>
      <i/>
      <sz val="10"/>
      <name val="Times New Roman"/>
      <family val="1"/>
      <charset val="186"/>
    </font>
    <font>
      <b/>
      <sz val="12"/>
      <name val="Times New Roman"/>
      <family val="1"/>
      <charset val="186"/>
    </font>
    <font>
      <b/>
      <sz val="12"/>
      <color theme="1"/>
      <name val="Times New Roman"/>
      <family val="1"/>
      <charset val="186"/>
    </font>
    <font>
      <sz val="10"/>
      <color theme="1"/>
      <name val="Times New Roman"/>
      <family val="1"/>
      <charset val="186"/>
    </font>
    <font>
      <b/>
      <sz val="10"/>
      <color rgb="FF000000"/>
      <name val="Times New Roman"/>
      <family val="1"/>
      <charset val="186"/>
    </font>
    <font>
      <sz val="10"/>
      <color rgb="FF000000"/>
      <name val="Times New Roman"/>
      <family val="1"/>
      <charset val="186"/>
    </font>
    <font>
      <sz val="11"/>
      <name val="Arial"/>
      <family val="2"/>
      <charset val="186"/>
    </font>
    <font>
      <sz val="11"/>
      <color theme="1"/>
      <name val="Aptos Narrow"/>
      <family val="2"/>
      <scheme val="minor"/>
    </font>
    <font>
      <sz val="12"/>
      <color theme="1"/>
      <name val="Aptos Narrow"/>
      <family val="2"/>
      <scheme val="minor"/>
    </font>
    <font>
      <b/>
      <sz val="12"/>
      <color rgb="FF000000"/>
      <name val="Aptos Narrow"/>
      <family val="2"/>
      <scheme val="minor"/>
    </font>
    <font>
      <b/>
      <i/>
      <sz val="11"/>
      <color rgb="FF000000"/>
      <name val="Aptos Narrow"/>
      <family val="2"/>
      <scheme val="minor"/>
    </font>
    <font>
      <sz val="11"/>
      <color rgb="FF000000"/>
      <name val="Aptos Narrow"/>
      <family val="2"/>
      <scheme val="minor"/>
    </font>
    <font>
      <b/>
      <sz val="16"/>
      <color rgb="FFFF0000"/>
      <name val="Aptos Narrow"/>
      <family val="2"/>
      <scheme val="minor"/>
    </font>
    <font>
      <sz val="11"/>
      <color rgb="FFFF0000"/>
      <name val="Aptos Narrow"/>
      <family val="2"/>
      <scheme val="minor"/>
    </font>
    <font>
      <b/>
      <sz val="11"/>
      <name val="Aptos Narrow"/>
      <family val="2"/>
      <scheme val="minor"/>
    </font>
    <font>
      <sz val="11"/>
      <name val="Aptos Narrow"/>
      <family val="2"/>
      <scheme val="minor"/>
    </font>
    <font>
      <sz val="12"/>
      <name val="Aptos Narrow"/>
      <family val="2"/>
      <scheme val="minor"/>
    </font>
    <font>
      <b/>
      <sz val="14"/>
      <color rgb="FF000000"/>
      <name val="Aptos Narrow"/>
      <family val="2"/>
      <scheme val="minor"/>
    </font>
    <font>
      <b/>
      <sz val="10"/>
      <color rgb="FF000000"/>
      <name val="Aptos Narrow"/>
      <family val="2"/>
      <scheme val="minor"/>
    </font>
    <font>
      <sz val="11"/>
      <color theme="1"/>
      <name val="Times New Roman"/>
      <family val="2"/>
      <charset val="186"/>
    </font>
    <font>
      <i/>
      <sz val="10"/>
      <color theme="1"/>
      <name val="Times New Roman"/>
      <family val="1"/>
      <charset val="186"/>
    </font>
    <font>
      <b/>
      <sz val="8"/>
      <color theme="1"/>
      <name val="Times New Roman"/>
      <family val="1"/>
      <charset val="186"/>
    </font>
    <font>
      <sz val="8"/>
      <color theme="1"/>
      <name val="Times New Roman"/>
      <family val="1"/>
      <charset val="186"/>
    </font>
    <font>
      <i/>
      <sz val="10"/>
      <name val="Arial"/>
      <family val="2"/>
      <charset val="186"/>
    </font>
    <font>
      <sz val="10"/>
      <color rgb="FF11026E"/>
      <name val="Times New Roman"/>
      <family val="1"/>
      <charset val="186"/>
    </font>
    <font>
      <b/>
      <sz val="11"/>
      <color theme="1"/>
      <name val="Times New Roman"/>
      <family val="1"/>
      <charset val="186"/>
    </font>
    <font>
      <sz val="10"/>
      <color theme="1"/>
      <name val="Times New Roman"/>
      <family val="2"/>
      <charset val="186"/>
    </font>
  </fonts>
  <fills count="11">
    <fill>
      <patternFill patternType="none"/>
    </fill>
    <fill>
      <patternFill patternType="gray125"/>
    </fill>
    <fill>
      <patternFill patternType="solid">
        <fgColor theme="5"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theme="0"/>
        <bgColor indexed="64"/>
      </patternFill>
    </fill>
    <fill>
      <patternFill patternType="solid">
        <fgColor rgb="FFDAF2D0"/>
        <bgColor rgb="FF000000"/>
      </patternFill>
    </fill>
    <fill>
      <patternFill patternType="solid">
        <fgColor rgb="FFFFFFFF"/>
        <bgColor rgb="FF000000"/>
      </patternFill>
    </fill>
    <fill>
      <patternFill patternType="solid">
        <fgColor theme="0" tint="-4.9989318521683403E-2"/>
        <bgColor indexed="64"/>
      </patternFill>
    </fill>
    <fill>
      <patternFill patternType="solid">
        <fgColor rgb="FFFFC000"/>
        <bgColor indexed="64"/>
      </patternFill>
    </fill>
  </fills>
  <borders count="74">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style="thin">
        <color rgb="FF808080"/>
      </right>
      <top style="thin">
        <color rgb="FF808080"/>
      </top>
      <bottom/>
      <diagonal/>
    </border>
    <border>
      <left style="thin">
        <color rgb="FF808080"/>
      </left>
      <right style="thin">
        <color rgb="FF808080"/>
      </right>
      <top style="thin">
        <color rgb="FF808080"/>
      </top>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
      <left style="thin">
        <color rgb="FF808080"/>
      </left>
      <right/>
      <top style="thin">
        <color rgb="FF808080"/>
      </top>
      <bottom/>
      <diagonal/>
    </border>
    <border>
      <left/>
      <right style="thin">
        <color rgb="FF808080"/>
      </right>
      <top/>
      <bottom/>
      <diagonal/>
    </border>
    <border>
      <left style="thin">
        <color rgb="FF808080"/>
      </left>
      <right style="thin">
        <color rgb="FF808080"/>
      </right>
      <top/>
      <bottom/>
      <diagonal/>
    </border>
    <border>
      <left/>
      <right style="thin">
        <color rgb="FF808080"/>
      </right>
      <top/>
      <bottom style="thin">
        <color rgb="FF808080"/>
      </bottom>
      <diagonal/>
    </border>
    <border>
      <left style="thin">
        <color rgb="FF808080"/>
      </left>
      <right/>
      <top/>
      <bottom/>
      <diagonal/>
    </border>
    <border>
      <left style="thin">
        <color rgb="FF808080"/>
      </left>
      <right style="thin">
        <color rgb="FF808080"/>
      </right>
      <top/>
      <bottom style="thin">
        <color rgb="FF808080"/>
      </bottom>
      <diagonal/>
    </border>
    <border>
      <left style="thin">
        <color rgb="FF808080"/>
      </left>
      <right/>
      <top/>
      <bottom style="thin">
        <color rgb="FF808080"/>
      </bottom>
      <diagonal/>
    </border>
    <border>
      <left/>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808080"/>
      </left>
      <right style="thin">
        <color rgb="FF808080"/>
      </right>
      <top/>
      <bottom style="thin">
        <color indexed="64"/>
      </bottom>
      <diagonal/>
    </border>
    <border>
      <left style="thin">
        <color rgb="FF808080"/>
      </left>
      <right style="thin">
        <color rgb="FF808080"/>
      </right>
      <top/>
      <bottom style="thin">
        <color rgb="FF000000"/>
      </bottom>
      <diagonal/>
    </border>
    <border>
      <left style="thin">
        <color rgb="FF808080"/>
      </left>
      <right/>
      <top style="thin">
        <color rgb="FF808080"/>
      </top>
      <bottom style="thin">
        <color rgb="FF808080"/>
      </bottom>
      <diagonal/>
    </border>
    <border>
      <left style="thin">
        <color rgb="FF808080"/>
      </left>
      <right style="thin">
        <color indexed="64"/>
      </right>
      <top style="thin">
        <color rgb="FF808080"/>
      </top>
      <bottom/>
      <diagonal/>
    </border>
    <border>
      <left style="thin">
        <color rgb="FF808080"/>
      </left>
      <right style="thin">
        <color indexed="64"/>
      </right>
      <top/>
      <bottom/>
      <diagonal/>
    </border>
    <border>
      <left style="thin">
        <color rgb="FF808080"/>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style="medium">
        <color indexed="64"/>
      </bottom>
      <diagonal/>
    </border>
  </borders>
  <cellStyleXfs count="9">
    <xf numFmtId="0" fontId="0" fillId="0" borderId="0"/>
    <xf numFmtId="43" fontId="7" fillId="0" borderId="0" applyFont="0" applyFill="0" applyBorder="0" applyAlignment="0" applyProtection="0"/>
    <xf numFmtId="0" fontId="9" fillId="0" borderId="0"/>
    <xf numFmtId="0" fontId="7" fillId="0" borderId="0"/>
    <xf numFmtId="0" fontId="7" fillId="0" borderId="0"/>
    <xf numFmtId="0" fontId="9" fillId="0" borderId="0"/>
    <xf numFmtId="9" fontId="35" fillId="0" borderId="0" applyFont="0" applyFill="0" applyBorder="0" applyAlignment="0" applyProtection="0"/>
    <xf numFmtId="43" fontId="35" fillId="0" borderId="0" applyFont="0" applyFill="0" applyBorder="0" applyAlignment="0" applyProtection="0"/>
    <xf numFmtId="0" fontId="23" fillId="0" borderId="0"/>
  </cellStyleXfs>
  <cellXfs count="454">
    <xf numFmtId="0" fontId="0" fillId="0" borderId="0" xfId="0"/>
    <xf numFmtId="0" fontId="1" fillId="0" borderId="0" xfId="0" applyFont="1"/>
    <xf numFmtId="0" fontId="0" fillId="0" borderId="1" xfId="0" applyBorder="1"/>
    <xf numFmtId="0" fontId="3" fillId="0" borderId="1" xfId="0" applyFont="1" applyBorder="1" applyAlignment="1">
      <alignment wrapText="1"/>
    </xf>
    <xf numFmtId="0" fontId="2" fillId="0" borderId="1" xfId="0" applyFont="1" applyBorder="1"/>
    <xf numFmtId="0" fontId="2" fillId="0" borderId="1" xfId="0" applyFont="1" applyBorder="1" applyAlignment="1">
      <alignment wrapText="1"/>
    </xf>
    <xf numFmtId="0" fontId="3" fillId="2" borderId="1" xfId="0" applyFont="1" applyFill="1" applyBorder="1" applyAlignment="1">
      <alignment wrapText="1"/>
    </xf>
    <xf numFmtId="0" fontId="3" fillId="0" borderId="1" xfId="0" applyFont="1" applyBorder="1" applyAlignment="1">
      <alignment horizontal="center" wrapText="1"/>
    </xf>
    <xf numFmtId="3" fontId="1" fillId="0" borderId="1" xfId="0" applyNumberFormat="1" applyFont="1" applyBorder="1"/>
    <xf numFmtId="3" fontId="3" fillId="2" borderId="1" xfId="0" applyNumberFormat="1" applyFont="1" applyFill="1" applyBorder="1"/>
    <xf numFmtId="0" fontId="3" fillId="0" borderId="0" xfId="0" applyFont="1" applyAlignment="1">
      <alignment horizontal="left"/>
    </xf>
    <xf numFmtId="3" fontId="3" fillId="0" borderId="1" xfId="0" applyNumberFormat="1" applyFont="1" applyBorder="1"/>
    <xf numFmtId="0" fontId="0" fillId="0" borderId="2" xfId="0" applyBorder="1"/>
    <xf numFmtId="0" fontId="1" fillId="0" borderId="3" xfId="0" applyFont="1" applyBorder="1" applyAlignment="1">
      <alignment wrapText="1"/>
    </xf>
    <xf numFmtId="0" fontId="0" fillId="0" borderId="13" xfId="0" applyBorder="1"/>
    <xf numFmtId="3" fontId="0" fillId="0" borderId="14" xfId="0" applyNumberFormat="1" applyBorder="1"/>
    <xf numFmtId="3" fontId="3" fillId="0" borderId="14" xfId="0" applyNumberFormat="1" applyFont="1" applyBorder="1"/>
    <xf numFmtId="3" fontId="3" fillId="0" borderId="15" xfId="0" applyNumberFormat="1" applyFont="1" applyBorder="1"/>
    <xf numFmtId="0" fontId="0" fillId="0" borderId="13" xfId="0" applyBorder="1" applyAlignment="1">
      <alignment wrapText="1"/>
    </xf>
    <xf numFmtId="0" fontId="0" fillId="0" borderId="14" xfId="0" applyBorder="1" applyAlignment="1">
      <alignment wrapText="1"/>
    </xf>
    <xf numFmtId="0" fontId="3" fillId="0" borderId="14" xfId="0" applyFont="1" applyBorder="1" applyAlignment="1">
      <alignment wrapText="1"/>
    </xf>
    <xf numFmtId="0" fontId="3" fillId="0" borderId="15" xfId="0" applyFont="1" applyBorder="1" applyAlignment="1">
      <alignment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4" xfId="0" applyFont="1" applyBorder="1" applyAlignment="1">
      <alignment horizontal="center" vertical="center" wrapText="1"/>
    </xf>
    <xf numFmtId="3" fontId="5" fillId="0" borderId="8" xfId="0" applyNumberFormat="1" applyFont="1" applyBorder="1" applyAlignment="1">
      <alignment horizontal="right" vertical="center" wrapText="1"/>
    </xf>
    <xf numFmtId="3" fontId="5" fillId="0" borderId="11" xfId="0" applyNumberFormat="1" applyFont="1" applyBorder="1" applyAlignment="1">
      <alignment horizontal="right" vertical="center" wrapText="1"/>
    </xf>
    <xf numFmtId="0" fontId="5" fillId="0" borderId="7" xfId="0" applyFont="1" applyBorder="1" applyAlignment="1">
      <alignment horizontal="justify" vertical="center" wrapText="1"/>
    </xf>
    <xf numFmtId="0" fontId="5" fillId="0" borderId="10" xfId="0" applyFont="1" applyBorder="1" applyAlignment="1">
      <alignment horizontal="justify" vertical="center" wrapText="1"/>
    </xf>
    <xf numFmtId="3" fontId="4" fillId="0" borderId="8" xfId="0" applyNumberFormat="1" applyFont="1" applyBorder="1" applyAlignment="1">
      <alignment horizontal="right" wrapText="1"/>
    </xf>
    <xf numFmtId="3" fontId="5" fillId="0" borderId="8" xfId="0" applyNumberFormat="1" applyFont="1" applyBorder="1" applyAlignment="1">
      <alignment horizontal="right" wrapText="1"/>
    </xf>
    <xf numFmtId="3" fontId="4" fillId="0" borderId="11" xfId="0" applyNumberFormat="1" applyFont="1" applyBorder="1" applyAlignment="1">
      <alignment horizontal="right" wrapText="1"/>
    </xf>
    <xf numFmtId="3" fontId="5" fillId="0" borderId="11" xfId="0" applyNumberFormat="1" applyFont="1" applyBorder="1" applyAlignment="1">
      <alignment horizontal="right" wrapText="1"/>
    </xf>
    <xf numFmtId="3" fontId="5" fillId="0" borderId="9" xfId="0" applyNumberFormat="1" applyFont="1" applyBorder="1" applyAlignment="1">
      <alignment horizontal="right" wrapText="1"/>
    </xf>
    <xf numFmtId="3" fontId="5" fillId="0" borderId="12" xfId="0" applyNumberFormat="1" applyFont="1" applyBorder="1" applyAlignment="1">
      <alignment horizontal="right" wrapText="1"/>
    </xf>
    <xf numFmtId="3" fontId="5" fillId="0" borderId="9" xfId="0" applyNumberFormat="1" applyFont="1" applyBorder="1" applyAlignment="1">
      <alignment horizontal="right" vertical="center" wrapText="1"/>
    </xf>
    <xf numFmtId="3" fontId="5" fillId="0" borderId="12" xfId="0" applyNumberFormat="1" applyFont="1" applyBorder="1" applyAlignment="1">
      <alignment horizontal="right" vertical="center" wrapText="1"/>
    </xf>
    <xf numFmtId="3" fontId="3" fillId="3" borderId="1" xfId="0" applyNumberFormat="1" applyFont="1" applyFill="1" applyBorder="1"/>
    <xf numFmtId="3" fontId="1" fillId="4" borderId="1" xfId="0" applyNumberFormat="1" applyFont="1" applyFill="1" applyBorder="1"/>
    <xf numFmtId="2" fontId="8" fillId="0" borderId="1" xfId="0" applyNumberFormat="1" applyFont="1" applyBorder="1" applyAlignment="1">
      <alignment wrapText="1"/>
    </xf>
    <xf numFmtId="0" fontId="3" fillId="0" borderId="1" xfId="0" applyFont="1" applyBorder="1" applyAlignment="1">
      <alignment horizontal="center" vertical="center" wrapText="1"/>
    </xf>
    <xf numFmtId="0" fontId="10" fillId="0" borderId="0" xfId="2" applyFont="1"/>
    <xf numFmtId="0" fontId="10" fillId="0" borderId="1" xfId="2" applyFont="1" applyBorder="1" applyAlignment="1">
      <alignment horizontal="center" vertical="center" wrapText="1"/>
    </xf>
    <xf numFmtId="0" fontId="10" fillId="0" borderId="1" xfId="0" applyFont="1" applyBorder="1" applyAlignment="1">
      <alignment horizontal="center" vertical="center" wrapText="1"/>
    </xf>
    <xf numFmtId="0" fontId="11" fillId="4" borderId="19" xfId="0" applyFont="1" applyFill="1" applyBorder="1" applyAlignment="1">
      <alignment horizontal="center" vertical="center" wrapText="1"/>
    </xf>
    <xf numFmtId="0" fontId="12" fillId="0" borderId="1" xfId="0" applyFont="1" applyBorder="1"/>
    <xf numFmtId="0" fontId="13" fillId="0" borderId="1" xfId="2" applyFont="1" applyBorder="1" applyAlignment="1">
      <alignment wrapText="1"/>
    </xf>
    <xf numFmtId="43" fontId="13" fillId="0" borderId="1" xfId="1" applyFont="1" applyBorder="1" applyAlignment="1">
      <alignment wrapText="1"/>
    </xf>
    <xf numFmtId="43" fontId="11" fillId="4" borderId="1" xfId="1" applyFont="1" applyFill="1" applyBorder="1"/>
    <xf numFmtId="3" fontId="10" fillId="0" borderId="0" xfId="2" applyNumberFormat="1" applyFont="1"/>
    <xf numFmtId="0" fontId="15" fillId="0" borderId="0" xfId="2" applyFont="1" applyAlignment="1">
      <alignment horizontal="left"/>
    </xf>
    <xf numFmtId="0" fontId="10" fillId="2" borderId="1" xfId="2" applyFont="1" applyFill="1" applyBorder="1" applyAlignment="1">
      <alignment horizontal="center" vertical="center" wrapText="1"/>
    </xf>
    <xf numFmtId="0" fontId="11" fillId="2" borderId="1" xfId="2" applyFont="1" applyFill="1" applyBorder="1" applyAlignment="1">
      <alignment horizontal="right" vertical="center" wrapText="1"/>
    </xf>
    <xf numFmtId="3" fontId="11" fillId="2" borderId="1" xfId="2" applyNumberFormat="1" applyFont="1" applyFill="1" applyBorder="1" applyAlignment="1">
      <alignment horizontal="right" vertical="center" wrapText="1"/>
    </xf>
    <xf numFmtId="3" fontId="13" fillId="0" borderId="1" xfId="2" applyNumberFormat="1" applyFont="1" applyBorder="1" applyAlignment="1">
      <alignment horizontal="right" wrapText="1"/>
    </xf>
    <xf numFmtId="43" fontId="13" fillId="0" borderId="1" xfId="1" applyFont="1" applyFill="1" applyBorder="1" applyAlignment="1">
      <alignment horizontal="right" wrapText="1"/>
    </xf>
    <xf numFmtId="164" fontId="13" fillId="0" borderId="1" xfId="1" applyNumberFormat="1" applyFont="1" applyFill="1" applyBorder="1" applyAlignment="1">
      <alignment horizontal="right" wrapText="1"/>
    </xf>
    <xf numFmtId="164" fontId="13" fillId="0" borderId="1" xfId="1" applyNumberFormat="1" applyFont="1" applyBorder="1" applyAlignment="1">
      <alignment wrapText="1"/>
    </xf>
    <xf numFmtId="0" fontId="11" fillId="0" borderId="18" xfId="2" applyFont="1" applyBorder="1" applyAlignment="1">
      <alignment horizontal="center"/>
    </xf>
    <xf numFmtId="164" fontId="11" fillId="4" borderId="1" xfId="1" applyNumberFormat="1" applyFont="1" applyFill="1" applyBorder="1"/>
    <xf numFmtId="0" fontId="19" fillId="0" borderId="0" xfId="0" applyFont="1"/>
    <xf numFmtId="0" fontId="19" fillId="0" borderId="1" xfId="0" applyFont="1" applyBorder="1" applyAlignment="1">
      <alignment vertical="center" wrapText="1"/>
    </xf>
    <xf numFmtId="43" fontId="21" fillId="0" borderId="1" xfId="1" applyFont="1" applyFill="1" applyBorder="1" applyAlignment="1">
      <alignment vertical="center" wrapText="1"/>
    </xf>
    <xf numFmtId="43" fontId="19" fillId="0" borderId="1" xfId="1" applyFont="1" applyBorder="1" applyAlignment="1">
      <alignment vertical="center"/>
    </xf>
    <xf numFmtId="0" fontId="19" fillId="0" borderId="0" xfId="0" applyFont="1" applyAlignment="1">
      <alignment wrapText="1"/>
    </xf>
    <xf numFmtId="43" fontId="19" fillId="0" borderId="0" xfId="1" applyFont="1" applyAlignment="1">
      <alignment wrapText="1"/>
    </xf>
    <xf numFmtId="43" fontId="21" fillId="0" borderId="1" xfId="1" applyFont="1" applyFill="1" applyBorder="1" applyAlignment="1">
      <alignment horizontal="center" vertical="center" wrapText="1"/>
    </xf>
    <xf numFmtId="165" fontId="21" fillId="0" borderId="1" xfId="1" applyNumberFormat="1" applyFont="1" applyFill="1" applyBorder="1" applyAlignment="1">
      <alignment vertical="center" wrapText="1"/>
    </xf>
    <xf numFmtId="165" fontId="21" fillId="4" borderId="1" xfId="1" applyNumberFormat="1" applyFont="1" applyFill="1" applyBorder="1" applyAlignment="1">
      <alignment vertical="center" wrapText="1"/>
    </xf>
    <xf numFmtId="165" fontId="20" fillId="0" borderId="1" xfId="1" applyNumberFormat="1" applyFont="1" applyFill="1" applyBorder="1" applyAlignment="1">
      <alignment vertical="center" wrapText="1"/>
    </xf>
    <xf numFmtId="165" fontId="21" fillId="0" borderId="1" xfId="1" applyNumberFormat="1" applyFont="1" applyFill="1" applyBorder="1" applyAlignment="1">
      <alignment horizontal="center" vertical="center" wrapText="1"/>
    </xf>
    <xf numFmtId="43" fontId="19" fillId="0" borderId="19" xfId="1" applyFont="1" applyBorder="1" applyAlignment="1">
      <alignment vertical="center" wrapText="1"/>
    </xf>
    <xf numFmtId="43" fontId="19" fillId="0" borderId="19" xfId="1" applyFont="1" applyBorder="1" applyAlignment="1">
      <alignment horizontal="center" vertical="center" wrapText="1"/>
    </xf>
    <xf numFmtId="165" fontId="19" fillId="0" borderId="1" xfId="1" applyNumberFormat="1" applyFont="1" applyFill="1" applyBorder="1" applyAlignment="1">
      <alignment wrapText="1"/>
    </xf>
    <xf numFmtId="43" fontId="19" fillId="0" borderId="1" xfId="1" applyFont="1" applyFill="1" applyBorder="1" applyAlignment="1">
      <alignment wrapText="1"/>
    </xf>
    <xf numFmtId="43" fontId="19" fillId="0" borderId="1" xfId="1" applyFont="1" applyBorder="1"/>
    <xf numFmtId="165" fontId="20" fillId="4" borderId="1" xfId="1" applyNumberFormat="1" applyFont="1" applyFill="1" applyBorder="1" applyAlignment="1">
      <alignment vertical="center" wrapText="1"/>
    </xf>
    <xf numFmtId="0" fontId="20" fillId="0" borderId="1" xfId="0" applyFont="1" applyBorder="1" applyAlignment="1">
      <alignment horizontal="center" vertical="center" wrapText="1"/>
    </xf>
    <xf numFmtId="0" fontId="20" fillId="4"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43" fontId="19" fillId="2" borderId="1" xfId="1" applyFont="1" applyFill="1" applyBorder="1" applyAlignment="1">
      <alignment vertical="center"/>
    </xf>
    <xf numFmtId="0" fontId="11" fillId="6" borderId="19" xfId="0" applyFont="1" applyFill="1" applyBorder="1" applyAlignment="1">
      <alignment horizontal="center" vertical="center" wrapText="1"/>
    </xf>
    <xf numFmtId="0" fontId="19" fillId="0" borderId="0" xfId="0" applyFont="1" applyAlignment="1">
      <alignment vertical="center" wrapText="1"/>
    </xf>
    <xf numFmtId="0" fontId="14" fillId="2" borderId="19" xfId="0" applyFont="1" applyFill="1" applyBorder="1" applyAlignment="1">
      <alignment vertical="center" wrapText="1"/>
    </xf>
    <xf numFmtId="165" fontId="11" fillId="2" borderId="1" xfId="2" applyNumberFormat="1" applyFont="1" applyFill="1" applyBorder="1"/>
    <xf numFmtId="164" fontId="11" fillId="2" borderId="1" xfId="2" applyNumberFormat="1" applyFont="1" applyFill="1" applyBorder="1"/>
    <xf numFmtId="3" fontId="0" fillId="0" borderId="1" xfId="0" applyNumberFormat="1" applyBorder="1"/>
    <xf numFmtId="0" fontId="17" fillId="0" borderId="0" xfId="0" applyFont="1"/>
    <xf numFmtId="0" fontId="22" fillId="0" borderId="0" xfId="0" applyFont="1"/>
    <xf numFmtId="0" fontId="10" fillId="0" borderId="1" xfId="0" applyFont="1" applyBorder="1" applyAlignment="1">
      <alignment horizontal="center" vertical="center"/>
    </xf>
    <xf numFmtId="0" fontId="10" fillId="6" borderId="1" xfId="0" applyFont="1" applyFill="1" applyBorder="1" applyAlignment="1">
      <alignment horizontal="center" vertical="center"/>
    </xf>
    <xf numFmtId="0" fontId="10" fillId="0" borderId="1" xfId="0" applyFont="1" applyBorder="1" applyAlignment="1">
      <alignment vertical="center" wrapText="1"/>
    </xf>
    <xf numFmtId="0" fontId="11" fillId="0" borderId="1" xfId="0" applyFont="1" applyBorder="1" applyAlignment="1">
      <alignment horizontal="right"/>
    </xf>
    <xf numFmtId="166" fontId="11" fillId="6" borderId="1" xfId="0" applyNumberFormat="1" applyFont="1" applyFill="1" applyBorder="1" applyAlignment="1">
      <alignment horizontal="right"/>
    </xf>
    <xf numFmtId="4" fontId="10" fillId="6" borderId="1" xfId="0" applyNumberFormat="1" applyFont="1" applyFill="1" applyBorder="1" applyAlignment="1">
      <alignment horizontal="center" vertical="center"/>
    </xf>
    <xf numFmtId="4" fontId="11" fillId="6" borderId="1" xfId="0" applyNumberFormat="1" applyFont="1" applyFill="1" applyBorder="1" applyAlignment="1">
      <alignment horizontal="right"/>
    </xf>
    <xf numFmtId="3" fontId="10" fillId="6" borderId="1" xfId="0" applyNumberFormat="1" applyFont="1" applyFill="1" applyBorder="1" applyAlignment="1">
      <alignment horizontal="center" vertical="center"/>
    </xf>
    <xf numFmtId="3" fontId="11" fillId="6" borderId="1" xfId="0" applyNumberFormat="1" applyFont="1" applyFill="1" applyBorder="1" applyAlignment="1">
      <alignment horizontal="center"/>
    </xf>
    <xf numFmtId="0" fontId="1" fillId="0" borderId="1" xfId="0" applyFont="1" applyBorder="1" applyAlignment="1">
      <alignment wrapText="1"/>
    </xf>
    <xf numFmtId="0" fontId="1" fillId="0" borderId="1" xfId="0" applyFont="1" applyBorder="1"/>
    <xf numFmtId="3" fontId="2" fillId="6" borderId="1" xfId="0" applyNumberFormat="1" applyFont="1" applyFill="1" applyBorder="1"/>
    <xf numFmtId="3" fontId="2" fillId="0" borderId="1" xfId="0" applyNumberFormat="1" applyFont="1" applyBorder="1"/>
    <xf numFmtId="0" fontId="0" fillId="4" borderId="0" xfId="0" applyFill="1"/>
    <xf numFmtId="0" fontId="3" fillId="4" borderId="0" xfId="0" applyFont="1" applyFill="1"/>
    <xf numFmtId="0" fontId="2" fillId="0" borderId="0" xfId="0" applyFont="1" applyAlignment="1">
      <alignment wrapText="1"/>
    </xf>
    <xf numFmtId="3" fontId="2" fillId="0" borderId="0" xfId="0" applyNumberFormat="1" applyFont="1"/>
    <xf numFmtId="0" fontId="8" fillId="0" borderId="0" xfId="0" applyFont="1" applyAlignment="1">
      <alignment horizontal="left" wrapText="1"/>
    </xf>
    <xf numFmtId="3" fontId="3" fillId="4" borderId="1" xfId="0" applyNumberFormat="1" applyFont="1" applyFill="1" applyBorder="1"/>
    <xf numFmtId="0" fontId="2" fillId="4" borderId="19" xfId="0" applyFont="1" applyFill="1" applyBorder="1" applyAlignment="1">
      <alignment horizontal="right"/>
    </xf>
    <xf numFmtId="0" fontId="0" fillId="0" borderId="19" xfId="0" applyBorder="1"/>
    <xf numFmtId="0" fontId="0" fillId="0" borderId="1" xfId="0" applyBorder="1" applyAlignment="1">
      <alignment horizontal="center" wrapText="1"/>
    </xf>
    <xf numFmtId="0" fontId="23" fillId="0" borderId="0" xfId="0" applyFont="1"/>
    <xf numFmtId="0" fontId="24" fillId="0" borderId="0" xfId="0" applyFont="1"/>
    <xf numFmtId="0" fontId="25" fillId="0" borderId="0" xfId="0" applyFont="1"/>
    <xf numFmtId="0" fontId="26" fillId="0" borderId="0" xfId="0" applyFont="1"/>
    <xf numFmtId="0" fontId="27" fillId="7" borderId="25" xfId="0" applyFont="1" applyFill="1" applyBorder="1" applyAlignment="1">
      <alignment horizontal="center" vertical="center" wrapText="1"/>
    </xf>
    <xf numFmtId="0" fontId="28" fillId="0" borderId="0" xfId="0" applyFont="1" applyAlignment="1">
      <alignment vertical="center" wrapText="1"/>
    </xf>
    <xf numFmtId="0" fontId="27" fillId="0" borderId="1" xfId="0" applyFont="1" applyBorder="1" applyAlignment="1">
      <alignment wrapText="1"/>
    </xf>
    <xf numFmtId="167" fontId="23" fillId="0" borderId="1" xfId="0" applyNumberFormat="1" applyFont="1" applyBorder="1" applyAlignment="1">
      <alignment horizontal="center" vertical="center"/>
    </xf>
    <xf numFmtId="167" fontId="27" fillId="8" borderId="1" xfId="0" applyNumberFormat="1" applyFont="1" applyFill="1" applyBorder="1" applyAlignment="1">
      <alignment horizontal="center" vertical="center"/>
    </xf>
    <xf numFmtId="0" fontId="27" fillId="0" borderId="0" xfId="0" applyFont="1" applyAlignment="1">
      <alignment wrapText="1"/>
    </xf>
    <xf numFmtId="167" fontId="23" fillId="6" borderId="0" xfId="0" applyNumberFormat="1" applyFont="1" applyFill="1" applyAlignment="1">
      <alignment horizontal="center" vertical="center"/>
    </xf>
    <xf numFmtId="167" fontId="23" fillId="0" borderId="0" xfId="0" applyNumberFormat="1" applyFont="1" applyAlignment="1">
      <alignment horizontal="center" vertical="center"/>
    </xf>
    <xf numFmtId="167" fontId="27" fillId="8" borderId="0" xfId="0" applyNumberFormat="1" applyFont="1" applyFill="1" applyAlignment="1">
      <alignment horizontal="center" vertical="center"/>
    </xf>
    <xf numFmtId="0" fontId="29" fillId="0" borderId="0" xfId="0" applyFont="1"/>
    <xf numFmtId="0" fontId="27" fillId="0" borderId="0" xfId="0" applyFont="1"/>
    <xf numFmtId="0" fontId="27" fillId="0" borderId="21" xfId="0" applyFont="1" applyBorder="1" applyAlignment="1">
      <alignment wrapText="1"/>
    </xf>
    <xf numFmtId="4" fontId="27" fillId="0" borderId="0" xfId="0" applyNumberFormat="1" applyFont="1"/>
    <xf numFmtId="0" fontId="27" fillId="0" borderId="0" xfId="0" applyFont="1" applyAlignment="1">
      <alignment horizontal="right" wrapText="1"/>
    </xf>
    <xf numFmtId="0" fontId="30" fillId="0" borderId="27" xfId="0" applyFont="1" applyBorder="1" applyAlignment="1">
      <alignment wrapText="1"/>
    </xf>
    <xf numFmtId="0" fontId="30" fillId="0" borderId="28" xfId="0" applyFont="1" applyBorder="1" applyAlignment="1">
      <alignment wrapText="1"/>
    </xf>
    <xf numFmtId="0" fontId="27" fillId="0" borderId="28" xfId="0" applyFont="1" applyBorder="1" applyAlignment="1">
      <alignment wrapText="1"/>
    </xf>
    <xf numFmtId="0" fontId="31" fillId="0" borderId="0" xfId="0" applyFont="1" applyAlignment="1">
      <alignment wrapText="1"/>
    </xf>
    <xf numFmtId="0" fontId="31" fillId="0" borderId="27" xfId="0" applyFont="1" applyBorder="1" applyAlignment="1">
      <alignment wrapText="1"/>
    </xf>
    <xf numFmtId="0" fontId="31" fillId="0" borderId="28" xfId="0" applyFont="1" applyBorder="1" applyAlignment="1">
      <alignment wrapText="1"/>
    </xf>
    <xf numFmtId="0" fontId="27" fillId="4" borderId="1" xfId="0" applyFont="1" applyFill="1" applyBorder="1" applyAlignment="1">
      <alignment horizontal="center" vertical="center"/>
    </xf>
    <xf numFmtId="0" fontId="27" fillId="4" borderId="1" xfId="0" applyFont="1" applyFill="1" applyBorder="1" applyAlignment="1">
      <alignment horizontal="left" vertical="center"/>
    </xf>
    <xf numFmtId="0" fontId="27" fillId="0" borderId="1" xfId="0" applyFont="1" applyBorder="1" applyAlignment="1">
      <alignment horizontal="center" vertical="center"/>
    </xf>
    <xf numFmtId="0" fontId="32" fillId="0" borderId="0" xfId="0" applyFont="1"/>
    <xf numFmtId="0" fontId="23" fillId="4" borderId="36" xfId="0" applyFont="1" applyFill="1" applyBorder="1" applyAlignment="1">
      <alignment horizontal="center" vertical="center" wrapText="1"/>
    </xf>
    <xf numFmtId="0" fontId="23" fillId="4" borderId="34" xfId="0" applyFont="1" applyFill="1" applyBorder="1" applyAlignment="1">
      <alignment horizontal="center" vertical="center" wrapText="1"/>
    </xf>
    <xf numFmtId="0" fontId="23" fillId="0" borderId="40" xfId="0" applyFont="1" applyBorder="1"/>
    <xf numFmtId="0" fontId="31" fillId="0" borderId="41" xfId="0" applyFont="1" applyBorder="1" applyAlignment="1">
      <alignment wrapText="1"/>
    </xf>
    <xf numFmtId="0" fontId="23" fillId="0" borderId="42" xfId="0" applyFont="1" applyBorder="1" applyAlignment="1">
      <alignment horizontal="center"/>
    </xf>
    <xf numFmtId="0" fontId="23" fillId="0" borderId="41" xfId="0" applyFont="1" applyBorder="1" applyAlignment="1">
      <alignment horizontal="center"/>
    </xf>
    <xf numFmtId="0" fontId="23" fillId="0" borderId="43" xfId="0" applyFont="1" applyBorder="1" applyAlignment="1">
      <alignment horizontal="center"/>
    </xf>
    <xf numFmtId="2" fontId="31" fillId="0" borderId="1" xfId="0" applyNumberFormat="1" applyFont="1" applyBorder="1" applyAlignment="1">
      <alignment horizontal="center" vertical="center" wrapText="1"/>
    </xf>
    <xf numFmtId="0" fontId="23" fillId="0" borderId="40" xfId="0" applyFont="1" applyBorder="1" applyAlignment="1">
      <alignment horizontal="center"/>
    </xf>
    <xf numFmtId="2" fontId="23" fillId="0" borderId="22" xfId="0" applyNumberFormat="1" applyFont="1" applyBorder="1" applyAlignment="1">
      <alignment horizontal="center"/>
    </xf>
    <xf numFmtId="2" fontId="23" fillId="0" borderId="40" xfId="0" applyNumberFormat="1" applyFont="1" applyBorder="1" applyAlignment="1">
      <alignment horizontal="center"/>
    </xf>
    <xf numFmtId="0" fontId="23" fillId="0" borderId="1" xfId="0" applyFont="1" applyBorder="1" applyAlignment="1">
      <alignment horizontal="center" vertical="center"/>
    </xf>
    <xf numFmtId="168" fontId="3" fillId="0" borderId="1" xfId="0" applyNumberFormat="1" applyFont="1" applyBorder="1" applyAlignment="1">
      <alignment horizontal="center" vertical="center"/>
    </xf>
    <xf numFmtId="0" fontId="23" fillId="0" borderId="1" xfId="0" applyFont="1" applyBorder="1"/>
    <xf numFmtId="0" fontId="23" fillId="0" borderId="19" xfId="0" applyFont="1" applyBorder="1"/>
    <xf numFmtId="43" fontId="23" fillId="0" borderId="1" xfId="1" applyFont="1" applyBorder="1"/>
    <xf numFmtId="0" fontId="23" fillId="0" borderId="42" xfId="0" applyFont="1" applyBorder="1"/>
    <xf numFmtId="0" fontId="23" fillId="0" borderId="41" xfId="0" applyFont="1" applyBorder="1"/>
    <xf numFmtId="2" fontId="23" fillId="0" borderId="41" xfId="0" applyNumberFormat="1" applyFont="1" applyBorder="1" applyAlignment="1">
      <alignment horizontal="center"/>
    </xf>
    <xf numFmtId="0" fontId="23" fillId="0" borderId="1" xfId="0" applyFont="1" applyBorder="1" applyAlignment="1">
      <alignment horizontal="left" vertical="center"/>
    </xf>
    <xf numFmtId="0" fontId="23" fillId="0" borderId="1" xfId="0" applyFont="1" applyBorder="1" applyAlignment="1">
      <alignment wrapText="1"/>
    </xf>
    <xf numFmtId="2" fontId="3" fillId="0" borderId="1" xfId="0" applyNumberFormat="1" applyFont="1" applyBorder="1" applyAlignment="1">
      <alignment horizontal="center" vertical="center"/>
    </xf>
    <xf numFmtId="0" fontId="23" fillId="0" borderId="1" xfId="0" applyFont="1" applyBorder="1" applyAlignment="1">
      <alignment vertical="center"/>
    </xf>
    <xf numFmtId="168" fontId="23" fillId="0" borderId="1" xfId="0" applyNumberFormat="1" applyFont="1" applyBorder="1" applyAlignment="1">
      <alignment horizontal="center" vertical="center"/>
    </xf>
    <xf numFmtId="0" fontId="23" fillId="6" borderId="0" xfId="0" applyFont="1" applyFill="1"/>
    <xf numFmtId="0" fontId="23" fillId="0" borderId="0" xfId="0" applyFont="1" applyAlignment="1">
      <alignment horizontal="right"/>
    </xf>
    <xf numFmtId="168" fontId="23" fillId="0" borderId="1" xfId="0" applyNumberFormat="1" applyFont="1" applyBorder="1"/>
    <xf numFmtId="0" fontId="23" fillId="0" borderId="0" xfId="0" applyFont="1" applyAlignment="1">
      <alignment horizontal="center"/>
    </xf>
    <xf numFmtId="2" fontId="23" fillId="0" borderId="23" xfId="0" applyNumberFormat="1" applyFont="1" applyBorder="1" applyAlignment="1">
      <alignment horizontal="center"/>
    </xf>
    <xf numFmtId="2" fontId="23" fillId="0" borderId="1" xfId="0" applyNumberFormat="1" applyFont="1" applyBorder="1" applyAlignment="1">
      <alignment horizontal="center"/>
    </xf>
    <xf numFmtId="0" fontId="23" fillId="6" borderId="1" xfId="0" applyFont="1" applyFill="1" applyBorder="1" applyAlignment="1">
      <alignment horizontal="center" vertical="center"/>
    </xf>
    <xf numFmtId="2" fontId="23" fillId="0" borderId="43" xfId="0" applyNumberFormat="1" applyFont="1" applyBorder="1" applyAlignment="1">
      <alignment horizontal="center"/>
    </xf>
    <xf numFmtId="2" fontId="23" fillId="0" borderId="1" xfId="0" applyNumberFormat="1" applyFont="1" applyBorder="1" applyAlignment="1">
      <alignment horizontal="center" vertical="center"/>
    </xf>
    <xf numFmtId="0" fontId="23" fillId="6" borderId="0" xfId="0" applyFont="1" applyFill="1" applyAlignment="1">
      <alignment horizontal="right"/>
    </xf>
    <xf numFmtId="43" fontId="23" fillId="0" borderId="1" xfId="0" applyNumberFormat="1" applyFont="1" applyBorder="1"/>
    <xf numFmtId="168" fontId="23" fillId="0" borderId="0" xfId="0" applyNumberFormat="1" applyFont="1"/>
    <xf numFmtId="0" fontId="23" fillId="0" borderId="1" xfId="0" applyFont="1" applyBorder="1" applyAlignment="1">
      <alignment vertical="center" wrapText="1"/>
    </xf>
    <xf numFmtId="0" fontId="23" fillId="0" borderId="1" xfId="0" applyFont="1" applyBorder="1" applyAlignment="1">
      <alignment horizontal="center"/>
    </xf>
    <xf numFmtId="0" fontId="33" fillId="0" borderId="0" xfId="0" applyFont="1"/>
    <xf numFmtId="0" fontId="23" fillId="0" borderId="24" xfId="0" applyFont="1" applyBorder="1"/>
    <xf numFmtId="0" fontId="23" fillId="0" borderId="22" xfId="0" applyFont="1" applyBorder="1" applyAlignment="1">
      <alignment wrapText="1"/>
    </xf>
    <xf numFmtId="0" fontId="23" fillId="0" borderId="22" xfId="0" applyFont="1" applyBorder="1" applyAlignment="1">
      <alignment horizontal="center" vertical="center"/>
    </xf>
    <xf numFmtId="0" fontId="23" fillId="0" borderId="23" xfId="0" applyFont="1" applyBorder="1" applyAlignment="1">
      <alignment horizontal="center" vertical="center"/>
    </xf>
    <xf numFmtId="0" fontId="23" fillId="0" borderId="44" xfId="0" applyFont="1" applyBorder="1" applyAlignment="1">
      <alignment horizontal="center" vertical="center"/>
    </xf>
    <xf numFmtId="0" fontId="23" fillId="0" borderId="24" xfId="0" applyFont="1" applyBorder="1" applyAlignment="1">
      <alignment horizontal="center" vertical="center"/>
    </xf>
    <xf numFmtId="2" fontId="3" fillId="0" borderId="24" xfId="0" applyNumberFormat="1" applyFont="1" applyBorder="1" applyAlignment="1">
      <alignment horizontal="center" vertical="center"/>
    </xf>
    <xf numFmtId="2" fontId="3" fillId="0" borderId="41" xfId="0" applyNumberFormat="1" applyFont="1" applyBorder="1" applyAlignment="1">
      <alignment horizontal="center" vertical="center"/>
    </xf>
    <xf numFmtId="2" fontId="3" fillId="0" borderId="23" xfId="0" applyNumberFormat="1" applyFont="1" applyBorder="1" applyAlignment="1">
      <alignment horizontal="center" vertical="center"/>
    </xf>
    <xf numFmtId="43" fontId="23" fillId="0" borderId="1" xfId="1" applyFont="1" applyFill="1" applyBorder="1"/>
    <xf numFmtId="0" fontId="23" fillId="0" borderId="41" xfId="0" applyFont="1" applyBorder="1" applyAlignment="1">
      <alignment wrapText="1"/>
    </xf>
    <xf numFmtId="0" fontId="23" fillId="0" borderId="41" xfId="0" applyFont="1" applyBorder="1" applyAlignment="1">
      <alignment horizontal="center" vertical="center"/>
    </xf>
    <xf numFmtId="0" fontId="23" fillId="0" borderId="43" xfId="0" applyFont="1" applyBorder="1" applyAlignment="1">
      <alignment horizontal="center" vertical="center"/>
    </xf>
    <xf numFmtId="0" fontId="23" fillId="0" borderId="40" xfId="0" applyFont="1" applyBorder="1" applyAlignment="1">
      <alignment horizontal="center" vertical="center"/>
    </xf>
    <xf numFmtId="0" fontId="23" fillId="0" borderId="42" xfId="0" applyFont="1" applyBorder="1" applyAlignment="1">
      <alignment horizontal="center" vertical="center"/>
    </xf>
    <xf numFmtId="2" fontId="23" fillId="0" borderId="42" xfId="0" applyNumberFormat="1" applyFont="1" applyBorder="1" applyAlignment="1">
      <alignment horizontal="center" vertical="center"/>
    </xf>
    <xf numFmtId="2" fontId="23" fillId="0" borderId="41" xfId="0" applyNumberFormat="1" applyFont="1" applyBorder="1" applyAlignment="1">
      <alignment horizontal="center" vertical="center"/>
    </xf>
    <xf numFmtId="0" fontId="23" fillId="0" borderId="44" xfId="0" applyFont="1" applyBorder="1"/>
    <xf numFmtId="0" fontId="23" fillId="0" borderId="41" xfId="0" applyFont="1" applyBorder="1" applyAlignment="1">
      <alignment horizontal="left" vertical="center" wrapText="1"/>
    </xf>
    <xf numFmtId="2" fontId="23" fillId="0" borderId="43" xfId="0" applyNumberFormat="1" applyFont="1" applyBorder="1" applyAlignment="1">
      <alignment horizontal="center" vertical="center"/>
    </xf>
    <xf numFmtId="2" fontId="3" fillId="0" borderId="42" xfId="0" applyNumberFormat="1" applyFont="1" applyBorder="1" applyAlignment="1">
      <alignment horizontal="center" vertical="center"/>
    </xf>
    <xf numFmtId="0" fontId="3" fillId="0" borderId="41" xfId="0" applyFont="1" applyBorder="1" applyAlignment="1">
      <alignment horizontal="center" vertical="center"/>
    </xf>
    <xf numFmtId="2" fontId="3" fillId="0" borderId="43" xfId="0" applyNumberFormat="1" applyFont="1" applyBorder="1" applyAlignment="1">
      <alignment horizontal="center" vertical="center"/>
    </xf>
    <xf numFmtId="0" fontId="23" fillId="0" borderId="42" xfId="0" applyFont="1" applyBorder="1" applyAlignment="1">
      <alignment horizontal="left" vertical="center"/>
    </xf>
    <xf numFmtId="2" fontId="31" fillId="0" borderId="25" xfId="0" applyNumberFormat="1" applyFont="1" applyBorder="1" applyAlignment="1">
      <alignment horizontal="center" vertical="center" wrapText="1"/>
    </xf>
    <xf numFmtId="2" fontId="3" fillId="0" borderId="19" xfId="0" applyNumberFormat="1" applyFont="1" applyBorder="1" applyAlignment="1">
      <alignment horizontal="center" vertical="center"/>
    </xf>
    <xf numFmtId="4" fontId="27" fillId="0" borderId="1" xfId="0" applyNumberFormat="1" applyFont="1" applyBorder="1" applyAlignment="1">
      <alignment horizontal="center" vertical="center"/>
    </xf>
    <xf numFmtId="0" fontId="34" fillId="0" borderId="0" xfId="0" applyFont="1"/>
    <xf numFmtId="2" fontId="23" fillId="0" borderId="24" xfId="0" applyNumberFormat="1" applyFont="1" applyBorder="1" applyAlignment="1">
      <alignment horizontal="center" vertical="center"/>
    </xf>
    <xf numFmtId="0" fontId="23" fillId="0" borderId="19" xfId="0" applyFont="1" applyBorder="1" applyAlignment="1">
      <alignment horizontal="center" vertical="center"/>
    </xf>
    <xf numFmtId="0" fontId="23" fillId="0" borderId="45" xfId="0" applyFont="1" applyBorder="1" applyAlignment="1">
      <alignment vertical="center"/>
    </xf>
    <xf numFmtId="0" fontId="27" fillId="0" borderId="45" xfId="0" applyFont="1" applyBorder="1" applyAlignment="1">
      <alignment wrapText="1"/>
    </xf>
    <xf numFmtId="0" fontId="23" fillId="0" borderId="45" xfId="0" applyFont="1" applyBorder="1" applyAlignment="1">
      <alignment horizontal="center" vertical="center"/>
    </xf>
    <xf numFmtId="0" fontId="23" fillId="0" borderId="46" xfId="0" applyFont="1" applyBorder="1" applyAlignment="1">
      <alignment horizontal="center" vertical="center"/>
    </xf>
    <xf numFmtId="2" fontId="31" fillId="0" borderId="27" xfId="0" applyNumberFormat="1" applyFont="1" applyBorder="1" applyAlignment="1">
      <alignment horizontal="center" vertical="center" wrapText="1"/>
    </xf>
    <xf numFmtId="0" fontId="23" fillId="0" borderId="47" xfId="0" applyFont="1" applyBorder="1" applyAlignment="1">
      <alignment horizontal="center" vertical="center"/>
    </xf>
    <xf numFmtId="0" fontId="23" fillId="0" borderId="48" xfId="0" applyFont="1" applyBorder="1" applyAlignment="1">
      <alignment horizontal="center" vertical="center"/>
    </xf>
    <xf numFmtId="2" fontId="23" fillId="0" borderId="48" xfId="0" applyNumberFormat="1" applyFont="1" applyBorder="1" applyAlignment="1">
      <alignment horizontal="center" vertical="center"/>
    </xf>
    <xf numFmtId="0" fontId="23" fillId="0" borderId="46" xfId="0" applyFont="1" applyBorder="1" applyAlignment="1">
      <alignment vertical="center"/>
    </xf>
    <xf numFmtId="0" fontId="23" fillId="0" borderId="23" xfId="0" applyFont="1" applyBorder="1" applyAlignment="1">
      <alignment vertical="center"/>
    </xf>
    <xf numFmtId="0" fontId="27" fillId="0" borderId="22" xfId="0" applyFont="1" applyBorder="1" applyAlignment="1">
      <alignment wrapText="1"/>
    </xf>
    <xf numFmtId="0" fontId="23" fillId="0" borderId="22" xfId="0" applyFont="1" applyBorder="1" applyAlignment="1">
      <alignment horizontal="left" vertical="center"/>
    </xf>
    <xf numFmtId="0" fontId="23" fillId="0" borderId="45" xfId="0" applyFont="1" applyBorder="1" applyAlignment="1">
      <alignment wrapText="1"/>
    </xf>
    <xf numFmtId="0" fontId="23" fillId="0" borderId="41" xfId="0" applyFont="1" applyBorder="1" applyAlignment="1">
      <alignment vertical="center"/>
    </xf>
    <xf numFmtId="168" fontId="23" fillId="0" borderId="1" xfId="0" applyNumberFormat="1" applyFont="1" applyBorder="1" applyAlignment="1">
      <alignment horizontal="right"/>
    </xf>
    <xf numFmtId="0" fontId="23" fillId="0" borderId="22" xfId="0" applyFont="1" applyBorder="1"/>
    <xf numFmtId="0" fontId="23" fillId="0" borderId="21" xfId="0" applyFont="1" applyBorder="1"/>
    <xf numFmtId="2" fontId="23" fillId="0" borderId="1" xfId="0" applyNumberFormat="1" applyFont="1" applyBorder="1"/>
    <xf numFmtId="0" fontId="23" fillId="0" borderId="27" xfId="0" applyFont="1" applyBorder="1"/>
    <xf numFmtId="0" fontId="23" fillId="0" borderId="27" xfId="0" applyFont="1" applyBorder="1" applyAlignment="1">
      <alignment horizontal="center" vertical="center"/>
    </xf>
    <xf numFmtId="0" fontId="23" fillId="0" borderId="17" xfId="0" applyFont="1" applyBorder="1" applyAlignment="1">
      <alignment horizontal="center" vertical="center"/>
    </xf>
    <xf numFmtId="43" fontId="23" fillId="0" borderId="17" xfId="1" applyFont="1" applyFill="1" applyBorder="1"/>
    <xf numFmtId="0" fontId="19" fillId="0" borderId="0" xfId="2" applyFont="1"/>
    <xf numFmtId="0" fontId="14" fillId="2" borderId="1" xfId="2" applyFont="1" applyFill="1" applyBorder="1" applyAlignment="1">
      <alignment horizontal="center" vertical="center"/>
    </xf>
    <xf numFmtId="0" fontId="14" fillId="2" borderId="1" xfId="2" applyFont="1" applyFill="1" applyBorder="1" applyAlignment="1">
      <alignment horizontal="center" vertical="center" wrapText="1"/>
    </xf>
    <xf numFmtId="0" fontId="19" fillId="0" borderId="1" xfId="2" applyFont="1" applyBorder="1"/>
    <xf numFmtId="3" fontId="19" fillId="0" borderId="1" xfId="2" applyNumberFormat="1" applyFont="1" applyBorder="1"/>
    <xf numFmtId="3" fontId="14" fillId="0" borderId="1" xfId="2" applyNumberFormat="1" applyFont="1" applyBorder="1"/>
    <xf numFmtId="0" fontId="14" fillId="0" borderId="1" xfId="2" applyFont="1" applyBorder="1" applyAlignment="1">
      <alignment horizontal="right"/>
    </xf>
    <xf numFmtId="3" fontId="14" fillId="5" borderId="1" xfId="2" applyNumberFormat="1" applyFont="1" applyFill="1" applyBorder="1"/>
    <xf numFmtId="0" fontId="14" fillId="0" borderId="0" xfId="2" applyFont="1"/>
    <xf numFmtId="0" fontId="9" fillId="0" borderId="0" xfId="2"/>
    <xf numFmtId="3" fontId="37" fillId="0" borderId="57" xfId="2" applyNumberFormat="1" applyFont="1" applyBorder="1" applyAlignment="1">
      <alignment horizontal="centerContinuous" vertical="distributed" wrapText="1"/>
    </xf>
    <xf numFmtId="3" fontId="37" fillId="0" borderId="58" xfId="2" applyNumberFormat="1" applyFont="1" applyBorder="1" applyAlignment="1">
      <alignment horizontal="centerContinuous" vertical="distributed" wrapText="1"/>
    </xf>
    <xf numFmtId="3" fontId="37" fillId="0" borderId="55" xfId="2" applyNumberFormat="1" applyFont="1" applyBorder="1" applyAlignment="1">
      <alignment horizontal="centerContinuous" vertical="distributed" wrapText="1"/>
    </xf>
    <xf numFmtId="3" fontId="37" fillId="0" borderId="59" xfId="2" applyNumberFormat="1" applyFont="1" applyBorder="1" applyAlignment="1">
      <alignment horizontal="centerContinuous" vertical="distributed" wrapText="1"/>
    </xf>
    <xf numFmtId="3" fontId="37" fillId="0" borderId="60" xfId="2" applyNumberFormat="1" applyFont="1" applyBorder="1" applyAlignment="1">
      <alignment horizontal="centerContinuous" vertical="distributed" wrapText="1"/>
    </xf>
    <xf numFmtId="3" fontId="37" fillId="0" borderId="57" xfId="2" applyNumberFormat="1" applyFont="1" applyBorder="1" applyAlignment="1">
      <alignment horizontal="center" vertical="center" wrapText="1"/>
    </xf>
    <xf numFmtId="3" fontId="37" fillId="0" borderId="58" xfId="2" applyNumberFormat="1" applyFont="1" applyBorder="1" applyAlignment="1">
      <alignment horizontal="center" vertical="center" wrapText="1"/>
    </xf>
    <xf numFmtId="3" fontId="37" fillId="0" borderId="64" xfId="2" applyNumberFormat="1" applyFont="1" applyBorder="1" applyAlignment="1">
      <alignment horizontal="center" vertical="center" wrapText="1"/>
    </xf>
    <xf numFmtId="3" fontId="37" fillId="0" borderId="65" xfId="2" applyNumberFormat="1" applyFont="1" applyBorder="1" applyAlignment="1">
      <alignment horizontal="center" vertical="center" wrapText="1"/>
    </xf>
    <xf numFmtId="3" fontId="38" fillId="0" borderId="67" xfId="2" applyNumberFormat="1" applyFont="1" applyBorder="1"/>
    <xf numFmtId="3" fontId="38" fillId="0" borderId="1" xfId="2" applyNumberFormat="1" applyFont="1" applyBorder="1"/>
    <xf numFmtId="3" fontId="38" fillId="0" borderId="67" xfId="2" applyNumberFormat="1" applyFont="1" applyBorder="1" applyAlignment="1">
      <alignment horizontal="right"/>
    </xf>
    <xf numFmtId="3" fontId="38" fillId="0" borderId="68" xfId="2" applyNumberFormat="1" applyFont="1" applyBorder="1" applyAlignment="1">
      <alignment horizontal="right"/>
    </xf>
    <xf numFmtId="9" fontId="38" fillId="0" borderId="67" xfId="6" applyFont="1" applyFill="1" applyBorder="1" applyAlignment="1">
      <alignment horizontal="right"/>
    </xf>
    <xf numFmtId="9" fontId="38" fillId="0" borderId="19" xfId="6" applyFont="1" applyFill="1" applyBorder="1" applyAlignment="1">
      <alignment horizontal="right"/>
    </xf>
    <xf numFmtId="3" fontId="38" fillId="0" borderId="1" xfId="2" applyNumberFormat="1" applyFont="1" applyBorder="1" applyAlignment="1">
      <alignment horizontal="right"/>
    </xf>
    <xf numFmtId="3" fontId="38" fillId="0" borderId="19" xfId="2" applyNumberFormat="1" applyFont="1" applyBorder="1" applyAlignment="1">
      <alignment horizontal="right"/>
    </xf>
    <xf numFmtId="3" fontId="38" fillId="0" borderId="69" xfId="2" applyNumberFormat="1" applyFont="1" applyBorder="1"/>
    <xf numFmtId="3" fontId="38" fillId="0" borderId="67" xfId="7" applyNumberFormat="1" applyFont="1" applyFill="1" applyBorder="1" applyAlignment="1">
      <alignment horizontal="right"/>
    </xf>
    <xf numFmtId="3" fontId="38" fillId="0" borderId="68" xfId="7" applyNumberFormat="1" applyFont="1" applyFill="1" applyBorder="1" applyAlignment="1">
      <alignment horizontal="right"/>
    </xf>
    <xf numFmtId="3" fontId="38" fillId="0" borderId="67" xfId="7" applyNumberFormat="1" applyFont="1" applyBorder="1" applyAlignment="1">
      <alignment horizontal="right"/>
    </xf>
    <xf numFmtId="3" fontId="38" fillId="0" borderId="68" xfId="7" applyNumberFormat="1" applyFont="1" applyBorder="1" applyAlignment="1">
      <alignment horizontal="right"/>
    </xf>
    <xf numFmtId="9" fontId="38" fillId="0" borderId="67" xfId="6" applyFont="1" applyBorder="1" applyAlignment="1">
      <alignment horizontal="right"/>
    </xf>
    <xf numFmtId="9" fontId="38" fillId="0" borderId="19" xfId="6" applyFont="1" applyBorder="1" applyAlignment="1">
      <alignment horizontal="right"/>
    </xf>
    <xf numFmtId="3" fontId="38" fillId="0" borderId="1" xfId="7" applyNumberFormat="1" applyFont="1" applyBorder="1" applyAlignment="1">
      <alignment horizontal="right"/>
    </xf>
    <xf numFmtId="3" fontId="38" fillId="0" borderId="19" xfId="7" applyNumberFormat="1" applyFont="1" applyBorder="1" applyAlignment="1">
      <alignment horizontal="right"/>
    </xf>
    <xf numFmtId="0" fontId="38" fillId="0" borderId="67" xfId="2" applyFont="1" applyBorder="1"/>
    <xf numFmtId="0" fontId="38" fillId="0" borderId="68" xfId="2" applyFont="1" applyBorder="1"/>
    <xf numFmtId="9" fontId="38" fillId="0" borderId="67" xfId="6" applyFont="1" applyBorder="1"/>
    <xf numFmtId="9" fontId="38" fillId="0" borderId="19" xfId="6" applyFont="1" applyBorder="1"/>
    <xf numFmtId="0" fontId="38" fillId="0" borderId="1" xfId="2" applyFont="1" applyBorder="1"/>
    <xf numFmtId="0" fontId="38" fillId="0" borderId="19" xfId="2" applyFont="1" applyBorder="1"/>
    <xf numFmtId="3" fontId="38" fillId="0" borderId="70" xfId="2" applyNumberFormat="1" applyFont="1" applyBorder="1"/>
    <xf numFmtId="3" fontId="38" fillId="0" borderId="25" xfId="2" applyNumberFormat="1" applyFont="1" applyBorder="1"/>
    <xf numFmtId="3" fontId="38" fillId="0" borderId="70" xfId="7" applyNumberFormat="1" applyFont="1" applyFill="1" applyBorder="1" applyAlignment="1">
      <alignment horizontal="right"/>
    </xf>
    <xf numFmtId="3" fontId="38" fillId="0" borderId="71" xfId="7" applyNumberFormat="1" applyFont="1" applyFill="1" applyBorder="1" applyAlignment="1">
      <alignment horizontal="right"/>
    </xf>
    <xf numFmtId="3" fontId="38" fillId="0" borderId="70" xfId="7" applyNumberFormat="1" applyFont="1" applyBorder="1" applyAlignment="1">
      <alignment horizontal="right"/>
    </xf>
    <xf numFmtId="3" fontId="38" fillId="0" borderId="71" xfId="7" applyNumberFormat="1" applyFont="1" applyBorder="1" applyAlignment="1">
      <alignment horizontal="right"/>
    </xf>
    <xf numFmtId="9" fontId="38" fillId="0" borderId="70" xfId="6" applyFont="1" applyBorder="1" applyAlignment="1">
      <alignment horizontal="right"/>
    </xf>
    <xf numFmtId="9" fontId="38" fillId="0" borderId="26" xfId="6" applyFont="1" applyBorder="1" applyAlignment="1">
      <alignment horizontal="right"/>
    </xf>
    <xf numFmtId="3" fontId="38" fillId="0" borderId="25" xfId="7" applyNumberFormat="1" applyFont="1" applyBorder="1" applyAlignment="1">
      <alignment horizontal="right"/>
    </xf>
    <xf numFmtId="3" fontId="38" fillId="0" borderId="26" xfId="7" applyNumberFormat="1" applyFont="1" applyBorder="1" applyAlignment="1">
      <alignment horizontal="right"/>
    </xf>
    <xf numFmtId="3" fontId="38" fillId="0" borderId="72" xfId="2" applyNumberFormat="1" applyFont="1" applyBorder="1"/>
    <xf numFmtId="0" fontId="9" fillId="0" borderId="57" xfId="2" applyBorder="1"/>
    <xf numFmtId="0" fontId="9" fillId="0" borderId="65" xfId="2" applyBorder="1"/>
    <xf numFmtId="3" fontId="37" fillId="0" borderId="65" xfId="2" applyNumberFormat="1" applyFont="1" applyBorder="1"/>
    <xf numFmtId="3" fontId="37" fillId="0" borderId="64" xfId="2" applyNumberFormat="1" applyFont="1" applyBorder="1"/>
    <xf numFmtId="3" fontId="37" fillId="10" borderId="73" xfId="2" applyNumberFormat="1" applyFont="1" applyFill="1" applyBorder="1"/>
    <xf numFmtId="3" fontId="9" fillId="0" borderId="0" xfId="2" applyNumberFormat="1"/>
    <xf numFmtId="0" fontId="18" fillId="0" borderId="0" xfId="2" applyFont="1"/>
    <xf numFmtId="0" fontId="10" fillId="6" borderId="1" xfId="2" applyFont="1" applyFill="1" applyBorder="1" applyAlignment="1">
      <alignment horizontal="center" vertical="center" wrapText="1"/>
    </xf>
    <xf numFmtId="3" fontId="10" fillId="6" borderId="1" xfId="2" applyNumberFormat="1" applyFont="1" applyFill="1" applyBorder="1" applyAlignment="1">
      <alignment horizontal="center" vertical="center" wrapText="1"/>
    </xf>
    <xf numFmtId="10" fontId="10" fillId="6" borderId="1" xfId="6" applyNumberFormat="1" applyFont="1" applyFill="1" applyBorder="1" applyAlignment="1">
      <alignment horizontal="center" vertical="center" wrapText="1"/>
    </xf>
    <xf numFmtId="0" fontId="19" fillId="0" borderId="1" xfId="2" applyFont="1" applyBorder="1" applyAlignment="1">
      <alignment horizontal="center" vertical="center" wrapText="1"/>
    </xf>
    <xf numFmtId="0" fontId="11" fillId="6" borderId="1" xfId="2" applyFont="1" applyFill="1" applyBorder="1" applyAlignment="1">
      <alignment horizontal="center" vertical="center" wrapText="1"/>
    </xf>
    <xf numFmtId="3" fontId="11" fillId="6" borderId="1" xfId="2" applyNumberFormat="1" applyFont="1" applyFill="1" applyBorder="1" applyAlignment="1">
      <alignment horizontal="center" vertical="center" wrapText="1"/>
    </xf>
    <xf numFmtId="10" fontId="11" fillId="6" borderId="1" xfId="6" applyNumberFormat="1" applyFont="1" applyFill="1" applyBorder="1" applyAlignment="1">
      <alignment horizontal="center" vertical="center" wrapText="1"/>
    </xf>
    <xf numFmtId="0" fontId="19" fillId="6" borderId="1" xfId="2" applyFont="1" applyFill="1" applyBorder="1"/>
    <xf numFmtId="3" fontId="19" fillId="6" borderId="1" xfId="2" applyNumberFormat="1" applyFont="1" applyFill="1" applyBorder="1"/>
    <xf numFmtId="3" fontId="19" fillId="6" borderId="1" xfId="2" applyNumberFormat="1" applyFont="1" applyFill="1" applyBorder="1" applyAlignment="1">
      <alignment horizontal="center"/>
    </xf>
    <xf numFmtId="10" fontId="19" fillId="6" borderId="1" xfId="6" applyNumberFormat="1" applyFont="1" applyFill="1" applyBorder="1" applyAlignment="1">
      <alignment horizontal="center" vertical="center"/>
    </xf>
    <xf numFmtId="4" fontId="19" fillId="6" borderId="1" xfId="2" applyNumberFormat="1" applyFont="1" applyFill="1" applyBorder="1" applyAlignment="1">
      <alignment horizontal="center"/>
    </xf>
    <xf numFmtId="3" fontId="19" fillId="6" borderId="1" xfId="2" applyNumberFormat="1" applyFont="1" applyFill="1" applyBorder="1" applyAlignment="1">
      <alignment horizontal="center" vertical="center"/>
    </xf>
    <xf numFmtId="0" fontId="9" fillId="6" borderId="0" xfId="2" applyFill="1"/>
    <xf numFmtId="0" fontId="10" fillId="6" borderId="1" xfId="2" applyFont="1" applyFill="1" applyBorder="1"/>
    <xf numFmtId="0" fontId="19" fillId="6" borderId="1" xfId="2" applyFont="1" applyFill="1" applyBorder="1" applyAlignment="1">
      <alignment vertical="center"/>
    </xf>
    <xf numFmtId="3" fontId="19" fillId="0" borderId="1" xfId="2" applyNumberFormat="1" applyFont="1" applyBorder="1" applyAlignment="1">
      <alignment horizontal="center"/>
    </xf>
    <xf numFmtId="0" fontId="11" fillId="6" borderId="19" xfId="2" applyFont="1" applyFill="1" applyBorder="1" applyAlignment="1">
      <alignment horizontal="right" vertical="center" wrapText="1"/>
    </xf>
    <xf numFmtId="3" fontId="14" fillId="6" borderId="1" xfId="2" applyNumberFormat="1" applyFont="1" applyFill="1" applyBorder="1" applyAlignment="1">
      <alignment horizontal="center"/>
    </xf>
    <xf numFmtId="10" fontId="14" fillId="6" borderId="1" xfId="6" applyNumberFormat="1" applyFont="1" applyFill="1" applyBorder="1" applyAlignment="1">
      <alignment horizontal="center" vertical="center"/>
    </xf>
    <xf numFmtId="0" fontId="14" fillId="6" borderId="0" xfId="2" applyFont="1" applyFill="1"/>
    <xf numFmtId="10" fontId="19" fillId="6" borderId="1" xfId="6" applyNumberFormat="1" applyFont="1" applyFill="1" applyBorder="1" applyAlignment="1">
      <alignment horizontal="center"/>
    </xf>
    <xf numFmtId="10" fontId="14" fillId="6" borderId="1" xfId="6" applyNumberFormat="1" applyFont="1" applyFill="1" applyBorder="1" applyAlignment="1">
      <alignment horizontal="center"/>
    </xf>
    <xf numFmtId="0" fontId="14" fillId="6" borderId="1" xfId="2" applyFont="1" applyFill="1" applyBorder="1" applyAlignment="1">
      <alignment horizontal="center"/>
    </xf>
    <xf numFmtId="3" fontId="14" fillId="6" borderId="1" xfId="2" applyNumberFormat="1" applyFont="1" applyFill="1" applyBorder="1" applyAlignment="1">
      <alignment horizontal="center" vertical="center"/>
    </xf>
    <xf numFmtId="0" fontId="40" fillId="6" borderId="1" xfId="2" applyFont="1" applyFill="1" applyBorder="1"/>
    <xf numFmtId="3" fontId="41" fillId="0" borderId="1" xfId="2" applyNumberFormat="1" applyFont="1" applyBorder="1" applyAlignment="1">
      <alignment horizontal="center"/>
    </xf>
    <xf numFmtId="0" fontId="41" fillId="0" borderId="1" xfId="2" applyFont="1" applyBorder="1" applyAlignment="1">
      <alignment horizontal="center"/>
    </xf>
    <xf numFmtId="3" fontId="41" fillId="0" borderId="1" xfId="2" applyNumberFormat="1" applyFont="1" applyBorder="1" applyAlignment="1">
      <alignment horizontal="center" vertical="center"/>
    </xf>
    <xf numFmtId="0" fontId="41" fillId="0" borderId="0" xfId="2" applyFont="1"/>
    <xf numFmtId="0" fontId="14" fillId="0" borderId="0" xfId="2" applyFont="1" applyAlignment="1">
      <alignment horizontal="center" vertical="center"/>
    </xf>
    <xf numFmtId="0" fontId="19" fillId="0" borderId="1" xfId="2" applyFont="1" applyBorder="1" applyAlignment="1">
      <alignment horizontal="center" vertical="center"/>
    </xf>
    <xf numFmtId="169" fontId="19" fillId="0" borderId="1" xfId="2" applyNumberFormat="1" applyFont="1" applyBorder="1"/>
    <xf numFmtId="0" fontId="10" fillId="6" borderId="1" xfId="8" applyFont="1" applyFill="1" applyBorder="1" applyAlignment="1">
      <alignment horizontal="center" vertical="center" wrapText="1"/>
    </xf>
    <xf numFmtId="3" fontId="19" fillId="0" borderId="0" xfId="2" applyNumberFormat="1" applyFont="1"/>
    <xf numFmtId="4" fontId="19" fillId="0" borderId="1" xfId="2" applyNumberFormat="1" applyFont="1" applyBorder="1"/>
    <xf numFmtId="0" fontId="14" fillId="0" borderId="0" xfId="2" applyFont="1" applyAlignment="1">
      <alignment horizontal="right"/>
    </xf>
    <xf numFmtId="3" fontId="14" fillId="0" borderId="0" xfId="2" applyNumberFormat="1" applyFont="1"/>
    <xf numFmtId="0" fontId="19" fillId="0" borderId="1" xfId="2" applyFont="1" applyBorder="1" applyAlignment="1">
      <alignment horizontal="center"/>
    </xf>
    <xf numFmtId="3" fontId="14" fillId="0" borderId="1" xfId="2" applyNumberFormat="1" applyFont="1" applyBorder="1" applyAlignment="1">
      <alignment horizontal="center"/>
    </xf>
    <xf numFmtId="3" fontId="19" fillId="6" borderId="1" xfId="2" applyNumberFormat="1" applyFont="1" applyFill="1" applyBorder="1" applyAlignment="1">
      <alignment horizontal="justify" vertical="center" wrapText="1"/>
    </xf>
    <xf numFmtId="4" fontId="19" fillId="6" borderId="1" xfId="2" applyNumberFormat="1" applyFont="1" applyFill="1" applyBorder="1" applyAlignment="1">
      <alignment horizontal="center" vertical="center"/>
    </xf>
    <xf numFmtId="3" fontId="10" fillId="6" borderId="19" xfId="2" applyNumberFormat="1" applyFont="1" applyFill="1" applyBorder="1" applyAlignment="1">
      <alignment horizontal="center" vertical="center" wrapText="1"/>
    </xf>
    <xf numFmtId="3" fontId="11" fillId="6" borderId="19" xfId="2" applyNumberFormat="1" applyFont="1" applyFill="1" applyBorder="1" applyAlignment="1">
      <alignment horizontal="center" vertical="center" wrapText="1"/>
    </xf>
    <xf numFmtId="4" fontId="10" fillId="6" borderId="1" xfId="6" applyNumberFormat="1" applyFont="1" applyFill="1" applyBorder="1" applyAlignment="1">
      <alignment horizontal="center" vertical="center" wrapText="1"/>
    </xf>
    <xf numFmtId="3" fontId="19" fillId="6" borderId="21" xfId="2" applyNumberFormat="1" applyFont="1" applyFill="1" applyBorder="1" applyAlignment="1">
      <alignment horizontal="center"/>
    </xf>
    <xf numFmtId="3" fontId="19" fillId="6" borderId="19" xfId="2" applyNumberFormat="1" applyFont="1" applyFill="1" applyBorder="1" applyAlignment="1">
      <alignment horizontal="center"/>
    </xf>
    <xf numFmtId="4" fontId="19" fillId="0" borderId="1" xfId="2" applyNumberFormat="1" applyFont="1" applyBorder="1" applyAlignment="1">
      <alignment horizontal="center"/>
    </xf>
    <xf numFmtId="3" fontId="19" fillId="0" borderId="1" xfId="2" applyNumberFormat="1" applyFont="1" applyBorder="1" applyAlignment="1">
      <alignment horizontal="center" vertical="center"/>
    </xf>
    <xf numFmtId="3" fontId="14" fillId="0" borderId="0" xfId="2" applyNumberFormat="1" applyFont="1" applyAlignment="1">
      <alignment horizontal="center"/>
    </xf>
    <xf numFmtId="3" fontId="14" fillId="6" borderId="0" xfId="2" applyNumberFormat="1" applyFont="1" applyFill="1" applyAlignment="1">
      <alignment horizontal="center"/>
    </xf>
    <xf numFmtId="3" fontId="14" fillId="0" borderId="1" xfId="2" applyNumberFormat="1" applyFont="1" applyBorder="1" applyAlignment="1">
      <alignment horizontal="center" vertical="center"/>
    </xf>
    <xf numFmtId="0" fontId="19" fillId="0" borderId="1" xfId="2" applyFont="1" applyBorder="1" applyAlignment="1">
      <alignment vertical="center"/>
    </xf>
    <xf numFmtId="0" fontId="14" fillId="0" borderId="1" xfId="2" applyFont="1" applyBorder="1" applyAlignment="1">
      <alignment horizontal="center" vertical="center"/>
    </xf>
    <xf numFmtId="0" fontId="42" fillId="0" borderId="1" xfId="2" applyFont="1" applyBorder="1" applyAlignment="1">
      <alignment horizontal="center" vertical="center"/>
    </xf>
    <xf numFmtId="0" fontId="42" fillId="0" borderId="1" xfId="2" applyFont="1" applyBorder="1" applyAlignment="1">
      <alignment horizontal="center" vertical="center" wrapText="1"/>
    </xf>
    <xf numFmtId="0" fontId="42" fillId="0" borderId="0" xfId="2" applyFont="1"/>
    <xf numFmtId="0" fontId="42" fillId="0" borderId="1" xfId="2" applyFont="1" applyBorder="1"/>
    <xf numFmtId="3" fontId="42" fillId="0" borderId="1" xfId="2" applyNumberFormat="1" applyFont="1" applyBorder="1" applyAlignment="1">
      <alignment horizontal="center" vertical="center"/>
    </xf>
    <xf numFmtId="3" fontId="14" fillId="0" borderId="1" xfId="2" applyNumberFormat="1" applyFont="1" applyBorder="1" applyAlignment="1">
      <alignment horizontal="right"/>
    </xf>
    <xf numFmtId="3" fontId="14" fillId="10" borderId="1" xfId="2" applyNumberFormat="1" applyFont="1" applyFill="1" applyBorder="1" applyAlignment="1">
      <alignment horizontal="center" vertical="center"/>
    </xf>
    <xf numFmtId="0" fontId="8" fillId="0" borderId="1" xfId="0" applyFont="1" applyBorder="1" applyAlignment="1">
      <alignment horizontal="left" wrapText="1"/>
    </xf>
    <xf numFmtId="0" fontId="3" fillId="0" borderId="1" xfId="0" applyFont="1" applyBorder="1" applyAlignment="1">
      <alignment horizontal="center" vertical="center"/>
    </xf>
    <xf numFmtId="0" fontId="0" fillId="2" borderId="1" xfId="0" applyFill="1" applyBorder="1" applyAlignment="1">
      <alignment horizontal="left"/>
    </xf>
    <xf numFmtId="0" fontId="3" fillId="0" borderId="0" xfId="0" applyFont="1" applyAlignment="1">
      <alignment horizontal="center" wrapText="1"/>
    </xf>
    <xf numFmtId="0" fontId="1" fillId="0" borderId="0" xfId="0" applyFont="1" applyAlignment="1">
      <alignment horizontal="right" wrapText="1"/>
    </xf>
    <xf numFmtId="0" fontId="3" fillId="4" borderId="0" xfId="0" applyFont="1" applyFill="1" applyAlignment="1">
      <alignment horizontal="left"/>
    </xf>
    <xf numFmtId="0" fontId="0" fillId="0" borderId="1" xfId="0" applyBorder="1" applyAlignment="1">
      <alignment horizontal="left"/>
    </xf>
    <xf numFmtId="0" fontId="3" fillId="0" borderId="0" xfId="0" applyFont="1" applyAlignment="1">
      <alignment horizontal="left"/>
    </xf>
    <xf numFmtId="0" fontId="1" fillId="0" borderId="0" xfId="0" applyFont="1" applyAlignment="1">
      <alignment horizontal="left" wrapText="1"/>
    </xf>
    <xf numFmtId="0" fontId="14" fillId="0" borderId="26" xfId="0" applyFont="1" applyBorder="1" applyAlignment="1">
      <alignment horizontal="center" vertical="center" wrapText="1"/>
    </xf>
    <xf numFmtId="0" fontId="14" fillId="0" borderId="3" xfId="0" applyFont="1" applyBorder="1" applyAlignment="1">
      <alignment horizontal="center" vertical="center" wrapText="1"/>
    </xf>
    <xf numFmtId="0" fontId="16" fillId="0" borderId="0" xfId="2" applyFont="1" applyAlignment="1">
      <alignment horizontal="right" wrapText="1"/>
    </xf>
    <xf numFmtId="0" fontId="14" fillId="0" borderId="1" xfId="0" applyFont="1" applyBorder="1" applyAlignment="1">
      <alignment horizontal="center" vertical="center" wrapText="1"/>
    </xf>
    <xf numFmtId="165" fontId="14" fillId="0" borderId="19" xfId="1" applyNumberFormat="1" applyFont="1" applyFill="1" applyBorder="1" applyAlignment="1">
      <alignment horizontal="center" vertical="center" wrapText="1"/>
    </xf>
    <xf numFmtId="165" fontId="14" fillId="0" borderId="20" xfId="1" applyNumberFormat="1" applyFont="1" applyFill="1" applyBorder="1" applyAlignment="1">
      <alignment horizontal="center" vertical="center" wrapText="1"/>
    </xf>
    <xf numFmtId="165" fontId="14" fillId="0" borderId="21" xfId="1" applyNumberFormat="1" applyFont="1" applyFill="1" applyBorder="1" applyAlignment="1">
      <alignment horizontal="center" vertical="center" wrapText="1"/>
    </xf>
    <xf numFmtId="0" fontId="14" fillId="0" borderId="19" xfId="0" applyFont="1" applyBorder="1" applyAlignment="1">
      <alignment horizontal="center" vertical="center" wrapText="1"/>
    </xf>
    <xf numFmtId="0" fontId="11" fillId="0" borderId="1" xfId="2" applyFont="1" applyBorder="1" applyAlignment="1">
      <alignment horizontal="center" vertical="center" wrapText="1"/>
    </xf>
    <xf numFmtId="0" fontId="11" fillId="0" borderId="1" xfId="2" applyFont="1" applyBorder="1" applyAlignment="1">
      <alignment horizontal="center"/>
    </xf>
    <xf numFmtId="0" fontId="14" fillId="0" borderId="20" xfId="0" applyFont="1" applyBorder="1" applyAlignment="1">
      <alignment horizontal="center" vertical="center" wrapText="1"/>
    </xf>
    <xf numFmtId="0" fontId="14" fillId="0" borderId="21" xfId="0" applyFont="1" applyBorder="1" applyAlignment="1">
      <alignment horizontal="center" vertical="center" wrapText="1"/>
    </xf>
    <xf numFmtId="43" fontId="14" fillId="0" borderId="26" xfId="1" applyFont="1" applyBorder="1" applyAlignment="1">
      <alignment horizontal="center" vertical="center" wrapText="1"/>
    </xf>
    <xf numFmtId="43" fontId="14" fillId="0" borderId="3" xfId="1" applyFont="1" applyBorder="1" applyAlignment="1">
      <alignment horizontal="center" vertical="center" wrapText="1"/>
    </xf>
    <xf numFmtId="0" fontId="1" fillId="0" borderId="0" xfId="0" applyFont="1" applyAlignment="1">
      <alignment horizontal="center"/>
    </xf>
    <xf numFmtId="0" fontId="23" fillId="4" borderId="52" xfId="0" applyFont="1" applyFill="1" applyBorder="1" applyAlignment="1">
      <alignment horizontal="center" vertical="center" wrapText="1"/>
    </xf>
    <xf numFmtId="0" fontId="23" fillId="4" borderId="53" xfId="0" applyFont="1" applyFill="1" applyBorder="1" applyAlignment="1">
      <alignment horizontal="center" vertical="center" wrapText="1"/>
    </xf>
    <xf numFmtId="0" fontId="23" fillId="4" borderId="54" xfId="0" applyFont="1" applyFill="1" applyBorder="1" applyAlignment="1">
      <alignment horizontal="center" vertical="center" wrapText="1"/>
    </xf>
    <xf numFmtId="0" fontId="23" fillId="4" borderId="30" xfId="0" applyFont="1" applyFill="1" applyBorder="1" applyAlignment="1">
      <alignment horizontal="center" vertical="center" wrapText="1"/>
    </xf>
    <xf numFmtId="0" fontId="23" fillId="4" borderId="35" xfId="0" applyFont="1" applyFill="1" applyBorder="1" applyAlignment="1">
      <alignment horizontal="center" vertical="center" wrapText="1"/>
    </xf>
    <xf numFmtId="0" fontId="23" fillId="4" borderId="50" xfId="0" applyFont="1" applyFill="1" applyBorder="1" applyAlignment="1">
      <alignment horizontal="center" vertical="center" wrapText="1"/>
    </xf>
    <xf numFmtId="0" fontId="23" fillId="4" borderId="51" xfId="0" applyFont="1" applyFill="1" applyBorder="1" applyAlignment="1">
      <alignment horizontal="center" vertical="center" wrapText="1"/>
    </xf>
    <xf numFmtId="0" fontId="23" fillId="4" borderId="31" xfId="0" applyFont="1" applyFill="1" applyBorder="1" applyAlignment="1">
      <alignment horizontal="center" vertical="center" wrapText="1"/>
    </xf>
    <xf numFmtId="0" fontId="23" fillId="4" borderId="32" xfId="0" applyFont="1" applyFill="1" applyBorder="1" applyAlignment="1">
      <alignment horizontal="center" vertical="center" wrapText="1"/>
    </xf>
    <xf numFmtId="0" fontId="23" fillId="4" borderId="49" xfId="0" applyFont="1" applyFill="1" applyBorder="1" applyAlignment="1">
      <alignment horizontal="center" vertical="center" wrapText="1"/>
    </xf>
    <xf numFmtId="0" fontId="23" fillId="4" borderId="30" xfId="0" applyFont="1" applyFill="1" applyBorder="1" applyAlignment="1">
      <alignment wrapText="1"/>
    </xf>
    <xf numFmtId="0" fontId="23" fillId="4" borderId="35" xfId="0" applyFont="1" applyFill="1" applyBorder="1" applyAlignment="1">
      <alignment wrapText="1"/>
    </xf>
    <xf numFmtId="0" fontId="23" fillId="4" borderId="50" xfId="0" applyFont="1" applyFill="1" applyBorder="1" applyAlignment="1">
      <alignment wrapText="1"/>
    </xf>
    <xf numFmtId="0" fontId="23" fillId="4" borderId="25" xfId="0" applyFont="1" applyFill="1" applyBorder="1" applyAlignment="1">
      <alignment horizontal="center" wrapText="1"/>
    </xf>
    <xf numFmtId="0" fontId="23" fillId="4" borderId="16" xfId="0" applyFont="1" applyFill="1" applyBorder="1" applyAlignment="1">
      <alignment horizontal="center" wrapText="1"/>
    </xf>
    <xf numFmtId="0" fontId="23" fillId="4" borderId="27" xfId="0" applyFont="1" applyFill="1" applyBorder="1" applyAlignment="1">
      <alignment horizontal="center" wrapText="1"/>
    </xf>
    <xf numFmtId="0" fontId="23" fillId="4" borderId="1" xfId="0" applyFont="1" applyFill="1" applyBorder="1" applyAlignment="1">
      <alignment horizontal="center" wrapText="1"/>
    </xf>
    <xf numFmtId="0" fontId="23" fillId="4" borderId="1" xfId="0" applyFont="1" applyFill="1" applyBorder="1" applyAlignment="1">
      <alignment horizontal="center"/>
    </xf>
    <xf numFmtId="0" fontId="23" fillId="4" borderId="25" xfId="0" applyFont="1" applyFill="1" applyBorder="1" applyAlignment="1">
      <alignment horizontal="center"/>
    </xf>
    <xf numFmtId="0" fontId="23" fillId="4" borderId="33" xfId="0" applyFont="1" applyFill="1" applyBorder="1" applyAlignment="1">
      <alignment horizontal="center" vertical="center" wrapText="1"/>
    </xf>
    <xf numFmtId="0" fontId="23" fillId="4" borderId="37" xfId="0" applyFont="1" applyFill="1" applyBorder="1" applyAlignment="1">
      <alignment horizontal="center" vertical="center" wrapText="1"/>
    </xf>
    <xf numFmtId="0" fontId="23" fillId="4" borderId="16" xfId="0" applyFont="1" applyFill="1" applyBorder="1" applyAlignment="1">
      <alignment horizontal="center"/>
    </xf>
    <xf numFmtId="0" fontId="23" fillId="4" borderId="27" xfId="0" applyFont="1" applyFill="1" applyBorder="1" applyAlignment="1">
      <alignment horizontal="center"/>
    </xf>
    <xf numFmtId="0" fontId="23" fillId="4" borderId="38" xfId="0" applyFont="1" applyFill="1" applyBorder="1" applyAlignment="1">
      <alignment horizontal="center" vertical="center" wrapText="1"/>
    </xf>
    <xf numFmtId="0" fontId="23" fillId="4" borderId="39" xfId="0" applyFont="1" applyFill="1" applyBorder="1" applyAlignment="1">
      <alignment horizontal="center" vertical="center" wrapText="1"/>
    </xf>
    <xf numFmtId="0" fontId="23" fillId="4" borderId="19" xfId="0" applyFont="1" applyFill="1" applyBorder="1" applyAlignment="1">
      <alignment horizontal="center"/>
    </xf>
    <xf numFmtId="0" fontId="23" fillId="4" borderId="20" xfId="0" applyFont="1" applyFill="1" applyBorder="1" applyAlignment="1">
      <alignment horizontal="center"/>
    </xf>
    <xf numFmtId="0" fontId="23" fillId="4" borderId="21" xfId="0" applyFont="1" applyFill="1" applyBorder="1" applyAlignment="1">
      <alignment horizontal="center"/>
    </xf>
    <xf numFmtId="0" fontId="27" fillId="0" borderId="22" xfId="0" applyFont="1" applyBorder="1" applyAlignment="1">
      <alignment horizontal="center" vertical="center" wrapText="1"/>
    </xf>
    <xf numFmtId="0" fontId="23" fillId="4" borderId="29" xfId="0" applyFont="1" applyFill="1" applyBorder="1" applyAlignment="1">
      <alignment wrapText="1"/>
    </xf>
    <xf numFmtId="0" fontId="23" fillId="4" borderId="34" xfId="0" applyFont="1" applyFill="1" applyBorder="1" applyAlignment="1">
      <alignment wrapText="1"/>
    </xf>
    <xf numFmtId="0" fontId="23" fillId="4" borderId="36" xfId="0" applyFont="1" applyFill="1" applyBorder="1" applyAlignment="1">
      <alignment wrapText="1"/>
    </xf>
    <xf numFmtId="0" fontId="14" fillId="0" borderId="0" xfId="2" applyFont="1" applyAlignment="1">
      <alignment horizontal="center" vertical="center" wrapText="1"/>
    </xf>
    <xf numFmtId="0" fontId="36" fillId="0" borderId="0" xfId="2" applyFont="1" applyAlignment="1">
      <alignment horizontal="left"/>
    </xf>
    <xf numFmtId="0" fontId="37" fillId="10" borderId="61" xfId="2" applyFont="1" applyFill="1" applyBorder="1" applyAlignment="1">
      <alignment horizontal="center" vertical="center" wrapText="1"/>
    </xf>
    <xf numFmtId="0" fontId="37" fillId="10" borderId="66" xfId="2" applyFont="1" applyFill="1" applyBorder="1" applyAlignment="1">
      <alignment horizontal="center" vertical="center" wrapText="1"/>
    </xf>
    <xf numFmtId="0" fontId="39" fillId="0" borderId="0" xfId="2" applyFont="1" applyAlignment="1">
      <alignment horizontal="left"/>
    </xf>
    <xf numFmtId="0" fontId="18" fillId="0" borderId="0" xfId="2" applyFont="1" applyAlignment="1">
      <alignment horizontal="center"/>
    </xf>
    <xf numFmtId="0" fontId="37" fillId="9" borderId="55" xfId="2" applyFont="1" applyFill="1" applyBorder="1" applyAlignment="1">
      <alignment horizontal="center" vertical="center" wrapText="1"/>
    </xf>
    <xf numFmtId="0" fontId="37" fillId="9" borderId="62" xfId="2" applyFont="1" applyFill="1" applyBorder="1" applyAlignment="1">
      <alignment horizontal="center" vertical="center" wrapText="1"/>
    </xf>
    <xf numFmtId="0" fontId="37" fillId="9" borderId="56" xfId="2" applyFont="1" applyFill="1" applyBorder="1" applyAlignment="1">
      <alignment horizontal="center" vertical="center" wrapText="1"/>
    </xf>
    <xf numFmtId="0" fontId="37" fillId="9" borderId="63" xfId="2" applyFont="1" applyFill="1" applyBorder="1" applyAlignment="1">
      <alignment horizontal="center" vertical="center" wrapText="1"/>
    </xf>
    <xf numFmtId="0" fontId="18" fillId="0" borderId="0" xfId="2" applyFont="1" applyAlignment="1">
      <alignment horizontal="justify" wrapText="1"/>
    </xf>
    <xf numFmtId="0" fontId="36" fillId="0" borderId="0" xfId="2" applyFont="1" applyAlignment="1">
      <alignment horizontal="right"/>
    </xf>
    <xf numFmtId="3" fontId="10" fillId="6" borderId="1" xfId="2" applyNumberFormat="1" applyFont="1" applyFill="1" applyBorder="1" applyAlignment="1">
      <alignment horizontal="center" vertical="center" wrapText="1"/>
    </xf>
    <xf numFmtId="10" fontId="10" fillId="6" borderId="1" xfId="6" applyNumberFormat="1" applyFont="1" applyFill="1" applyBorder="1" applyAlignment="1">
      <alignment horizontal="center" vertical="center" wrapText="1"/>
    </xf>
    <xf numFmtId="0" fontId="41" fillId="0" borderId="19" xfId="2" applyFont="1" applyBorder="1" applyAlignment="1">
      <alignment horizontal="right"/>
    </xf>
    <xf numFmtId="0" fontId="41" fillId="0" borderId="20" xfId="2" applyFont="1" applyBorder="1" applyAlignment="1">
      <alignment horizontal="right"/>
    </xf>
    <xf numFmtId="0" fontId="41" fillId="0" borderId="21" xfId="2" applyFont="1" applyBorder="1" applyAlignment="1">
      <alignment horizontal="right"/>
    </xf>
    <xf numFmtId="0" fontId="39" fillId="0" borderId="0" xfId="2" applyFont="1" applyAlignment="1">
      <alignment horizontal="right"/>
    </xf>
    <xf numFmtId="0" fontId="19" fillId="0" borderId="1" xfId="2" applyFont="1" applyBorder="1" applyAlignment="1">
      <alignment horizontal="center" vertical="center" wrapText="1"/>
    </xf>
    <xf numFmtId="0" fontId="11" fillId="6" borderId="1" xfId="2" applyFont="1" applyFill="1" applyBorder="1" applyAlignment="1">
      <alignment horizontal="right" vertical="center" wrapText="1"/>
    </xf>
    <xf numFmtId="0" fontId="11" fillId="6" borderId="19" xfId="2" applyFont="1" applyFill="1" applyBorder="1" applyAlignment="1">
      <alignment horizontal="right" vertical="center" wrapText="1"/>
    </xf>
    <xf numFmtId="0" fontId="11" fillId="6" borderId="20" xfId="2" applyFont="1" applyFill="1" applyBorder="1" applyAlignment="1">
      <alignment horizontal="right" vertical="center" wrapText="1"/>
    </xf>
    <xf numFmtId="0" fontId="11" fillId="6" borderId="21" xfId="2" applyFont="1" applyFill="1" applyBorder="1" applyAlignment="1">
      <alignment horizontal="right" vertical="center" wrapText="1"/>
    </xf>
    <xf numFmtId="0" fontId="10" fillId="6" borderId="1" xfId="2" applyFont="1" applyFill="1" applyBorder="1" applyAlignment="1">
      <alignment horizontal="center" vertical="center" wrapText="1"/>
    </xf>
    <xf numFmtId="0" fontId="14" fillId="0" borderId="1" xfId="2" applyFont="1" applyBorder="1" applyAlignment="1">
      <alignment horizontal="right"/>
    </xf>
    <xf numFmtId="0" fontId="14" fillId="0" borderId="0" xfId="2" applyFont="1" applyAlignment="1">
      <alignment horizontal="center" vertical="center"/>
    </xf>
    <xf numFmtId="0" fontId="18" fillId="0" borderId="0" xfId="2" applyFont="1" applyAlignment="1">
      <alignment horizontal="center" vertical="center" wrapText="1"/>
    </xf>
    <xf numFmtId="0" fontId="19" fillId="0" borderId="1" xfId="2" applyFont="1" applyBorder="1" applyAlignment="1">
      <alignment horizontal="center" vertical="center"/>
    </xf>
    <xf numFmtId="0" fontId="19" fillId="0" borderId="19" xfId="2" applyFont="1" applyBorder="1" applyAlignment="1">
      <alignment horizontal="center" vertical="center" wrapText="1"/>
    </xf>
    <xf numFmtId="0" fontId="19" fillId="0" borderId="21" xfId="2" applyFont="1" applyBorder="1" applyAlignment="1">
      <alignment horizontal="center" vertical="center" wrapText="1"/>
    </xf>
    <xf numFmtId="0" fontId="14" fillId="0" borderId="0" xfId="2" applyFont="1" applyAlignment="1">
      <alignment horizontal="center"/>
    </xf>
    <xf numFmtId="0" fontId="11" fillId="6" borderId="19" xfId="2" applyFont="1" applyFill="1" applyBorder="1" applyAlignment="1">
      <alignment horizontal="center" vertical="center" wrapText="1"/>
    </xf>
    <xf numFmtId="0" fontId="11" fillId="6" borderId="20" xfId="2" applyFont="1" applyFill="1" applyBorder="1" applyAlignment="1">
      <alignment horizontal="center" vertical="center" wrapText="1"/>
    </xf>
    <xf numFmtId="0" fontId="11" fillId="6" borderId="21" xfId="2" applyFont="1" applyFill="1" applyBorder="1" applyAlignment="1">
      <alignment horizontal="center" vertical="center" wrapText="1"/>
    </xf>
    <xf numFmtId="0" fontId="10" fillId="0" borderId="1" xfId="0" applyFont="1" applyBorder="1" applyAlignment="1">
      <alignment horizontal="center" vertical="center"/>
    </xf>
    <xf numFmtId="0" fontId="10" fillId="6" borderId="1" xfId="0" applyFont="1" applyFill="1" applyBorder="1" applyAlignment="1">
      <alignment horizontal="center" vertical="center"/>
    </xf>
    <xf numFmtId="0" fontId="10" fillId="0" borderId="25" xfId="0" applyFont="1" applyBorder="1" applyAlignment="1">
      <alignment horizontal="center" vertical="center"/>
    </xf>
    <xf numFmtId="0" fontId="10" fillId="0" borderId="27" xfId="0" applyFont="1" applyBorder="1" applyAlignment="1">
      <alignment horizontal="center" vertical="center"/>
    </xf>
    <xf numFmtId="0" fontId="10" fillId="6" borderId="1"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36" fillId="6" borderId="0" xfId="2" applyFont="1" applyFill="1" applyAlignment="1">
      <alignment horizontal="left" wrapText="1"/>
    </xf>
    <xf numFmtId="0" fontId="19" fillId="6" borderId="0" xfId="2" applyFont="1" applyFill="1"/>
    <xf numFmtId="0" fontId="19" fillId="6" borderId="0" xfId="2" applyFont="1" applyFill="1" applyAlignment="1">
      <alignment horizontal="left" vertical="top" wrapText="1"/>
    </xf>
    <xf numFmtId="3" fontId="19" fillId="6" borderId="0" xfId="2" applyNumberFormat="1" applyFont="1" applyFill="1"/>
    <xf numFmtId="0" fontId="19" fillId="6" borderId="0" xfId="2" applyFont="1" applyFill="1" applyAlignment="1">
      <alignment horizontal="left" wrapText="1"/>
    </xf>
    <xf numFmtId="0" fontId="39" fillId="6" borderId="0" xfId="2" applyFont="1" applyFill="1" applyAlignment="1">
      <alignment horizontal="left" wrapText="1"/>
    </xf>
    <xf numFmtId="0" fontId="16" fillId="6" borderId="0" xfId="2" applyFont="1" applyFill="1" applyAlignment="1">
      <alignment horizontal="left" wrapText="1"/>
    </xf>
  </cellXfs>
  <cellStyles count="9">
    <cellStyle name="Comma" xfId="1" builtinId="3"/>
    <cellStyle name="Comma 2" xfId="7" xr:uid="{AD4432EE-EAFF-4C47-AF8D-8F333C7DDFE9}"/>
    <cellStyle name="Normal" xfId="0" builtinId="0"/>
    <cellStyle name="Normal 2" xfId="2" xr:uid="{C783FD66-C7EB-48EF-A983-A4A835CD9198}"/>
    <cellStyle name="Normal 2 3 49" xfId="3" xr:uid="{EA9F5956-23F0-4151-8D11-E006B5AF942A}"/>
    <cellStyle name="Normal 3 3 2" xfId="4" xr:uid="{194C8E5B-B638-4C80-A928-EF572E3D2066}"/>
    <cellStyle name="Normal 5" xfId="8" xr:uid="{AC6B3610-0B9D-44C3-AA3F-0E7AC973EA18}"/>
    <cellStyle name="Normal 7" xfId="5" xr:uid="{34D73BA1-9642-40D8-B3B0-484520AF61FD}"/>
    <cellStyle name="Percent 2" xfId="6" xr:uid="{80AA6A35-2EE4-4522-99A6-03396D1B945A}"/>
  </cellStyles>
  <dxfs count="1">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771F4F-97BE-4E72-BE3E-2D355C963C13}">
  <dimension ref="A1:K30"/>
  <sheetViews>
    <sheetView tabSelected="1" workbookViewId="0">
      <selection activeCell="J10" sqref="J10"/>
    </sheetView>
  </sheetViews>
  <sheetFormatPr defaultRowHeight="15" x14ac:dyDescent="0.25"/>
  <cols>
    <col min="1" max="1" width="61.42578125" customWidth="1"/>
    <col min="2" max="2" width="12.42578125" customWidth="1"/>
    <col min="3" max="3" width="11.7109375" customWidth="1"/>
    <col min="4" max="4" width="12.5703125" customWidth="1"/>
    <col min="5" max="5" width="47" customWidth="1"/>
  </cols>
  <sheetData>
    <row r="1" spans="1:11" ht="26.45" customHeight="1" x14ac:dyDescent="0.25">
      <c r="E1" s="355" t="s">
        <v>37</v>
      </c>
      <c r="F1" s="355"/>
      <c r="G1" s="355"/>
      <c r="H1" s="355"/>
      <c r="I1" s="355"/>
      <c r="J1" s="355"/>
      <c r="K1" s="355"/>
    </row>
    <row r="3" spans="1:11" ht="27.95" customHeight="1" x14ac:dyDescent="0.25">
      <c r="A3" s="354" t="s">
        <v>38</v>
      </c>
      <c r="B3" s="354"/>
      <c r="C3" s="354"/>
      <c r="D3" s="354"/>
      <c r="E3" s="354"/>
      <c r="F3" s="354"/>
      <c r="G3" s="354"/>
      <c r="H3" s="354"/>
      <c r="I3" s="354"/>
      <c r="J3" s="354"/>
    </row>
    <row r="5" spans="1:11" x14ac:dyDescent="0.25">
      <c r="A5" s="103" t="s">
        <v>99</v>
      </c>
      <c r="B5" s="102"/>
      <c r="C5" s="102"/>
      <c r="D5" s="102"/>
      <c r="E5" s="102"/>
      <c r="F5" s="102"/>
      <c r="G5" s="102"/>
      <c r="H5" s="102"/>
      <c r="I5" s="102"/>
    </row>
    <row r="6" spans="1:11" ht="60" x14ac:dyDescent="0.25">
      <c r="A6" s="2"/>
      <c r="B6" s="7" t="s">
        <v>0</v>
      </c>
      <c r="C6" s="7" t="s">
        <v>7</v>
      </c>
      <c r="D6" s="7" t="s">
        <v>36</v>
      </c>
      <c r="E6" s="40" t="s">
        <v>41</v>
      </c>
    </row>
    <row r="7" spans="1:11" x14ac:dyDescent="0.25">
      <c r="A7" s="6" t="s">
        <v>1</v>
      </c>
      <c r="B7" s="9">
        <f>SUM(B8:B10)</f>
        <v>9600000</v>
      </c>
      <c r="C7" s="9">
        <f>SUM(C8:C10)</f>
        <v>4205687</v>
      </c>
      <c r="D7" s="37">
        <f>SUM(D8:D10)</f>
        <v>5394313</v>
      </c>
      <c r="E7" s="2"/>
    </row>
    <row r="8" spans="1:11" ht="24.75" x14ac:dyDescent="0.25">
      <c r="A8" s="4" t="s">
        <v>2</v>
      </c>
      <c r="B8" s="8">
        <v>453360</v>
      </c>
      <c r="C8" s="8">
        <f>Neizpilde!B12</f>
        <v>151119</v>
      </c>
      <c r="D8" s="38">
        <f>B8-C8</f>
        <v>302241</v>
      </c>
      <c r="E8" s="39" t="s">
        <v>90</v>
      </c>
    </row>
    <row r="9" spans="1:11" ht="24.75" x14ac:dyDescent="0.25">
      <c r="A9" s="4" t="s">
        <v>3</v>
      </c>
      <c r="B9" s="8">
        <v>8762265</v>
      </c>
      <c r="C9" s="8">
        <f>Neizpilde!G23-Neizpilde!D32</f>
        <v>3670193</v>
      </c>
      <c r="D9" s="38">
        <f t="shared" ref="D9:D10" si="0">B9-C9</f>
        <v>5092072</v>
      </c>
      <c r="E9" s="39" t="s">
        <v>90</v>
      </c>
    </row>
    <row r="10" spans="1:11" ht="30" x14ac:dyDescent="0.25">
      <c r="A10" s="5" t="s">
        <v>4</v>
      </c>
      <c r="B10" s="8">
        <v>384375</v>
      </c>
      <c r="C10" s="8">
        <f>B10</f>
        <v>384375</v>
      </c>
      <c r="D10" s="8">
        <f t="shared" si="0"/>
        <v>0</v>
      </c>
      <c r="E10" s="2"/>
    </row>
    <row r="11" spans="1:11" ht="15.6" customHeight="1" x14ac:dyDescent="0.25"/>
    <row r="12" spans="1:11" x14ac:dyDescent="0.25">
      <c r="A12" s="356" t="s">
        <v>40</v>
      </c>
      <c r="B12" s="356"/>
      <c r="C12" s="356"/>
      <c r="D12" s="356"/>
      <c r="E12" s="102"/>
    </row>
    <row r="13" spans="1:11" ht="60" x14ac:dyDescent="0.25">
      <c r="A13" s="2"/>
      <c r="B13" s="7" t="s">
        <v>43</v>
      </c>
      <c r="C13" s="352" t="s">
        <v>41</v>
      </c>
      <c r="D13" s="352"/>
      <c r="E13" s="352"/>
    </row>
    <row r="14" spans="1:11" x14ac:dyDescent="0.25">
      <c r="A14" s="6" t="s">
        <v>1</v>
      </c>
      <c r="B14" s="9">
        <f>B15+B18+B19+B22</f>
        <v>5394313</v>
      </c>
      <c r="C14" s="353"/>
      <c r="D14" s="353"/>
      <c r="E14" s="353"/>
    </row>
    <row r="15" spans="1:11" x14ac:dyDescent="0.25">
      <c r="A15" s="5" t="s">
        <v>97</v>
      </c>
      <c r="B15" s="100">
        <f>SUM(B16:B17)</f>
        <v>600002</v>
      </c>
      <c r="C15" s="351" t="s">
        <v>89</v>
      </c>
      <c r="D15" s="351"/>
      <c r="E15" s="351"/>
    </row>
    <row r="16" spans="1:11" x14ac:dyDescent="0.25">
      <c r="A16" s="99" t="s">
        <v>42</v>
      </c>
      <c r="B16" s="86">
        <f>Vakcīnas!J6</f>
        <v>347230</v>
      </c>
      <c r="C16" s="351"/>
      <c r="D16" s="351"/>
      <c r="E16" s="351"/>
    </row>
    <row r="17" spans="1:5" x14ac:dyDescent="0.25">
      <c r="A17" s="99" t="s">
        <v>91</v>
      </c>
      <c r="B17" s="86">
        <f>Vakcīnas!C16</f>
        <v>252772</v>
      </c>
      <c r="C17" s="351"/>
      <c r="D17" s="351"/>
      <c r="E17" s="351"/>
    </row>
    <row r="18" spans="1:5" ht="28.5" customHeight="1" x14ac:dyDescent="0.25">
      <c r="A18" s="5" t="s">
        <v>96</v>
      </c>
      <c r="B18" s="86">
        <f>Kardio_kabinets!E7</f>
        <v>87439</v>
      </c>
      <c r="C18" s="351" t="s">
        <v>95</v>
      </c>
      <c r="D18" s="351"/>
      <c r="E18" s="351"/>
    </row>
    <row r="19" spans="1:5" ht="26.1" customHeight="1" x14ac:dyDescent="0.25">
      <c r="A19" s="5" t="s">
        <v>93</v>
      </c>
      <c r="B19" s="101">
        <f>SUM(B20:B21)</f>
        <v>3991872</v>
      </c>
      <c r="C19" s="357"/>
      <c r="D19" s="357"/>
      <c r="E19" s="357"/>
    </row>
    <row r="20" spans="1:5" ht="45" x14ac:dyDescent="0.25">
      <c r="A20" s="98" t="s">
        <v>94</v>
      </c>
      <c r="B20" s="86">
        <f>Kopa_Stacionariem!C37</f>
        <v>1383556</v>
      </c>
      <c r="C20" s="351" t="s">
        <v>95</v>
      </c>
      <c r="D20" s="351"/>
      <c r="E20" s="351"/>
    </row>
    <row r="21" spans="1:5" ht="27" customHeight="1" x14ac:dyDescent="0.25">
      <c r="A21" s="98" t="s">
        <v>347</v>
      </c>
      <c r="B21" s="86">
        <f>Kopa_Stacionariem!B37</f>
        <v>2608316</v>
      </c>
      <c r="C21" s="351" t="s">
        <v>92</v>
      </c>
      <c r="D21" s="351"/>
      <c r="E21" s="351"/>
    </row>
    <row r="22" spans="1:5" ht="29.1" customHeight="1" x14ac:dyDescent="0.25">
      <c r="A22" s="5" t="s">
        <v>77</v>
      </c>
      <c r="B22" s="101">
        <f>VADC!E10</f>
        <v>715000</v>
      </c>
      <c r="C22" s="351" t="s">
        <v>88</v>
      </c>
      <c r="D22" s="351"/>
      <c r="E22" s="351"/>
    </row>
    <row r="23" spans="1:5" ht="29.1" customHeight="1" x14ac:dyDescent="0.25">
      <c r="A23" s="104"/>
      <c r="B23" s="105"/>
      <c r="C23" s="106"/>
      <c r="D23" s="106"/>
      <c r="E23" s="106"/>
    </row>
    <row r="24" spans="1:5" ht="30" x14ac:dyDescent="0.25">
      <c r="B24" s="110" t="s">
        <v>100</v>
      </c>
      <c r="C24" s="110" t="s">
        <v>101</v>
      </c>
    </row>
    <row r="25" spans="1:5" x14ac:dyDescent="0.25">
      <c r="A25" s="108" t="s">
        <v>98</v>
      </c>
      <c r="B25" s="107">
        <f>SUM(B26:B30)</f>
        <v>-5394313</v>
      </c>
      <c r="C25" s="107">
        <f>SUM(C26:C30)</f>
        <v>5394313</v>
      </c>
    </row>
    <row r="26" spans="1:5" x14ac:dyDescent="0.25">
      <c r="A26" s="109" t="s">
        <v>90</v>
      </c>
      <c r="B26" s="86">
        <f>-D7</f>
        <v>-5394313</v>
      </c>
      <c r="C26" s="86"/>
    </row>
    <row r="27" spans="1:5" x14ac:dyDescent="0.25">
      <c r="A27" s="109" t="s">
        <v>89</v>
      </c>
      <c r="B27" s="86"/>
      <c r="C27" s="86">
        <f>B15</f>
        <v>600002</v>
      </c>
    </row>
    <row r="28" spans="1:5" x14ac:dyDescent="0.25">
      <c r="A28" s="109" t="s">
        <v>95</v>
      </c>
      <c r="B28" s="86"/>
      <c r="C28" s="86">
        <f>B18+B20</f>
        <v>1470995</v>
      </c>
    </row>
    <row r="29" spans="1:5" x14ac:dyDescent="0.25">
      <c r="A29" s="109" t="s">
        <v>92</v>
      </c>
      <c r="B29" s="86"/>
      <c r="C29" s="86">
        <f>B21</f>
        <v>2608316</v>
      </c>
    </row>
    <row r="30" spans="1:5" x14ac:dyDescent="0.25">
      <c r="A30" s="109" t="s">
        <v>88</v>
      </c>
      <c r="B30" s="86"/>
      <c r="C30" s="86">
        <f>B22</f>
        <v>715000</v>
      </c>
    </row>
  </sheetData>
  <mergeCells count="13">
    <mergeCell ref="A3:J3"/>
    <mergeCell ref="E1:K1"/>
    <mergeCell ref="A12:D12"/>
    <mergeCell ref="C18:E18"/>
    <mergeCell ref="C19:E19"/>
    <mergeCell ref="C20:E20"/>
    <mergeCell ref="C21:E21"/>
    <mergeCell ref="C22:E22"/>
    <mergeCell ref="C15:E15"/>
    <mergeCell ref="C13:E13"/>
    <mergeCell ref="C14:E14"/>
    <mergeCell ref="C16:E16"/>
    <mergeCell ref="C17:E1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B7C6E-5B47-47E5-B023-FFA601511CB3}">
  <dimension ref="A1:N35"/>
  <sheetViews>
    <sheetView workbookViewId="0">
      <selection activeCell="D1" sqref="D1:G1"/>
    </sheetView>
  </sheetViews>
  <sheetFormatPr defaultRowHeight="15" x14ac:dyDescent="0.25"/>
  <cols>
    <col min="1" max="1" width="54.140625" customWidth="1"/>
    <col min="2" max="2" width="13.42578125" customWidth="1"/>
    <col min="3" max="3" width="14.85546875" customWidth="1"/>
    <col min="4" max="4" width="14.42578125" customWidth="1"/>
    <col min="5" max="5" width="11.140625" customWidth="1"/>
    <col min="6" max="6" width="12.5703125" customWidth="1"/>
    <col min="7" max="7" width="13.28515625" customWidth="1"/>
  </cols>
  <sheetData>
    <row r="1" spans="1:9" ht="29.45" customHeight="1" x14ac:dyDescent="0.25">
      <c r="D1" s="355" t="s">
        <v>39</v>
      </c>
      <c r="E1" s="355"/>
      <c r="F1" s="355"/>
      <c r="G1" s="355"/>
    </row>
    <row r="3" spans="1:9" ht="44.45" customHeight="1" x14ac:dyDescent="0.25">
      <c r="A3" s="354" t="s">
        <v>5</v>
      </c>
      <c r="B3" s="354"/>
      <c r="C3" s="354"/>
      <c r="D3" s="354"/>
      <c r="E3" s="354"/>
      <c r="F3" s="354"/>
      <c r="G3" s="354"/>
    </row>
    <row r="5" spans="1:9" x14ac:dyDescent="0.25">
      <c r="A5" s="358" t="s">
        <v>6</v>
      </c>
      <c r="B5" s="358"/>
      <c r="C5" s="358"/>
      <c r="D5" s="358"/>
      <c r="E5" s="358"/>
      <c r="F5" s="358"/>
      <c r="G5" s="358"/>
      <c r="H5" s="358"/>
      <c r="I5" s="358"/>
    </row>
    <row r="6" spans="1:9" x14ac:dyDescent="0.25">
      <c r="A6" s="10"/>
      <c r="B6" s="10"/>
      <c r="C6" s="10"/>
      <c r="D6" s="10"/>
      <c r="E6" s="10"/>
      <c r="F6" s="10"/>
      <c r="G6" s="10"/>
      <c r="H6" s="10"/>
      <c r="I6" s="10"/>
    </row>
    <row r="7" spans="1:9" x14ac:dyDescent="0.25">
      <c r="B7" s="14" t="s">
        <v>12</v>
      </c>
    </row>
    <row r="8" spans="1:9" x14ac:dyDescent="0.25">
      <c r="A8" s="18" t="s">
        <v>8</v>
      </c>
      <c r="B8" s="15">
        <v>30224</v>
      </c>
    </row>
    <row r="9" spans="1:9" ht="30" x14ac:dyDescent="0.25">
      <c r="A9" s="19" t="s">
        <v>9</v>
      </c>
      <c r="B9" s="15">
        <f>B8*20</f>
        <v>604480</v>
      </c>
    </row>
    <row r="10" spans="1:9" x14ac:dyDescent="0.25">
      <c r="A10" s="19" t="s">
        <v>10</v>
      </c>
      <c r="B10" s="15">
        <f>ROUND(B9/12*4-1,0)</f>
        <v>201492</v>
      </c>
    </row>
    <row r="11" spans="1:9" x14ac:dyDescent="0.25">
      <c r="A11" s="19" t="s">
        <v>11</v>
      </c>
      <c r="B11" s="15">
        <f>KOPSAVILKUMS!B8</f>
        <v>453360</v>
      </c>
    </row>
    <row r="12" spans="1:9" ht="15" customHeight="1" x14ac:dyDescent="0.25">
      <c r="A12" s="20" t="s">
        <v>14</v>
      </c>
      <c r="B12" s="16">
        <f>B10*0.75</f>
        <v>151119</v>
      </c>
    </row>
    <row r="13" spans="1:9" ht="28.5" customHeight="1" x14ac:dyDescent="0.25">
      <c r="A13" s="21" t="s">
        <v>15</v>
      </c>
      <c r="B13" s="17">
        <f>B11</f>
        <v>453360</v>
      </c>
    </row>
    <row r="14" spans="1:9" x14ac:dyDescent="0.25">
      <c r="A14" s="13" t="s">
        <v>13</v>
      </c>
      <c r="B14" s="12"/>
    </row>
    <row r="15" spans="1:9" ht="45" x14ac:dyDescent="0.25">
      <c r="A15" s="2"/>
      <c r="B15" s="3" t="s">
        <v>33</v>
      </c>
      <c r="C15" s="3" t="s">
        <v>17</v>
      </c>
    </row>
    <row r="16" spans="1:9" x14ac:dyDescent="0.25">
      <c r="A16" s="3" t="s">
        <v>16</v>
      </c>
      <c r="B16" s="11">
        <f>B11-B12</f>
        <v>302241</v>
      </c>
      <c r="C16" s="11">
        <f>B11-B13</f>
        <v>0</v>
      </c>
    </row>
    <row r="19" spans="1:14" x14ac:dyDescent="0.25">
      <c r="A19" s="358" t="s">
        <v>18</v>
      </c>
      <c r="B19" s="358"/>
      <c r="C19" s="358"/>
      <c r="D19" s="358"/>
      <c r="E19" s="358"/>
      <c r="F19" s="358"/>
      <c r="G19" s="358"/>
      <c r="H19" s="358"/>
      <c r="I19" s="358"/>
    </row>
    <row r="20" spans="1:14" ht="15.75" thickBot="1" x14ac:dyDescent="0.3">
      <c r="N20">
        <v>0</v>
      </c>
    </row>
    <row r="21" spans="1:14" ht="135" x14ac:dyDescent="0.25">
      <c r="A21" s="24"/>
      <c r="B21" s="22" t="s">
        <v>19</v>
      </c>
      <c r="C21" s="22" t="s">
        <v>20</v>
      </c>
      <c r="D21" s="22" t="s">
        <v>21</v>
      </c>
      <c r="E21" s="22" t="s">
        <v>26</v>
      </c>
      <c r="F21" s="22" t="s">
        <v>34</v>
      </c>
      <c r="G21" s="23" t="s">
        <v>23</v>
      </c>
    </row>
    <row r="22" spans="1:14" x14ac:dyDescent="0.25">
      <c r="A22" s="27" t="s">
        <v>27</v>
      </c>
      <c r="B22" s="29">
        <v>11683020</v>
      </c>
      <c r="C22" s="29">
        <v>12113520</v>
      </c>
      <c r="D22" s="30">
        <v>9005452</v>
      </c>
      <c r="E22" s="30">
        <f>D22/11*12</f>
        <v>9824129.4545454551</v>
      </c>
      <c r="F22" s="30">
        <f>ROUND(E22*1.05,0)</f>
        <v>10315336</v>
      </c>
      <c r="G22" s="33">
        <f>ROUND(F22/12*6,0)</f>
        <v>5157668</v>
      </c>
    </row>
    <row r="23" spans="1:14" ht="30.75" thickBot="1" x14ac:dyDescent="0.3">
      <c r="A23" s="28" t="s">
        <v>22</v>
      </c>
      <c r="B23" s="31">
        <f t="shared" ref="B23:G23" si="0">ROUND(B22*0.75,0)</f>
        <v>8762265</v>
      </c>
      <c r="C23" s="31">
        <f t="shared" si="0"/>
        <v>9085140</v>
      </c>
      <c r="D23" s="32">
        <f t="shared" si="0"/>
        <v>6754089</v>
      </c>
      <c r="E23" s="32">
        <f t="shared" si="0"/>
        <v>7368097</v>
      </c>
      <c r="F23" s="32">
        <f t="shared" si="0"/>
        <v>7736502</v>
      </c>
      <c r="G23" s="34">
        <f t="shared" si="0"/>
        <v>3868251</v>
      </c>
    </row>
    <row r="24" spans="1:14" x14ac:dyDescent="0.25">
      <c r="A24" s="1" t="s">
        <v>24</v>
      </c>
    </row>
    <row r="25" spans="1:14" ht="33" customHeight="1" x14ac:dyDescent="0.25">
      <c r="A25" s="359" t="s">
        <v>25</v>
      </c>
      <c r="B25" s="359"/>
      <c r="C25" s="359"/>
      <c r="D25" s="359"/>
      <c r="E25" s="359"/>
      <c r="F25" s="359"/>
      <c r="G25" s="359"/>
    </row>
    <row r="26" spans="1:14" ht="45.6" customHeight="1" x14ac:dyDescent="0.25">
      <c r="A26" s="359" t="s">
        <v>35</v>
      </c>
      <c r="B26" s="359"/>
      <c r="C26" s="359"/>
      <c r="D26" s="359"/>
      <c r="E26" s="359"/>
      <c r="F26" s="359"/>
      <c r="G26" s="359"/>
    </row>
    <row r="28" spans="1:14" ht="33.6" customHeight="1" x14ac:dyDescent="0.25">
      <c r="A28" s="354" t="s">
        <v>28</v>
      </c>
      <c r="B28" s="354"/>
      <c r="C28" s="354"/>
      <c r="D28" s="354"/>
    </row>
    <row r="29" spans="1:14" ht="15.75" thickBot="1" x14ac:dyDescent="0.3"/>
    <row r="30" spans="1:14" ht="150" x14ac:dyDescent="0.25">
      <c r="A30" s="24"/>
      <c r="B30" s="22" t="s">
        <v>21</v>
      </c>
      <c r="C30" s="22" t="s">
        <v>29</v>
      </c>
      <c r="D30" s="23" t="s">
        <v>30</v>
      </c>
    </row>
    <row r="31" spans="1:14" ht="18.95" customHeight="1" x14ac:dyDescent="0.25">
      <c r="A31" s="27" t="s">
        <v>31</v>
      </c>
      <c r="B31" s="25">
        <v>484140</v>
      </c>
      <c r="C31" s="25">
        <f>ROUND(B31/11*12,0)</f>
        <v>528153</v>
      </c>
      <c r="D31" s="35">
        <f>ROUND(C31/12*6,0)</f>
        <v>264077</v>
      </c>
    </row>
    <row r="32" spans="1:14" ht="45.75" thickBot="1" x14ac:dyDescent="0.3">
      <c r="A32" s="28" t="s">
        <v>32</v>
      </c>
      <c r="B32" s="26">
        <f>ROUND(B31*0.75,0)</f>
        <v>363105</v>
      </c>
      <c r="C32" s="26">
        <f>ROUND(C31*0.75,0)</f>
        <v>396115</v>
      </c>
      <c r="D32" s="36">
        <f>ROUND(D31*0.75,0)</f>
        <v>198058</v>
      </c>
    </row>
    <row r="34" spans="1:3" ht="45" x14ac:dyDescent="0.25">
      <c r="A34" s="2"/>
      <c r="B34" s="3" t="s">
        <v>33</v>
      </c>
      <c r="C34" s="3" t="s">
        <v>17</v>
      </c>
    </row>
    <row r="35" spans="1:3" x14ac:dyDescent="0.25">
      <c r="A35" s="3" t="s">
        <v>16</v>
      </c>
      <c r="B35" s="11">
        <f>B23-G23+D32</f>
        <v>5092072</v>
      </c>
      <c r="C35" s="11">
        <f>C23-F23+C32</f>
        <v>1744753</v>
      </c>
    </row>
  </sheetData>
  <mergeCells count="7">
    <mergeCell ref="D1:G1"/>
    <mergeCell ref="A3:G3"/>
    <mergeCell ref="A5:I5"/>
    <mergeCell ref="A19:I19"/>
    <mergeCell ref="A28:D28"/>
    <mergeCell ref="A25:G25"/>
    <mergeCell ref="A26:G2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ADC5A-358A-44BF-B30E-1272DA8A372D}">
  <dimension ref="A1:M31"/>
  <sheetViews>
    <sheetView workbookViewId="0">
      <selection activeCell="G1" sqref="G1:I1"/>
    </sheetView>
  </sheetViews>
  <sheetFormatPr defaultColWidth="8.7109375" defaultRowHeight="12.75" x14ac:dyDescent="0.2"/>
  <cols>
    <col min="1" max="1" width="49.140625" style="41" customWidth="1"/>
    <col min="2" max="2" width="12.42578125" style="41" customWidth="1"/>
    <col min="3" max="3" width="12.140625" style="41" customWidth="1"/>
    <col min="4" max="4" width="13.42578125" style="41" customWidth="1"/>
    <col min="5" max="5" width="11.5703125" style="41" customWidth="1"/>
    <col min="6" max="6" width="10.85546875" style="41" customWidth="1"/>
    <col min="7" max="7" width="11.85546875" style="41" customWidth="1"/>
    <col min="8" max="8" width="12.85546875" style="41" customWidth="1"/>
    <col min="9" max="9" width="13.140625" style="41" customWidth="1"/>
    <col min="10" max="10" width="13.85546875" style="41" bestFit="1" customWidth="1"/>
    <col min="11" max="11" width="12.85546875" style="41" customWidth="1"/>
    <col min="12" max="13" width="12.140625" style="41" bestFit="1" customWidth="1"/>
    <col min="14" max="244" width="8.7109375" style="41"/>
    <col min="245" max="245" width="52.5703125" style="41" customWidth="1"/>
    <col min="246" max="246" width="15.42578125" style="41" customWidth="1"/>
    <col min="247" max="247" width="13.28515625" style="41" customWidth="1"/>
    <col min="248" max="248" width="10.7109375" style="41" customWidth="1"/>
    <col min="249" max="249" width="10.85546875" style="41" customWidth="1"/>
    <col min="250" max="250" width="12.5703125" style="41" customWidth="1"/>
    <col min="251" max="254" width="8.7109375" style="41"/>
    <col min="255" max="255" width="12.85546875" style="41" customWidth="1"/>
    <col min="256" max="256" width="8.7109375" style="41"/>
    <col min="257" max="257" width="11.42578125" style="41" customWidth="1"/>
    <col min="258" max="258" width="10.28515625" style="41" customWidth="1"/>
    <col min="259" max="500" width="8.7109375" style="41"/>
    <col min="501" max="501" width="52.5703125" style="41" customWidth="1"/>
    <col min="502" max="502" width="15.42578125" style="41" customWidth="1"/>
    <col min="503" max="503" width="13.28515625" style="41" customWidth="1"/>
    <col min="504" max="504" width="10.7109375" style="41" customWidth="1"/>
    <col min="505" max="505" width="10.85546875" style="41" customWidth="1"/>
    <col min="506" max="506" width="12.5703125" style="41" customWidth="1"/>
    <col min="507" max="510" width="8.7109375" style="41"/>
    <col min="511" max="511" width="12.85546875" style="41" customWidth="1"/>
    <col min="512" max="512" width="8.7109375" style="41"/>
    <col min="513" max="513" width="11.42578125" style="41" customWidth="1"/>
    <col min="514" max="514" width="10.28515625" style="41" customWidth="1"/>
    <col min="515" max="756" width="8.7109375" style="41"/>
    <col min="757" max="757" width="52.5703125" style="41" customWidth="1"/>
    <col min="758" max="758" width="15.42578125" style="41" customWidth="1"/>
    <col min="759" max="759" width="13.28515625" style="41" customWidth="1"/>
    <col min="760" max="760" width="10.7109375" style="41" customWidth="1"/>
    <col min="761" max="761" width="10.85546875" style="41" customWidth="1"/>
    <col min="762" max="762" width="12.5703125" style="41" customWidth="1"/>
    <col min="763" max="766" width="8.7109375" style="41"/>
    <col min="767" max="767" width="12.85546875" style="41" customWidth="1"/>
    <col min="768" max="768" width="8.7109375" style="41"/>
    <col min="769" max="769" width="11.42578125" style="41" customWidth="1"/>
    <col min="770" max="770" width="10.28515625" style="41" customWidth="1"/>
    <col min="771" max="1012" width="8.7109375" style="41"/>
    <col min="1013" max="1013" width="52.5703125" style="41" customWidth="1"/>
    <col min="1014" max="1014" width="15.42578125" style="41" customWidth="1"/>
    <col min="1015" max="1015" width="13.28515625" style="41" customWidth="1"/>
    <col min="1016" max="1016" width="10.7109375" style="41" customWidth="1"/>
    <col min="1017" max="1017" width="10.85546875" style="41" customWidth="1"/>
    <col min="1018" max="1018" width="12.5703125" style="41" customWidth="1"/>
    <col min="1019" max="1022" width="8.7109375" style="41"/>
    <col min="1023" max="1023" width="12.85546875" style="41" customWidth="1"/>
    <col min="1024" max="1024" width="8.7109375" style="41"/>
    <col min="1025" max="1025" width="11.42578125" style="41" customWidth="1"/>
    <col min="1026" max="1026" width="10.28515625" style="41" customWidth="1"/>
    <col min="1027" max="1268" width="8.7109375" style="41"/>
    <col min="1269" max="1269" width="52.5703125" style="41" customWidth="1"/>
    <col min="1270" max="1270" width="15.42578125" style="41" customWidth="1"/>
    <col min="1271" max="1271" width="13.28515625" style="41" customWidth="1"/>
    <col min="1272" max="1272" width="10.7109375" style="41" customWidth="1"/>
    <col min="1273" max="1273" width="10.85546875" style="41" customWidth="1"/>
    <col min="1274" max="1274" width="12.5703125" style="41" customWidth="1"/>
    <col min="1275" max="1278" width="8.7109375" style="41"/>
    <col min="1279" max="1279" width="12.85546875" style="41" customWidth="1"/>
    <col min="1280" max="1280" width="8.7109375" style="41"/>
    <col min="1281" max="1281" width="11.42578125" style="41" customWidth="1"/>
    <col min="1282" max="1282" width="10.28515625" style="41" customWidth="1"/>
    <col min="1283" max="1524" width="8.7109375" style="41"/>
    <col min="1525" max="1525" width="52.5703125" style="41" customWidth="1"/>
    <col min="1526" max="1526" width="15.42578125" style="41" customWidth="1"/>
    <col min="1527" max="1527" width="13.28515625" style="41" customWidth="1"/>
    <col min="1528" max="1528" width="10.7109375" style="41" customWidth="1"/>
    <col min="1529" max="1529" width="10.85546875" style="41" customWidth="1"/>
    <col min="1530" max="1530" width="12.5703125" style="41" customWidth="1"/>
    <col min="1531" max="1534" width="8.7109375" style="41"/>
    <col min="1535" max="1535" width="12.85546875" style="41" customWidth="1"/>
    <col min="1536" max="1536" width="8.7109375" style="41"/>
    <col min="1537" max="1537" width="11.42578125" style="41" customWidth="1"/>
    <col min="1538" max="1538" width="10.28515625" style="41" customWidth="1"/>
    <col min="1539" max="1780" width="8.7109375" style="41"/>
    <col min="1781" max="1781" width="52.5703125" style="41" customWidth="1"/>
    <col min="1782" max="1782" width="15.42578125" style="41" customWidth="1"/>
    <col min="1783" max="1783" width="13.28515625" style="41" customWidth="1"/>
    <col min="1784" max="1784" width="10.7109375" style="41" customWidth="1"/>
    <col min="1785" max="1785" width="10.85546875" style="41" customWidth="1"/>
    <col min="1786" max="1786" width="12.5703125" style="41" customWidth="1"/>
    <col min="1787" max="1790" width="8.7109375" style="41"/>
    <col min="1791" max="1791" width="12.85546875" style="41" customWidth="1"/>
    <col min="1792" max="1792" width="8.7109375" style="41"/>
    <col min="1793" max="1793" width="11.42578125" style="41" customWidth="1"/>
    <col min="1794" max="1794" width="10.28515625" style="41" customWidth="1"/>
    <col min="1795" max="2036" width="8.7109375" style="41"/>
    <col min="2037" max="2037" width="52.5703125" style="41" customWidth="1"/>
    <col min="2038" max="2038" width="15.42578125" style="41" customWidth="1"/>
    <col min="2039" max="2039" width="13.28515625" style="41" customWidth="1"/>
    <col min="2040" max="2040" width="10.7109375" style="41" customWidth="1"/>
    <col min="2041" max="2041" width="10.85546875" style="41" customWidth="1"/>
    <col min="2042" max="2042" width="12.5703125" style="41" customWidth="1"/>
    <col min="2043" max="2046" width="8.7109375" style="41"/>
    <col min="2047" max="2047" width="12.85546875" style="41" customWidth="1"/>
    <col min="2048" max="2048" width="8.7109375" style="41"/>
    <col min="2049" max="2049" width="11.42578125" style="41" customWidth="1"/>
    <col min="2050" max="2050" width="10.28515625" style="41" customWidth="1"/>
    <col min="2051" max="2292" width="8.7109375" style="41"/>
    <col min="2293" max="2293" width="52.5703125" style="41" customWidth="1"/>
    <col min="2294" max="2294" width="15.42578125" style="41" customWidth="1"/>
    <col min="2295" max="2295" width="13.28515625" style="41" customWidth="1"/>
    <col min="2296" max="2296" width="10.7109375" style="41" customWidth="1"/>
    <col min="2297" max="2297" width="10.85546875" style="41" customWidth="1"/>
    <col min="2298" max="2298" width="12.5703125" style="41" customWidth="1"/>
    <col min="2299" max="2302" width="8.7109375" style="41"/>
    <col min="2303" max="2303" width="12.85546875" style="41" customWidth="1"/>
    <col min="2304" max="2304" width="8.7109375" style="41"/>
    <col min="2305" max="2305" width="11.42578125" style="41" customWidth="1"/>
    <col min="2306" max="2306" width="10.28515625" style="41" customWidth="1"/>
    <col min="2307" max="2548" width="8.7109375" style="41"/>
    <col min="2549" max="2549" width="52.5703125" style="41" customWidth="1"/>
    <col min="2550" max="2550" width="15.42578125" style="41" customWidth="1"/>
    <col min="2551" max="2551" width="13.28515625" style="41" customWidth="1"/>
    <col min="2552" max="2552" width="10.7109375" style="41" customWidth="1"/>
    <col min="2553" max="2553" width="10.85546875" style="41" customWidth="1"/>
    <col min="2554" max="2554" width="12.5703125" style="41" customWidth="1"/>
    <col min="2555" max="2558" width="8.7109375" style="41"/>
    <col min="2559" max="2559" width="12.85546875" style="41" customWidth="1"/>
    <col min="2560" max="2560" width="8.7109375" style="41"/>
    <col min="2561" max="2561" width="11.42578125" style="41" customWidth="1"/>
    <col min="2562" max="2562" width="10.28515625" style="41" customWidth="1"/>
    <col min="2563" max="2804" width="8.7109375" style="41"/>
    <col min="2805" max="2805" width="52.5703125" style="41" customWidth="1"/>
    <col min="2806" max="2806" width="15.42578125" style="41" customWidth="1"/>
    <col min="2807" max="2807" width="13.28515625" style="41" customWidth="1"/>
    <col min="2808" max="2808" width="10.7109375" style="41" customWidth="1"/>
    <col min="2809" max="2809" width="10.85546875" style="41" customWidth="1"/>
    <col min="2810" max="2810" width="12.5703125" style="41" customWidth="1"/>
    <col min="2811" max="2814" width="8.7109375" style="41"/>
    <col min="2815" max="2815" width="12.85546875" style="41" customWidth="1"/>
    <col min="2816" max="2816" width="8.7109375" style="41"/>
    <col min="2817" max="2817" width="11.42578125" style="41" customWidth="1"/>
    <col min="2818" max="2818" width="10.28515625" style="41" customWidth="1"/>
    <col min="2819" max="3060" width="8.7109375" style="41"/>
    <col min="3061" max="3061" width="52.5703125" style="41" customWidth="1"/>
    <col min="3062" max="3062" width="15.42578125" style="41" customWidth="1"/>
    <col min="3063" max="3063" width="13.28515625" style="41" customWidth="1"/>
    <col min="3064" max="3064" width="10.7109375" style="41" customWidth="1"/>
    <col min="3065" max="3065" width="10.85546875" style="41" customWidth="1"/>
    <col min="3066" max="3066" width="12.5703125" style="41" customWidth="1"/>
    <col min="3067" max="3070" width="8.7109375" style="41"/>
    <col min="3071" max="3071" width="12.85546875" style="41" customWidth="1"/>
    <col min="3072" max="3072" width="8.7109375" style="41"/>
    <col min="3073" max="3073" width="11.42578125" style="41" customWidth="1"/>
    <col min="3074" max="3074" width="10.28515625" style="41" customWidth="1"/>
    <col min="3075" max="3316" width="8.7109375" style="41"/>
    <col min="3317" max="3317" width="52.5703125" style="41" customWidth="1"/>
    <col min="3318" max="3318" width="15.42578125" style="41" customWidth="1"/>
    <col min="3319" max="3319" width="13.28515625" style="41" customWidth="1"/>
    <col min="3320" max="3320" width="10.7109375" style="41" customWidth="1"/>
    <col min="3321" max="3321" width="10.85546875" style="41" customWidth="1"/>
    <col min="3322" max="3322" width="12.5703125" style="41" customWidth="1"/>
    <col min="3323" max="3326" width="8.7109375" style="41"/>
    <col min="3327" max="3327" width="12.85546875" style="41" customWidth="1"/>
    <col min="3328" max="3328" width="8.7109375" style="41"/>
    <col min="3329" max="3329" width="11.42578125" style="41" customWidth="1"/>
    <col min="3330" max="3330" width="10.28515625" style="41" customWidth="1"/>
    <col min="3331" max="3572" width="8.7109375" style="41"/>
    <col min="3573" max="3573" width="52.5703125" style="41" customWidth="1"/>
    <col min="3574" max="3574" width="15.42578125" style="41" customWidth="1"/>
    <col min="3575" max="3575" width="13.28515625" style="41" customWidth="1"/>
    <col min="3576" max="3576" width="10.7109375" style="41" customWidth="1"/>
    <col min="3577" max="3577" width="10.85546875" style="41" customWidth="1"/>
    <col min="3578" max="3578" width="12.5703125" style="41" customWidth="1"/>
    <col min="3579" max="3582" width="8.7109375" style="41"/>
    <col min="3583" max="3583" width="12.85546875" style="41" customWidth="1"/>
    <col min="3584" max="3584" width="8.7109375" style="41"/>
    <col min="3585" max="3585" width="11.42578125" style="41" customWidth="1"/>
    <col min="3586" max="3586" width="10.28515625" style="41" customWidth="1"/>
    <col min="3587" max="3828" width="8.7109375" style="41"/>
    <col min="3829" max="3829" width="52.5703125" style="41" customWidth="1"/>
    <col min="3830" max="3830" width="15.42578125" style="41" customWidth="1"/>
    <col min="3831" max="3831" width="13.28515625" style="41" customWidth="1"/>
    <col min="3832" max="3832" width="10.7109375" style="41" customWidth="1"/>
    <col min="3833" max="3833" width="10.85546875" style="41" customWidth="1"/>
    <col min="3834" max="3834" width="12.5703125" style="41" customWidth="1"/>
    <col min="3835" max="3838" width="8.7109375" style="41"/>
    <col min="3839" max="3839" width="12.85546875" style="41" customWidth="1"/>
    <col min="3840" max="3840" width="8.7109375" style="41"/>
    <col min="3841" max="3841" width="11.42578125" style="41" customWidth="1"/>
    <col min="3842" max="3842" width="10.28515625" style="41" customWidth="1"/>
    <col min="3843" max="4084" width="8.7109375" style="41"/>
    <col min="4085" max="4085" width="52.5703125" style="41" customWidth="1"/>
    <col min="4086" max="4086" width="15.42578125" style="41" customWidth="1"/>
    <col min="4087" max="4087" width="13.28515625" style="41" customWidth="1"/>
    <col min="4088" max="4088" width="10.7109375" style="41" customWidth="1"/>
    <col min="4089" max="4089" width="10.85546875" style="41" customWidth="1"/>
    <col min="4090" max="4090" width="12.5703125" style="41" customWidth="1"/>
    <col min="4091" max="4094" width="8.7109375" style="41"/>
    <col min="4095" max="4095" width="12.85546875" style="41" customWidth="1"/>
    <col min="4096" max="4096" width="8.7109375" style="41"/>
    <col min="4097" max="4097" width="11.42578125" style="41" customWidth="1"/>
    <col min="4098" max="4098" width="10.28515625" style="41" customWidth="1"/>
    <col min="4099" max="4340" width="8.7109375" style="41"/>
    <col min="4341" max="4341" width="52.5703125" style="41" customWidth="1"/>
    <col min="4342" max="4342" width="15.42578125" style="41" customWidth="1"/>
    <col min="4343" max="4343" width="13.28515625" style="41" customWidth="1"/>
    <col min="4344" max="4344" width="10.7109375" style="41" customWidth="1"/>
    <col min="4345" max="4345" width="10.85546875" style="41" customWidth="1"/>
    <col min="4346" max="4346" width="12.5703125" style="41" customWidth="1"/>
    <col min="4347" max="4350" width="8.7109375" style="41"/>
    <col min="4351" max="4351" width="12.85546875" style="41" customWidth="1"/>
    <col min="4352" max="4352" width="8.7109375" style="41"/>
    <col min="4353" max="4353" width="11.42578125" style="41" customWidth="1"/>
    <col min="4354" max="4354" width="10.28515625" style="41" customWidth="1"/>
    <col min="4355" max="4596" width="8.7109375" style="41"/>
    <col min="4597" max="4597" width="52.5703125" style="41" customWidth="1"/>
    <col min="4598" max="4598" width="15.42578125" style="41" customWidth="1"/>
    <col min="4599" max="4599" width="13.28515625" style="41" customWidth="1"/>
    <col min="4600" max="4600" width="10.7109375" style="41" customWidth="1"/>
    <col min="4601" max="4601" width="10.85546875" style="41" customWidth="1"/>
    <col min="4602" max="4602" width="12.5703125" style="41" customWidth="1"/>
    <col min="4603" max="4606" width="8.7109375" style="41"/>
    <col min="4607" max="4607" width="12.85546875" style="41" customWidth="1"/>
    <col min="4608" max="4608" width="8.7109375" style="41"/>
    <col min="4609" max="4609" width="11.42578125" style="41" customWidth="1"/>
    <col min="4610" max="4610" width="10.28515625" style="41" customWidth="1"/>
    <col min="4611" max="4852" width="8.7109375" style="41"/>
    <col min="4853" max="4853" width="52.5703125" style="41" customWidth="1"/>
    <col min="4854" max="4854" width="15.42578125" style="41" customWidth="1"/>
    <col min="4855" max="4855" width="13.28515625" style="41" customWidth="1"/>
    <col min="4856" max="4856" width="10.7109375" style="41" customWidth="1"/>
    <col min="4857" max="4857" width="10.85546875" style="41" customWidth="1"/>
    <col min="4858" max="4858" width="12.5703125" style="41" customWidth="1"/>
    <col min="4859" max="4862" width="8.7109375" style="41"/>
    <col min="4863" max="4863" width="12.85546875" style="41" customWidth="1"/>
    <col min="4864" max="4864" width="8.7109375" style="41"/>
    <col min="4865" max="4865" width="11.42578125" style="41" customWidth="1"/>
    <col min="4866" max="4866" width="10.28515625" style="41" customWidth="1"/>
    <col min="4867" max="5108" width="8.7109375" style="41"/>
    <col min="5109" max="5109" width="52.5703125" style="41" customWidth="1"/>
    <col min="5110" max="5110" width="15.42578125" style="41" customWidth="1"/>
    <col min="5111" max="5111" width="13.28515625" style="41" customWidth="1"/>
    <col min="5112" max="5112" width="10.7109375" style="41" customWidth="1"/>
    <col min="5113" max="5113" width="10.85546875" style="41" customWidth="1"/>
    <col min="5114" max="5114" width="12.5703125" style="41" customWidth="1"/>
    <col min="5115" max="5118" width="8.7109375" style="41"/>
    <col min="5119" max="5119" width="12.85546875" style="41" customWidth="1"/>
    <col min="5120" max="5120" width="8.7109375" style="41"/>
    <col min="5121" max="5121" width="11.42578125" style="41" customWidth="1"/>
    <col min="5122" max="5122" width="10.28515625" style="41" customWidth="1"/>
    <col min="5123" max="5364" width="8.7109375" style="41"/>
    <col min="5365" max="5365" width="52.5703125" style="41" customWidth="1"/>
    <col min="5366" max="5366" width="15.42578125" style="41" customWidth="1"/>
    <col min="5367" max="5367" width="13.28515625" style="41" customWidth="1"/>
    <col min="5368" max="5368" width="10.7109375" style="41" customWidth="1"/>
    <col min="5369" max="5369" width="10.85546875" style="41" customWidth="1"/>
    <col min="5370" max="5370" width="12.5703125" style="41" customWidth="1"/>
    <col min="5371" max="5374" width="8.7109375" style="41"/>
    <col min="5375" max="5375" width="12.85546875" style="41" customWidth="1"/>
    <col min="5376" max="5376" width="8.7109375" style="41"/>
    <col min="5377" max="5377" width="11.42578125" style="41" customWidth="1"/>
    <col min="5378" max="5378" width="10.28515625" style="41" customWidth="1"/>
    <col min="5379" max="5620" width="8.7109375" style="41"/>
    <col min="5621" max="5621" width="52.5703125" style="41" customWidth="1"/>
    <col min="5622" max="5622" width="15.42578125" style="41" customWidth="1"/>
    <col min="5623" max="5623" width="13.28515625" style="41" customWidth="1"/>
    <col min="5624" max="5624" width="10.7109375" style="41" customWidth="1"/>
    <col min="5625" max="5625" width="10.85546875" style="41" customWidth="1"/>
    <col min="5626" max="5626" width="12.5703125" style="41" customWidth="1"/>
    <col min="5627" max="5630" width="8.7109375" style="41"/>
    <col min="5631" max="5631" width="12.85546875" style="41" customWidth="1"/>
    <col min="5632" max="5632" width="8.7109375" style="41"/>
    <col min="5633" max="5633" width="11.42578125" style="41" customWidth="1"/>
    <col min="5634" max="5634" width="10.28515625" style="41" customWidth="1"/>
    <col min="5635" max="5876" width="8.7109375" style="41"/>
    <col min="5877" max="5877" width="52.5703125" style="41" customWidth="1"/>
    <col min="5878" max="5878" width="15.42578125" style="41" customWidth="1"/>
    <col min="5879" max="5879" width="13.28515625" style="41" customWidth="1"/>
    <col min="5880" max="5880" width="10.7109375" style="41" customWidth="1"/>
    <col min="5881" max="5881" width="10.85546875" style="41" customWidth="1"/>
    <col min="5882" max="5882" width="12.5703125" style="41" customWidth="1"/>
    <col min="5883" max="5886" width="8.7109375" style="41"/>
    <col min="5887" max="5887" width="12.85546875" style="41" customWidth="1"/>
    <col min="5888" max="5888" width="8.7109375" style="41"/>
    <col min="5889" max="5889" width="11.42578125" style="41" customWidth="1"/>
    <col min="5890" max="5890" width="10.28515625" style="41" customWidth="1"/>
    <col min="5891" max="6132" width="8.7109375" style="41"/>
    <col min="6133" max="6133" width="52.5703125" style="41" customWidth="1"/>
    <col min="6134" max="6134" width="15.42578125" style="41" customWidth="1"/>
    <col min="6135" max="6135" width="13.28515625" style="41" customWidth="1"/>
    <col min="6136" max="6136" width="10.7109375" style="41" customWidth="1"/>
    <col min="6137" max="6137" width="10.85546875" style="41" customWidth="1"/>
    <col min="6138" max="6138" width="12.5703125" style="41" customWidth="1"/>
    <col min="6139" max="6142" width="8.7109375" style="41"/>
    <col min="6143" max="6143" width="12.85546875" style="41" customWidth="1"/>
    <col min="6144" max="6144" width="8.7109375" style="41"/>
    <col min="6145" max="6145" width="11.42578125" style="41" customWidth="1"/>
    <col min="6146" max="6146" width="10.28515625" style="41" customWidth="1"/>
    <col min="6147" max="6388" width="8.7109375" style="41"/>
    <col min="6389" max="6389" width="52.5703125" style="41" customWidth="1"/>
    <col min="6390" max="6390" width="15.42578125" style="41" customWidth="1"/>
    <col min="6391" max="6391" width="13.28515625" style="41" customWidth="1"/>
    <col min="6392" max="6392" width="10.7109375" style="41" customWidth="1"/>
    <col min="6393" max="6393" width="10.85546875" style="41" customWidth="1"/>
    <col min="6394" max="6394" width="12.5703125" style="41" customWidth="1"/>
    <col min="6395" max="6398" width="8.7109375" style="41"/>
    <col min="6399" max="6399" width="12.85546875" style="41" customWidth="1"/>
    <col min="6400" max="6400" width="8.7109375" style="41"/>
    <col min="6401" max="6401" width="11.42578125" style="41" customWidth="1"/>
    <col min="6402" max="6402" width="10.28515625" style="41" customWidth="1"/>
    <col min="6403" max="6644" width="8.7109375" style="41"/>
    <col min="6645" max="6645" width="52.5703125" style="41" customWidth="1"/>
    <col min="6646" max="6646" width="15.42578125" style="41" customWidth="1"/>
    <col min="6647" max="6647" width="13.28515625" style="41" customWidth="1"/>
    <col min="6648" max="6648" width="10.7109375" style="41" customWidth="1"/>
    <col min="6649" max="6649" width="10.85546875" style="41" customWidth="1"/>
    <col min="6650" max="6650" width="12.5703125" style="41" customWidth="1"/>
    <col min="6651" max="6654" width="8.7109375" style="41"/>
    <col min="6655" max="6655" width="12.85546875" style="41" customWidth="1"/>
    <col min="6656" max="6656" width="8.7109375" style="41"/>
    <col min="6657" max="6657" width="11.42578125" style="41" customWidth="1"/>
    <col min="6658" max="6658" width="10.28515625" style="41" customWidth="1"/>
    <col min="6659" max="6900" width="8.7109375" style="41"/>
    <col min="6901" max="6901" width="52.5703125" style="41" customWidth="1"/>
    <col min="6902" max="6902" width="15.42578125" style="41" customWidth="1"/>
    <col min="6903" max="6903" width="13.28515625" style="41" customWidth="1"/>
    <col min="6904" max="6904" width="10.7109375" style="41" customWidth="1"/>
    <col min="6905" max="6905" width="10.85546875" style="41" customWidth="1"/>
    <col min="6906" max="6906" width="12.5703125" style="41" customWidth="1"/>
    <col min="6907" max="6910" width="8.7109375" style="41"/>
    <col min="6911" max="6911" width="12.85546875" style="41" customWidth="1"/>
    <col min="6912" max="6912" width="8.7109375" style="41"/>
    <col min="6913" max="6913" width="11.42578125" style="41" customWidth="1"/>
    <col min="6914" max="6914" width="10.28515625" style="41" customWidth="1"/>
    <col min="6915" max="7156" width="8.7109375" style="41"/>
    <col min="7157" max="7157" width="52.5703125" style="41" customWidth="1"/>
    <col min="7158" max="7158" width="15.42578125" style="41" customWidth="1"/>
    <col min="7159" max="7159" width="13.28515625" style="41" customWidth="1"/>
    <col min="7160" max="7160" width="10.7109375" style="41" customWidth="1"/>
    <col min="7161" max="7161" width="10.85546875" style="41" customWidth="1"/>
    <col min="7162" max="7162" width="12.5703125" style="41" customWidth="1"/>
    <col min="7163" max="7166" width="8.7109375" style="41"/>
    <col min="7167" max="7167" width="12.85546875" style="41" customWidth="1"/>
    <col min="7168" max="7168" width="8.7109375" style="41"/>
    <col min="7169" max="7169" width="11.42578125" style="41" customWidth="1"/>
    <col min="7170" max="7170" width="10.28515625" style="41" customWidth="1"/>
    <col min="7171" max="7412" width="8.7109375" style="41"/>
    <col min="7413" max="7413" width="52.5703125" style="41" customWidth="1"/>
    <col min="7414" max="7414" width="15.42578125" style="41" customWidth="1"/>
    <col min="7415" max="7415" width="13.28515625" style="41" customWidth="1"/>
    <col min="7416" max="7416" width="10.7109375" style="41" customWidth="1"/>
    <col min="7417" max="7417" width="10.85546875" style="41" customWidth="1"/>
    <col min="7418" max="7418" width="12.5703125" style="41" customWidth="1"/>
    <col min="7419" max="7422" width="8.7109375" style="41"/>
    <col min="7423" max="7423" width="12.85546875" style="41" customWidth="1"/>
    <col min="7424" max="7424" width="8.7109375" style="41"/>
    <col min="7425" max="7425" width="11.42578125" style="41" customWidth="1"/>
    <col min="7426" max="7426" width="10.28515625" style="41" customWidth="1"/>
    <col min="7427" max="7668" width="8.7109375" style="41"/>
    <col min="7669" max="7669" width="52.5703125" style="41" customWidth="1"/>
    <col min="7670" max="7670" width="15.42578125" style="41" customWidth="1"/>
    <col min="7671" max="7671" width="13.28515625" style="41" customWidth="1"/>
    <col min="7672" max="7672" width="10.7109375" style="41" customWidth="1"/>
    <col min="7673" max="7673" width="10.85546875" style="41" customWidth="1"/>
    <col min="7674" max="7674" width="12.5703125" style="41" customWidth="1"/>
    <col min="7675" max="7678" width="8.7109375" style="41"/>
    <col min="7679" max="7679" width="12.85546875" style="41" customWidth="1"/>
    <col min="7680" max="7680" width="8.7109375" style="41"/>
    <col min="7681" max="7681" width="11.42578125" style="41" customWidth="1"/>
    <col min="7682" max="7682" width="10.28515625" style="41" customWidth="1"/>
    <col min="7683" max="7924" width="8.7109375" style="41"/>
    <col min="7925" max="7925" width="52.5703125" style="41" customWidth="1"/>
    <col min="7926" max="7926" width="15.42578125" style="41" customWidth="1"/>
    <col min="7927" max="7927" width="13.28515625" style="41" customWidth="1"/>
    <col min="7928" max="7928" width="10.7109375" style="41" customWidth="1"/>
    <col min="7929" max="7929" width="10.85546875" style="41" customWidth="1"/>
    <col min="7930" max="7930" width="12.5703125" style="41" customWidth="1"/>
    <col min="7931" max="7934" width="8.7109375" style="41"/>
    <col min="7935" max="7935" width="12.85546875" style="41" customWidth="1"/>
    <col min="7936" max="7936" width="8.7109375" style="41"/>
    <col min="7937" max="7937" width="11.42578125" style="41" customWidth="1"/>
    <col min="7938" max="7938" width="10.28515625" style="41" customWidth="1"/>
    <col min="7939" max="8180" width="8.7109375" style="41"/>
    <col min="8181" max="8181" width="52.5703125" style="41" customWidth="1"/>
    <col min="8182" max="8182" width="15.42578125" style="41" customWidth="1"/>
    <col min="8183" max="8183" width="13.28515625" style="41" customWidth="1"/>
    <col min="8184" max="8184" width="10.7109375" style="41" customWidth="1"/>
    <col min="8185" max="8185" width="10.85546875" style="41" customWidth="1"/>
    <col min="8186" max="8186" width="12.5703125" style="41" customWidth="1"/>
    <col min="8187" max="8190" width="8.7109375" style="41"/>
    <col min="8191" max="8191" width="12.85546875" style="41" customWidth="1"/>
    <col min="8192" max="8192" width="8.7109375" style="41"/>
    <col min="8193" max="8193" width="11.42578125" style="41" customWidth="1"/>
    <col min="8194" max="8194" width="10.28515625" style="41" customWidth="1"/>
    <col min="8195" max="8436" width="8.7109375" style="41"/>
    <col min="8437" max="8437" width="52.5703125" style="41" customWidth="1"/>
    <col min="8438" max="8438" width="15.42578125" style="41" customWidth="1"/>
    <col min="8439" max="8439" width="13.28515625" style="41" customWidth="1"/>
    <col min="8440" max="8440" width="10.7109375" style="41" customWidth="1"/>
    <col min="8441" max="8441" width="10.85546875" style="41" customWidth="1"/>
    <col min="8442" max="8442" width="12.5703125" style="41" customWidth="1"/>
    <col min="8443" max="8446" width="8.7109375" style="41"/>
    <col min="8447" max="8447" width="12.85546875" style="41" customWidth="1"/>
    <col min="8448" max="8448" width="8.7109375" style="41"/>
    <col min="8449" max="8449" width="11.42578125" style="41" customWidth="1"/>
    <col min="8450" max="8450" width="10.28515625" style="41" customWidth="1"/>
    <col min="8451" max="8692" width="8.7109375" style="41"/>
    <col min="8693" max="8693" width="52.5703125" style="41" customWidth="1"/>
    <col min="8694" max="8694" width="15.42578125" style="41" customWidth="1"/>
    <col min="8695" max="8695" width="13.28515625" style="41" customWidth="1"/>
    <col min="8696" max="8696" width="10.7109375" style="41" customWidth="1"/>
    <col min="8697" max="8697" width="10.85546875" style="41" customWidth="1"/>
    <col min="8698" max="8698" width="12.5703125" style="41" customWidth="1"/>
    <col min="8699" max="8702" width="8.7109375" style="41"/>
    <col min="8703" max="8703" width="12.85546875" style="41" customWidth="1"/>
    <col min="8704" max="8704" width="8.7109375" style="41"/>
    <col min="8705" max="8705" width="11.42578125" style="41" customWidth="1"/>
    <col min="8706" max="8706" width="10.28515625" style="41" customWidth="1"/>
    <col min="8707" max="8948" width="8.7109375" style="41"/>
    <col min="8949" max="8949" width="52.5703125" style="41" customWidth="1"/>
    <col min="8950" max="8950" width="15.42578125" style="41" customWidth="1"/>
    <col min="8951" max="8951" width="13.28515625" style="41" customWidth="1"/>
    <col min="8952" max="8952" width="10.7109375" style="41" customWidth="1"/>
    <col min="8953" max="8953" width="10.85546875" style="41" customWidth="1"/>
    <col min="8954" max="8954" width="12.5703125" style="41" customWidth="1"/>
    <col min="8955" max="8958" width="8.7109375" style="41"/>
    <col min="8959" max="8959" width="12.85546875" style="41" customWidth="1"/>
    <col min="8960" max="8960" width="8.7109375" style="41"/>
    <col min="8961" max="8961" width="11.42578125" style="41" customWidth="1"/>
    <col min="8962" max="8962" width="10.28515625" style="41" customWidth="1"/>
    <col min="8963" max="9204" width="8.7109375" style="41"/>
    <col min="9205" max="9205" width="52.5703125" style="41" customWidth="1"/>
    <col min="9206" max="9206" width="15.42578125" style="41" customWidth="1"/>
    <col min="9207" max="9207" width="13.28515625" style="41" customWidth="1"/>
    <col min="9208" max="9208" width="10.7109375" style="41" customWidth="1"/>
    <col min="9209" max="9209" width="10.85546875" style="41" customWidth="1"/>
    <col min="9210" max="9210" width="12.5703125" style="41" customWidth="1"/>
    <col min="9211" max="9214" width="8.7109375" style="41"/>
    <col min="9215" max="9215" width="12.85546875" style="41" customWidth="1"/>
    <col min="9216" max="9216" width="8.7109375" style="41"/>
    <col min="9217" max="9217" width="11.42578125" style="41" customWidth="1"/>
    <col min="9218" max="9218" width="10.28515625" style="41" customWidth="1"/>
    <col min="9219" max="9460" width="8.7109375" style="41"/>
    <col min="9461" max="9461" width="52.5703125" style="41" customWidth="1"/>
    <col min="9462" max="9462" width="15.42578125" style="41" customWidth="1"/>
    <col min="9463" max="9463" width="13.28515625" style="41" customWidth="1"/>
    <col min="9464" max="9464" width="10.7109375" style="41" customWidth="1"/>
    <col min="9465" max="9465" width="10.85546875" style="41" customWidth="1"/>
    <col min="9466" max="9466" width="12.5703125" style="41" customWidth="1"/>
    <col min="9467" max="9470" width="8.7109375" style="41"/>
    <col min="9471" max="9471" width="12.85546875" style="41" customWidth="1"/>
    <col min="9472" max="9472" width="8.7109375" style="41"/>
    <col min="9473" max="9473" width="11.42578125" style="41" customWidth="1"/>
    <col min="9474" max="9474" width="10.28515625" style="41" customWidth="1"/>
    <col min="9475" max="9716" width="8.7109375" style="41"/>
    <col min="9717" max="9717" width="52.5703125" style="41" customWidth="1"/>
    <col min="9718" max="9718" width="15.42578125" style="41" customWidth="1"/>
    <col min="9719" max="9719" width="13.28515625" style="41" customWidth="1"/>
    <col min="9720" max="9720" width="10.7109375" style="41" customWidth="1"/>
    <col min="9721" max="9721" width="10.85546875" style="41" customWidth="1"/>
    <col min="9722" max="9722" width="12.5703125" style="41" customWidth="1"/>
    <col min="9723" max="9726" width="8.7109375" style="41"/>
    <col min="9727" max="9727" width="12.85546875" style="41" customWidth="1"/>
    <col min="9728" max="9728" width="8.7109375" style="41"/>
    <col min="9729" max="9729" width="11.42578125" style="41" customWidth="1"/>
    <col min="9730" max="9730" width="10.28515625" style="41" customWidth="1"/>
    <col min="9731" max="9972" width="8.7109375" style="41"/>
    <col min="9973" max="9973" width="52.5703125" style="41" customWidth="1"/>
    <col min="9974" max="9974" width="15.42578125" style="41" customWidth="1"/>
    <col min="9975" max="9975" width="13.28515625" style="41" customWidth="1"/>
    <col min="9976" max="9976" width="10.7109375" style="41" customWidth="1"/>
    <col min="9977" max="9977" width="10.85546875" style="41" customWidth="1"/>
    <col min="9978" max="9978" width="12.5703125" style="41" customWidth="1"/>
    <col min="9979" max="9982" width="8.7109375" style="41"/>
    <col min="9983" max="9983" width="12.85546875" style="41" customWidth="1"/>
    <col min="9984" max="9984" width="8.7109375" style="41"/>
    <col min="9985" max="9985" width="11.42578125" style="41" customWidth="1"/>
    <col min="9986" max="9986" width="10.28515625" style="41" customWidth="1"/>
    <col min="9987" max="10228" width="8.7109375" style="41"/>
    <col min="10229" max="10229" width="52.5703125" style="41" customWidth="1"/>
    <col min="10230" max="10230" width="15.42578125" style="41" customWidth="1"/>
    <col min="10231" max="10231" width="13.28515625" style="41" customWidth="1"/>
    <col min="10232" max="10232" width="10.7109375" style="41" customWidth="1"/>
    <col min="10233" max="10233" width="10.85546875" style="41" customWidth="1"/>
    <col min="10234" max="10234" width="12.5703125" style="41" customWidth="1"/>
    <col min="10235" max="10238" width="8.7109375" style="41"/>
    <col min="10239" max="10239" width="12.85546875" style="41" customWidth="1"/>
    <col min="10240" max="10240" width="8.7109375" style="41"/>
    <col min="10241" max="10241" width="11.42578125" style="41" customWidth="1"/>
    <col min="10242" max="10242" width="10.28515625" style="41" customWidth="1"/>
    <col min="10243" max="10484" width="8.7109375" style="41"/>
    <col min="10485" max="10485" width="52.5703125" style="41" customWidth="1"/>
    <col min="10486" max="10486" width="15.42578125" style="41" customWidth="1"/>
    <col min="10487" max="10487" width="13.28515625" style="41" customWidth="1"/>
    <col min="10488" max="10488" width="10.7109375" style="41" customWidth="1"/>
    <col min="10489" max="10489" width="10.85546875" style="41" customWidth="1"/>
    <col min="10490" max="10490" width="12.5703125" style="41" customWidth="1"/>
    <col min="10491" max="10494" width="8.7109375" style="41"/>
    <col min="10495" max="10495" width="12.85546875" style="41" customWidth="1"/>
    <col min="10496" max="10496" width="8.7109375" style="41"/>
    <col min="10497" max="10497" width="11.42578125" style="41" customWidth="1"/>
    <col min="10498" max="10498" width="10.28515625" style="41" customWidth="1"/>
    <col min="10499" max="10740" width="8.7109375" style="41"/>
    <col min="10741" max="10741" width="52.5703125" style="41" customWidth="1"/>
    <col min="10742" max="10742" width="15.42578125" style="41" customWidth="1"/>
    <col min="10743" max="10743" width="13.28515625" style="41" customWidth="1"/>
    <col min="10744" max="10744" width="10.7109375" style="41" customWidth="1"/>
    <col min="10745" max="10745" width="10.85546875" style="41" customWidth="1"/>
    <col min="10746" max="10746" width="12.5703125" style="41" customWidth="1"/>
    <col min="10747" max="10750" width="8.7109375" style="41"/>
    <col min="10751" max="10751" width="12.85546875" style="41" customWidth="1"/>
    <col min="10752" max="10752" width="8.7109375" style="41"/>
    <col min="10753" max="10753" width="11.42578125" style="41" customWidth="1"/>
    <col min="10754" max="10754" width="10.28515625" style="41" customWidth="1"/>
    <col min="10755" max="10996" width="8.7109375" style="41"/>
    <col min="10997" max="10997" width="52.5703125" style="41" customWidth="1"/>
    <col min="10998" max="10998" width="15.42578125" style="41" customWidth="1"/>
    <col min="10999" max="10999" width="13.28515625" style="41" customWidth="1"/>
    <col min="11000" max="11000" width="10.7109375" style="41" customWidth="1"/>
    <col min="11001" max="11001" width="10.85546875" style="41" customWidth="1"/>
    <col min="11002" max="11002" width="12.5703125" style="41" customWidth="1"/>
    <col min="11003" max="11006" width="8.7109375" style="41"/>
    <col min="11007" max="11007" width="12.85546875" style="41" customWidth="1"/>
    <col min="11008" max="11008" width="8.7109375" style="41"/>
    <col min="11009" max="11009" width="11.42578125" style="41" customWidth="1"/>
    <col min="11010" max="11010" width="10.28515625" style="41" customWidth="1"/>
    <col min="11011" max="11252" width="8.7109375" style="41"/>
    <col min="11253" max="11253" width="52.5703125" style="41" customWidth="1"/>
    <col min="11254" max="11254" width="15.42578125" style="41" customWidth="1"/>
    <col min="11255" max="11255" width="13.28515625" style="41" customWidth="1"/>
    <col min="11256" max="11256" width="10.7109375" style="41" customWidth="1"/>
    <col min="11257" max="11257" width="10.85546875" style="41" customWidth="1"/>
    <col min="11258" max="11258" width="12.5703125" style="41" customWidth="1"/>
    <col min="11259" max="11262" width="8.7109375" style="41"/>
    <col min="11263" max="11263" width="12.85546875" style="41" customWidth="1"/>
    <col min="11264" max="11264" width="8.7109375" style="41"/>
    <col min="11265" max="11265" width="11.42578125" style="41" customWidth="1"/>
    <col min="11266" max="11266" width="10.28515625" style="41" customWidth="1"/>
    <col min="11267" max="11508" width="8.7109375" style="41"/>
    <col min="11509" max="11509" width="52.5703125" style="41" customWidth="1"/>
    <col min="11510" max="11510" width="15.42578125" style="41" customWidth="1"/>
    <col min="11511" max="11511" width="13.28515625" style="41" customWidth="1"/>
    <col min="11512" max="11512" width="10.7109375" style="41" customWidth="1"/>
    <col min="11513" max="11513" width="10.85546875" style="41" customWidth="1"/>
    <col min="11514" max="11514" width="12.5703125" style="41" customWidth="1"/>
    <col min="11515" max="11518" width="8.7109375" style="41"/>
    <col min="11519" max="11519" width="12.85546875" style="41" customWidth="1"/>
    <col min="11520" max="11520" width="8.7109375" style="41"/>
    <col min="11521" max="11521" width="11.42578125" style="41" customWidth="1"/>
    <col min="11522" max="11522" width="10.28515625" style="41" customWidth="1"/>
    <col min="11523" max="11764" width="8.7109375" style="41"/>
    <col min="11765" max="11765" width="52.5703125" style="41" customWidth="1"/>
    <col min="11766" max="11766" width="15.42578125" style="41" customWidth="1"/>
    <col min="11767" max="11767" width="13.28515625" style="41" customWidth="1"/>
    <col min="11768" max="11768" width="10.7109375" style="41" customWidth="1"/>
    <col min="11769" max="11769" width="10.85546875" style="41" customWidth="1"/>
    <col min="11770" max="11770" width="12.5703125" style="41" customWidth="1"/>
    <col min="11771" max="11774" width="8.7109375" style="41"/>
    <col min="11775" max="11775" width="12.85546875" style="41" customWidth="1"/>
    <col min="11776" max="11776" width="8.7109375" style="41"/>
    <col min="11777" max="11777" width="11.42578125" style="41" customWidth="1"/>
    <col min="11778" max="11778" width="10.28515625" style="41" customWidth="1"/>
    <col min="11779" max="12020" width="8.7109375" style="41"/>
    <col min="12021" max="12021" width="52.5703125" style="41" customWidth="1"/>
    <col min="12022" max="12022" width="15.42578125" style="41" customWidth="1"/>
    <col min="12023" max="12023" width="13.28515625" style="41" customWidth="1"/>
    <col min="12024" max="12024" width="10.7109375" style="41" customWidth="1"/>
    <col min="12025" max="12025" width="10.85546875" style="41" customWidth="1"/>
    <col min="12026" max="12026" width="12.5703125" style="41" customWidth="1"/>
    <col min="12027" max="12030" width="8.7109375" style="41"/>
    <col min="12031" max="12031" width="12.85546875" style="41" customWidth="1"/>
    <col min="12032" max="12032" width="8.7109375" style="41"/>
    <col min="12033" max="12033" width="11.42578125" style="41" customWidth="1"/>
    <col min="12034" max="12034" width="10.28515625" style="41" customWidth="1"/>
    <col min="12035" max="12276" width="8.7109375" style="41"/>
    <col min="12277" max="12277" width="52.5703125" style="41" customWidth="1"/>
    <col min="12278" max="12278" width="15.42578125" style="41" customWidth="1"/>
    <col min="12279" max="12279" width="13.28515625" style="41" customWidth="1"/>
    <col min="12280" max="12280" width="10.7109375" style="41" customWidth="1"/>
    <col min="12281" max="12281" width="10.85546875" style="41" customWidth="1"/>
    <col min="12282" max="12282" width="12.5703125" style="41" customWidth="1"/>
    <col min="12283" max="12286" width="8.7109375" style="41"/>
    <col min="12287" max="12287" width="12.85546875" style="41" customWidth="1"/>
    <col min="12288" max="12288" width="8.7109375" style="41"/>
    <col min="12289" max="12289" width="11.42578125" style="41" customWidth="1"/>
    <col min="12290" max="12290" width="10.28515625" style="41" customWidth="1"/>
    <col min="12291" max="12532" width="8.7109375" style="41"/>
    <col min="12533" max="12533" width="52.5703125" style="41" customWidth="1"/>
    <col min="12534" max="12534" width="15.42578125" style="41" customWidth="1"/>
    <col min="12535" max="12535" width="13.28515625" style="41" customWidth="1"/>
    <col min="12536" max="12536" width="10.7109375" style="41" customWidth="1"/>
    <col min="12537" max="12537" width="10.85546875" style="41" customWidth="1"/>
    <col min="12538" max="12538" width="12.5703125" style="41" customWidth="1"/>
    <col min="12539" max="12542" width="8.7109375" style="41"/>
    <col min="12543" max="12543" width="12.85546875" style="41" customWidth="1"/>
    <col min="12544" max="12544" width="8.7109375" style="41"/>
    <col min="12545" max="12545" width="11.42578125" style="41" customWidth="1"/>
    <col min="12546" max="12546" width="10.28515625" style="41" customWidth="1"/>
    <col min="12547" max="12788" width="8.7109375" style="41"/>
    <col min="12789" max="12789" width="52.5703125" style="41" customWidth="1"/>
    <col min="12790" max="12790" width="15.42578125" style="41" customWidth="1"/>
    <col min="12791" max="12791" width="13.28515625" style="41" customWidth="1"/>
    <col min="12792" max="12792" width="10.7109375" style="41" customWidth="1"/>
    <col min="12793" max="12793" width="10.85546875" style="41" customWidth="1"/>
    <col min="12794" max="12794" width="12.5703125" style="41" customWidth="1"/>
    <col min="12795" max="12798" width="8.7109375" style="41"/>
    <col min="12799" max="12799" width="12.85546875" style="41" customWidth="1"/>
    <col min="12800" max="12800" width="8.7109375" style="41"/>
    <col min="12801" max="12801" width="11.42578125" style="41" customWidth="1"/>
    <col min="12802" max="12802" width="10.28515625" style="41" customWidth="1"/>
    <col min="12803" max="13044" width="8.7109375" style="41"/>
    <col min="13045" max="13045" width="52.5703125" style="41" customWidth="1"/>
    <col min="13046" max="13046" width="15.42578125" style="41" customWidth="1"/>
    <col min="13047" max="13047" width="13.28515625" style="41" customWidth="1"/>
    <col min="13048" max="13048" width="10.7109375" style="41" customWidth="1"/>
    <col min="13049" max="13049" width="10.85546875" style="41" customWidth="1"/>
    <col min="13050" max="13050" width="12.5703125" style="41" customWidth="1"/>
    <col min="13051" max="13054" width="8.7109375" style="41"/>
    <col min="13055" max="13055" width="12.85546875" style="41" customWidth="1"/>
    <col min="13056" max="13056" width="8.7109375" style="41"/>
    <col min="13057" max="13057" width="11.42578125" style="41" customWidth="1"/>
    <col min="13058" max="13058" width="10.28515625" style="41" customWidth="1"/>
    <col min="13059" max="13300" width="8.7109375" style="41"/>
    <col min="13301" max="13301" width="52.5703125" style="41" customWidth="1"/>
    <col min="13302" max="13302" width="15.42578125" style="41" customWidth="1"/>
    <col min="13303" max="13303" width="13.28515625" style="41" customWidth="1"/>
    <col min="13304" max="13304" width="10.7109375" style="41" customWidth="1"/>
    <col min="13305" max="13305" width="10.85546875" style="41" customWidth="1"/>
    <col min="13306" max="13306" width="12.5703125" style="41" customWidth="1"/>
    <col min="13307" max="13310" width="8.7109375" style="41"/>
    <col min="13311" max="13311" width="12.85546875" style="41" customWidth="1"/>
    <col min="13312" max="13312" width="8.7109375" style="41"/>
    <col min="13313" max="13313" width="11.42578125" style="41" customWidth="1"/>
    <col min="13314" max="13314" width="10.28515625" style="41" customWidth="1"/>
    <col min="13315" max="13556" width="8.7109375" style="41"/>
    <col min="13557" max="13557" width="52.5703125" style="41" customWidth="1"/>
    <col min="13558" max="13558" width="15.42578125" style="41" customWidth="1"/>
    <col min="13559" max="13559" width="13.28515625" style="41" customWidth="1"/>
    <col min="13560" max="13560" width="10.7109375" style="41" customWidth="1"/>
    <col min="13561" max="13561" width="10.85546875" style="41" customWidth="1"/>
    <col min="13562" max="13562" width="12.5703125" style="41" customWidth="1"/>
    <col min="13563" max="13566" width="8.7109375" style="41"/>
    <col min="13567" max="13567" width="12.85546875" style="41" customWidth="1"/>
    <col min="13568" max="13568" width="8.7109375" style="41"/>
    <col min="13569" max="13569" width="11.42578125" style="41" customWidth="1"/>
    <col min="13570" max="13570" width="10.28515625" style="41" customWidth="1"/>
    <col min="13571" max="13812" width="8.7109375" style="41"/>
    <col min="13813" max="13813" width="52.5703125" style="41" customWidth="1"/>
    <col min="13814" max="13814" width="15.42578125" style="41" customWidth="1"/>
    <col min="13815" max="13815" width="13.28515625" style="41" customWidth="1"/>
    <col min="13816" max="13816" width="10.7109375" style="41" customWidth="1"/>
    <col min="13817" max="13817" width="10.85546875" style="41" customWidth="1"/>
    <col min="13818" max="13818" width="12.5703125" style="41" customWidth="1"/>
    <col min="13819" max="13822" width="8.7109375" style="41"/>
    <col min="13823" max="13823" width="12.85546875" style="41" customWidth="1"/>
    <col min="13824" max="13824" width="8.7109375" style="41"/>
    <col min="13825" max="13825" width="11.42578125" style="41" customWidth="1"/>
    <col min="13826" max="13826" width="10.28515625" style="41" customWidth="1"/>
    <col min="13827" max="14068" width="8.7109375" style="41"/>
    <col min="14069" max="14069" width="52.5703125" style="41" customWidth="1"/>
    <col min="14070" max="14070" width="15.42578125" style="41" customWidth="1"/>
    <col min="14071" max="14071" width="13.28515625" style="41" customWidth="1"/>
    <col min="14072" max="14072" width="10.7109375" style="41" customWidth="1"/>
    <col min="14073" max="14073" width="10.85546875" style="41" customWidth="1"/>
    <col min="14074" max="14074" width="12.5703125" style="41" customWidth="1"/>
    <col min="14075" max="14078" width="8.7109375" style="41"/>
    <col min="14079" max="14079" width="12.85546875" style="41" customWidth="1"/>
    <col min="14080" max="14080" width="8.7109375" style="41"/>
    <col min="14081" max="14081" width="11.42578125" style="41" customWidth="1"/>
    <col min="14082" max="14082" width="10.28515625" style="41" customWidth="1"/>
    <col min="14083" max="14324" width="8.7109375" style="41"/>
    <col min="14325" max="14325" width="52.5703125" style="41" customWidth="1"/>
    <col min="14326" max="14326" width="15.42578125" style="41" customWidth="1"/>
    <col min="14327" max="14327" width="13.28515625" style="41" customWidth="1"/>
    <col min="14328" max="14328" width="10.7109375" style="41" customWidth="1"/>
    <col min="14329" max="14329" width="10.85546875" style="41" customWidth="1"/>
    <col min="14330" max="14330" width="12.5703125" style="41" customWidth="1"/>
    <col min="14331" max="14334" width="8.7109375" style="41"/>
    <col min="14335" max="14335" width="12.85546875" style="41" customWidth="1"/>
    <col min="14336" max="14336" width="8.7109375" style="41"/>
    <col min="14337" max="14337" width="11.42578125" style="41" customWidth="1"/>
    <col min="14338" max="14338" width="10.28515625" style="41" customWidth="1"/>
    <col min="14339" max="14580" width="8.7109375" style="41"/>
    <col min="14581" max="14581" width="52.5703125" style="41" customWidth="1"/>
    <col min="14582" max="14582" width="15.42578125" style="41" customWidth="1"/>
    <col min="14583" max="14583" width="13.28515625" style="41" customWidth="1"/>
    <col min="14584" max="14584" width="10.7109375" style="41" customWidth="1"/>
    <col min="14585" max="14585" width="10.85546875" style="41" customWidth="1"/>
    <col min="14586" max="14586" width="12.5703125" style="41" customWidth="1"/>
    <col min="14587" max="14590" width="8.7109375" style="41"/>
    <col min="14591" max="14591" width="12.85546875" style="41" customWidth="1"/>
    <col min="14592" max="14592" width="8.7109375" style="41"/>
    <col min="14593" max="14593" width="11.42578125" style="41" customWidth="1"/>
    <col min="14594" max="14594" width="10.28515625" style="41" customWidth="1"/>
    <col min="14595" max="14836" width="8.7109375" style="41"/>
    <col min="14837" max="14837" width="52.5703125" style="41" customWidth="1"/>
    <col min="14838" max="14838" width="15.42578125" style="41" customWidth="1"/>
    <col min="14839" max="14839" width="13.28515625" style="41" customWidth="1"/>
    <col min="14840" max="14840" width="10.7109375" style="41" customWidth="1"/>
    <col min="14841" max="14841" width="10.85546875" style="41" customWidth="1"/>
    <col min="14842" max="14842" width="12.5703125" style="41" customWidth="1"/>
    <col min="14843" max="14846" width="8.7109375" style="41"/>
    <col min="14847" max="14847" width="12.85546875" style="41" customWidth="1"/>
    <col min="14848" max="14848" width="8.7109375" style="41"/>
    <col min="14849" max="14849" width="11.42578125" style="41" customWidth="1"/>
    <col min="14850" max="14850" width="10.28515625" style="41" customWidth="1"/>
    <col min="14851" max="15092" width="8.7109375" style="41"/>
    <col min="15093" max="15093" width="52.5703125" style="41" customWidth="1"/>
    <col min="15094" max="15094" width="15.42578125" style="41" customWidth="1"/>
    <col min="15095" max="15095" width="13.28515625" style="41" customWidth="1"/>
    <col min="15096" max="15096" width="10.7109375" style="41" customWidth="1"/>
    <col min="15097" max="15097" width="10.85546875" style="41" customWidth="1"/>
    <col min="15098" max="15098" width="12.5703125" style="41" customWidth="1"/>
    <col min="15099" max="15102" width="8.7109375" style="41"/>
    <col min="15103" max="15103" width="12.85546875" style="41" customWidth="1"/>
    <col min="15104" max="15104" width="8.7109375" style="41"/>
    <col min="15105" max="15105" width="11.42578125" style="41" customWidth="1"/>
    <col min="15106" max="15106" width="10.28515625" style="41" customWidth="1"/>
    <col min="15107" max="15348" width="8.7109375" style="41"/>
    <col min="15349" max="15349" width="52.5703125" style="41" customWidth="1"/>
    <col min="15350" max="15350" width="15.42578125" style="41" customWidth="1"/>
    <col min="15351" max="15351" width="13.28515625" style="41" customWidth="1"/>
    <col min="15352" max="15352" width="10.7109375" style="41" customWidth="1"/>
    <col min="15353" max="15353" width="10.85546875" style="41" customWidth="1"/>
    <col min="15354" max="15354" width="12.5703125" style="41" customWidth="1"/>
    <col min="15355" max="15358" width="8.7109375" style="41"/>
    <col min="15359" max="15359" width="12.85546875" style="41" customWidth="1"/>
    <col min="15360" max="15360" width="8.7109375" style="41"/>
    <col min="15361" max="15361" width="11.42578125" style="41" customWidth="1"/>
    <col min="15362" max="15362" width="10.28515625" style="41" customWidth="1"/>
    <col min="15363" max="15604" width="8.7109375" style="41"/>
    <col min="15605" max="15605" width="52.5703125" style="41" customWidth="1"/>
    <col min="15606" max="15606" width="15.42578125" style="41" customWidth="1"/>
    <col min="15607" max="15607" width="13.28515625" style="41" customWidth="1"/>
    <col min="15608" max="15608" width="10.7109375" style="41" customWidth="1"/>
    <col min="15609" max="15609" width="10.85546875" style="41" customWidth="1"/>
    <col min="15610" max="15610" width="12.5703125" style="41" customWidth="1"/>
    <col min="15611" max="15614" width="8.7109375" style="41"/>
    <col min="15615" max="15615" width="12.85546875" style="41" customWidth="1"/>
    <col min="15616" max="15616" width="8.7109375" style="41"/>
    <col min="15617" max="15617" width="11.42578125" style="41" customWidth="1"/>
    <col min="15618" max="15618" width="10.28515625" style="41" customWidth="1"/>
    <col min="15619" max="15860" width="8.7109375" style="41"/>
    <col min="15861" max="15861" width="52.5703125" style="41" customWidth="1"/>
    <col min="15862" max="15862" width="15.42578125" style="41" customWidth="1"/>
    <col min="15863" max="15863" width="13.28515625" style="41" customWidth="1"/>
    <col min="15864" max="15864" width="10.7109375" style="41" customWidth="1"/>
    <col min="15865" max="15865" width="10.85546875" style="41" customWidth="1"/>
    <col min="15866" max="15866" width="12.5703125" style="41" customWidth="1"/>
    <col min="15867" max="15870" width="8.7109375" style="41"/>
    <col min="15871" max="15871" width="12.85546875" style="41" customWidth="1"/>
    <col min="15872" max="15872" width="8.7109375" style="41"/>
    <col min="15873" max="15873" width="11.42578125" style="41" customWidth="1"/>
    <col min="15874" max="15874" width="10.28515625" style="41" customWidth="1"/>
    <col min="15875" max="16116" width="8.7109375" style="41"/>
    <col min="16117" max="16117" width="52.5703125" style="41" customWidth="1"/>
    <col min="16118" max="16118" width="15.42578125" style="41" customWidth="1"/>
    <col min="16119" max="16119" width="13.28515625" style="41" customWidth="1"/>
    <col min="16120" max="16120" width="10.7109375" style="41" customWidth="1"/>
    <col min="16121" max="16121" width="10.85546875" style="41" customWidth="1"/>
    <col min="16122" max="16122" width="12.5703125" style="41" customWidth="1"/>
    <col min="16123" max="16126" width="8.7109375" style="41"/>
    <col min="16127" max="16127" width="12.85546875" style="41" customWidth="1"/>
    <col min="16128" max="16128" width="8.7109375" style="41"/>
    <col min="16129" max="16129" width="11.42578125" style="41" customWidth="1"/>
    <col min="16130" max="16130" width="10.28515625" style="41" customWidth="1"/>
    <col min="16131" max="16384" width="8.7109375" style="41"/>
  </cols>
  <sheetData>
    <row r="1" spans="1:10" ht="26.1" customHeight="1" x14ac:dyDescent="0.2">
      <c r="G1" s="362" t="s">
        <v>60</v>
      </c>
      <c r="H1" s="362"/>
      <c r="I1" s="362"/>
    </row>
    <row r="3" spans="1:10" ht="14.25" x14ac:dyDescent="0.2">
      <c r="A3" s="50" t="s">
        <v>54</v>
      </c>
    </row>
    <row r="4" spans="1:10" x14ac:dyDescent="0.2">
      <c r="G4" s="58"/>
    </row>
    <row r="5" spans="1:10" ht="89.25" x14ac:dyDescent="0.2">
      <c r="A5" s="42" t="s">
        <v>44</v>
      </c>
      <c r="B5" s="42" t="s">
        <v>44</v>
      </c>
      <c r="C5" s="42" t="s">
        <v>53</v>
      </c>
      <c r="D5" s="42" t="s">
        <v>56</v>
      </c>
      <c r="E5" s="42" t="s">
        <v>45</v>
      </c>
      <c r="F5" s="43" t="s">
        <v>46</v>
      </c>
      <c r="G5" s="81" t="s">
        <v>72</v>
      </c>
      <c r="H5" s="44" t="s">
        <v>57</v>
      </c>
      <c r="I5" s="44" t="s">
        <v>58</v>
      </c>
      <c r="J5" s="44" t="s">
        <v>59</v>
      </c>
    </row>
    <row r="6" spans="1:10" x14ac:dyDescent="0.2">
      <c r="A6" s="52" t="s">
        <v>55</v>
      </c>
      <c r="B6" s="51"/>
      <c r="C6" s="53">
        <f>SUM(C7:C9)</f>
        <v>139120</v>
      </c>
      <c r="D6" s="53">
        <f>SUM(D7:D9)</f>
        <v>9216</v>
      </c>
      <c r="E6" s="53"/>
      <c r="F6" s="53"/>
      <c r="G6" s="53">
        <f t="shared" ref="G6:H6" si="0">SUM(G7:G9)</f>
        <v>2750850</v>
      </c>
      <c r="H6" s="53">
        <f t="shared" si="0"/>
        <v>3098080</v>
      </c>
      <c r="I6" s="53">
        <f>G6</f>
        <v>2750850</v>
      </c>
      <c r="J6" s="53">
        <f>H6-I6</f>
        <v>347230</v>
      </c>
    </row>
    <row r="7" spans="1:10" x14ac:dyDescent="0.2">
      <c r="A7" s="45" t="s">
        <v>47</v>
      </c>
      <c r="B7" s="46" t="s">
        <v>48</v>
      </c>
      <c r="C7" s="54">
        <f>63000+2500</f>
        <v>65500</v>
      </c>
      <c r="D7" s="56">
        <v>9216</v>
      </c>
      <c r="E7" s="47">
        <v>33.64</v>
      </c>
      <c r="F7" s="47">
        <f>E7*1.12</f>
        <v>37.676800000000007</v>
      </c>
      <c r="G7" s="57">
        <f>ROUND(C7*F7,0)</f>
        <v>2467830</v>
      </c>
      <c r="H7" s="59">
        <f>ROUND((C7+D7)*F7,0)</f>
        <v>2815060</v>
      </c>
      <c r="I7" s="48"/>
      <c r="J7" s="48"/>
    </row>
    <row r="8" spans="1:10" x14ac:dyDescent="0.2">
      <c r="A8" s="45" t="s">
        <v>49</v>
      </c>
      <c r="B8" s="46" t="s">
        <v>50</v>
      </c>
      <c r="C8" s="54">
        <v>2720</v>
      </c>
      <c r="D8" s="55"/>
      <c r="E8" s="47">
        <v>20.7</v>
      </c>
      <c r="F8" s="47">
        <f>E8*1.12</f>
        <v>23.184000000000001</v>
      </c>
      <c r="G8" s="57">
        <f t="shared" ref="G8:G9" si="1">ROUND(C8*F8,0)</f>
        <v>63060</v>
      </c>
      <c r="H8" s="59">
        <f>ROUND((C8+D8)*F8,0)</f>
        <v>63060</v>
      </c>
      <c r="I8" s="48"/>
      <c r="J8" s="48"/>
    </row>
    <row r="9" spans="1:10" x14ac:dyDescent="0.2">
      <c r="A9" s="45" t="s">
        <v>51</v>
      </c>
      <c r="B9" s="46" t="s">
        <v>52</v>
      </c>
      <c r="C9" s="54">
        <f>64900+6000</f>
        <v>70900</v>
      </c>
      <c r="D9" s="55"/>
      <c r="E9" s="47">
        <v>2.77</v>
      </c>
      <c r="F9" s="47">
        <f>E9*1.12</f>
        <v>3.1024000000000003</v>
      </c>
      <c r="G9" s="57">
        <f t="shared" si="1"/>
        <v>219960</v>
      </c>
      <c r="H9" s="59">
        <f>ROUND((C9+D9)*F9,0)</f>
        <v>219960</v>
      </c>
      <c r="I9" s="48"/>
      <c r="J9" s="48"/>
    </row>
    <row r="10" spans="1:10" x14ac:dyDescent="0.2">
      <c r="F10" s="49"/>
    </row>
    <row r="11" spans="1:10" ht="14.25" x14ac:dyDescent="0.2">
      <c r="A11" s="50" t="s">
        <v>69</v>
      </c>
    </row>
    <row r="12" spans="1:10" ht="14.25" x14ac:dyDescent="0.2">
      <c r="A12" s="50"/>
    </row>
    <row r="13" spans="1:10" ht="14.25" x14ac:dyDescent="0.2">
      <c r="A13" s="50"/>
      <c r="B13" s="369">
        <v>2026</v>
      </c>
      <c r="C13" s="369"/>
    </row>
    <row r="14" spans="1:10" x14ac:dyDescent="0.2">
      <c r="A14" s="367"/>
      <c r="B14" s="368" t="s">
        <v>74</v>
      </c>
      <c r="C14" s="368" t="s">
        <v>75</v>
      </c>
    </row>
    <row r="15" spans="1:10" ht="38.1" customHeight="1" x14ac:dyDescent="0.2">
      <c r="A15" s="367"/>
      <c r="B15" s="368"/>
      <c r="C15" s="368"/>
    </row>
    <row r="16" spans="1:10" x14ac:dyDescent="0.2">
      <c r="A16" s="83" t="s">
        <v>76</v>
      </c>
      <c r="B16" s="84">
        <f>E22+E26+E30</f>
        <v>20480</v>
      </c>
      <c r="C16" s="85">
        <f>ROUND(H22+H26+H30,0)</f>
        <v>252772</v>
      </c>
    </row>
    <row r="17" spans="1:13" x14ac:dyDescent="0.2">
      <c r="A17" s="82"/>
    </row>
    <row r="18" spans="1:13" ht="14.25" x14ac:dyDescent="0.2">
      <c r="A18" s="50"/>
    </row>
    <row r="19" spans="1:13" x14ac:dyDescent="0.2">
      <c r="A19" s="60"/>
      <c r="B19" s="60"/>
      <c r="C19" s="60"/>
      <c r="D19" s="60"/>
      <c r="E19" s="60"/>
      <c r="F19" s="60"/>
      <c r="G19" s="60"/>
      <c r="H19" s="60"/>
      <c r="I19" s="60"/>
      <c r="J19" s="60"/>
      <c r="K19" s="60"/>
      <c r="L19" s="60"/>
      <c r="M19" s="60"/>
    </row>
    <row r="20" spans="1:13" x14ac:dyDescent="0.2">
      <c r="A20" s="363" t="s">
        <v>44</v>
      </c>
      <c r="B20" s="363" t="s">
        <v>61</v>
      </c>
      <c r="C20" s="360" t="s">
        <v>62</v>
      </c>
      <c r="D20" s="367">
        <v>2026</v>
      </c>
      <c r="E20" s="370"/>
      <c r="F20" s="370"/>
      <c r="G20" s="370"/>
      <c r="H20" s="371"/>
    </row>
    <row r="21" spans="1:13" ht="89.25" x14ac:dyDescent="0.2">
      <c r="A21" s="363"/>
      <c r="B21" s="363"/>
      <c r="C21" s="361"/>
      <c r="D21" s="77" t="s">
        <v>63</v>
      </c>
      <c r="E21" s="78" t="s">
        <v>64</v>
      </c>
      <c r="F21" s="77" t="s">
        <v>70</v>
      </c>
      <c r="G21" s="77" t="s">
        <v>71</v>
      </c>
      <c r="H21" s="79" t="s">
        <v>73</v>
      </c>
    </row>
    <row r="22" spans="1:13" ht="25.5" x14ac:dyDescent="0.2">
      <c r="A22" s="61" t="s">
        <v>65</v>
      </c>
      <c r="B22" s="61" t="s">
        <v>66</v>
      </c>
      <c r="C22" s="71">
        <v>0.95</v>
      </c>
      <c r="D22" s="67">
        <v>16500</v>
      </c>
      <c r="E22" s="68">
        <f>ROUND(D22*0.4,0)</f>
        <v>6600</v>
      </c>
      <c r="F22" s="62">
        <v>11.02</v>
      </c>
      <c r="G22" s="63">
        <f>F22*1.12</f>
        <v>12.342400000000001</v>
      </c>
      <c r="H22" s="80">
        <f>ROUND(G22*E22,2)</f>
        <v>81459.839999999997</v>
      </c>
    </row>
    <row r="23" spans="1:13" x14ac:dyDescent="0.2">
      <c r="A23" s="60"/>
      <c r="B23" s="64"/>
      <c r="C23" s="65"/>
      <c r="D23" s="73"/>
      <c r="E23" s="73"/>
      <c r="F23" s="74"/>
      <c r="G23" s="75"/>
      <c r="H23" s="75"/>
    </row>
    <row r="24" spans="1:13" x14ac:dyDescent="0.2">
      <c r="A24" s="363" t="s">
        <v>44</v>
      </c>
      <c r="B24" s="363" t="s">
        <v>61</v>
      </c>
      <c r="C24" s="372" t="s">
        <v>62</v>
      </c>
      <c r="D24" s="364">
        <v>2026</v>
      </c>
      <c r="E24" s="365"/>
      <c r="F24" s="365"/>
      <c r="G24" s="365"/>
      <c r="H24" s="366"/>
    </row>
    <row r="25" spans="1:13" ht="89.25" x14ac:dyDescent="0.2">
      <c r="A25" s="363"/>
      <c r="B25" s="363"/>
      <c r="C25" s="373"/>
      <c r="D25" s="69" t="s">
        <v>63</v>
      </c>
      <c r="E25" s="76" t="s">
        <v>64</v>
      </c>
      <c r="F25" s="77" t="s">
        <v>70</v>
      </c>
      <c r="G25" s="77" t="s">
        <v>71</v>
      </c>
      <c r="H25" s="79" t="s">
        <v>73</v>
      </c>
    </row>
    <row r="26" spans="1:13" ht="25.5" x14ac:dyDescent="0.2">
      <c r="A26" s="61" t="s">
        <v>65</v>
      </c>
      <c r="B26" s="61" t="s">
        <v>67</v>
      </c>
      <c r="C26" s="72">
        <v>0.95</v>
      </c>
      <c r="D26" s="70">
        <v>16800</v>
      </c>
      <c r="E26" s="68">
        <f>ROUND(D26*0.4,0)</f>
        <v>6720</v>
      </c>
      <c r="F26" s="66">
        <v>11.02</v>
      </c>
      <c r="G26" s="63">
        <f>F26*1.12</f>
        <v>12.342400000000001</v>
      </c>
      <c r="H26" s="80">
        <f>ROUND(G26*E26,2)</f>
        <v>82940.929999999993</v>
      </c>
    </row>
    <row r="27" spans="1:13" x14ac:dyDescent="0.2">
      <c r="A27" s="64"/>
      <c r="B27" s="64"/>
      <c r="C27" s="65"/>
      <c r="D27" s="73"/>
      <c r="E27" s="73"/>
      <c r="F27" s="74"/>
      <c r="G27" s="75"/>
      <c r="H27" s="75"/>
    </row>
    <row r="28" spans="1:13" x14ac:dyDescent="0.2">
      <c r="A28" s="363" t="s">
        <v>44</v>
      </c>
      <c r="B28" s="363" t="s">
        <v>61</v>
      </c>
      <c r="C28" s="372" t="s">
        <v>62</v>
      </c>
      <c r="D28" s="364">
        <v>2026</v>
      </c>
      <c r="E28" s="365"/>
      <c r="F28" s="365"/>
      <c r="G28" s="365"/>
      <c r="H28" s="366"/>
    </row>
    <row r="29" spans="1:13" ht="89.25" x14ac:dyDescent="0.2">
      <c r="A29" s="363"/>
      <c r="B29" s="363"/>
      <c r="C29" s="373"/>
      <c r="D29" s="69" t="s">
        <v>63</v>
      </c>
      <c r="E29" s="76" t="s">
        <v>64</v>
      </c>
      <c r="F29" s="77" t="s">
        <v>70</v>
      </c>
      <c r="G29" s="77" t="s">
        <v>71</v>
      </c>
      <c r="H29" s="79" t="s">
        <v>73</v>
      </c>
    </row>
    <row r="30" spans="1:13" ht="25.5" x14ac:dyDescent="0.2">
      <c r="A30" s="61" t="s">
        <v>65</v>
      </c>
      <c r="B30" s="61" t="s">
        <v>68</v>
      </c>
      <c r="C30" s="72">
        <v>0.95</v>
      </c>
      <c r="D30" s="70">
        <v>17900</v>
      </c>
      <c r="E30" s="68">
        <f>ROUND(D30*0.4,0)</f>
        <v>7160</v>
      </c>
      <c r="F30" s="66">
        <v>11.02</v>
      </c>
      <c r="G30" s="63">
        <f>F30*1.12</f>
        <v>12.342400000000001</v>
      </c>
      <c r="H30" s="80">
        <f>ROUND(G30*E30,2)</f>
        <v>88371.58</v>
      </c>
    </row>
    <row r="31" spans="1:13" x14ac:dyDescent="0.2">
      <c r="A31" s="64"/>
      <c r="B31" s="64"/>
      <c r="C31" s="65"/>
      <c r="D31" s="65"/>
      <c r="E31" s="65"/>
      <c r="F31" s="65"/>
      <c r="G31" s="65"/>
      <c r="H31" s="65"/>
    </row>
  </sheetData>
  <mergeCells count="17">
    <mergeCell ref="A28:A29"/>
    <mergeCell ref="B28:B29"/>
    <mergeCell ref="C28:C29"/>
    <mergeCell ref="D28:H28"/>
    <mergeCell ref="A24:A25"/>
    <mergeCell ref="B24:B25"/>
    <mergeCell ref="C24:C25"/>
    <mergeCell ref="C20:C21"/>
    <mergeCell ref="G1:I1"/>
    <mergeCell ref="A20:A21"/>
    <mergeCell ref="B20:B21"/>
    <mergeCell ref="D24:H24"/>
    <mergeCell ref="A14:A15"/>
    <mergeCell ref="B14:B15"/>
    <mergeCell ref="C14:C15"/>
    <mergeCell ref="B13:C13"/>
    <mergeCell ref="D20:H20"/>
  </mergeCells>
  <conditionalFormatting sqref="C7:D9">
    <cfRule type="cellIs" dxfId="0" priority="1" stopIfTrue="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361082-BF88-46F5-858B-013AE71ACAE3}">
  <dimension ref="A1:AB67"/>
  <sheetViews>
    <sheetView zoomScale="80" zoomScaleNormal="80" workbookViewId="0">
      <selection activeCell="X18" sqref="X18"/>
    </sheetView>
  </sheetViews>
  <sheetFormatPr defaultColWidth="8.85546875" defaultRowHeight="15" x14ac:dyDescent="0.25"/>
  <cols>
    <col min="1" max="1" width="19.5703125" style="111" customWidth="1"/>
    <col min="2" max="2" width="39.5703125" style="111" customWidth="1"/>
    <col min="3" max="3" width="19.42578125" style="111" customWidth="1"/>
    <col min="4" max="4" width="18.42578125" style="111" customWidth="1"/>
    <col min="5" max="5" width="18.7109375" style="111" customWidth="1"/>
    <col min="6" max="6" width="12.42578125" style="111" customWidth="1"/>
    <col min="7" max="7" width="12.5703125" style="111" customWidth="1"/>
    <col min="8" max="9" width="15.85546875" style="111" customWidth="1"/>
    <col min="10" max="10" width="16" style="111" customWidth="1"/>
    <col min="11" max="12" width="12.5703125" style="111" customWidth="1"/>
    <col min="13" max="13" width="15.5703125" style="111" customWidth="1"/>
    <col min="14" max="14" width="16.140625" style="111" customWidth="1"/>
    <col min="15" max="15" width="15" style="111" customWidth="1"/>
    <col min="16" max="16" width="16" style="111" customWidth="1"/>
    <col min="17" max="17" width="9.140625" style="111" customWidth="1"/>
    <col min="18" max="18" width="14.140625" style="111" customWidth="1"/>
    <col min="19" max="19" width="12.5703125" style="111" customWidth="1"/>
    <col min="20" max="21" width="10.28515625" style="111" customWidth="1"/>
    <col min="22" max="22" width="8.85546875" style="111"/>
    <col min="23" max="23" width="11.7109375" style="111" customWidth="1"/>
    <col min="24" max="26" width="10.42578125" style="111" customWidth="1"/>
    <col min="27" max="27" width="20.85546875" style="111" customWidth="1"/>
    <col min="28" max="28" width="14.5703125" style="111" customWidth="1"/>
    <col min="29" max="16384" width="8.85546875" style="111"/>
  </cols>
  <sheetData>
    <row r="1" spans="1:26" ht="12.6" customHeight="1" x14ac:dyDescent="0.25">
      <c r="F1" s="374" t="s">
        <v>177</v>
      </c>
      <c r="G1" s="374"/>
      <c r="H1" s="374"/>
      <c r="I1" s="374"/>
    </row>
    <row r="2" spans="1:26" ht="15.75" x14ac:dyDescent="0.25">
      <c r="W2" s="112" t="s">
        <v>102</v>
      </c>
    </row>
    <row r="3" spans="1:26" ht="18.75" x14ac:dyDescent="0.3">
      <c r="A3" s="177" t="s">
        <v>176</v>
      </c>
      <c r="D3" s="113"/>
    </row>
    <row r="4" spans="1:26" ht="15.75" x14ac:dyDescent="0.25">
      <c r="A4" s="205" t="s">
        <v>182</v>
      </c>
      <c r="D4" s="113"/>
    </row>
    <row r="5" spans="1:26" x14ac:dyDescent="0.25">
      <c r="A5" s="114"/>
    </row>
    <row r="6" spans="1:26" ht="75" customHeight="1" x14ac:dyDescent="0.25">
      <c r="C6" s="115" t="s">
        <v>103</v>
      </c>
      <c r="D6" s="115" t="s">
        <v>178</v>
      </c>
      <c r="E6" s="115" t="s">
        <v>179</v>
      </c>
      <c r="Q6" s="116"/>
      <c r="R6" s="116"/>
      <c r="S6" s="116"/>
      <c r="T6" s="116"/>
      <c r="U6" s="116"/>
      <c r="V6" s="116"/>
      <c r="W6" s="116"/>
      <c r="X6" s="116"/>
    </row>
    <row r="7" spans="1:26" ht="75" x14ac:dyDescent="0.25">
      <c r="C7" s="117" t="s">
        <v>95</v>
      </c>
      <c r="D7" s="118">
        <f>ROUND(W33+W57+W66+D16,0)</f>
        <v>352946</v>
      </c>
      <c r="E7" s="119">
        <f>ROUND(E16+AA33+AA57+AA66,0)</f>
        <v>87439</v>
      </c>
    </row>
    <row r="8" spans="1:26" x14ac:dyDescent="0.25">
      <c r="A8" s="120"/>
      <c r="B8" s="121"/>
      <c r="C8" s="122"/>
      <c r="D8" s="123"/>
      <c r="E8" s="124"/>
    </row>
    <row r="10" spans="1:26" ht="53.25" customHeight="1" x14ac:dyDescent="0.25">
      <c r="A10" s="125" t="s">
        <v>104</v>
      </c>
      <c r="B10" s="117" t="s">
        <v>105</v>
      </c>
      <c r="C10" s="126" t="s">
        <v>106</v>
      </c>
      <c r="D10" s="126" t="s">
        <v>107</v>
      </c>
      <c r="E10" s="126" t="s">
        <v>108</v>
      </c>
      <c r="G10" s="125" t="s">
        <v>104</v>
      </c>
      <c r="H10" s="403" t="s">
        <v>109</v>
      </c>
      <c r="I10" s="403" t="s">
        <v>110</v>
      </c>
      <c r="J10" s="403" t="s">
        <v>111</v>
      </c>
      <c r="L10" s="127"/>
      <c r="M10" s="125" t="s">
        <v>104</v>
      </c>
      <c r="R10" s="125" t="s">
        <v>104</v>
      </c>
      <c r="S10" s="125" t="s">
        <v>104</v>
      </c>
    </row>
    <row r="11" spans="1:26" ht="15" customHeight="1" x14ac:dyDescent="0.25">
      <c r="A11" s="128" t="s">
        <v>112</v>
      </c>
      <c r="B11" s="129">
        <v>2304</v>
      </c>
      <c r="C11" s="130">
        <v>1388</v>
      </c>
      <c r="D11" s="130">
        <v>925</v>
      </c>
      <c r="E11" s="131" t="s">
        <v>104</v>
      </c>
      <c r="G11" s="125" t="s">
        <v>104</v>
      </c>
      <c r="H11" s="403"/>
      <c r="I11" s="403"/>
      <c r="J11" s="403"/>
      <c r="L11" s="125" t="s">
        <v>104</v>
      </c>
      <c r="M11" s="125" t="s">
        <v>104</v>
      </c>
      <c r="R11" s="125" t="s">
        <v>104</v>
      </c>
      <c r="S11" s="125" t="s">
        <v>104</v>
      </c>
    </row>
    <row r="12" spans="1:26" ht="30" x14ac:dyDescent="0.25">
      <c r="A12" s="132" t="s">
        <v>113</v>
      </c>
      <c r="B12" s="133">
        <f>ROUND(B11/9600,4)</f>
        <v>0.24</v>
      </c>
      <c r="C12" s="133">
        <f>ROUND(C11/9600,4)</f>
        <v>0.14460000000000001</v>
      </c>
      <c r="D12" s="133">
        <f>ROUND(D11/9600,4)</f>
        <v>9.64E-2</v>
      </c>
      <c r="E12" s="134">
        <v>0.2359</v>
      </c>
      <c r="G12" s="125" t="s">
        <v>114</v>
      </c>
      <c r="H12" s="117">
        <v>0.28570000000000001</v>
      </c>
      <c r="I12" s="126">
        <v>2.0199999999999999E-2</v>
      </c>
      <c r="J12" s="126">
        <v>3.2199999999999999E-2</v>
      </c>
      <c r="L12" s="125" t="s">
        <v>104</v>
      </c>
      <c r="M12" s="125" t="s">
        <v>104</v>
      </c>
      <c r="R12" s="125" t="s">
        <v>104</v>
      </c>
      <c r="S12" s="124"/>
      <c r="T12" s="124"/>
      <c r="U12" s="124"/>
      <c r="V12" s="124"/>
      <c r="W12" s="124"/>
      <c r="X12" s="124"/>
      <c r="Y12" s="124"/>
      <c r="Z12" s="124"/>
    </row>
    <row r="13" spans="1:26" x14ac:dyDescent="0.25">
      <c r="A13" s="132"/>
      <c r="B13" s="132"/>
      <c r="C13" s="132"/>
      <c r="D13" s="132"/>
      <c r="E13" s="132"/>
      <c r="G13" s="125"/>
      <c r="H13" s="120"/>
      <c r="I13" s="120"/>
      <c r="J13" s="120"/>
      <c r="L13" s="125"/>
      <c r="M13" s="125"/>
      <c r="R13" s="125"/>
      <c r="S13" s="124"/>
      <c r="T13" s="124"/>
      <c r="U13" s="124"/>
      <c r="V13" s="124"/>
      <c r="W13" s="124"/>
      <c r="X13" s="124"/>
      <c r="Y13" s="124"/>
      <c r="Z13" s="124"/>
    </row>
    <row r="14" spans="1:26" x14ac:dyDescent="0.25">
      <c r="A14" s="125" t="s">
        <v>115</v>
      </c>
      <c r="B14" s="125" t="s">
        <v>104</v>
      </c>
      <c r="C14" s="125" t="s">
        <v>104</v>
      </c>
      <c r="D14" s="125" t="s">
        <v>104</v>
      </c>
      <c r="E14" s="125" t="s">
        <v>104</v>
      </c>
      <c r="F14" s="125" t="s">
        <v>104</v>
      </c>
      <c r="G14" s="125" t="s">
        <v>104</v>
      </c>
      <c r="L14" s="125" t="s">
        <v>104</v>
      </c>
      <c r="M14" s="125" t="s">
        <v>104</v>
      </c>
      <c r="N14" s="125" t="s">
        <v>104</v>
      </c>
      <c r="O14" s="125" t="s">
        <v>104</v>
      </c>
      <c r="P14" s="125" t="s">
        <v>104</v>
      </c>
      <c r="Q14" s="125" t="s">
        <v>104</v>
      </c>
      <c r="R14" s="125" t="s">
        <v>104</v>
      </c>
      <c r="S14" s="125" t="s">
        <v>104</v>
      </c>
    </row>
    <row r="15" spans="1:26" x14ac:dyDescent="0.25">
      <c r="A15" s="135" t="s">
        <v>116</v>
      </c>
      <c r="B15" s="135" t="s">
        <v>117</v>
      </c>
      <c r="C15" s="135" t="s">
        <v>118</v>
      </c>
      <c r="D15" s="135" t="s">
        <v>119</v>
      </c>
      <c r="E15" s="136" t="s">
        <v>180</v>
      </c>
      <c r="G15" s="125"/>
      <c r="L15" s="125"/>
      <c r="M15" s="125"/>
      <c r="N15" s="125"/>
      <c r="O15" s="125"/>
      <c r="P15" s="125"/>
      <c r="Q15" s="125"/>
      <c r="R15" s="125"/>
      <c r="S15" s="125"/>
    </row>
    <row r="16" spans="1:26" x14ac:dyDescent="0.25">
      <c r="A16" s="137" t="s">
        <v>120</v>
      </c>
      <c r="B16" s="137">
        <v>0.5</v>
      </c>
      <c r="C16" s="137">
        <f>ROUND(B16*C11*1.2359,2)</f>
        <v>857.71</v>
      </c>
      <c r="D16" s="204">
        <f>ROUND(C16*12*1.2359,2)</f>
        <v>12720.53</v>
      </c>
      <c r="E16" s="204">
        <f>ROUND(C16*4*1.2359,2)</f>
        <v>4240.18</v>
      </c>
      <c r="G16" s="125"/>
      <c r="L16" s="125"/>
      <c r="M16" s="125"/>
      <c r="N16" s="125"/>
      <c r="O16" s="125"/>
      <c r="P16" s="125"/>
      <c r="Q16" s="125"/>
      <c r="R16" s="125"/>
      <c r="S16" s="125"/>
    </row>
    <row r="17" spans="1:27" x14ac:dyDescent="0.25">
      <c r="A17" s="125"/>
      <c r="B17" s="125"/>
      <c r="C17" s="125"/>
      <c r="D17" s="125"/>
      <c r="E17" s="125"/>
      <c r="F17" s="125"/>
      <c r="G17" s="125"/>
      <c r="L17" s="125"/>
      <c r="M17" s="125"/>
      <c r="N17" s="125"/>
      <c r="O17" s="125"/>
      <c r="P17" s="125"/>
      <c r="Q17" s="125"/>
      <c r="R17" s="125"/>
      <c r="S17" s="125"/>
    </row>
    <row r="19" spans="1:27" ht="15.75" x14ac:dyDescent="0.25">
      <c r="A19" s="138" t="s">
        <v>181</v>
      </c>
      <c r="T19" s="392" t="s">
        <v>121</v>
      </c>
      <c r="U19" s="392"/>
      <c r="V19" s="392"/>
      <c r="W19" s="392"/>
      <c r="X19" s="392" t="s">
        <v>184</v>
      </c>
      <c r="Y19" s="392"/>
      <c r="Z19" s="392"/>
      <c r="AA19" s="392"/>
    </row>
    <row r="20" spans="1:27" ht="15" customHeight="1" x14ac:dyDescent="0.25">
      <c r="A20" s="404" t="s">
        <v>122</v>
      </c>
      <c r="B20" s="385" t="s">
        <v>123</v>
      </c>
      <c r="C20" s="382" t="s">
        <v>124</v>
      </c>
      <c r="D20" s="382"/>
      <c r="E20" s="382"/>
      <c r="F20" s="382"/>
      <c r="G20" s="382"/>
      <c r="H20" s="382"/>
      <c r="I20" s="382"/>
      <c r="J20" s="382"/>
      <c r="K20" s="382"/>
      <c r="L20" s="383"/>
      <c r="M20" s="382" t="s">
        <v>104</v>
      </c>
      <c r="N20" s="382"/>
      <c r="O20" s="382"/>
      <c r="P20" s="383"/>
      <c r="Q20" s="378" t="s">
        <v>125</v>
      </c>
      <c r="R20" s="378" t="s">
        <v>126</v>
      </c>
      <c r="S20" s="394" t="s">
        <v>127</v>
      </c>
      <c r="T20" s="391" t="s">
        <v>128</v>
      </c>
      <c r="U20" s="391" t="s">
        <v>129</v>
      </c>
      <c r="V20" s="391" t="s">
        <v>130</v>
      </c>
      <c r="W20" s="392" t="s">
        <v>131</v>
      </c>
      <c r="X20" s="391" t="s">
        <v>128</v>
      </c>
      <c r="Y20" s="391" t="s">
        <v>129</v>
      </c>
      <c r="Z20" s="391" t="s">
        <v>130</v>
      </c>
      <c r="AA20" s="392" t="s">
        <v>131</v>
      </c>
    </row>
    <row r="21" spans="1:27" ht="30.75" customHeight="1" x14ac:dyDescent="0.25">
      <c r="A21" s="405"/>
      <c r="B21" s="386"/>
      <c r="C21" s="382" t="s">
        <v>132</v>
      </c>
      <c r="D21" s="382"/>
      <c r="E21" s="383"/>
      <c r="F21" s="382" t="s">
        <v>133</v>
      </c>
      <c r="G21" s="382"/>
      <c r="H21" s="383"/>
      <c r="I21" s="139" t="s">
        <v>134</v>
      </c>
      <c r="J21" s="382" t="s">
        <v>135</v>
      </c>
      <c r="K21" s="382"/>
      <c r="L21" s="383"/>
      <c r="M21" s="379" t="s">
        <v>136</v>
      </c>
      <c r="N21" s="379" t="s">
        <v>137</v>
      </c>
      <c r="O21" s="379" t="s">
        <v>138</v>
      </c>
      <c r="P21" s="379" t="s">
        <v>139</v>
      </c>
      <c r="Q21" s="379"/>
      <c r="R21" s="379"/>
      <c r="S21" s="395"/>
      <c r="T21" s="391"/>
      <c r="U21" s="391"/>
      <c r="V21" s="391"/>
      <c r="W21" s="392"/>
      <c r="X21" s="391"/>
      <c r="Y21" s="391"/>
      <c r="Z21" s="391"/>
      <c r="AA21" s="392"/>
    </row>
    <row r="22" spans="1:27" ht="47.25" customHeight="1" x14ac:dyDescent="0.25">
      <c r="A22" s="406"/>
      <c r="B22" s="386"/>
      <c r="C22" s="139" t="s">
        <v>140</v>
      </c>
      <c r="D22" s="139" t="s">
        <v>141</v>
      </c>
      <c r="E22" s="139" t="s">
        <v>142</v>
      </c>
      <c r="F22" s="140" t="s">
        <v>140</v>
      </c>
      <c r="G22" s="140" t="s">
        <v>141</v>
      </c>
      <c r="H22" s="139" t="s">
        <v>143</v>
      </c>
      <c r="I22" s="140" t="s">
        <v>144</v>
      </c>
      <c r="J22" s="139" t="s">
        <v>145</v>
      </c>
      <c r="K22" s="139" t="s">
        <v>146</v>
      </c>
      <c r="L22" s="139" t="s">
        <v>147</v>
      </c>
      <c r="M22" s="398"/>
      <c r="N22" s="379"/>
      <c r="O22" s="379"/>
      <c r="P22" s="398"/>
      <c r="Q22" s="398"/>
      <c r="R22" s="398"/>
      <c r="S22" s="399"/>
      <c r="T22" s="391"/>
      <c r="U22" s="391"/>
      <c r="V22" s="391"/>
      <c r="W22" s="392"/>
      <c r="X22" s="391"/>
      <c r="Y22" s="391"/>
      <c r="Z22" s="391"/>
      <c r="AA22" s="392"/>
    </row>
    <row r="23" spans="1:27" x14ac:dyDescent="0.25">
      <c r="A23" s="141" t="str">
        <f>0&amp;6033</f>
        <v>06033</v>
      </c>
      <c r="B23" s="142" t="s">
        <v>148</v>
      </c>
      <c r="C23" s="143">
        <v>81</v>
      </c>
      <c r="D23" s="144">
        <v>50</v>
      </c>
      <c r="E23" s="145">
        <v>0</v>
      </c>
      <c r="F23" s="146">
        <f t="shared" ref="F23:F30" si="0">C23*$B$12</f>
        <v>19.439999999999998</v>
      </c>
      <c r="G23" s="146">
        <f>D23*$C$12</f>
        <v>7.23</v>
      </c>
      <c r="H23" s="147">
        <v>0</v>
      </c>
      <c r="I23" s="146">
        <f t="shared" ref="I23:I30" si="1">(F23+G23)*$E$12</f>
        <v>6.2914529999999997</v>
      </c>
      <c r="J23" s="143">
        <v>0.86</v>
      </c>
      <c r="K23" s="144">
        <v>0</v>
      </c>
      <c r="L23" s="144">
        <v>0.86</v>
      </c>
      <c r="M23" s="145">
        <v>8.49</v>
      </c>
      <c r="N23" s="146">
        <f>(F23+G23+H23)*$H$12+4</f>
        <v>11.619619</v>
      </c>
      <c r="O23" s="146">
        <f t="shared" ref="O23:O30" si="2">(F23+G23+H23)*$I$12</f>
        <v>0.53873399999999994</v>
      </c>
      <c r="P23" s="146">
        <f t="shared" ref="P23:P30" si="3">(F23+G23+H23)*$J$12</f>
        <v>0.85877399999999993</v>
      </c>
      <c r="Q23" s="147">
        <f>F23+G23+H23+I23+J23+M23+N23+O23+P23</f>
        <v>55.328579999999995</v>
      </c>
      <c r="R23" s="148">
        <v>4</v>
      </c>
      <c r="S23" s="149">
        <v>51.33</v>
      </c>
      <c r="T23" s="150">
        <f>5000/5</f>
        <v>1000</v>
      </c>
      <c r="U23" s="150">
        <v>1.3</v>
      </c>
      <c r="V23" s="150">
        <f>T23*U23</f>
        <v>1300</v>
      </c>
      <c r="W23" s="151">
        <f t="shared" ref="W23:W24" si="4">S23*V23</f>
        <v>66729</v>
      </c>
      <c r="X23" s="152">
        <f>ROUND(T23/12*4,0)</f>
        <v>333</v>
      </c>
      <c r="Y23" s="150">
        <v>1.3</v>
      </c>
      <c r="Z23" s="153">
        <f>ROUND(X23*Y23,0)</f>
        <v>433</v>
      </c>
      <c r="AA23" s="154">
        <f>ROUND(S23*Z23,2)</f>
        <v>22225.89</v>
      </c>
    </row>
    <row r="24" spans="1:27" x14ac:dyDescent="0.25">
      <c r="A24" s="155" t="str">
        <f>0&amp;6015</f>
        <v>06015</v>
      </c>
      <c r="B24" s="156" t="s">
        <v>149</v>
      </c>
      <c r="C24" s="144">
        <v>71</v>
      </c>
      <c r="D24" s="144">
        <v>30</v>
      </c>
      <c r="E24" s="145">
        <v>0</v>
      </c>
      <c r="F24" s="146">
        <f t="shared" si="0"/>
        <v>17.04</v>
      </c>
      <c r="G24" s="146">
        <f>D24*$C$12</f>
        <v>4.3380000000000001</v>
      </c>
      <c r="H24" s="147">
        <v>0</v>
      </c>
      <c r="I24" s="146">
        <f t="shared" si="1"/>
        <v>5.0430701999999998</v>
      </c>
      <c r="J24" s="143">
        <f t="shared" ref="J24:J31" si="5">K24+L24</f>
        <v>1.1299999999999999</v>
      </c>
      <c r="K24" s="144">
        <v>0</v>
      </c>
      <c r="L24" s="144">
        <v>1.1299999999999999</v>
      </c>
      <c r="M24" s="145">
        <v>2.15</v>
      </c>
      <c r="N24" s="146">
        <f>(F24+G24+H24)*$H$12+4</f>
        <v>10.1076946</v>
      </c>
      <c r="O24" s="146">
        <f t="shared" si="2"/>
        <v>0.43183559999999999</v>
      </c>
      <c r="P24" s="146">
        <f t="shared" si="3"/>
        <v>0.68837159999999997</v>
      </c>
      <c r="Q24" s="147">
        <f>F24+G24+I24+J24+M24+N24+O24+P24</f>
        <v>40.928972000000002</v>
      </c>
      <c r="R24" s="157">
        <v>4</v>
      </c>
      <c r="S24" s="149">
        <v>36.928972000000002</v>
      </c>
      <c r="T24" s="150">
        <f>1000/5</f>
        <v>200</v>
      </c>
      <c r="U24" s="150">
        <v>1</v>
      </c>
      <c r="V24" s="150">
        <f>T24*U24</f>
        <v>200</v>
      </c>
      <c r="W24" s="151">
        <f t="shared" si="4"/>
        <v>7385.7944000000007</v>
      </c>
      <c r="X24" s="152">
        <f t="shared" ref="X24:X32" si="6">ROUND(T24/12*4,0)</f>
        <v>67</v>
      </c>
      <c r="Y24" s="150">
        <v>1</v>
      </c>
      <c r="Z24" s="153">
        <f t="shared" ref="Z24:Z32" si="7">ROUND(X24*Y24,0)</f>
        <v>67</v>
      </c>
      <c r="AA24" s="154">
        <f t="shared" ref="AA24:AA32" si="8">ROUND(S24*Z24,2)</f>
        <v>2474.2399999999998</v>
      </c>
    </row>
    <row r="25" spans="1:27" ht="30" x14ac:dyDescent="0.25">
      <c r="A25" s="178" t="s">
        <v>150</v>
      </c>
      <c r="B25" s="179" t="s">
        <v>151</v>
      </c>
      <c r="C25" s="180">
        <v>70</v>
      </c>
      <c r="D25" s="180">
        <v>0</v>
      </c>
      <c r="E25" s="181">
        <v>0</v>
      </c>
      <c r="F25" s="146">
        <f t="shared" si="0"/>
        <v>16.8</v>
      </c>
      <c r="G25" s="146">
        <f>D25*$C$12</f>
        <v>0</v>
      </c>
      <c r="H25" s="182">
        <v>0</v>
      </c>
      <c r="I25" s="146">
        <f t="shared" si="1"/>
        <v>3.96312</v>
      </c>
      <c r="J25" s="183">
        <f t="shared" si="5"/>
        <v>3.07</v>
      </c>
      <c r="K25" s="180">
        <v>0.05</v>
      </c>
      <c r="L25" s="180">
        <v>3.02</v>
      </c>
      <c r="M25" s="181">
        <v>4.1399999999999997</v>
      </c>
      <c r="N25" s="146">
        <f>(F25+G25+H25)*$H$12</f>
        <v>4.79976</v>
      </c>
      <c r="O25" s="146">
        <f t="shared" si="2"/>
        <v>0.33935999999999999</v>
      </c>
      <c r="P25" s="146">
        <f t="shared" si="3"/>
        <v>0.54096</v>
      </c>
      <c r="Q25" s="184">
        <f>F25+I25+J25+M25+N25+O25+P25</f>
        <v>33.653199999999998</v>
      </c>
      <c r="R25" s="185">
        <v>4</v>
      </c>
      <c r="S25" s="186">
        <v>29.653199999999998</v>
      </c>
      <c r="T25" s="150">
        <f>500/5</f>
        <v>100</v>
      </c>
      <c r="U25" s="150">
        <v>1</v>
      </c>
      <c r="V25" s="150">
        <f>T25*U25</f>
        <v>100</v>
      </c>
      <c r="W25" s="151">
        <f>S25*V25</f>
        <v>2965.3199999999997</v>
      </c>
      <c r="X25" s="152">
        <f t="shared" si="6"/>
        <v>33</v>
      </c>
      <c r="Y25" s="150">
        <v>1</v>
      </c>
      <c r="Z25" s="153">
        <f t="shared" si="7"/>
        <v>33</v>
      </c>
      <c r="AA25" s="187">
        <f t="shared" si="8"/>
        <v>978.56</v>
      </c>
    </row>
    <row r="26" spans="1:27" ht="30" x14ac:dyDescent="0.25">
      <c r="A26" s="178" t="str">
        <f>0&amp;6003</f>
        <v>06003</v>
      </c>
      <c r="B26" s="188" t="s">
        <v>152</v>
      </c>
      <c r="C26" s="189">
        <v>0</v>
      </c>
      <c r="D26" s="189">
        <v>6</v>
      </c>
      <c r="E26" s="190">
        <v>0</v>
      </c>
      <c r="F26" s="146">
        <f t="shared" si="0"/>
        <v>0</v>
      </c>
      <c r="G26" s="146">
        <f>ROUNDUP(D26*$C$12,2)</f>
        <v>0.87</v>
      </c>
      <c r="H26" s="191">
        <v>0</v>
      </c>
      <c r="I26" s="146">
        <f t="shared" si="1"/>
        <v>0.205233</v>
      </c>
      <c r="J26" s="192">
        <f t="shared" si="5"/>
        <v>0.09</v>
      </c>
      <c r="K26" s="189">
        <v>0</v>
      </c>
      <c r="L26" s="189">
        <v>0.09</v>
      </c>
      <c r="M26" s="190">
        <v>0.36</v>
      </c>
      <c r="N26" s="146">
        <f>ROUND((F26+G26+H26)*$H$12+2,2)</f>
        <v>2.25</v>
      </c>
      <c r="O26" s="146">
        <f t="shared" si="2"/>
        <v>1.7573999999999999E-2</v>
      </c>
      <c r="P26" s="146">
        <f t="shared" si="3"/>
        <v>2.8014000000000001E-2</v>
      </c>
      <c r="Q26" s="193">
        <f>ROUNDUP(G26+I26+J26+M26+N26+O26+P26,2)</f>
        <v>3.8299999999999996</v>
      </c>
      <c r="R26" s="194">
        <v>2</v>
      </c>
      <c r="S26" s="190">
        <f t="shared" ref="S26" si="9">Q26-R26</f>
        <v>1.8299999999999996</v>
      </c>
      <c r="T26" s="150">
        <f>5000/5</f>
        <v>1000</v>
      </c>
      <c r="U26" s="150">
        <v>2</v>
      </c>
      <c r="V26" s="150">
        <f>T26*U26</f>
        <v>2000</v>
      </c>
      <c r="W26" s="151">
        <f>S26*V26</f>
        <v>3659.9999999999991</v>
      </c>
      <c r="X26" s="152">
        <f t="shared" si="6"/>
        <v>333</v>
      </c>
      <c r="Y26" s="150">
        <v>2</v>
      </c>
      <c r="Z26" s="153">
        <f t="shared" si="7"/>
        <v>666</v>
      </c>
      <c r="AA26" s="187">
        <f t="shared" si="8"/>
        <v>1218.78</v>
      </c>
    </row>
    <row r="27" spans="1:27" ht="30" x14ac:dyDescent="0.25">
      <c r="A27" s="195" t="str">
        <f>0&amp;6004</f>
        <v>06004</v>
      </c>
      <c r="B27" s="196" t="s">
        <v>153</v>
      </c>
      <c r="C27" s="189">
        <v>15</v>
      </c>
      <c r="D27" s="189">
        <v>0</v>
      </c>
      <c r="E27" s="190">
        <v>0</v>
      </c>
      <c r="F27" s="146">
        <f t="shared" si="0"/>
        <v>3.5999999999999996</v>
      </c>
      <c r="G27" s="146">
        <f>D27*$C$12</f>
        <v>0</v>
      </c>
      <c r="H27" s="191">
        <v>0</v>
      </c>
      <c r="I27" s="146">
        <f t="shared" si="1"/>
        <v>0.84923999999999988</v>
      </c>
      <c r="J27" s="192">
        <f t="shared" si="5"/>
        <v>0.39</v>
      </c>
      <c r="K27" s="189">
        <v>0</v>
      </c>
      <c r="L27" s="189">
        <v>0.39</v>
      </c>
      <c r="M27" s="197">
        <v>0</v>
      </c>
      <c r="N27" s="146">
        <f t="shared" ref="N27" si="10">(F27+G27+H27)*$H$12</f>
        <v>1.0285199999999999</v>
      </c>
      <c r="O27" s="146">
        <f t="shared" si="2"/>
        <v>7.2719999999999993E-2</v>
      </c>
      <c r="P27" s="146">
        <f t="shared" si="3"/>
        <v>0.11591999999999998</v>
      </c>
      <c r="Q27" s="198">
        <f>F27+I27+J27+M27+N27+O27+P27</f>
        <v>6.0563999999999991</v>
      </c>
      <c r="R27" s="199">
        <v>0</v>
      </c>
      <c r="S27" s="200">
        <v>6.0563999999999991</v>
      </c>
      <c r="T27" s="150">
        <f>5000/5</f>
        <v>1000</v>
      </c>
      <c r="U27" s="150">
        <v>2</v>
      </c>
      <c r="V27" s="150">
        <f>T27*U27</f>
        <v>2000</v>
      </c>
      <c r="W27" s="151">
        <f t="shared" ref="W27:W32" si="11">V27*S27</f>
        <v>12112.799999999997</v>
      </c>
      <c r="X27" s="152">
        <f t="shared" si="6"/>
        <v>333</v>
      </c>
      <c r="Y27" s="150">
        <v>2</v>
      </c>
      <c r="Z27" s="153">
        <f t="shared" si="7"/>
        <v>666</v>
      </c>
      <c r="AA27" s="187">
        <f t="shared" si="8"/>
        <v>4033.56</v>
      </c>
    </row>
    <row r="28" spans="1:27" x14ac:dyDescent="0.25">
      <c r="A28" s="141" t="str">
        <f>0&amp;6021</f>
        <v>06021</v>
      </c>
      <c r="B28" s="156" t="s">
        <v>154</v>
      </c>
      <c r="C28" s="189">
        <v>36</v>
      </c>
      <c r="D28" s="189">
        <v>35</v>
      </c>
      <c r="E28" s="190">
        <v>0</v>
      </c>
      <c r="F28" s="146">
        <f t="shared" si="0"/>
        <v>8.64</v>
      </c>
      <c r="G28" s="146">
        <f>D28*$C$12</f>
        <v>5.0609999999999999</v>
      </c>
      <c r="H28" s="191">
        <v>0</v>
      </c>
      <c r="I28" s="146">
        <f t="shared" si="1"/>
        <v>3.2320659000000003</v>
      </c>
      <c r="J28" s="192">
        <f t="shared" si="5"/>
        <v>1.67</v>
      </c>
      <c r="K28" s="189">
        <v>0</v>
      </c>
      <c r="L28" s="189">
        <v>1.67</v>
      </c>
      <c r="M28" s="197">
        <v>3</v>
      </c>
      <c r="N28" s="146">
        <f>ROUND((F28+G28+H28)*$H$12+4,2)</f>
        <v>7.91</v>
      </c>
      <c r="O28" s="146">
        <f t="shared" si="2"/>
        <v>0.27676020000000001</v>
      </c>
      <c r="P28" s="146">
        <f t="shared" si="3"/>
        <v>0.44117220000000001</v>
      </c>
      <c r="Q28" s="198">
        <f>G28+I28+F28+J28+M28+N28+O28+P28</f>
        <v>30.230998300000007</v>
      </c>
      <c r="R28" s="185">
        <v>4</v>
      </c>
      <c r="S28" s="200">
        <v>26.230998300000007</v>
      </c>
      <c r="T28" s="150">
        <f>(5000*0.45)/5</f>
        <v>450</v>
      </c>
      <c r="U28" s="150">
        <v>2</v>
      </c>
      <c r="V28" s="150">
        <f>ROUNDUP(T28*U28,0)</f>
        <v>900</v>
      </c>
      <c r="W28" s="151">
        <f t="shared" si="11"/>
        <v>23607.898470000007</v>
      </c>
      <c r="X28" s="152">
        <f t="shared" si="6"/>
        <v>150</v>
      </c>
      <c r="Y28" s="150">
        <v>2</v>
      </c>
      <c r="Z28" s="153">
        <f t="shared" si="7"/>
        <v>300</v>
      </c>
      <c r="AA28" s="187">
        <f t="shared" si="8"/>
        <v>7869.3</v>
      </c>
    </row>
    <row r="29" spans="1:27" ht="30" x14ac:dyDescent="0.25">
      <c r="A29" s="201" t="s">
        <v>155</v>
      </c>
      <c r="B29" s="196" t="s">
        <v>156</v>
      </c>
      <c r="C29" s="189">
        <v>20</v>
      </c>
      <c r="D29" s="189">
        <v>40</v>
      </c>
      <c r="E29" s="190">
        <v>0</v>
      </c>
      <c r="F29" s="202">
        <f t="shared" si="0"/>
        <v>4.8</v>
      </c>
      <c r="G29" s="202">
        <f>D29*$C$12</f>
        <v>5.7840000000000007</v>
      </c>
      <c r="H29" s="191">
        <v>0</v>
      </c>
      <c r="I29" s="202">
        <f t="shared" si="1"/>
        <v>2.4967655999999998</v>
      </c>
      <c r="J29" s="192">
        <f t="shared" si="5"/>
        <v>3.7600000000000002</v>
      </c>
      <c r="K29" s="189">
        <v>0.6</v>
      </c>
      <c r="L29" s="189">
        <v>3.16</v>
      </c>
      <c r="M29" s="190">
        <v>8.39</v>
      </c>
      <c r="N29" s="202">
        <f>(F29+G29+H29)*$H$12</f>
        <v>3.0238488000000001</v>
      </c>
      <c r="O29" s="202">
        <f t="shared" si="2"/>
        <v>0.21379679999999998</v>
      </c>
      <c r="P29" s="202">
        <f t="shared" si="3"/>
        <v>0.34080479999999996</v>
      </c>
      <c r="Q29" s="198">
        <f t="shared" ref="Q29:Q30" si="12">F29+G29+I29+J29+M29+N29+O29+P29</f>
        <v>28.809216000000003</v>
      </c>
      <c r="R29" s="185">
        <v>4</v>
      </c>
      <c r="S29" s="200">
        <v>24.809216000000003</v>
      </c>
      <c r="T29" s="150">
        <f>500/5</f>
        <v>100</v>
      </c>
      <c r="U29" s="150">
        <v>2</v>
      </c>
      <c r="V29" s="150">
        <f>T29*U29</f>
        <v>200</v>
      </c>
      <c r="W29" s="151">
        <f t="shared" si="11"/>
        <v>4961.8432000000003</v>
      </c>
      <c r="X29" s="152">
        <f t="shared" si="6"/>
        <v>33</v>
      </c>
      <c r="Y29" s="150">
        <v>2</v>
      </c>
      <c r="Z29" s="153">
        <f t="shared" si="7"/>
        <v>66</v>
      </c>
      <c r="AA29" s="187">
        <f t="shared" si="8"/>
        <v>1637.41</v>
      </c>
    </row>
    <row r="30" spans="1:27" ht="60" x14ac:dyDescent="0.25">
      <c r="A30" s="158">
        <v>60037</v>
      </c>
      <c r="B30" s="159" t="s">
        <v>157</v>
      </c>
      <c r="C30" s="150">
        <v>30</v>
      </c>
      <c r="D30" s="150">
        <v>10</v>
      </c>
      <c r="E30" s="150">
        <v>0</v>
      </c>
      <c r="F30" s="146">
        <f t="shared" si="0"/>
        <v>7.1999999999999993</v>
      </c>
      <c r="G30" s="146">
        <f>D30*$C$12</f>
        <v>1.4460000000000002</v>
      </c>
      <c r="H30" s="150">
        <v>0</v>
      </c>
      <c r="I30" s="146">
        <f t="shared" si="1"/>
        <v>2.0395913999999999</v>
      </c>
      <c r="J30" s="150">
        <f t="shared" si="5"/>
        <v>0</v>
      </c>
      <c r="K30" s="150">
        <v>0</v>
      </c>
      <c r="L30" s="150">
        <v>0</v>
      </c>
      <c r="M30" s="150">
        <v>0</v>
      </c>
      <c r="N30" s="146">
        <f>(F30+G30+H30)*$H$12</f>
        <v>2.4701621999999999</v>
      </c>
      <c r="O30" s="146">
        <f t="shared" si="2"/>
        <v>0.17464919999999998</v>
      </c>
      <c r="P30" s="146">
        <f t="shared" si="3"/>
        <v>0.27840119999999996</v>
      </c>
      <c r="Q30" s="160">
        <f t="shared" si="12"/>
        <v>13.608803999999999</v>
      </c>
      <c r="R30" s="150">
        <v>0</v>
      </c>
      <c r="S30" s="203">
        <v>13.608803999999999</v>
      </c>
      <c r="T30" s="150">
        <f>1500/5</f>
        <v>300</v>
      </c>
      <c r="U30" s="150">
        <v>4</v>
      </c>
      <c r="V30" s="150">
        <f>T30*U30</f>
        <v>1200</v>
      </c>
      <c r="W30" s="151">
        <f t="shared" si="11"/>
        <v>16330.564799999998</v>
      </c>
      <c r="X30" s="152">
        <f t="shared" si="6"/>
        <v>100</v>
      </c>
      <c r="Y30" s="150">
        <v>4</v>
      </c>
      <c r="Z30" s="153">
        <f t="shared" si="7"/>
        <v>400</v>
      </c>
      <c r="AA30" s="187">
        <f t="shared" si="8"/>
        <v>5443.52</v>
      </c>
    </row>
    <row r="31" spans="1:27" x14ac:dyDescent="0.25">
      <c r="A31" s="161" t="str">
        <f>0&amp;7024</f>
        <v>07024</v>
      </c>
      <c r="B31" s="152" t="s">
        <v>158</v>
      </c>
      <c r="C31" s="150">
        <v>20</v>
      </c>
      <c r="D31" s="150">
        <v>15</v>
      </c>
      <c r="E31" s="150">
        <v>0</v>
      </c>
      <c r="F31" s="146">
        <f>ROUND(C31*$B$12,2)</f>
        <v>4.8</v>
      </c>
      <c r="G31" s="146">
        <f>ROUND(D31*$C$12,2)</f>
        <v>2.17</v>
      </c>
      <c r="H31" s="150">
        <v>0</v>
      </c>
      <c r="I31" s="146">
        <f>ROUND((F31+G31)*$E$12,2)</f>
        <v>1.64</v>
      </c>
      <c r="J31" s="150">
        <f t="shared" si="5"/>
        <v>0.03</v>
      </c>
      <c r="K31" s="150">
        <v>0</v>
      </c>
      <c r="L31" s="150">
        <v>0.03</v>
      </c>
      <c r="M31" s="150">
        <v>0</v>
      </c>
      <c r="N31" s="146">
        <f>ROUND((F31+G31+H31)*$H$12,2)</f>
        <v>1.99</v>
      </c>
      <c r="O31" s="146">
        <f>ROUND((F31+G31+H31)*$I$12,2)</f>
        <v>0.14000000000000001</v>
      </c>
      <c r="P31" s="146">
        <f>ROUND((F31+G31+H31)*$J$12,2)</f>
        <v>0.22</v>
      </c>
      <c r="Q31" s="160">
        <f>ROUND(F31+G31+I31+J31+M31+N31+O31+P31,2)</f>
        <v>10.99</v>
      </c>
      <c r="R31" s="150">
        <v>0</v>
      </c>
      <c r="S31" s="203">
        <v>10.99</v>
      </c>
      <c r="T31" s="150">
        <f>750/5</f>
        <v>150</v>
      </c>
      <c r="U31" s="150">
        <v>2</v>
      </c>
      <c r="V31" s="150">
        <f t="shared" ref="V31:V32" si="13">T31*U31</f>
        <v>300</v>
      </c>
      <c r="W31" s="151">
        <f t="shared" si="11"/>
        <v>3297</v>
      </c>
      <c r="X31" s="152">
        <f t="shared" si="6"/>
        <v>50</v>
      </c>
      <c r="Y31" s="150">
        <v>2</v>
      </c>
      <c r="Z31" s="153">
        <f t="shared" si="7"/>
        <v>100</v>
      </c>
      <c r="AA31" s="187">
        <f t="shared" si="8"/>
        <v>1099</v>
      </c>
    </row>
    <row r="32" spans="1:27" x14ac:dyDescent="0.25">
      <c r="A32" s="152"/>
      <c r="B32" s="152" t="s">
        <v>159</v>
      </c>
      <c r="C32" s="150"/>
      <c r="D32" s="150"/>
      <c r="E32" s="150"/>
      <c r="F32" s="150"/>
      <c r="G32" s="150"/>
      <c r="H32" s="150"/>
      <c r="I32" s="150"/>
      <c r="J32" s="150"/>
      <c r="K32" s="150"/>
      <c r="L32" s="150"/>
      <c r="M32" s="150"/>
      <c r="N32" s="150"/>
      <c r="O32" s="150"/>
      <c r="P32" s="150"/>
      <c r="Q32" s="150"/>
      <c r="R32" s="150"/>
      <c r="S32" s="150">
        <v>26.68</v>
      </c>
      <c r="T32" s="150">
        <f>5000/5</f>
        <v>1000</v>
      </c>
      <c r="U32" s="150">
        <v>2</v>
      </c>
      <c r="V32" s="150">
        <f t="shared" si="13"/>
        <v>2000</v>
      </c>
      <c r="W32" s="162">
        <f t="shared" si="11"/>
        <v>53360</v>
      </c>
      <c r="X32" s="152">
        <f t="shared" si="6"/>
        <v>333</v>
      </c>
      <c r="Y32" s="150">
        <v>2</v>
      </c>
      <c r="Z32" s="153">
        <f t="shared" si="7"/>
        <v>666</v>
      </c>
      <c r="AA32" s="187">
        <f t="shared" si="8"/>
        <v>17768.88</v>
      </c>
    </row>
    <row r="33" spans="1:27" x14ac:dyDescent="0.25">
      <c r="A33" s="111" t="s">
        <v>160</v>
      </c>
      <c r="U33" s="163"/>
      <c r="V33" s="164" t="s">
        <v>161</v>
      </c>
      <c r="W33" s="165">
        <f>SUM(W23:W32)</f>
        <v>194410.22086999999</v>
      </c>
      <c r="AA33" s="154">
        <f>SUM(AA23:AA32)</f>
        <v>64749.140000000014</v>
      </c>
    </row>
    <row r="34" spans="1:27" x14ac:dyDescent="0.25">
      <c r="A34" s="111" t="s">
        <v>162</v>
      </c>
    </row>
    <row r="36" spans="1:27" ht="15.75" x14ac:dyDescent="0.25">
      <c r="A36" s="138" t="s">
        <v>183</v>
      </c>
      <c r="P36" s="166"/>
      <c r="Q36" s="166"/>
      <c r="T36" s="400" t="s">
        <v>121</v>
      </c>
      <c r="U36" s="401"/>
      <c r="V36" s="401"/>
      <c r="W36" s="402"/>
      <c r="X36" s="400" t="s">
        <v>184</v>
      </c>
      <c r="Y36" s="401"/>
      <c r="Z36" s="401"/>
      <c r="AA36" s="402"/>
    </row>
    <row r="37" spans="1:27" x14ac:dyDescent="0.25">
      <c r="A37" s="385" t="s">
        <v>122</v>
      </c>
      <c r="B37" s="385" t="s">
        <v>123</v>
      </c>
      <c r="C37" s="381" t="s">
        <v>124</v>
      </c>
      <c r="D37" s="382"/>
      <c r="E37" s="382"/>
      <c r="F37" s="382"/>
      <c r="G37" s="382"/>
      <c r="H37" s="382"/>
      <c r="I37" s="382"/>
      <c r="J37" s="382"/>
      <c r="K37" s="382"/>
      <c r="L37" s="383"/>
      <c r="M37" s="381" t="s">
        <v>104</v>
      </c>
      <c r="N37" s="382"/>
      <c r="O37" s="382"/>
      <c r="P37" s="383"/>
      <c r="Q37" s="378" t="s">
        <v>125</v>
      </c>
      <c r="R37" s="378" t="s">
        <v>126</v>
      </c>
      <c r="S37" s="375" t="s">
        <v>127</v>
      </c>
      <c r="T37" s="388" t="s">
        <v>163</v>
      </c>
      <c r="U37" s="388" t="s">
        <v>129</v>
      </c>
      <c r="V37" s="388" t="s">
        <v>130</v>
      </c>
      <c r="W37" s="393" t="s">
        <v>131</v>
      </c>
      <c r="X37" s="388" t="s">
        <v>128</v>
      </c>
      <c r="Y37" s="388" t="s">
        <v>129</v>
      </c>
      <c r="Z37" s="388" t="s">
        <v>130</v>
      </c>
      <c r="AA37" s="393" t="s">
        <v>131</v>
      </c>
    </row>
    <row r="38" spans="1:27" ht="75" x14ac:dyDescent="0.25">
      <c r="A38" s="386"/>
      <c r="B38" s="386"/>
      <c r="C38" s="381" t="s">
        <v>132</v>
      </c>
      <c r="D38" s="382"/>
      <c r="E38" s="383"/>
      <c r="F38" s="381" t="s">
        <v>133</v>
      </c>
      <c r="G38" s="382"/>
      <c r="H38" s="383"/>
      <c r="I38" s="139" t="s">
        <v>134</v>
      </c>
      <c r="J38" s="381" t="s">
        <v>135</v>
      </c>
      <c r="K38" s="382"/>
      <c r="L38" s="383"/>
      <c r="M38" s="378" t="s">
        <v>136</v>
      </c>
      <c r="N38" s="378" t="s">
        <v>137</v>
      </c>
      <c r="O38" s="378" t="s">
        <v>138</v>
      </c>
      <c r="P38" s="378" t="s">
        <v>139</v>
      </c>
      <c r="Q38" s="379"/>
      <c r="R38" s="379"/>
      <c r="S38" s="376"/>
      <c r="T38" s="389"/>
      <c r="U38" s="389"/>
      <c r="V38" s="389"/>
      <c r="W38" s="396"/>
      <c r="X38" s="389"/>
      <c r="Y38" s="389"/>
      <c r="Z38" s="389"/>
      <c r="AA38" s="396"/>
    </row>
    <row r="39" spans="1:27" ht="60" x14ac:dyDescent="0.25">
      <c r="A39" s="387"/>
      <c r="B39" s="387"/>
      <c r="C39" s="139" t="s">
        <v>140</v>
      </c>
      <c r="D39" s="139" t="s">
        <v>141</v>
      </c>
      <c r="E39" s="139" t="s">
        <v>142</v>
      </c>
      <c r="F39" s="140" t="s">
        <v>140</v>
      </c>
      <c r="G39" s="140" t="s">
        <v>141</v>
      </c>
      <c r="H39" s="139" t="s">
        <v>143</v>
      </c>
      <c r="I39" s="140" t="s">
        <v>144</v>
      </c>
      <c r="J39" s="139" t="s">
        <v>145</v>
      </c>
      <c r="K39" s="139" t="s">
        <v>146</v>
      </c>
      <c r="L39" s="139" t="s">
        <v>147</v>
      </c>
      <c r="M39" s="380"/>
      <c r="N39" s="384"/>
      <c r="O39" s="384"/>
      <c r="P39" s="384"/>
      <c r="Q39" s="380"/>
      <c r="R39" s="380"/>
      <c r="S39" s="377"/>
      <c r="T39" s="390"/>
      <c r="U39" s="390"/>
      <c r="V39" s="390"/>
      <c r="W39" s="397"/>
      <c r="X39" s="390"/>
      <c r="Y39" s="390"/>
      <c r="Z39" s="390"/>
      <c r="AA39" s="397"/>
    </row>
    <row r="40" spans="1:27" x14ac:dyDescent="0.25">
      <c r="A40" s="141" t="str">
        <f>0&amp;6033</f>
        <v>06033</v>
      </c>
      <c r="B40" s="142" t="s">
        <v>148</v>
      </c>
      <c r="C40" s="143">
        <v>81</v>
      </c>
      <c r="D40" s="144">
        <v>50</v>
      </c>
      <c r="E40" s="145">
        <v>0</v>
      </c>
      <c r="F40" s="146">
        <f t="shared" ref="F40:F53" si="14">C40*$B$12</f>
        <v>19.439999999999998</v>
      </c>
      <c r="G40" s="146">
        <f>D40*$C$12</f>
        <v>7.23</v>
      </c>
      <c r="H40" s="147">
        <v>0</v>
      </c>
      <c r="I40" s="146">
        <f t="shared" ref="I40:I49" si="15">(F40+G40)*$E$12</f>
        <v>6.2914529999999997</v>
      </c>
      <c r="J40" s="143">
        <v>0.86</v>
      </c>
      <c r="K40" s="144">
        <v>0</v>
      </c>
      <c r="L40" s="144">
        <v>0.86</v>
      </c>
      <c r="M40" s="145">
        <v>8.49</v>
      </c>
      <c r="N40" s="146">
        <f>(F40+G40+H40)*$H$12+4</f>
        <v>11.619619</v>
      </c>
      <c r="O40" s="146">
        <f t="shared" ref="O40:O49" si="16">(F40+G40+H40)*$I$12</f>
        <v>0.53873399999999994</v>
      </c>
      <c r="P40" s="146">
        <f t="shared" ref="P40:P49" si="17">(F40+G40+H40)*$J$12</f>
        <v>0.85877399999999993</v>
      </c>
      <c r="Q40" s="149">
        <f>F40+G40+H40+I40+J40+M40+N40+O40+P40</f>
        <v>55.328579999999995</v>
      </c>
      <c r="R40" s="167">
        <v>4</v>
      </c>
      <c r="S40" s="168">
        <v>51.33</v>
      </c>
      <c r="T40" s="150">
        <f>2500/5/2</f>
        <v>250</v>
      </c>
      <c r="U40" s="169">
        <v>1.5</v>
      </c>
      <c r="V40" s="150">
        <f t="shared" ref="V40:V43" si="18">U40*T40</f>
        <v>375</v>
      </c>
      <c r="W40" s="162">
        <f t="shared" ref="W40:W43" si="19">S40*V40</f>
        <v>19248.75</v>
      </c>
      <c r="X40" s="150">
        <f>ROUND(T40/12*X18,0)</f>
        <v>0</v>
      </c>
      <c r="Y40" s="169">
        <v>1.5</v>
      </c>
      <c r="Z40" s="150">
        <f>X40*Y40</f>
        <v>0</v>
      </c>
      <c r="AA40" s="154">
        <f>ROUND(S40*Z40,2)</f>
        <v>0</v>
      </c>
    </row>
    <row r="41" spans="1:27" x14ac:dyDescent="0.25">
      <c r="A41" s="155" t="str">
        <f>0&amp;6015</f>
        <v>06015</v>
      </c>
      <c r="B41" s="156" t="s">
        <v>149</v>
      </c>
      <c r="C41" s="144">
        <v>71</v>
      </c>
      <c r="D41" s="144">
        <v>30</v>
      </c>
      <c r="E41" s="145">
        <v>0</v>
      </c>
      <c r="F41" s="146">
        <f t="shared" si="14"/>
        <v>17.04</v>
      </c>
      <c r="G41" s="146">
        <f>D41*$C$12</f>
        <v>4.3380000000000001</v>
      </c>
      <c r="H41" s="147">
        <v>0</v>
      </c>
      <c r="I41" s="146">
        <f t="shared" si="15"/>
        <v>5.0430701999999998</v>
      </c>
      <c r="J41" s="143">
        <f t="shared" ref="J41:J55" si="20">K41+L41</f>
        <v>1.1299999999999999</v>
      </c>
      <c r="K41" s="144">
        <v>0</v>
      </c>
      <c r="L41" s="144">
        <v>1.1299999999999999</v>
      </c>
      <c r="M41" s="145">
        <v>2.15</v>
      </c>
      <c r="N41" s="146">
        <f>(F41+G41+H41)*$H$12+4</f>
        <v>10.1076946</v>
      </c>
      <c r="O41" s="146">
        <f t="shared" si="16"/>
        <v>0.43183559999999999</v>
      </c>
      <c r="P41" s="146">
        <f t="shared" si="17"/>
        <v>0.68837159999999997</v>
      </c>
      <c r="Q41" s="149">
        <f>F41+G41+I41+J41+M41+N41+O41+P41</f>
        <v>40.928972000000002</v>
      </c>
      <c r="R41" s="170">
        <v>4</v>
      </c>
      <c r="S41" s="168">
        <v>36.928972000000002</v>
      </c>
      <c r="T41" s="169">
        <f>500/5/2</f>
        <v>50</v>
      </c>
      <c r="U41" s="169">
        <v>1</v>
      </c>
      <c r="V41" s="150">
        <f t="shared" si="18"/>
        <v>50</v>
      </c>
      <c r="W41" s="162">
        <f t="shared" si="19"/>
        <v>1846.4486000000002</v>
      </c>
      <c r="X41" s="150">
        <f>ROUND(T41/12*X18,0)</f>
        <v>0</v>
      </c>
      <c r="Y41" s="169">
        <v>1</v>
      </c>
      <c r="Z41" s="150">
        <f t="shared" ref="Z41:Z56" si="21">X41*Y41</f>
        <v>0</v>
      </c>
      <c r="AA41" s="154">
        <f t="shared" ref="AA41:AA56" si="22">ROUND(S41*Z41,2)</f>
        <v>0</v>
      </c>
    </row>
    <row r="42" spans="1:27" ht="30" x14ac:dyDescent="0.25">
      <c r="A42" s="178" t="s">
        <v>150</v>
      </c>
      <c r="B42" s="179" t="s">
        <v>151</v>
      </c>
      <c r="C42" s="180">
        <v>70</v>
      </c>
      <c r="D42" s="180">
        <v>0</v>
      </c>
      <c r="E42" s="181">
        <v>0</v>
      </c>
      <c r="F42" s="146">
        <f t="shared" si="14"/>
        <v>16.8</v>
      </c>
      <c r="G42" s="146">
        <f>D42*$C$12</f>
        <v>0</v>
      </c>
      <c r="H42" s="182">
        <v>0</v>
      </c>
      <c r="I42" s="146">
        <f t="shared" si="15"/>
        <v>3.96312</v>
      </c>
      <c r="J42" s="183">
        <f t="shared" si="20"/>
        <v>3.07</v>
      </c>
      <c r="K42" s="180">
        <v>0.05</v>
      </c>
      <c r="L42" s="180">
        <v>3.02</v>
      </c>
      <c r="M42" s="181">
        <v>4.1399999999999997</v>
      </c>
      <c r="N42" s="146">
        <f>(F42+G42+H42)*$H$12</f>
        <v>4.79976</v>
      </c>
      <c r="O42" s="146">
        <f t="shared" si="16"/>
        <v>0.33935999999999999</v>
      </c>
      <c r="P42" s="146">
        <f t="shared" si="17"/>
        <v>0.54096</v>
      </c>
      <c r="Q42" s="206">
        <f>F42+I42+J42+M42+N42+O42+P42</f>
        <v>33.653199999999998</v>
      </c>
      <c r="R42" s="197">
        <v>4</v>
      </c>
      <c r="S42" s="171">
        <v>29.653199999999998</v>
      </c>
      <c r="T42" s="150">
        <f>500/5/2</f>
        <v>50</v>
      </c>
      <c r="U42" s="150">
        <v>1</v>
      </c>
      <c r="V42" s="150">
        <f>U42*T42</f>
        <v>50</v>
      </c>
      <c r="W42" s="162">
        <f>S42*V42</f>
        <v>1482.6599999999999</v>
      </c>
      <c r="X42" s="150">
        <f>ROUND(T42/12*X18,0)</f>
        <v>0</v>
      </c>
      <c r="Y42" s="150">
        <v>1</v>
      </c>
      <c r="Z42" s="150">
        <f t="shared" si="21"/>
        <v>0</v>
      </c>
      <c r="AA42" s="187">
        <f t="shared" si="22"/>
        <v>0</v>
      </c>
    </row>
    <row r="43" spans="1:27" ht="30" x14ac:dyDescent="0.25">
      <c r="A43" s="178" t="str">
        <f>0&amp;6003</f>
        <v>06003</v>
      </c>
      <c r="B43" s="188" t="s">
        <v>152</v>
      </c>
      <c r="C43" s="189">
        <v>0</v>
      </c>
      <c r="D43" s="189">
        <v>6</v>
      </c>
      <c r="E43" s="190">
        <v>0</v>
      </c>
      <c r="F43" s="146">
        <f t="shared" si="14"/>
        <v>0</v>
      </c>
      <c r="G43" s="146">
        <f>ROUNDUP(D43*$C$12,2)</f>
        <v>0.87</v>
      </c>
      <c r="H43" s="191">
        <v>0</v>
      </c>
      <c r="I43" s="146">
        <f t="shared" si="15"/>
        <v>0.205233</v>
      </c>
      <c r="J43" s="192">
        <f t="shared" si="20"/>
        <v>0.09</v>
      </c>
      <c r="K43" s="189">
        <v>0</v>
      </c>
      <c r="L43" s="189">
        <v>0.09</v>
      </c>
      <c r="M43" s="190">
        <v>0.36</v>
      </c>
      <c r="N43" s="146">
        <f>ROUND((F43+G43+H43)*$H$12+2,2)</f>
        <v>2.25</v>
      </c>
      <c r="O43" s="146">
        <f t="shared" si="16"/>
        <v>1.7573999999999999E-2</v>
      </c>
      <c r="P43" s="146">
        <f t="shared" si="17"/>
        <v>2.8014000000000001E-2</v>
      </c>
      <c r="Q43" s="193">
        <f>ROUNDUP(G43+I43+J43+M43+N43+O43+P43,2)</f>
        <v>3.8299999999999996</v>
      </c>
      <c r="R43" s="197">
        <v>2</v>
      </c>
      <c r="S43" s="150">
        <v>1.8299999999999996</v>
      </c>
      <c r="T43" s="150">
        <f>5000/5/2</f>
        <v>500</v>
      </c>
      <c r="U43" s="150">
        <v>2</v>
      </c>
      <c r="V43" s="150">
        <f t="shared" si="18"/>
        <v>1000</v>
      </c>
      <c r="W43" s="162">
        <f t="shared" si="19"/>
        <v>1829.9999999999995</v>
      </c>
      <c r="X43" s="150">
        <f>ROUND(T43/12*X18,0)</f>
        <v>0</v>
      </c>
      <c r="Y43" s="150">
        <v>2</v>
      </c>
      <c r="Z43" s="150">
        <f t="shared" si="21"/>
        <v>0</v>
      </c>
      <c r="AA43" s="187">
        <f t="shared" si="22"/>
        <v>0</v>
      </c>
    </row>
    <row r="44" spans="1:27" ht="30" x14ac:dyDescent="0.25">
      <c r="A44" s="195" t="str">
        <f>0&amp;6004</f>
        <v>06004</v>
      </c>
      <c r="B44" s="196" t="s">
        <v>153</v>
      </c>
      <c r="C44" s="189">
        <v>15</v>
      </c>
      <c r="D44" s="189">
        <v>0</v>
      </c>
      <c r="E44" s="190">
        <v>0</v>
      </c>
      <c r="F44" s="146">
        <f t="shared" si="14"/>
        <v>3.5999999999999996</v>
      </c>
      <c r="G44" s="146">
        <f t="shared" ref="G44:G53" si="23">D44*$C$12</f>
        <v>0</v>
      </c>
      <c r="H44" s="191">
        <v>0</v>
      </c>
      <c r="I44" s="146">
        <f t="shared" si="15"/>
        <v>0.84923999999999988</v>
      </c>
      <c r="J44" s="192">
        <f t="shared" si="20"/>
        <v>0.39</v>
      </c>
      <c r="K44" s="189">
        <v>0</v>
      </c>
      <c r="L44" s="189">
        <v>0.39</v>
      </c>
      <c r="M44" s="197">
        <v>0</v>
      </c>
      <c r="N44" s="146">
        <f>(F44+G44+H44)*$H$12</f>
        <v>1.0285199999999999</v>
      </c>
      <c r="O44" s="146">
        <f t="shared" si="16"/>
        <v>7.2719999999999993E-2</v>
      </c>
      <c r="P44" s="146">
        <f t="shared" si="17"/>
        <v>0.11591999999999998</v>
      </c>
      <c r="Q44" s="193">
        <f>F44+I44+J44+M44+N44+O44+P44</f>
        <v>6.0563999999999991</v>
      </c>
      <c r="R44" s="190">
        <v>0</v>
      </c>
      <c r="S44" s="171">
        <v>6.0563999999999991</v>
      </c>
      <c r="T44" s="150">
        <f>2500/5/2</f>
        <v>250</v>
      </c>
      <c r="U44" s="150">
        <v>2</v>
      </c>
      <c r="V44" s="150">
        <f>U44*T44</f>
        <v>500</v>
      </c>
      <c r="W44" s="162">
        <f t="shared" ref="W44:W56" si="24">V44*S44</f>
        <v>3028.1999999999994</v>
      </c>
      <c r="X44" s="150">
        <f>ROUND(T44/12*X18,0)</f>
        <v>0</v>
      </c>
      <c r="Y44" s="150">
        <v>2</v>
      </c>
      <c r="Z44" s="150">
        <f t="shared" si="21"/>
        <v>0</v>
      </c>
      <c r="AA44" s="187">
        <f t="shared" si="22"/>
        <v>0</v>
      </c>
    </row>
    <row r="45" spans="1:27" x14ac:dyDescent="0.25">
      <c r="A45" s="141" t="str">
        <f>0&amp;6021</f>
        <v>06021</v>
      </c>
      <c r="B45" s="156" t="s">
        <v>154</v>
      </c>
      <c r="C45" s="189">
        <v>36</v>
      </c>
      <c r="D45" s="189">
        <v>35</v>
      </c>
      <c r="E45" s="190">
        <v>0</v>
      </c>
      <c r="F45" s="146">
        <f t="shared" si="14"/>
        <v>8.64</v>
      </c>
      <c r="G45" s="146">
        <f t="shared" si="23"/>
        <v>5.0609999999999999</v>
      </c>
      <c r="H45" s="191">
        <v>0</v>
      </c>
      <c r="I45" s="146">
        <f t="shared" si="15"/>
        <v>3.2320659000000003</v>
      </c>
      <c r="J45" s="192">
        <f t="shared" si="20"/>
        <v>1.67</v>
      </c>
      <c r="K45" s="189">
        <v>0</v>
      </c>
      <c r="L45" s="189">
        <v>1.67</v>
      </c>
      <c r="M45" s="197">
        <v>3</v>
      </c>
      <c r="N45" s="146">
        <f>ROUND((F45+G45+H45)*$H$12+4,2)</f>
        <v>7.91</v>
      </c>
      <c r="O45" s="146">
        <f t="shared" si="16"/>
        <v>0.27676020000000001</v>
      </c>
      <c r="P45" s="146">
        <f t="shared" si="17"/>
        <v>0.44117220000000001</v>
      </c>
      <c r="Q45" s="193">
        <f>G45+I45+F45+J45+M45+N45+O45+P45</f>
        <v>30.230998300000007</v>
      </c>
      <c r="R45" s="197">
        <v>4</v>
      </c>
      <c r="S45" s="171">
        <v>26.230998300000007</v>
      </c>
      <c r="T45" s="150">
        <f>250/5/2</f>
        <v>25</v>
      </c>
      <c r="U45" s="150">
        <v>1</v>
      </c>
      <c r="V45" s="150">
        <f>U45*T45</f>
        <v>25</v>
      </c>
      <c r="W45" s="162">
        <f t="shared" si="24"/>
        <v>655.77495750000014</v>
      </c>
      <c r="X45" s="150">
        <f>ROUND(T45/12*X18,0)</f>
        <v>0</v>
      </c>
      <c r="Y45" s="150">
        <v>1</v>
      </c>
      <c r="Z45" s="150">
        <f t="shared" si="21"/>
        <v>0</v>
      </c>
      <c r="AA45" s="187">
        <f t="shared" si="22"/>
        <v>0</v>
      </c>
    </row>
    <row r="46" spans="1:27" ht="30" x14ac:dyDescent="0.25">
      <c r="A46" s="201" t="s">
        <v>155</v>
      </c>
      <c r="B46" s="196" t="s">
        <v>156</v>
      </c>
      <c r="C46" s="189">
        <v>20</v>
      </c>
      <c r="D46" s="189">
        <v>40</v>
      </c>
      <c r="E46" s="190">
        <v>0</v>
      </c>
      <c r="F46" s="202">
        <f t="shared" si="14"/>
        <v>4.8</v>
      </c>
      <c r="G46" s="202">
        <f t="shared" si="23"/>
        <v>5.7840000000000007</v>
      </c>
      <c r="H46" s="191">
        <v>0</v>
      </c>
      <c r="I46" s="202">
        <f t="shared" si="15"/>
        <v>2.4967655999999998</v>
      </c>
      <c r="J46" s="192">
        <f t="shared" si="20"/>
        <v>3.7600000000000002</v>
      </c>
      <c r="K46" s="189">
        <v>0.6</v>
      </c>
      <c r="L46" s="189">
        <v>3.16</v>
      </c>
      <c r="M46" s="190">
        <v>8.39</v>
      </c>
      <c r="N46" s="202">
        <f>(F46+G46+H46)*$H$12</f>
        <v>3.0238488000000001</v>
      </c>
      <c r="O46" s="202">
        <f t="shared" si="16"/>
        <v>0.21379679999999998</v>
      </c>
      <c r="P46" s="202">
        <f t="shared" si="17"/>
        <v>0.34080479999999996</v>
      </c>
      <c r="Q46" s="193">
        <f t="shared" ref="Q46:Q55" si="25">F46+G46+I46+J46+M46+N46+O46+P46</f>
        <v>28.809216000000003</v>
      </c>
      <c r="R46" s="197">
        <v>4</v>
      </c>
      <c r="S46" s="171">
        <v>24.809216000000003</v>
      </c>
      <c r="T46" s="150">
        <f>ROUNDUP(375/5/2,0)</f>
        <v>38</v>
      </c>
      <c r="U46" s="150">
        <v>1</v>
      </c>
      <c r="V46" s="150">
        <f t="shared" ref="V46:V55" si="26">U46*T46</f>
        <v>38</v>
      </c>
      <c r="W46" s="162">
        <f t="shared" si="24"/>
        <v>942.75020800000016</v>
      </c>
      <c r="X46" s="150">
        <f>ROUND(T46/12*X18,0)</f>
        <v>0</v>
      </c>
      <c r="Y46" s="150">
        <v>1</v>
      </c>
      <c r="Z46" s="150">
        <f t="shared" si="21"/>
        <v>0</v>
      </c>
      <c r="AA46" s="187">
        <f t="shared" si="22"/>
        <v>0</v>
      </c>
    </row>
    <row r="47" spans="1:27" ht="60" x14ac:dyDescent="0.25">
      <c r="A47" s="158">
        <v>60037</v>
      </c>
      <c r="B47" s="159" t="s">
        <v>157</v>
      </c>
      <c r="C47" s="150">
        <v>30</v>
      </c>
      <c r="D47" s="150">
        <v>10</v>
      </c>
      <c r="E47" s="150">
        <v>0</v>
      </c>
      <c r="F47" s="146">
        <f t="shared" si="14"/>
        <v>7.1999999999999993</v>
      </c>
      <c r="G47" s="146">
        <f t="shared" si="23"/>
        <v>1.4460000000000002</v>
      </c>
      <c r="H47" s="150">
        <v>0</v>
      </c>
      <c r="I47" s="146">
        <f t="shared" si="15"/>
        <v>2.0395913999999999</v>
      </c>
      <c r="J47" s="150">
        <f t="shared" si="20"/>
        <v>0</v>
      </c>
      <c r="K47" s="150">
        <v>0</v>
      </c>
      <c r="L47" s="150">
        <v>0</v>
      </c>
      <c r="M47" s="150">
        <v>0</v>
      </c>
      <c r="N47" s="146">
        <f>(F47+G47+H47)*$H$12</f>
        <v>2.4701621999999999</v>
      </c>
      <c r="O47" s="146">
        <f t="shared" si="16"/>
        <v>0.17464919999999998</v>
      </c>
      <c r="P47" s="146">
        <f t="shared" si="17"/>
        <v>0.27840119999999996</v>
      </c>
      <c r="Q47" s="171">
        <f t="shared" si="25"/>
        <v>13.608803999999999</v>
      </c>
      <c r="R47" s="207">
        <v>0</v>
      </c>
      <c r="S47" s="171">
        <v>13.608803999999999</v>
      </c>
      <c r="T47" s="150">
        <f>ROUNDUP(1250/5/2,0)</f>
        <v>125</v>
      </c>
      <c r="U47" s="150">
        <v>1</v>
      </c>
      <c r="V47" s="150">
        <f t="shared" si="26"/>
        <v>125</v>
      </c>
      <c r="W47" s="162">
        <f t="shared" si="24"/>
        <v>1701.1005</v>
      </c>
      <c r="X47" s="150">
        <f>ROUND(T47/12*X18,0)</f>
        <v>0</v>
      </c>
      <c r="Y47" s="150">
        <v>1</v>
      </c>
      <c r="Z47" s="150">
        <f t="shared" si="21"/>
        <v>0</v>
      </c>
      <c r="AA47" s="187">
        <f t="shared" si="22"/>
        <v>0</v>
      </c>
    </row>
    <row r="48" spans="1:27" ht="30" x14ac:dyDescent="0.25">
      <c r="A48" s="161" t="str">
        <f>0&amp;6068</f>
        <v>06068</v>
      </c>
      <c r="B48" s="159" t="s">
        <v>164</v>
      </c>
      <c r="C48" s="150">
        <v>40</v>
      </c>
      <c r="D48" s="150">
        <v>40</v>
      </c>
      <c r="E48" s="150">
        <v>0</v>
      </c>
      <c r="F48" s="146">
        <f t="shared" si="14"/>
        <v>9.6</v>
      </c>
      <c r="G48" s="146">
        <f t="shared" si="23"/>
        <v>5.7840000000000007</v>
      </c>
      <c r="H48" s="150">
        <v>0</v>
      </c>
      <c r="I48" s="146">
        <f t="shared" si="15"/>
        <v>3.6290856000000002</v>
      </c>
      <c r="J48" s="150">
        <f t="shared" si="20"/>
        <v>1.4</v>
      </c>
      <c r="K48" s="150">
        <v>0</v>
      </c>
      <c r="L48" s="150">
        <v>1.4</v>
      </c>
      <c r="M48" s="150">
        <v>1.42</v>
      </c>
      <c r="N48" s="146">
        <f>(F48+G48+H48)*$H$12</f>
        <v>4.3952087999999998</v>
      </c>
      <c r="O48" s="146">
        <f t="shared" si="16"/>
        <v>0.3107568</v>
      </c>
      <c r="P48" s="146">
        <f t="shared" si="17"/>
        <v>0.49536479999999999</v>
      </c>
      <c r="Q48" s="171">
        <f t="shared" si="25"/>
        <v>27.034415999999997</v>
      </c>
      <c r="R48" s="207">
        <v>0</v>
      </c>
      <c r="S48" s="171">
        <v>27.034415999999997</v>
      </c>
      <c r="T48" s="150">
        <f>500/5/2</f>
        <v>50</v>
      </c>
      <c r="U48" s="150">
        <v>1</v>
      </c>
      <c r="V48" s="150">
        <f t="shared" si="26"/>
        <v>50</v>
      </c>
      <c r="W48" s="162">
        <f t="shared" si="24"/>
        <v>1351.7207999999998</v>
      </c>
      <c r="X48" s="150">
        <f>ROUND(T48/12*X18,0)</f>
        <v>0</v>
      </c>
      <c r="Y48" s="150">
        <v>1</v>
      </c>
      <c r="Z48" s="150">
        <f t="shared" si="21"/>
        <v>0</v>
      </c>
      <c r="AA48" s="187">
        <f t="shared" si="22"/>
        <v>0</v>
      </c>
    </row>
    <row r="49" spans="1:28" ht="30" x14ac:dyDescent="0.25">
      <c r="A49" s="208" t="str">
        <f>0&amp;6132</f>
        <v>06132</v>
      </c>
      <c r="B49" s="209" t="s">
        <v>165</v>
      </c>
      <c r="C49" s="210">
        <v>50</v>
      </c>
      <c r="D49" s="210">
        <v>30</v>
      </c>
      <c r="E49" s="211">
        <v>0</v>
      </c>
      <c r="F49" s="212">
        <f t="shared" si="14"/>
        <v>12</v>
      </c>
      <c r="G49" s="212">
        <f t="shared" si="23"/>
        <v>4.3380000000000001</v>
      </c>
      <c r="H49" s="213">
        <v>0</v>
      </c>
      <c r="I49" s="212">
        <f t="shared" si="15"/>
        <v>3.8541342000000003</v>
      </c>
      <c r="J49" s="214">
        <f t="shared" si="20"/>
        <v>0.56999999999999995</v>
      </c>
      <c r="K49" s="210">
        <v>0</v>
      </c>
      <c r="L49" s="210">
        <v>0.56999999999999995</v>
      </c>
      <c r="M49" s="211">
        <v>5.08</v>
      </c>
      <c r="N49" s="212">
        <f>(F49+G49+H49)*$H$12</f>
        <v>4.6677666000000002</v>
      </c>
      <c r="O49" s="212">
        <f t="shared" si="16"/>
        <v>0.33002760000000003</v>
      </c>
      <c r="P49" s="212">
        <f t="shared" si="17"/>
        <v>0.52608359999999998</v>
      </c>
      <c r="Q49" s="215">
        <f t="shared" si="25"/>
        <v>31.366012000000005</v>
      </c>
      <c r="R49" s="211">
        <v>0</v>
      </c>
      <c r="S49" s="171">
        <v>31.366012000000005</v>
      </c>
      <c r="T49" s="150">
        <f>1000/5/2</f>
        <v>100</v>
      </c>
      <c r="U49" s="150">
        <v>3</v>
      </c>
      <c r="V49" s="150">
        <f t="shared" si="26"/>
        <v>300</v>
      </c>
      <c r="W49" s="162">
        <f t="shared" si="24"/>
        <v>9409.8036000000011</v>
      </c>
      <c r="X49" s="150">
        <f>ROUND(T49/12*X18,0)</f>
        <v>0</v>
      </c>
      <c r="Y49" s="150">
        <v>3</v>
      </c>
      <c r="Z49" s="150">
        <f t="shared" si="21"/>
        <v>0</v>
      </c>
      <c r="AA49" s="187">
        <f t="shared" si="22"/>
        <v>0</v>
      </c>
    </row>
    <row r="50" spans="1:28" ht="30" x14ac:dyDescent="0.25">
      <c r="A50" s="216" t="str">
        <f>0&amp;6133</f>
        <v>06133</v>
      </c>
      <c r="B50" s="209" t="s">
        <v>166</v>
      </c>
      <c r="C50" s="210">
        <v>80</v>
      </c>
      <c r="D50" s="210">
        <v>40</v>
      </c>
      <c r="E50" s="211">
        <v>0</v>
      </c>
      <c r="F50" s="146">
        <f t="shared" si="14"/>
        <v>19.2</v>
      </c>
      <c r="G50" s="146">
        <f t="shared" si="23"/>
        <v>5.7840000000000007</v>
      </c>
      <c r="H50" s="213">
        <v>0</v>
      </c>
      <c r="I50" s="146">
        <f>ROUND((F50+G50)*$E$12,2)</f>
        <v>5.89</v>
      </c>
      <c r="J50" s="214">
        <f t="shared" si="20"/>
        <v>0.35</v>
      </c>
      <c r="K50" s="210">
        <v>0</v>
      </c>
      <c r="L50" s="210">
        <v>0.35</v>
      </c>
      <c r="M50" s="211">
        <v>7.06</v>
      </c>
      <c r="N50" s="146">
        <f>ROUND((F50+G50+H50)*$H$12,2)</f>
        <v>7.14</v>
      </c>
      <c r="O50" s="146">
        <f>ROUND((F50+G50+H50)*$I$12,2)</f>
        <v>0.5</v>
      </c>
      <c r="P50" s="146">
        <f>ROUND((F50+G50+H50)*$J$12,2)</f>
        <v>0.8</v>
      </c>
      <c r="Q50" s="215">
        <f t="shared" si="25"/>
        <v>46.724000000000004</v>
      </c>
      <c r="R50" s="211">
        <v>0</v>
      </c>
      <c r="S50" s="171">
        <v>46.724000000000004</v>
      </c>
      <c r="T50" s="150">
        <f>1000/5/2</f>
        <v>100</v>
      </c>
      <c r="U50" s="150">
        <v>3</v>
      </c>
      <c r="V50" s="150">
        <f t="shared" si="26"/>
        <v>300</v>
      </c>
      <c r="W50" s="162">
        <f t="shared" si="24"/>
        <v>14017.2</v>
      </c>
      <c r="X50" s="150">
        <f>ROUND(T50/12*X18,0)</f>
        <v>0</v>
      </c>
      <c r="Y50" s="150">
        <v>3</v>
      </c>
      <c r="Z50" s="150">
        <f t="shared" si="21"/>
        <v>0</v>
      </c>
      <c r="AA50" s="187">
        <f t="shared" si="22"/>
        <v>0</v>
      </c>
    </row>
    <row r="51" spans="1:28" ht="30" x14ac:dyDescent="0.25">
      <c r="A51" s="217" t="str">
        <f>0&amp;6134</f>
        <v>06134</v>
      </c>
      <c r="B51" s="218" t="s">
        <v>167</v>
      </c>
      <c r="C51" s="180">
        <v>80</v>
      </c>
      <c r="D51" s="180">
        <v>40</v>
      </c>
      <c r="E51" s="181">
        <v>0</v>
      </c>
      <c r="F51" s="146">
        <f t="shared" si="14"/>
        <v>19.2</v>
      </c>
      <c r="G51" s="146">
        <f t="shared" si="23"/>
        <v>5.7840000000000007</v>
      </c>
      <c r="H51" s="182">
        <v>0</v>
      </c>
      <c r="I51" s="146">
        <f>ROUND((F51+G51)*$E$12,2)</f>
        <v>5.89</v>
      </c>
      <c r="J51" s="183">
        <f t="shared" si="20"/>
        <v>0.35</v>
      </c>
      <c r="K51" s="180">
        <v>0</v>
      </c>
      <c r="L51" s="180">
        <v>0.35</v>
      </c>
      <c r="M51" s="181">
        <v>7.06</v>
      </c>
      <c r="N51" s="146">
        <f>ROUND((F51+G51+H51)*$H$12,2)</f>
        <v>7.14</v>
      </c>
      <c r="O51" s="146">
        <f>ROUND((F51+G51+H51)*$I$12,2)</f>
        <v>0.5</v>
      </c>
      <c r="P51" s="146">
        <f>ROUND((F51+G51+H51)*$J$12,2)</f>
        <v>0.8</v>
      </c>
      <c r="Q51" s="206">
        <f t="shared" si="25"/>
        <v>46.724000000000004</v>
      </c>
      <c r="R51" s="181">
        <v>0</v>
      </c>
      <c r="S51" s="171">
        <v>46.724000000000004</v>
      </c>
      <c r="T51" s="150">
        <f>250/5/2</f>
        <v>25</v>
      </c>
      <c r="U51" s="150">
        <v>3</v>
      </c>
      <c r="V51" s="150">
        <f t="shared" si="26"/>
        <v>75</v>
      </c>
      <c r="W51" s="162">
        <f t="shared" si="24"/>
        <v>3504.3</v>
      </c>
      <c r="X51" s="150">
        <f>ROUND(T51/12*X18,0)</f>
        <v>0</v>
      </c>
      <c r="Y51" s="150">
        <v>3</v>
      </c>
      <c r="Z51" s="150">
        <f t="shared" si="21"/>
        <v>0</v>
      </c>
      <c r="AA51" s="187">
        <f t="shared" si="22"/>
        <v>0</v>
      </c>
    </row>
    <row r="52" spans="1:28" ht="30" x14ac:dyDescent="0.25">
      <c r="A52" s="217" t="str">
        <f>0&amp;6135</f>
        <v>06135</v>
      </c>
      <c r="B52" s="218" t="s">
        <v>168</v>
      </c>
      <c r="C52" s="180">
        <v>110</v>
      </c>
      <c r="D52" s="180">
        <v>30</v>
      </c>
      <c r="E52" s="181">
        <v>0</v>
      </c>
      <c r="F52" s="146">
        <f t="shared" si="14"/>
        <v>26.4</v>
      </c>
      <c r="G52" s="146">
        <f t="shared" si="23"/>
        <v>4.3380000000000001</v>
      </c>
      <c r="H52" s="182">
        <v>0</v>
      </c>
      <c r="I52" s="146">
        <f>(F52+G52)*$E$12</f>
        <v>7.2510941999999998</v>
      </c>
      <c r="J52" s="183">
        <f t="shared" si="20"/>
        <v>0.6</v>
      </c>
      <c r="K52" s="180">
        <v>0</v>
      </c>
      <c r="L52" s="180">
        <v>0.6</v>
      </c>
      <c r="M52" s="181">
        <v>9.19</v>
      </c>
      <c r="N52" s="146">
        <f>(F52+G52+H52)*$H$12</f>
        <v>8.7818465999999997</v>
      </c>
      <c r="O52" s="146">
        <f>(F52+G52+H52)*$I$12</f>
        <v>0.6209076</v>
      </c>
      <c r="P52" s="146">
        <f>(F52+G52+H52)*$J$12</f>
        <v>0.98976359999999997</v>
      </c>
      <c r="Q52" s="206">
        <f t="shared" si="25"/>
        <v>58.171612000000003</v>
      </c>
      <c r="R52" s="181">
        <v>0</v>
      </c>
      <c r="S52" s="171">
        <v>58.171612000000003</v>
      </c>
      <c r="T52" s="150">
        <f>250/5/2</f>
        <v>25</v>
      </c>
      <c r="U52" s="150">
        <v>3</v>
      </c>
      <c r="V52" s="150">
        <f t="shared" si="26"/>
        <v>75</v>
      </c>
      <c r="W52" s="162">
        <f t="shared" si="24"/>
        <v>4362.8708999999999</v>
      </c>
      <c r="X52" s="150">
        <f>ROUND(T52/12*X18,0)</f>
        <v>0</v>
      </c>
      <c r="Y52" s="150">
        <v>3</v>
      </c>
      <c r="Z52" s="150">
        <f t="shared" si="21"/>
        <v>0</v>
      </c>
      <c r="AA52" s="187">
        <f t="shared" si="22"/>
        <v>0</v>
      </c>
    </row>
    <row r="53" spans="1:28" ht="30" x14ac:dyDescent="0.25">
      <c r="A53" s="219" t="s">
        <v>169</v>
      </c>
      <c r="B53" s="220" t="s">
        <v>170</v>
      </c>
      <c r="C53" s="180">
        <v>30</v>
      </c>
      <c r="D53" s="180">
        <v>0</v>
      </c>
      <c r="E53" s="181">
        <v>0</v>
      </c>
      <c r="F53" s="146">
        <f t="shared" si="14"/>
        <v>7.1999999999999993</v>
      </c>
      <c r="G53" s="146">
        <f t="shared" si="23"/>
        <v>0</v>
      </c>
      <c r="H53" s="182">
        <v>0</v>
      </c>
      <c r="I53" s="146">
        <f>(F53+G53)*$E$12</f>
        <v>1.6984799999999998</v>
      </c>
      <c r="J53" s="183">
        <f t="shared" si="20"/>
        <v>0</v>
      </c>
      <c r="K53" s="180">
        <v>0</v>
      </c>
      <c r="L53" s="180">
        <v>0</v>
      </c>
      <c r="M53" s="181">
        <v>0.11</v>
      </c>
      <c r="N53" s="146">
        <f>(F53+G53+H53)*$H$12</f>
        <v>2.0570399999999998</v>
      </c>
      <c r="O53" s="146">
        <f>(F53+G53+H53)*$I$12</f>
        <v>0.14543999999999999</v>
      </c>
      <c r="P53" s="146">
        <f>(F53+G53+H53)*$J$12</f>
        <v>0.23183999999999996</v>
      </c>
      <c r="Q53" s="206">
        <f t="shared" si="25"/>
        <v>11.4428</v>
      </c>
      <c r="R53" s="181">
        <v>0</v>
      </c>
      <c r="S53" s="171">
        <v>11.4428</v>
      </c>
      <c r="T53" s="150">
        <f>700/5/2</f>
        <v>70</v>
      </c>
      <c r="U53" s="150">
        <v>3</v>
      </c>
      <c r="V53" s="150">
        <f t="shared" si="26"/>
        <v>210</v>
      </c>
      <c r="W53" s="162">
        <f t="shared" si="24"/>
        <v>2402.9879999999998</v>
      </c>
      <c r="X53" s="150">
        <f>ROUND(T53/12*X18,0)</f>
        <v>0</v>
      </c>
      <c r="Y53" s="150">
        <v>3</v>
      </c>
      <c r="Z53" s="150">
        <f t="shared" si="21"/>
        <v>0</v>
      </c>
      <c r="AA53" s="187">
        <f t="shared" si="22"/>
        <v>0</v>
      </c>
    </row>
    <row r="54" spans="1:28" x14ac:dyDescent="0.25">
      <c r="A54" s="221" t="str">
        <f>0&amp;7024</f>
        <v>07024</v>
      </c>
      <c r="B54" s="156" t="s">
        <v>158</v>
      </c>
      <c r="C54" s="189">
        <v>20</v>
      </c>
      <c r="D54" s="189">
        <v>15</v>
      </c>
      <c r="E54" s="190">
        <v>0</v>
      </c>
      <c r="F54" s="146">
        <f>ROUND(C54*$B$12,2)</f>
        <v>4.8</v>
      </c>
      <c r="G54" s="146">
        <f>ROUND(D54*$C$12,2)</f>
        <v>2.17</v>
      </c>
      <c r="H54" s="191">
        <v>0</v>
      </c>
      <c r="I54" s="146">
        <f>ROUND((F54+G54)*$E$12,2)</f>
        <v>1.64</v>
      </c>
      <c r="J54" s="192">
        <f t="shared" si="20"/>
        <v>0.03</v>
      </c>
      <c r="K54" s="189">
        <v>0</v>
      </c>
      <c r="L54" s="189">
        <v>0.03</v>
      </c>
      <c r="M54" s="190">
        <v>0</v>
      </c>
      <c r="N54" s="146">
        <f>ROUND((F54+G54+H54)*$H$12,2)</f>
        <v>1.99</v>
      </c>
      <c r="O54" s="146">
        <f>ROUND((F54+G54+H54)*$I$12,2)</f>
        <v>0.14000000000000001</v>
      </c>
      <c r="P54" s="146">
        <f>ROUND((F54+G54+H54)*$J$12,2)</f>
        <v>0.22</v>
      </c>
      <c r="Q54" s="193">
        <f>ROUND(F54+G54+I54+J54+M54+N54+O54+P54,2)</f>
        <v>10.99</v>
      </c>
      <c r="R54" s="190">
        <v>0</v>
      </c>
      <c r="S54" s="171">
        <v>10.99</v>
      </c>
      <c r="T54" s="150">
        <f>ROUNDUP(125/5/2,0)</f>
        <v>13</v>
      </c>
      <c r="U54" s="150">
        <v>1</v>
      </c>
      <c r="V54" s="150">
        <f t="shared" si="26"/>
        <v>13</v>
      </c>
      <c r="W54" s="162">
        <f t="shared" si="24"/>
        <v>142.87</v>
      </c>
      <c r="X54" s="150">
        <f>ROUND(T54/12*X18,0)</f>
        <v>0</v>
      </c>
      <c r="Y54" s="150">
        <v>1</v>
      </c>
      <c r="Z54" s="150">
        <f t="shared" si="21"/>
        <v>0</v>
      </c>
      <c r="AA54" s="187">
        <f t="shared" si="22"/>
        <v>0</v>
      </c>
    </row>
    <row r="55" spans="1:28" ht="45" x14ac:dyDescent="0.25">
      <c r="A55" s="156" t="s">
        <v>171</v>
      </c>
      <c r="B55" s="188" t="s">
        <v>172</v>
      </c>
      <c r="C55" s="189">
        <v>0</v>
      </c>
      <c r="D55" s="189">
        <v>0</v>
      </c>
      <c r="E55" s="190">
        <v>0</v>
      </c>
      <c r="F55" s="202">
        <f>C55*$B$12</f>
        <v>0</v>
      </c>
      <c r="G55" s="202">
        <f>D55*$C$12</f>
        <v>0</v>
      </c>
      <c r="H55" s="191">
        <v>0</v>
      </c>
      <c r="I55" s="202">
        <f>(F55+G55)*$E$12</f>
        <v>0</v>
      </c>
      <c r="J55" s="192">
        <f t="shared" si="20"/>
        <v>895</v>
      </c>
      <c r="K55" s="189">
        <v>0</v>
      </c>
      <c r="L55" s="189">
        <v>895</v>
      </c>
      <c r="M55" s="190">
        <v>0</v>
      </c>
      <c r="N55" s="202">
        <f>(F55+G55+H55)*$H$12</f>
        <v>0</v>
      </c>
      <c r="O55" s="202">
        <f>(F55+G55+H55)*$I$12</f>
        <v>0</v>
      </c>
      <c r="P55" s="202">
        <f>(F55+G55+H55)*$J$12</f>
        <v>0</v>
      </c>
      <c r="Q55" s="193">
        <f t="shared" si="25"/>
        <v>895</v>
      </c>
      <c r="R55" s="190">
        <v>0</v>
      </c>
      <c r="S55" s="171">
        <v>895</v>
      </c>
      <c r="T55" s="150">
        <f>50/5/2</f>
        <v>5</v>
      </c>
      <c r="U55" s="150">
        <v>1</v>
      </c>
      <c r="V55" s="150">
        <f t="shared" si="26"/>
        <v>5</v>
      </c>
      <c r="W55" s="222">
        <f t="shared" si="24"/>
        <v>4475</v>
      </c>
      <c r="X55" s="150">
        <f>ROUND(T55/12*X18,0)</f>
        <v>0</v>
      </c>
      <c r="Y55" s="150">
        <v>1</v>
      </c>
      <c r="Z55" s="150">
        <f t="shared" si="21"/>
        <v>0</v>
      </c>
      <c r="AA55" s="187">
        <f t="shared" si="22"/>
        <v>0</v>
      </c>
    </row>
    <row r="56" spans="1:28" x14ac:dyDescent="0.25">
      <c r="A56" s="223"/>
      <c r="B56" s="224" t="s">
        <v>173</v>
      </c>
      <c r="C56" s="152"/>
      <c r="D56" s="152"/>
      <c r="E56" s="152"/>
      <c r="F56" s="152"/>
      <c r="G56" s="225"/>
      <c r="H56" s="152"/>
      <c r="I56" s="152"/>
      <c r="J56" s="152"/>
      <c r="K56" s="152"/>
      <c r="L56" s="152"/>
      <c r="M56" s="152"/>
      <c r="N56" s="152"/>
      <c r="O56" s="152"/>
      <c r="P56" s="152"/>
      <c r="Q56" s="152"/>
      <c r="R56" s="152"/>
      <c r="S56" s="226">
        <v>26.68</v>
      </c>
      <c r="T56" s="227">
        <f>2500/5/2</f>
        <v>250</v>
      </c>
      <c r="U56" s="228">
        <v>3</v>
      </c>
      <c r="V56" s="210">
        <f>U56*T56</f>
        <v>750</v>
      </c>
      <c r="W56" s="229">
        <f t="shared" si="24"/>
        <v>20010</v>
      </c>
      <c r="X56" s="150">
        <f>ROUND(T56/12*X18,0)</f>
        <v>0</v>
      </c>
      <c r="Y56" s="228">
        <v>3</v>
      </c>
      <c r="Z56" s="150">
        <f t="shared" si="21"/>
        <v>0</v>
      </c>
      <c r="AA56" s="187">
        <f t="shared" si="22"/>
        <v>0</v>
      </c>
    </row>
    <row r="57" spans="1:28" x14ac:dyDescent="0.25">
      <c r="A57" s="111" t="s">
        <v>160</v>
      </c>
      <c r="V57" s="172" t="s">
        <v>161</v>
      </c>
      <c r="W57" s="165">
        <f>SUM(W40:W56)</f>
        <v>90412.437565500004</v>
      </c>
      <c r="AA57" s="173">
        <v>0</v>
      </c>
      <c r="AB57" s="111" t="s">
        <v>185</v>
      </c>
    </row>
    <row r="58" spans="1:28" x14ac:dyDescent="0.25">
      <c r="A58" s="111" t="s">
        <v>162</v>
      </c>
      <c r="W58" s="172"/>
      <c r="X58" s="174"/>
    </row>
    <row r="60" spans="1:28" ht="15.75" x14ac:dyDescent="0.25">
      <c r="A60" s="138" t="s">
        <v>186</v>
      </c>
      <c r="T60" s="392" t="s">
        <v>121</v>
      </c>
      <c r="U60" s="392"/>
      <c r="V60" s="392"/>
      <c r="W60" s="392"/>
      <c r="X60" s="392" t="s">
        <v>184</v>
      </c>
      <c r="Y60" s="392"/>
      <c r="Z60" s="392"/>
      <c r="AA60" s="392"/>
    </row>
    <row r="61" spans="1:28" ht="15" customHeight="1" x14ac:dyDescent="0.25">
      <c r="A61" s="385" t="s">
        <v>122</v>
      </c>
      <c r="B61" s="385" t="s">
        <v>123</v>
      </c>
      <c r="C61" s="382" t="s">
        <v>124</v>
      </c>
      <c r="D61" s="382"/>
      <c r="E61" s="382"/>
      <c r="F61" s="382"/>
      <c r="G61" s="382"/>
      <c r="H61" s="382"/>
      <c r="I61" s="382"/>
      <c r="J61" s="382"/>
      <c r="K61" s="382"/>
      <c r="L61" s="383"/>
      <c r="M61" s="382" t="s">
        <v>104</v>
      </c>
      <c r="N61" s="382"/>
      <c r="O61" s="382"/>
      <c r="P61" s="383"/>
      <c r="Q61" s="378" t="s">
        <v>125</v>
      </c>
      <c r="R61" s="378" t="s">
        <v>126</v>
      </c>
      <c r="S61" s="394" t="s">
        <v>127</v>
      </c>
      <c r="T61" s="391" t="s">
        <v>163</v>
      </c>
      <c r="U61" s="391" t="s">
        <v>129</v>
      </c>
      <c r="V61" s="388" t="s">
        <v>130</v>
      </c>
      <c r="W61" s="392" t="s">
        <v>131</v>
      </c>
      <c r="X61" s="391" t="s">
        <v>128</v>
      </c>
      <c r="Y61" s="391" t="s">
        <v>129</v>
      </c>
      <c r="Z61" s="391" t="s">
        <v>130</v>
      </c>
      <c r="AA61" s="392" t="s">
        <v>131</v>
      </c>
    </row>
    <row r="62" spans="1:28" ht="75" x14ac:dyDescent="0.25">
      <c r="A62" s="386"/>
      <c r="B62" s="386"/>
      <c r="C62" s="382" t="s">
        <v>132</v>
      </c>
      <c r="D62" s="382"/>
      <c r="E62" s="383"/>
      <c r="F62" s="382" t="s">
        <v>133</v>
      </c>
      <c r="G62" s="382"/>
      <c r="H62" s="383"/>
      <c r="I62" s="139" t="s">
        <v>134</v>
      </c>
      <c r="J62" s="382" t="s">
        <v>135</v>
      </c>
      <c r="K62" s="382"/>
      <c r="L62" s="383"/>
      <c r="M62" s="379" t="s">
        <v>136</v>
      </c>
      <c r="N62" s="379" t="s">
        <v>137</v>
      </c>
      <c r="O62" s="379" t="s">
        <v>138</v>
      </c>
      <c r="P62" s="379" t="s">
        <v>139</v>
      </c>
      <c r="Q62" s="379"/>
      <c r="R62" s="379"/>
      <c r="S62" s="395"/>
      <c r="T62" s="391"/>
      <c r="U62" s="391"/>
      <c r="V62" s="389"/>
      <c r="W62" s="392"/>
      <c r="X62" s="391"/>
      <c r="Y62" s="391"/>
      <c r="Z62" s="391"/>
      <c r="AA62" s="392"/>
    </row>
    <row r="63" spans="1:28" ht="60" x14ac:dyDescent="0.25">
      <c r="A63" s="386"/>
      <c r="B63" s="386"/>
      <c r="C63" s="140" t="s">
        <v>140</v>
      </c>
      <c r="D63" s="140" t="s">
        <v>141</v>
      </c>
      <c r="E63" s="140" t="s">
        <v>142</v>
      </c>
      <c r="F63" s="140" t="s">
        <v>140</v>
      </c>
      <c r="G63" s="140" t="s">
        <v>141</v>
      </c>
      <c r="H63" s="140" t="s">
        <v>143</v>
      </c>
      <c r="I63" s="140" t="s">
        <v>144</v>
      </c>
      <c r="J63" s="140" t="s">
        <v>145</v>
      </c>
      <c r="K63" s="140" t="s">
        <v>146</v>
      </c>
      <c r="L63" s="140" t="s">
        <v>147</v>
      </c>
      <c r="M63" s="379"/>
      <c r="N63" s="379"/>
      <c r="O63" s="379"/>
      <c r="P63" s="379"/>
      <c r="Q63" s="379"/>
      <c r="R63" s="379"/>
      <c r="S63" s="395"/>
      <c r="T63" s="391"/>
      <c r="U63" s="391"/>
      <c r="V63" s="390"/>
      <c r="W63" s="393"/>
      <c r="X63" s="391"/>
      <c r="Y63" s="391"/>
      <c r="Z63" s="391"/>
      <c r="AA63" s="392"/>
    </row>
    <row r="64" spans="1:28" ht="45" x14ac:dyDescent="0.25">
      <c r="A64" s="158" t="str">
        <f>0&amp;6102</f>
        <v>06102</v>
      </c>
      <c r="B64" s="159" t="s">
        <v>174</v>
      </c>
      <c r="C64" s="150">
        <v>40</v>
      </c>
      <c r="D64" s="150">
        <v>0</v>
      </c>
      <c r="E64" s="150">
        <v>0</v>
      </c>
      <c r="F64" s="171">
        <f>C64*B12</f>
        <v>9.6</v>
      </c>
      <c r="G64" s="171">
        <v>0</v>
      </c>
      <c r="H64" s="150">
        <v>0</v>
      </c>
      <c r="I64" s="171">
        <f>ROUNDDOWN((F64+G64)*E12,2)</f>
        <v>2.2599999999999998</v>
      </c>
      <c r="J64" s="171">
        <f t="shared" ref="J64" si="27">K64+L64</f>
        <v>0.97</v>
      </c>
      <c r="K64" s="150">
        <v>0</v>
      </c>
      <c r="L64" s="150">
        <v>0.97</v>
      </c>
      <c r="M64" s="150">
        <v>11.81</v>
      </c>
      <c r="N64" s="171">
        <f>ROUNDDOWN((F64+G64)*H12+4,2)</f>
        <v>6.74</v>
      </c>
      <c r="O64" s="171">
        <f>(F64+G64)*I12</f>
        <v>0.19391999999999998</v>
      </c>
      <c r="P64" s="171">
        <f>(F64+G64)*J12</f>
        <v>0.30912000000000001</v>
      </c>
      <c r="Q64" s="160">
        <f t="shared" ref="Q64" si="28">F64+G64+I64+J64+M64+N64+O64+P64</f>
        <v>31.883040000000001</v>
      </c>
      <c r="R64" s="150">
        <v>4</v>
      </c>
      <c r="S64" s="160">
        <v>27.883040000000001</v>
      </c>
      <c r="T64" s="150">
        <f>5000/5</f>
        <v>1000</v>
      </c>
      <c r="U64" s="150">
        <v>1</v>
      </c>
      <c r="V64" s="150">
        <f>T64*U64</f>
        <v>1000</v>
      </c>
      <c r="W64" s="151">
        <f>V64*S64</f>
        <v>27883.040000000001</v>
      </c>
      <c r="X64" s="152">
        <f>ROUND(T64/12*4,0)</f>
        <v>333</v>
      </c>
      <c r="Y64" s="175">
        <v>1</v>
      </c>
      <c r="Z64" s="175">
        <f>X64*Y64</f>
        <v>333</v>
      </c>
      <c r="AA64" s="154">
        <f>ROUND(S64*Z64,2)</f>
        <v>9285.0499999999993</v>
      </c>
    </row>
    <row r="65" spans="1:27" x14ac:dyDescent="0.25">
      <c r="A65" s="161"/>
      <c r="B65" s="159" t="s">
        <v>175</v>
      </c>
      <c r="C65" s="176"/>
      <c r="D65" s="176"/>
      <c r="E65" s="176"/>
      <c r="F65" s="171"/>
      <c r="G65" s="171"/>
      <c r="H65" s="176"/>
      <c r="I65" s="171"/>
      <c r="J65" s="176"/>
      <c r="K65" s="176"/>
      <c r="L65" s="176"/>
      <c r="M65" s="176"/>
      <c r="N65" s="171"/>
      <c r="O65" s="171"/>
      <c r="P65" s="171"/>
      <c r="Q65" s="160"/>
      <c r="R65" s="176"/>
      <c r="S65" s="160">
        <v>27.52</v>
      </c>
      <c r="T65" s="176">
        <f>5000/5</f>
        <v>1000</v>
      </c>
      <c r="U65" s="176">
        <v>1</v>
      </c>
      <c r="V65" s="150">
        <f>T65*U65</f>
        <v>1000</v>
      </c>
      <c r="W65" s="151">
        <f>S65*V65</f>
        <v>27520</v>
      </c>
      <c r="X65" s="152">
        <f>ROUND(T65/12*4,0)</f>
        <v>333</v>
      </c>
      <c r="Y65" s="152">
        <v>1</v>
      </c>
      <c r="Z65" s="175">
        <f>X65*Y65</f>
        <v>333</v>
      </c>
      <c r="AA65" s="154">
        <f>ROUND(S65*Z65,2)</f>
        <v>9164.16</v>
      </c>
    </row>
    <row r="66" spans="1:27" x14ac:dyDescent="0.25">
      <c r="A66" s="111" t="s">
        <v>160</v>
      </c>
      <c r="V66" s="172" t="s">
        <v>161</v>
      </c>
      <c r="W66" s="165">
        <f>SUM(W64:W65)</f>
        <v>55403.040000000001</v>
      </c>
      <c r="AA66" s="154">
        <f>SUM(AA64:AA65)</f>
        <v>18449.21</v>
      </c>
    </row>
    <row r="67" spans="1:27" x14ac:dyDescent="0.25">
      <c r="A67" s="111" t="s">
        <v>162</v>
      </c>
    </row>
  </sheetData>
  <mergeCells count="76">
    <mergeCell ref="A20:A22"/>
    <mergeCell ref="B20:B22"/>
    <mergeCell ref="C20:L20"/>
    <mergeCell ref="M20:P20"/>
    <mergeCell ref="Q20:Q22"/>
    <mergeCell ref="M21:M22"/>
    <mergeCell ref="N21:N22"/>
    <mergeCell ref="O21:O22"/>
    <mergeCell ref="H10:H11"/>
    <mergeCell ref="I10:I11"/>
    <mergeCell ref="J10:J11"/>
    <mergeCell ref="T19:W19"/>
    <mergeCell ref="X19:AA19"/>
    <mergeCell ref="R20:R22"/>
    <mergeCell ref="S20:S22"/>
    <mergeCell ref="Y37:Y39"/>
    <mergeCell ref="P21:P22"/>
    <mergeCell ref="X20:X22"/>
    <mergeCell ref="Y20:Y22"/>
    <mergeCell ref="X36:AA36"/>
    <mergeCell ref="T36:W36"/>
    <mergeCell ref="AA37:AA39"/>
    <mergeCell ref="Z20:Z22"/>
    <mergeCell ref="AA20:AA22"/>
    <mergeCell ref="T20:T22"/>
    <mergeCell ref="U20:U22"/>
    <mergeCell ref="V20:V22"/>
    <mergeCell ref="W20:W22"/>
    <mergeCell ref="T37:T39"/>
    <mergeCell ref="U37:U39"/>
    <mergeCell ref="V37:V39"/>
    <mergeCell ref="W37:W39"/>
    <mergeCell ref="X37:X39"/>
    <mergeCell ref="AA61:AA63"/>
    <mergeCell ref="X61:X63"/>
    <mergeCell ref="Y61:Y63"/>
    <mergeCell ref="Z61:Z63"/>
    <mergeCell ref="S61:S63"/>
    <mergeCell ref="T61:T63"/>
    <mergeCell ref="C62:E62"/>
    <mergeCell ref="F62:H62"/>
    <mergeCell ref="J62:L62"/>
    <mergeCell ref="M62:M63"/>
    <mergeCell ref="N62:N63"/>
    <mergeCell ref="B37:B39"/>
    <mergeCell ref="A37:A39"/>
    <mergeCell ref="Z37:Z39"/>
    <mergeCell ref="O62:O63"/>
    <mergeCell ref="P62:P63"/>
    <mergeCell ref="U61:U63"/>
    <mergeCell ref="V61:V63"/>
    <mergeCell ref="W61:W63"/>
    <mergeCell ref="T60:W60"/>
    <mergeCell ref="X60:AA60"/>
    <mergeCell ref="A61:A63"/>
    <mergeCell ref="B61:B63"/>
    <mergeCell ref="C61:L61"/>
    <mergeCell ref="M61:P61"/>
    <mergeCell ref="Q61:Q63"/>
    <mergeCell ref="R61:R63"/>
    <mergeCell ref="F1:I1"/>
    <mergeCell ref="S37:S39"/>
    <mergeCell ref="R37:R39"/>
    <mergeCell ref="Q37:Q39"/>
    <mergeCell ref="M37:P37"/>
    <mergeCell ref="C37:L37"/>
    <mergeCell ref="C38:E38"/>
    <mergeCell ref="F38:H38"/>
    <mergeCell ref="J38:L38"/>
    <mergeCell ref="M38:M39"/>
    <mergeCell ref="N38:N39"/>
    <mergeCell ref="O38:O39"/>
    <mergeCell ref="P38:P39"/>
    <mergeCell ref="C21:E21"/>
    <mergeCell ref="F21:H21"/>
    <mergeCell ref="J21:L2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F9A44-0820-4E28-B295-8931E00D8997}">
  <dimension ref="A1:E37"/>
  <sheetViews>
    <sheetView workbookViewId="0">
      <selection activeCell="B6" sqref="B6"/>
    </sheetView>
  </sheetViews>
  <sheetFormatPr defaultColWidth="8.85546875" defaultRowHeight="12.75" x14ac:dyDescent="0.2"/>
  <cols>
    <col min="1" max="1" width="50.85546875" style="230" customWidth="1"/>
    <col min="2" max="3" width="16" style="230" customWidth="1"/>
    <col min="4" max="4" width="16" style="238" customWidth="1"/>
    <col min="5" max="6" width="8.85546875" style="230"/>
    <col min="7" max="7" width="44.5703125" style="230" customWidth="1"/>
    <col min="8" max="16384" width="8.85546875" style="230"/>
  </cols>
  <sheetData>
    <row r="1" spans="1:5" x14ac:dyDescent="0.2">
      <c r="B1" s="408" t="s">
        <v>224</v>
      </c>
      <c r="C1" s="408"/>
      <c r="D1" s="408"/>
      <c r="E1" s="408"/>
    </row>
    <row r="3" spans="1:5" ht="42.6" customHeight="1" x14ac:dyDescent="0.2">
      <c r="A3" s="407" t="s">
        <v>187</v>
      </c>
      <c r="B3" s="407"/>
      <c r="C3" s="407"/>
      <c r="D3" s="407"/>
    </row>
    <row r="5" spans="1:5" ht="127.5" x14ac:dyDescent="0.2">
      <c r="A5" s="231" t="s">
        <v>188</v>
      </c>
      <c r="B5" s="232" t="s">
        <v>189</v>
      </c>
      <c r="C5" s="232" t="s">
        <v>190</v>
      </c>
      <c r="D5" s="232" t="s">
        <v>191</v>
      </c>
    </row>
    <row r="6" spans="1:5" x14ac:dyDescent="0.2">
      <c r="A6" s="233" t="s">
        <v>192</v>
      </c>
      <c r="B6" s="234">
        <f>ROUND(Stac_parstrades!O28+Stac_parstrades!O63+Stac_parstrades!O71+Stac_apjoma_paliel!Q17,0)</f>
        <v>211520</v>
      </c>
      <c r="C6" s="234">
        <f>Kopā_ambul_pak_stac!E7</f>
        <v>4612</v>
      </c>
      <c r="D6" s="235">
        <f>SUM(B6:C6)</f>
        <v>216132</v>
      </c>
    </row>
    <row r="7" spans="1:5" x14ac:dyDescent="0.2">
      <c r="A7" s="233" t="s">
        <v>193</v>
      </c>
      <c r="B7" s="234">
        <f>ROUND(Stac_parstrades!O39+Stac_parstrades!O52+Stac_apjoma_paliel!Q29,0)</f>
        <v>19922</v>
      </c>
      <c r="C7" s="234">
        <f>Kopā_ambul_pak_stac!E6</f>
        <v>11506</v>
      </c>
      <c r="D7" s="235">
        <f t="shared" ref="D7:D36" si="0">SUM(B7:C7)</f>
        <v>31428</v>
      </c>
    </row>
    <row r="8" spans="1:5" x14ac:dyDescent="0.2">
      <c r="A8" s="233" t="s">
        <v>194</v>
      </c>
      <c r="B8" s="234">
        <f>ROUND(Stac_parstrades!O40+Stac_parstrades!O53+Stac_parstrades!O68+Stac_apjoma_paliel!Q10+Stac_apjoma_paliel!Q30,0)</f>
        <v>46757</v>
      </c>
      <c r="C8" s="234">
        <f>Kopā_ambul_pak_stac!E8</f>
        <v>51759</v>
      </c>
      <c r="D8" s="235">
        <f t="shared" si="0"/>
        <v>98516</v>
      </c>
    </row>
    <row r="9" spans="1:5" x14ac:dyDescent="0.2">
      <c r="A9" s="233" t="s">
        <v>195</v>
      </c>
      <c r="B9" s="234">
        <f>ROUND(Stac_parstrades!O17+Stac_parstrades!O29+Stac_parstrades!O64+Stac_apjoma_paliel!Q18,0)</f>
        <v>109517</v>
      </c>
      <c r="C9" s="233"/>
      <c r="D9" s="235">
        <f t="shared" si="0"/>
        <v>109517</v>
      </c>
    </row>
    <row r="10" spans="1:5" x14ac:dyDescent="0.2">
      <c r="A10" s="233" t="s">
        <v>196</v>
      </c>
      <c r="B10" s="234">
        <f>ROUND(Stac_parstrades!O11+Stac_parstrades!O24+Stac_parstrades!O54+Stac_apjoma_paliel!Q11,0)</f>
        <v>83071</v>
      </c>
      <c r="C10" s="234">
        <f>Kopā_ambul_pak_stac!E9</f>
        <v>155325</v>
      </c>
      <c r="D10" s="235">
        <f t="shared" si="0"/>
        <v>238396</v>
      </c>
    </row>
    <row r="11" spans="1:5" x14ac:dyDescent="0.2">
      <c r="A11" s="233" t="s">
        <v>197</v>
      </c>
      <c r="B11" s="234">
        <v>0</v>
      </c>
      <c r="C11" s="234">
        <f>Kopā_ambul_pak_stac!E10</f>
        <v>25109</v>
      </c>
      <c r="D11" s="235">
        <f t="shared" si="0"/>
        <v>25109</v>
      </c>
    </row>
    <row r="12" spans="1:5" x14ac:dyDescent="0.2">
      <c r="A12" s="233" t="s">
        <v>198</v>
      </c>
      <c r="B12" s="234">
        <f>ROUND(Stac_parstrades!O12+Stac_parstrades!O25+Stac_parstrades!O55+Stac_apjoma_paliel!Q12,0)</f>
        <v>25086</v>
      </c>
      <c r="C12" s="234">
        <f>Kopā_ambul_pak_stac!E11</f>
        <v>154365</v>
      </c>
      <c r="D12" s="235">
        <f t="shared" si="0"/>
        <v>179451</v>
      </c>
    </row>
    <row r="13" spans="1:5" x14ac:dyDescent="0.2">
      <c r="A13" s="233" t="s">
        <v>199</v>
      </c>
      <c r="B13" s="234">
        <f>ROUND(Stac_parstrades!O47,0)</f>
        <v>2430</v>
      </c>
      <c r="C13" s="233"/>
      <c r="D13" s="235">
        <f t="shared" si="0"/>
        <v>2430</v>
      </c>
    </row>
    <row r="14" spans="1:5" x14ac:dyDescent="0.2">
      <c r="A14" s="233" t="s">
        <v>200</v>
      </c>
      <c r="B14" s="234">
        <f>ROUND(Stac_parstrades!O48,0)</f>
        <v>28059</v>
      </c>
      <c r="C14" s="234">
        <f>Kopā_ambul_pak_stac!E12</f>
        <v>2815</v>
      </c>
      <c r="D14" s="235">
        <f t="shared" si="0"/>
        <v>30874</v>
      </c>
    </row>
    <row r="15" spans="1:5" x14ac:dyDescent="0.2">
      <c r="A15" s="233" t="s">
        <v>201</v>
      </c>
      <c r="B15" s="234">
        <f>ROUND(Stac_parstrades!O56+Stac_apjoma_paliel!Q13,0)</f>
        <v>13476</v>
      </c>
      <c r="C15" s="234">
        <f>Kopā_ambul_pak_stac!E13</f>
        <v>96533</v>
      </c>
      <c r="D15" s="235">
        <f t="shared" si="0"/>
        <v>110009</v>
      </c>
    </row>
    <row r="16" spans="1:5" x14ac:dyDescent="0.2">
      <c r="A16" s="233" t="s">
        <v>202</v>
      </c>
      <c r="B16" s="234">
        <f>ROUND(Stac_parstrades!O13+Stac_parstrades!O69+Stac_apjoma_paliel!Q14,0)</f>
        <v>70974</v>
      </c>
      <c r="C16" s="234">
        <f>Kopā_ambul_pak_stac!E14</f>
        <v>6673</v>
      </c>
      <c r="D16" s="235">
        <f t="shared" si="0"/>
        <v>77647</v>
      </c>
    </row>
    <row r="17" spans="1:4" x14ac:dyDescent="0.2">
      <c r="A17" s="233" t="s">
        <v>203</v>
      </c>
      <c r="B17" s="234">
        <f>ROUND(Stac_parstrades!O26+Stac_parstrades!O57+Stac_parstrades!O70+Stac_apjoma_paliel!Q15,0)</f>
        <v>22933</v>
      </c>
      <c r="C17" s="234">
        <f>Kopā_ambul_pak_stac!E15</f>
        <v>199848</v>
      </c>
      <c r="D17" s="235">
        <f t="shared" si="0"/>
        <v>222781</v>
      </c>
    </row>
    <row r="18" spans="1:4" x14ac:dyDescent="0.2">
      <c r="A18" s="233" t="s">
        <v>204</v>
      </c>
      <c r="B18" s="234">
        <f>ROUND(Stac_apjoma_paliel!Q22,0)</f>
        <v>109391</v>
      </c>
      <c r="C18" s="234">
        <f>Kopā_ambul_pak_stac!E16</f>
        <v>13963</v>
      </c>
      <c r="D18" s="235">
        <f t="shared" si="0"/>
        <v>123354</v>
      </c>
    </row>
    <row r="19" spans="1:4" x14ac:dyDescent="0.2">
      <c r="A19" s="233" t="s">
        <v>205</v>
      </c>
      <c r="B19" s="234">
        <f>ROUND(Stac_parstrades!O7+Stac_parstrades!O21+Stac_parstrades!O35+Stac_parstrades!O49+Stac_apjoma_paliel!Q7+Stac_apjoma_paliel!Q25,0)</f>
        <v>152151</v>
      </c>
      <c r="C19" s="233"/>
      <c r="D19" s="235">
        <f t="shared" si="0"/>
        <v>152151</v>
      </c>
    </row>
    <row r="20" spans="1:4" x14ac:dyDescent="0.2">
      <c r="A20" s="233" t="s">
        <v>206</v>
      </c>
      <c r="B20" s="234">
        <f>ROUND(Stac_parstrades!O19+Stac_parstrades!O32+Stac_parstrades!O44+Stac_parstrades!O74+Stac_apjoma_paliel!Q21+Stac_apjoma_paliel!Q34,0)</f>
        <v>133264</v>
      </c>
      <c r="C20" s="234">
        <f>Kopā_ambul_pak_stac!E17</f>
        <v>4277</v>
      </c>
      <c r="D20" s="235">
        <f t="shared" si="0"/>
        <v>137541</v>
      </c>
    </row>
    <row r="21" spans="1:4" x14ac:dyDescent="0.2">
      <c r="A21" s="233" t="s">
        <v>207</v>
      </c>
      <c r="B21" s="234">
        <f>ROUND(Stac_parstrades!O43+Stac_apjoma_paliel!Q33,0)</f>
        <v>65974</v>
      </c>
      <c r="C21" s="233"/>
      <c r="D21" s="235">
        <f t="shared" si="0"/>
        <v>65974</v>
      </c>
    </row>
    <row r="22" spans="1:4" x14ac:dyDescent="0.2">
      <c r="A22" s="233" t="s">
        <v>208</v>
      </c>
      <c r="B22" s="234">
        <f>ROUND(Stac_parstrades!O18+Stac_parstrades!O30+Stac_parstrades!O65+Stac_apjoma_paliel!Q19,0)</f>
        <v>255275</v>
      </c>
      <c r="C22" s="234">
        <f>Kopā_ambul_pak_stac!E18</f>
        <v>10105</v>
      </c>
      <c r="D22" s="235">
        <f t="shared" si="0"/>
        <v>265380</v>
      </c>
    </row>
    <row r="23" spans="1:4" x14ac:dyDescent="0.2">
      <c r="A23" s="233" t="s">
        <v>209</v>
      </c>
      <c r="B23" s="234">
        <f>ROUND(Stac_parstrades!O41+Stac_parstrades!O58+Stac_apjoma_paliel!Q31,0)</f>
        <v>14615</v>
      </c>
      <c r="C23" s="234">
        <f>Kopā_ambul_pak_stac!E19</f>
        <v>284339</v>
      </c>
      <c r="D23" s="235">
        <f t="shared" si="0"/>
        <v>298954</v>
      </c>
    </row>
    <row r="24" spans="1:4" x14ac:dyDescent="0.2">
      <c r="A24" s="233" t="s">
        <v>210</v>
      </c>
      <c r="B24" s="234">
        <f>ROUND(Stac_parstrades!O42+Stac_parstrades!O59+Stac_apjoma_paliel!Q32,0)</f>
        <v>5997</v>
      </c>
      <c r="C24" s="234">
        <f>Kopā_ambul_pak_stac!E20</f>
        <v>132474</v>
      </c>
      <c r="D24" s="235">
        <f t="shared" si="0"/>
        <v>138471</v>
      </c>
    </row>
    <row r="25" spans="1:4" x14ac:dyDescent="0.2">
      <c r="A25" s="233" t="s">
        <v>211</v>
      </c>
      <c r="B25" s="234">
        <f>ROUND(Stac_parstrades!O45,0)</f>
        <v>36205</v>
      </c>
      <c r="C25" s="234">
        <f>Kopā_ambul_pak_stac!E21</f>
        <v>11390</v>
      </c>
      <c r="D25" s="235">
        <f t="shared" si="0"/>
        <v>47595</v>
      </c>
    </row>
    <row r="26" spans="1:4" x14ac:dyDescent="0.2">
      <c r="A26" s="233" t="s">
        <v>212</v>
      </c>
      <c r="B26" s="234">
        <f>ROUND(Stac_parstrades!O60,0)</f>
        <v>1464</v>
      </c>
      <c r="C26" s="234">
        <f>Kopā_ambul_pak_stac!E22</f>
        <v>7604</v>
      </c>
      <c r="D26" s="235">
        <f t="shared" si="0"/>
        <v>9068</v>
      </c>
    </row>
    <row r="27" spans="1:4" x14ac:dyDescent="0.2">
      <c r="A27" s="233" t="s">
        <v>213</v>
      </c>
      <c r="B27" s="234">
        <f>ROUND(Stac_parstrades!O8+Stac_parstrades!O22+Stac_parstrades!O36+Stac_apjoma_paliel!Q8+Stac_apjoma_paliel!Q26,0)</f>
        <v>134185</v>
      </c>
      <c r="C27" s="234">
        <f>Kopā_ambul_pak_stac!E23</f>
        <v>8325</v>
      </c>
      <c r="D27" s="235">
        <f t="shared" si="0"/>
        <v>142510</v>
      </c>
    </row>
    <row r="28" spans="1:4" x14ac:dyDescent="0.2">
      <c r="A28" s="233" t="s">
        <v>214</v>
      </c>
      <c r="B28" s="234">
        <f>ROUND(Stac_parstrades!O15+Stac_parstrades!O61,0)</f>
        <v>62249</v>
      </c>
      <c r="C28" s="234">
        <f>Kopā_ambul_pak_stac!E24</f>
        <v>9079</v>
      </c>
      <c r="D28" s="235">
        <f t="shared" si="0"/>
        <v>71328</v>
      </c>
    </row>
    <row r="29" spans="1:4" x14ac:dyDescent="0.2">
      <c r="A29" s="233" t="s">
        <v>215</v>
      </c>
      <c r="B29" s="234">
        <f>ROUND(Stac_parstrades!O34+Stac_parstrades!O46+Stac_apjoma_paliel!Q24,0)</f>
        <v>96985</v>
      </c>
      <c r="C29" s="234">
        <f>Kopā_ambul_pak_stac!E25</f>
        <v>10022</v>
      </c>
      <c r="D29" s="235">
        <f t="shared" si="0"/>
        <v>107007</v>
      </c>
    </row>
    <row r="30" spans="1:4" x14ac:dyDescent="0.2">
      <c r="A30" s="233" t="s">
        <v>216</v>
      </c>
      <c r="B30" s="234">
        <f>ROUND(Stac_parstrades!O73,0)</f>
        <v>22787</v>
      </c>
      <c r="C30" s="233"/>
      <c r="D30" s="235">
        <f t="shared" si="0"/>
        <v>22787</v>
      </c>
    </row>
    <row r="31" spans="1:4" x14ac:dyDescent="0.2">
      <c r="A31" s="233" t="s">
        <v>217</v>
      </c>
      <c r="B31" s="234">
        <f>ROUND(Stac_parstrades!O20+Stac_parstrades!O33+Stac_parstrades!O67+Stac_apjoma_paliel!Q23,0)</f>
        <v>26708</v>
      </c>
      <c r="C31" s="233"/>
      <c r="D31" s="235">
        <f t="shared" si="0"/>
        <v>26708</v>
      </c>
    </row>
    <row r="32" spans="1:4" x14ac:dyDescent="0.2">
      <c r="A32" s="233" t="s">
        <v>218</v>
      </c>
      <c r="B32" s="234">
        <f>ROUND(Stac_parstrades!O31+Stac_parstrades!O66+Stac_parstrades!O72+Stac_apjoma_paliel!Q20,0)</f>
        <v>45227</v>
      </c>
      <c r="C32" s="234">
        <f>Kopā_ambul_pak_stac!E26</f>
        <v>15528</v>
      </c>
      <c r="D32" s="235">
        <f t="shared" si="0"/>
        <v>60755</v>
      </c>
    </row>
    <row r="33" spans="1:4" x14ac:dyDescent="0.2">
      <c r="A33" s="233" t="s">
        <v>219</v>
      </c>
      <c r="B33" s="234">
        <f>ROUND(Stac_parstrades!O16+Stac_parstrades!O62,0)</f>
        <v>402318</v>
      </c>
      <c r="C33" s="234">
        <f>Kopā_ambul_pak_stac!E27</f>
        <v>5873</v>
      </c>
      <c r="D33" s="235">
        <f t="shared" si="0"/>
        <v>408191</v>
      </c>
    </row>
    <row r="34" spans="1:4" x14ac:dyDescent="0.2">
      <c r="A34" s="233" t="s">
        <v>220</v>
      </c>
      <c r="B34" s="234">
        <f>ROUND(Stac_parstrades!O14+Stac_parstrades!O27+Stac_apjoma_paliel!Q16,0)</f>
        <v>36263</v>
      </c>
      <c r="C34" s="234">
        <f>Kopā_ambul_pak_stac!E28</f>
        <v>107221</v>
      </c>
      <c r="D34" s="235">
        <f t="shared" si="0"/>
        <v>143484</v>
      </c>
    </row>
    <row r="35" spans="1:4" x14ac:dyDescent="0.2">
      <c r="A35" s="233" t="s">
        <v>221</v>
      </c>
      <c r="B35" s="234">
        <f>ROUND(Stac_parstrades!O9+Stac_parstrades!O23+Stac_parstrades!O37+Stac_parstrades!O50+Stac_apjoma_paliel!Q9+Stac_apjoma_paliel!Q27,0)</f>
        <v>263274</v>
      </c>
      <c r="C35" s="234">
        <f>Kopā_ambul_pak_stac!E29</f>
        <v>29930</v>
      </c>
      <c r="D35" s="235">
        <f t="shared" si="0"/>
        <v>293204</v>
      </c>
    </row>
    <row r="36" spans="1:4" x14ac:dyDescent="0.2">
      <c r="A36" s="233" t="s">
        <v>222</v>
      </c>
      <c r="B36" s="234">
        <f>ROUND(Stac_parstrades!O10+Stac_parstrades!O38+Stac_parstrades!O51+Stac_apjoma_paliel!Q28,0)</f>
        <v>110239</v>
      </c>
      <c r="C36" s="234">
        <f>Kopā_ambul_pak_stac!E30</f>
        <v>24881</v>
      </c>
      <c r="D36" s="235">
        <f t="shared" si="0"/>
        <v>135120</v>
      </c>
    </row>
    <row r="37" spans="1:4" s="238" customFormat="1" x14ac:dyDescent="0.2">
      <c r="A37" s="236" t="s">
        <v>223</v>
      </c>
      <c r="B37" s="235">
        <f>SUM(B6:B36)</f>
        <v>2608316</v>
      </c>
      <c r="C37" s="235">
        <f>SUM(C6:C36)</f>
        <v>1383556</v>
      </c>
      <c r="D37" s="237">
        <f>SUM(D6:D36)</f>
        <v>3991872</v>
      </c>
    </row>
  </sheetData>
  <mergeCells count="2">
    <mergeCell ref="A3:D3"/>
    <mergeCell ref="B1:E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7C1D14-F863-47FE-B8D7-EB8A8FE37502}">
  <dimension ref="A1:O77"/>
  <sheetViews>
    <sheetView workbookViewId="0">
      <selection activeCell="O21" sqref="O21"/>
    </sheetView>
  </sheetViews>
  <sheetFormatPr defaultColWidth="8.7109375" defaultRowHeight="12.75" x14ac:dyDescent="0.2"/>
  <cols>
    <col min="1" max="1" width="27.140625" style="239" bestFit="1" customWidth="1"/>
    <col min="2" max="2" width="25.85546875" style="239" customWidth="1"/>
    <col min="3" max="3" width="25.5703125" style="239" bestFit="1" customWidth="1"/>
    <col min="4" max="4" width="37.140625" style="239" customWidth="1"/>
    <col min="5" max="6" width="12.140625" style="239" customWidth="1"/>
    <col min="7" max="8" width="8.5703125" style="239" customWidth="1"/>
    <col min="9" max="14" width="8.42578125" style="239" customWidth="1"/>
    <col min="15" max="15" width="12.28515625" style="239" customWidth="1"/>
    <col min="16" max="16384" width="8.7109375" style="239"/>
  </cols>
  <sheetData>
    <row r="1" spans="1:15" x14ac:dyDescent="0.2">
      <c r="G1" s="411" t="s">
        <v>252</v>
      </c>
      <c r="H1" s="411"/>
      <c r="I1" s="411"/>
      <c r="J1" s="411"/>
      <c r="K1" s="411"/>
      <c r="L1" s="411"/>
      <c r="M1" s="411"/>
      <c r="N1" s="411"/>
    </row>
    <row r="3" spans="1:15" ht="15.75" x14ac:dyDescent="0.25">
      <c r="A3" s="412" t="s">
        <v>225</v>
      </c>
      <c r="B3" s="412"/>
      <c r="C3" s="412"/>
      <c r="D3" s="412"/>
      <c r="E3" s="412"/>
      <c r="F3" s="412"/>
      <c r="G3" s="412"/>
      <c r="H3" s="412"/>
      <c r="I3" s="412"/>
      <c r="J3" s="412"/>
      <c r="K3" s="412"/>
      <c r="L3" s="412"/>
    </row>
    <row r="4" spans="1:15" ht="13.5" thickBot="1" x14ac:dyDescent="0.25"/>
    <row r="5" spans="1:15" ht="14.45" customHeight="1" thickBot="1" x14ac:dyDescent="0.25">
      <c r="A5" s="413" t="s">
        <v>226</v>
      </c>
      <c r="B5" s="415" t="s">
        <v>227</v>
      </c>
      <c r="C5" s="415" t="s">
        <v>228</v>
      </c>
      <c r="D5" s="415" t="s">
        <v>229</v>
      </c>
      <c r="E5" s="240" t="s">
        <v>230</v>
      </c>
      <c r="F5" s="241"/>
      <c r="G5" s="240" t="s">
        <v>231</v>
      </c>
      <c r="H5" s="241"/>
      <c r="I5" s="242" t="s">
        <v>232</v>
      </c>
      <c r="J5" s="243"/>
      <c r="K5" s="242"/>
      <c r="L5" s="243"/>
      <c r="M5" s="242"/>
      <c r="N5" s="244"/>
      <c r="O5" s="409" t="s">
        <v>233</v>
      </c>
    </row>
    <row r="6" spans="1:15" ht="42.75" thickBot="1" x14ac:dyDescent="0.25">
      <c r="A6" s="414"/>
      <c r="B6" s="416"/>
      <c r="C6" s="416"/>
      <c r="D6" s="416"/>
      <c r="E6" s="245" t="s">
        <v>234</v>
      </c>
      <c r="F6" s="246" t="s">
        <v>235</v>
      </c>
      <c r="G6" s="245" t="s">
        <v>234</v>
      </c>
      <c r="H6" s="246" t="s">
        <v>235</v>
      </c>
      <c r="I6" s="245" t="s">
        <v>234</v>
      </c>
      <c r="J6" s="246" t="s">
        <v>235</v>
      </c>
      <c r="K6" s="245" t="s">
        <v>236</v>
      </c>
      <c r="L6" s="247" t="s">
        <v>237</v>
      </c>
      <c r="M6" s="248" t="s">
        <v>238</v>
      </c>
      <c r="N6" s="247" t="s">
        <v>239</v>
      </c>
      <c r="O6" s="410"/>
    </row>
    <row r="7" spans="1:15" x14ac:dyDescent="0.2">
      <c r="A7" s="249" t="s">
        <v>205</v>
      </c>
      <c r="B7" s="250" t="s">
        <v>240</v>
      </c>
      <c r="C7" s="250" t="s">
        <v>240</v>
      </c>
      <c r="D7" s="250" t="s">
        <v>241</v>
      </c>
      <c r="E7" s="251">
        <v>10950</v>
      </c>
      <c r="F7" s="252">
        <v>12924139</v>
      </c>
      <c r="G7" s="251">
        <v>2738</v>
      </c>
      <c r="H7" s="252">
        <v>3231625</v>
      </c>
      <c r="I7" s="251">
        <v>2789</v>
      </c>
      <c r="J7" s="252">
        <v>3291820</v>
      </c>
      <c r="K7" s="253">
        <f>I7/G7</f>
        <v>1.018626734842951</v>
      </c>
      <c r="L7" s="254">
        <f>J7/H7</f>
        <v>1.0186268518160368</v>
      </c>
      <c r="M7" s="255">
        <f>I7-G7</f>
        <v>51</v>
      </c>
      <c r="N7" s="256">
        <f>J7-H7</f>
        <v>60195</v>
      </c>
      <c r="O7" s="257">
        <f>N7</f>
        <v>60195</v>
      </c>
    </row>
    <row r="8" spans="1:15" x14ac:dyDescent="0.2">
      <c r="A8" s="249" t="s">
        <v>213</v>
      </c>
      <c r="B8" s="250" t="s">
        <v>240</v>
      </c>
      <c r="C8" s="250" t="s">
        <v>240</v>
      </c>
      <c r="D8" s="250" t="s">
        <v>241</v>
      </c>
      <c r="E8" s="251">
        <v>8106</v>
      </c>
      <c r="F8" s="252">
        <v>7970442</v>
      </c>
      <c r="G8" s="251">
        <v>2027</v>
      </c>
      <c r="H8" s="252">
        <v>1993102</v>
      </c>
      <c r="I8" s="251">
        <v>2124</v>
      </c>
      <c r="J8" s="252">
        <v>2088480</v>
      </c>
      <c r="K8" s="253">
        <f t="shared" ref="K8:L71" si="0">I8/G8</f>
        <v>1.0478539713862851</v>
      </c>
      <c r="L8" s="254">
        <f t="shared" si="0"/>
        <v>1.0478540486136685</v>
      </c>
      <c r="M8" s="255">
        <f t="shared" ref="M8:N71" si="1">I8-G8</f>
        <v>97</v>
      </c>
      <c r="N8" s="256">
        <f t="shared" si="1"/>
        <v>95378</v>
      </c>
      <c r="O8" s="257">
        <f t="shared" ref="O8:O71" si="2">N8</f>
        <v>95378</v>
      </c>
    </row>
    <row r="9" spans="1:15" x14ac:dyDescent="0.2">
      <c r="A9" s="249" t="s">
        <v>221</v>
      </c>
      <c r="B9" s="250" t="s">
        <v>240</v>
      </c>
      <c r="C9" s="250" t="s">
        <v>240</v>
      </c>
      <c r="D9" s="250" t="s">
        <v>241</v>
      </c>
      <c r="E9" s="251">
        <v>10470</v>
      </c>
      <c r="F9" s="252">
        <v>10065086</v>
      </c>
      <c r="G9" s="251">
        <v>2618</v>
      </c>
      <c r="H9" s="252">
        <v>2516752</v>
      </c>
      <c r="I9" s="251">
        <v>2644</v>
      </c>
      <c r="J9" s="252">
        <v>2541747</v>
      </c>
      <c r="K9" s="253">
        <f t="shared" si="0"/>
        <v>1.0099312452253628</v>
      </c>
      <c r="L9" s="254">
        <f t="shared" si="0"/>
        <v>1.0099314513309217</v>
      </c>
      <c r="M9" s="255">
        <f t="shared" si="1"/>
        <v>26</v>
      </c>
      <c r="N9" s="256">
        <f t="shared" si="1"/>
        <v>24995</v>
      </c>
      <c r="O9" s="257">
        <f t="shared" si="2"/>
        <v>24995</v>
      </c>
    </row>
    <row r="10" spans="1:15" x14ac:dyDescent="0.2">
      <c r="A10" s="249" t="s">
        <v>222</v>
      </c>
      <c r="B10" s="250" t="s">
        <v>240</v>
      </c>
      <c r="C10" s="250" t="s">
        <v>240</v>
      </c>
      <c r="D10" s="250" t="s">
        <v>241</v>
      </c>
      <c r="E10" s="251">
        <v>6491</v>
      </c>
      <c r="F10" s="252">
        <v>6109877</v>
      </c>
      <c r="G10" s="251">
        <v>1623</v>
      </c>
      <c r="H10" s="252">
        <v>1527705</v>
      </c>
      <c r="I10" s="251">
        <v>1702</v>
      </c>
      <c r="J10" s="252">
        <v>1602066</v>
      </c>
      <c r="K10" s="253">
        <f t="shared" si="0"/>
        <v>1.0486752926678991</v>
      </c>
      <c r="L10" s="254">
        <f t="shared" si="0"/>
        <v>1.04867497324418</v>
      </c>
      <c r="M10" s="255">
        <f t="shared" si="1"/>
        <v>79</v>
      </c>
      <c r="N10" s="256">
        <f t="shared" si="1"/>
        <v>74361</v>
      </c>
      <c r="O10" s="257">
        <f t="shared" si="2"/>
        <v>74361</v>
      </c>
    </row>
    <row r="11" spans="1:15" x14ac:dyDescent="0.2">
      <c r="A11" s="249" t="s">
        <v>196</v>
      </c>
      <c r="B11" s="250" t="s">
        <v>240</v>
      </c>
      <c r="C11" s="250" t="s">
        <v>240</v>
      </c>
      <c r="D11" s="250" t="s">
        <v>241</v>
      </c>
      <c r="E11" s="251">
        <v>3444</v>
      </c>
      <c r="F11" s="252">
        <v>2400484</v>
      </c>
      <c r="G11" s="251">
        <v>861</v>
      </c>
      <c r="H11" s="252">
        <v>600121</v>
      </c>
      <c r="I11" s="251">
        <v>958</v>
      </c>
      <c r="J11" s="252">
        <v>667730</v>
      </c>
      <c r="K11" s="253">
        <f t="shared" si="0"/>
        <v>1.1126596980255516</v>
      </c>
      <c r="L11" s="254">
        <f t="shared" si="0"/>
        <v>1.1126589471123323</v>
      </c>
      <c r="M11" s="255">
        <f t="shared" si="1"/>
        <v>97</v>
      </c>
      <c r="N11" s="256">
        <f t="shared" si="1"/>
        <v>67609</v>
      </c>
      <c r="O11" s="257">
        <f t="shared" si="2"/>
        <v>67609</v>
      </c>
    </row>
    <row r="12" spans="1:15" x14ac:dyDescent="0.2">
      <c r="A12" s="249" t="s">
        <v>198</v>
      </c>
      <c r="B12" s="250" t="s">
        <v>240</v>
      </c>
      <c r="C12" s="250" t="s">
        <v>240</v>
      </c>
      <c r="D12" s="250" t="s">
        <v>241</v>
      </c>
      <c r="E12" s="251">
        <v>1826</v>
      </c>
      <c r="F12" s="252">
        <v>1658613</v>
      </c>
      <c r="G12" s="251">
        <v>457</v>
      </c>
      <c r="H12" s="252">
        <v>415107</v>
      </c>
      <c r="I12" s="251">
        <v>476</v>
      </c>
      <c r="J12" s="252">
        <v>432366</v>
      </c>
      <c r="K12" s="253">
        <f t="shared" si="0"/>
        <v>1.0415754923413567</v>
      </c>
      <c r="L12" s="254">
        <f t="shared" si="0"/>
        <v>1.0415772318944272</v>
      </c>
      <c r="M12" s="255">
        <f t="shared" si="1"/>
        <v>19</v>
      </c>
      <c r="N12" s="256">
        <f t="shared" si="1"/>
        <v>17259</v>
      </c>
      <c r="O12" s="257">
        <f t="shared" si="2"/>
        <v>17259</v>
      </c>
    </row>
    <row r="13" spans="1:15" x14ac:dyDescent="0.2">
      <c r="A13" s="249" t="s">
        <v>202</v>
      </c>
      <c r="B13" s="250" t="s">
        <v>240</v>
      </c>
      <c r="C13" s="250" t="s">
        <v>240</v>
      </c>
      <c r="D13" s="250" t="s">
        <v>241</v>
      </c>
      <c r="E13" s="251">
        <v>1677</v>
      </c>
      <c r="F13" s="252">
        <v>1245913</v>
      </c>
      <c r="G13" s="251">
        <v>419</v>
      </c>
      <c r="H13" s="252">
        <v>311293</v>
      </c>
      <c r="I13" s="251">
        <v>494</v>
      </c>
      <c r="J13" s="252">
        <v>367013</v>
      </c>
      <c r="K13" s="253">
        <f t="shared" si="0"/>
        <v>1.1789976133651552</v>
      </c>
      <c r="L13" s="254">
        <f t="shared" si="0"/>
        <v>1.1789953516461982</v>
      </c>
      <c r="M13" s="255">
        <f t="shared" si="1"/>
        <v>75</v>
      </c>
      <c r="N13" s="256">
        <f t="shared" si="1"/>
        <v>55720</v>
      </c>
      <c r="O13" s="257">
        <f t="shared" si="2"/>
        <v>55720</v>
      </c>
    </row>
    <row r="14" spans="1:15" x14ac:dyDescent="0.2">
      <c r="A14" s="249" t="s">
        <v>220</v>
      </c>
      <c r="B14" s="250" t="s">
        <v>240</v>
      </c>
      <c r="C14" s="250" t="s">
        <v>240</v>
      </c>
      <c r="D14" s="250" t="s">
        <v>241</v>
      </c>
      <c r="E14" s="251">
        <v>2484</v>
      </c>
      <c r="F14" s="252">
        <v>1985042</v>
      </c>
      <c r="G14" s="251">
        <v>621</v>
      </c>
      <c r="H14" s="252">
        <v>496260</v>
      </c>
      <c r="I14" s="251">
        <v>627</v>
      </c>
      <c r="J14" s="252">
        <v>501055</v>
      </c>
      <c r="K14" s="253">
        <f t="shared" si="0"/>
        <v>1.0096618357487923</v>
      </c>
      <c r="L14" s="254">
        <f t="shared" si="0"/>
        <v>1.0096622738080845</v>
      </c>
      <c r="M14" s="255">
        <f t="shared" si="1"/>
        <v>6</v>
      </c>
      <c r="N14" s="256">
        <f t="shared" si="1"/>
        <v>4795</v>
      </c>
      <c r="O14" s="257">
        <f t="shared" si="2"/>
        <v>4795</v>
      </c>
    </row>
    <row r="15" spans="1:15" x14ac:dyDescent="0.2">
      <c r="A15" s="249" t="s">
        <v>214</v>
      </c>
      <c r="B15" s="250" t="s">
        <v>240</v>
      </c>
      <c r="C15" s="250" t="s">
        <v>240</v>
      </c>
      <c r="D15" s="250" t="s">
        <v>241</v>
      </c>
      <c r="E15" s="251">
        <v>2247</v>
      </c>
      <c r="F15" s="252">
        <v>2414436</v>
      </c>
      <c r="G15" s="251">
        <v>562</v>
      </c>
      <c r="H15" s="252">
        <v>603878</v>
      </c>
      <c r="I15" s="251">
        <v>611</v>
      </c>
      <c r="J15" s="252">
        <v>656529</v>
      </c>
      <c r="K15" s="253">
        <f t="shared" si="0"/>
        <v>1.0871886120996441</v>
      </c>
      <c r="L15" s="254">
        <f t="shared" si="0"/>
        <v>1.0871881406509263</v>
      </c>
      <c r="M15" s="255">
        <f t="shared" si="1"/>
        <v>49</v>
      </c>
      <c r="N15" s="256">
        <f t="shared" si="1"/>
        <v>52651</v>
      </c>
      <c r="O15" s="257">
        <f t="shared" si="2"/>
        <v>52651</v>
      </c>
    </row>
    <row r="16" spans="1:15" x14ac:dyDescent="0.2">
      <c r="A16" s="249" t="s">
        <v>219</v>
      </c>
      <c r="B16" s="250" t="s">
        <v>240</v>
      </c>
      <c r="C16" s="250" t="s">
        <v>240</v>
      </c>
      <c r="D16" s="250" t="s">
        <v>241</v>
      </c>
      <c r="E16" s="251">
        <v>3836</v>
      </c>
      <c r="F16" s="252">
        <v>5533302</v>
      </c>
      <c r="G16" s="251">
        <v>959</v>
      </c>
      <c r="H16" s="252">
        <v>1383325</v>
      </c>
      <c r="I16" s="251">
        <v>1226</v>
      </c>
      <c r="J16" s="252">
        <v>1768464</v>
      </c>
      <c r="K16" s="253">
        <f t="shared" si="0"/>
        <v>1.278415015641293</v>
      </c>
      <c r="L16" s="254">
        <f t="shared" si="0"/>
        <v>1.2784154121410369</v>
      </c>
      <c r="M16" s="255">
        <f t="shared" si="1"/>
        <v>267</v>
      </c>
      <c r="N16" s="256">
        <f t="shared" si="1"/>
        <v>385139</v>
      </c>
      <c r="O16" s="257">
        <f t="shared" si="2"/>
        <v>385139</v>
      </c>
    </row>
    <row r="17" spans="1:15" x14ac:dyDescent="0.2">
      <c r="A17" s="249" t="s">
        <v>195</v>
      </c>
      <c r="B17" s="250" t="s">
        <v>240</v>
      </c>
      <c r="C17" s="250" t="s">
        <v>240</v>
      </c>
      <c r="D17" s="250" t="s">
        <v>241</v>
      </c>
      <c r="E17" s="251">
        <v>457</v>
      </c>
      <c r="F17" s="252">
        <v>378787</v>
      </c>
      <c r="G17" s="251">
        <v>114</v>
      </c>
      <c r="H17" s="252">
        <v>94489</v>
      </c>
      <c r="I17" s="251">
        <v>120</v>
      </c>
      <c r="J17" s="252">
        <v>99463</v>
      </c>
      <c r="K17" s="253">
        <f t="shared" si="0"/>
        <v>1.0526315789473684</v>
      </c>
      <c r="L17" s="254">
        <f t="shared" si="0"/>
        <v>1.0526410481643367</v>
      </c>
      <c r="M17" s="255">
        <f t="shared" si="1"/>
        <v>6</v>
      </c>
      <c r="N17" s="256">
        <f t="shared" si="1"/>
        <v>4974</v>
      </c>
      <c r="O17" s="257">
        <f t="shared" si="2"/>
        <v>4974</v>
      </c>
    </row>
    <row r="18" spans="1:15" x14ac:dyDescent="0.2">
      <c r="A18" s="249" t="s">
        <v>208</v>
      </c>
      <c r="B18" s="250" t="s">
        <v>240</v>
      </c>
      <c r="C18" s="250" t="s">
        <v>240</v>
      </c>
      <c r="D18" s="250" t="s">
        <v>241</v>
      </c>
      <c r="E18" s="251">
        <v>268</v>
      </c>
      <c r="F18" s="252">
        <v>184625</v>
      </c>
      <c r="G18" s="251">
        <v>67</v>
      </c>
      <c r="H18" s="252">
        <v>46156</v>
      </c>
      <c r="I18" s="251">
        <v>84</v>
      </c>
      <c r="J18" s="252">
        <v>57867</v>
      </c>
      <c r="K18" s="253">
        <f t="shared" si="0"/>
        <v>1.2537313432835822</v>
      </c>
      <c r="L18" s="254">
        <f t="shared" si="0"/>
        <v>1.2537264927636711</v>
      </c>
      <c r="M18" s="255">
        <f t="shared" si="1"/>
        <v>17</v>
      </c>
      <c r="N18" s="256">
        <f t="shared" si="1"/>
        <v>11711</v>
      </c>
      <c r="O18" s="257">
        <f t="shared" si="2"/>
        <v>11711</v>
      </c>
    </row>
    <row r="19" spans="1:15" x14ac:dyDescent="0.2">
      <c r="A19" s="249" t="s">
        <v>206</v>
      </c>
      <c r="B19" s="250" t="s">
        <v>240</v>
      </c>
      <c r="C19" s="250" t="s">
        <v>240</v>
      </c>
      <c r="D19" s="250" t="s">
        <v>241</v>
      </c>
      <c r="E19" s="251">
        <v>328</v>
      </c>
      <c r="F19" s="252">
        <v>245014</v>
      </c>
      <c r="G19" s="251">
        <v>82</v>
      </c>
      <c r="H19" s="252">
        <v>61254</v>
      </c>
      <c r="I19" s="251">
        <v>117</v>
      </c>
      <c r="J19" s="252">
        <v>87398</v>
      </c>
      <c r="K19" s="253">
        <f t="shared" si="0"/>
        <v>1.4268292682926829</v>
      </c>
      <c r="L19" s="254">
        <f t="shared" si="0"/>
        <v>1.4268129428282235</v>
      </c>
      <c r="M19" s="255">
        <f t="shared" si="1"/>
        <v>35</v>
      </c>
      <c r="N19" s="256">
        <f t="shared" si="1"/>
        <v>26144</v>
      </c>
      <c r="O19" s="257">
        <f t="shared" si="2"/>
        <v>26144</v>
      </c>
    </row>
    <row r="20" spans="1:15" x14ac:dyDescent="0.2">
      <c r="A20" s="249" t="s">
        <v>217</v>
      </c>
      <c r="B20" s="250" t="s">
        <v>240</v>
      </c>
      <c r="C20" s="250" t="s">
        <v>240</v>
      </c>
      <c r="D20" s="250" t="s">
        <v>241</v>
      </c>
      <c r="E20" s="251">
        <v>209</v>
      </c>
      <c r="F20" s="252">
        <v>191685</v>
      </c>
      <c r="G20" s="251">
        <v>52</v>
      </c>
      <c r="H20" s="252">
        <v>47692</v>
      </c>
      <c r="I20" s="251">
        <v>69</v>
      </c>
      <c r="J20" s="252">
        <v>63284</v>
      </c>
      <c r="K20" s="253">
        <f t="shared" si="0"/>
        <v>1.3269230769230769</v>
      </c>
      <c r="L20" s="254">
        <f t="shared" si="0"/>
        <v>1.3269311414912355</v>
      </c>
      <c r="M20" s="255">
        <f t="shared" si="1"/>
        <v>17</v>
      </c>
      <c r="N20" s="256">
        <f t="shared" si="1"/>
        <v>15592</v>
      </c>
      <c r="O20" s="257">
        <f t="shared" si="2"/>
        <v>15592</v>
      </c>
    </row>
    <row r="21" spans="1:15" x14ac:dyDescent="0.2">
      <c r="A21" s="249" t="s">
        <v>205</v>
      </c>
      <c r="B21" s="250" t="s">
        <v>242</v>
      </c>
      <c r="C21" s="250" t="s">
        <v>242</v>
      </c>
      <c r="D21" s="250" t="s">
        <v>243</v>
      </c>
      <c r="E21" s="258">
        <v>65</v>
      </c>
      <c r="F21" s="259">
        <v>48701</v>
      </c>
      <c r="G21" s="260">
        <v>16</v>
      </c>
      <c r="H21" s="261">
        <v>11988</v>
      </c>
      <c r="I21" s="260">
        <v>30</v>
      </c>
      <c r="J21" s="261">
        <v>22478</v>
      </c>
      <c r="K21" s="262">
        <f t="shared" si="0"/>
        <v>1.875</v>
      </c>
      <c r="L21" s="263">
        <f t="shared" si="0"/>
        <v>1.8750417083750417</v>
      </c>
      <c r="M21" s="264">
        <f t="shared" si="1"/>
        <v>14</v>
      </c>
      <c r="N21" s="265">
        <f t="shared" si="1"/>
        <v>10490</v>
      </c>
      <c r="O21" s="257">
        <f t="shared" si="2"/>
        <v>10490</v>
      </c>
    </row>
    <row r="22" spans="1:15" x14ac:dyDescent="0.2">
      <c r="A22" s="249" t="s">
        <v>213</v>
      </c>
      <c r="B22" s="250" t="s">
        <v>242</v>
      </c>
      <c r="C22" s="250" t="s">
        <v>242</v>
      </c>
      <c r="D22" s="250" t="s">
        <v>243</v>
      </c>
      <c r="E22" s="258">
        <v>52</v>
      </c>
      <c r="F22" s="259">
        <v>38961</v>
      </c>
      <c r="G22" s="260">
        <v>13</v>
      </c>
      <c r="H22" s="261">
        <v>9740</v>
      </c>
      <c r="I22" s="260">
        <v>14</v>
      </c>
      <c r="J22" s="261">
        <v>10490</v>
      </c>
      <c r="K22" s="262">
        <f t="shared" si="0"/>
        <v>1.0769230769230769</v>
      </c>
      <c r="L22" s="263">
        <f t="shared" si="0"/>
        <v>1.0770020533880904</v>
      </c>
      <c r="M22" s="264">
        <f t="shared" si="1"/>
        <v>1</v>
      </c>
      <c r="N22" s="265">
        <f t="shared" si="1"/>
        <v>750</v>
      </c>
      <c r="O22" s="257">
        <f t="shared" si="2"/>
        <v>750</v>
      </c>
    </row>
    <row r="23" spans="1:15" x14ac:dyDescent="0.2">
      <c r="A23" s="249" t="s">
        <v>221</v>
      </c>
      <c r="B23" s="250" t="s">
        <v>242</v>
      </c>
      <c r="C23" s="250" t="s">
        <v>242</v>
      </c>
      <c r="D23" s="250" t="s">
        <v>243</v>
      </c>
      <c r="E23" s="258">
        <v>47</v>
      </c>
      <c r="F23" s="259">
        <v>35215</v>
      </c>
      <c r="G23" s="260">
        <v>12</v>
      </c>
      <c r="H23" s="261">
        <v>8991</v>
      </c>
      <c r="I23" s="260">
        <v>21</v>
      </c>
      <c r="J23" s="261">
        <v>15734</v>
      </c>
      <c r="K23" s="262">
        <f t="shared" si="0"/>
        <v>1.75</v>
      </c>
      <c r="L23" s="263">
        <f t="shared" si="0"/>
        <v>1.7499721944166389</v>
      </c>
      <c r="M23" s="264">
        <f t="shared" si="1"/>
        <v>9</v>
      </c>
      <c r="N23" s="265">
        <f t="shared" si="1"/>
        <v>6743</v>
      </c>
      <c r="O23" s="257">
        <f t="shared" si="2"/>
        <v>6743</v>
      </c>
    </row>
    <row r="24" spans="1:15" x14ac:dyDescent="0.2">
      <c r="A24" s="249" t="s">
        <v>196</v>
      </c>
      <c r="B24" s="250" t="s">
        <v>242</v>
      </c>
      <c r="C24" s="250" t="s">
        <v>242</v>
      </c>
      <c r="D24" s="250" t="s">
        <v>243</v>
      </c>
      <c r="E24" s="258">
        <v>39</v>
      </c>
      <c r="F24" s="259">
        <v>29221</v>
      </c>
      <c r="G24" s="260">
        <v>10</v>
      </c>
      <c r="H24" s="261">
        <v>7493</v>
      </c>
      <c r="I24" s="260">
        <v>18</v>
      </c>
      <c r="J24" s="261">
        <v>13487</v>
      </c>
      <c r="K24" s="262">
        <f t="shared" si="0"/>
        <v>1.8</v>
      </c>
      <c r="L24" s="263">
        <f t="shared" si="0"/>
        <v>1.7999466168423863</v>
      </c>
      <c r="M24" s="264">
        <f t="shared" si="1"/>
        <v>8</v>
      </c>
      <c r="N24" s="265">
        <f t="shared" si="1"/>
        <v>5994</v>
      </c>
      <c r="O24" s="257">
        <f t="shared" si="2"/>
        <v>5994</v>
      </c>
    </row>
    <row r="25" spans="1:15" x14ac:dyDescent="0.2">
      <c r="A25" s="249" t="s">
        <v>198</v>
      </c>
      <c r="B25" s="250" t="s">
        <v>242</v>
      </c>
      <c r="C25" s="250" t="s">
        <v>242</v>
      </c>
      <c r="D25" s="250" t="s">
        <v>243</v>
      </c>
      <c r="E25" s="258">
        <v>23</v>
      </c>
      <c r="F25" s="259">
        <v>17233</v>
      </c>
      <c r="G25" s="260">
        <v>6</v>
      </c>
      <c r="H25" s="261">
        <v>4496</v>
      </c>
      <c r="I25" s="260">
        <v>7</v>
      </c>
      <c r="J25" s="261">
        <v>5245</v>
      </c>
      <c r="K25" s="262">
        <f t="shared" si="0"/>
        <v>1.1666666666666667</v>
      </c>
      <c r="L25" s="263">
        <f t="shared" si="0"/>
        <v>1.1665925266903914</v>
      </c>
      <c r="M25" s="264">
        <f t="shared" si="1"/>
        <v>1</v>
      </c>
      <c r="N25" s="265">
        <f t="shared" si="1"/>
        <v>749</v>
      </c>
      <c r="O25" s="257">
        <f t="shared" si="2"/>
        <v>749</v>
      </c>
    </row>
    <row r="26" spans="1:15" x14ac:dyDescent="0.2">
      <c r="A26" s="249" t="s">
        <v>203</v>
      </c>
      <c r="B26" s="250" t="s">
        <v>242</v>
      </c>
      <c r="C26" s="250" t="s">
        <v>242</v>
      </c>
      <c r="D26" s="250" t="s">
        <v>243</v>
      </c>
      <c r="E26" s="258">
        <v>64</v>
      </c>
      <c r="F26" s="259">
        <v>47952</v>
      </c>
      <c r="G26" s="260">
        <v>16</v>
      </c>
      <c r="H26" s="261">
        <v>11988</v>
      </c>
      <c r="I26" s="260">
        <v>23</v>
      </c>
      <c r="J26" s="261">
        <v>17233</v>
      </c>
      <c r="K26" s="262">
        <f t="shared" si="0"/>
        <v>1.4375</v>
      </c>
      <c r="L26" s="263">
        <f t="shared" si="0"/>
        <v>1.4375208541875208</v>
      </c>
      <c r="M26" s="264">
        <f t="shared" si="1"/>
        <v>7</v>
      </c>
      <c r="N26" s="265">
        <f t="shared" si="1"/>
        <v>5245</v>
      </c>
      <c r="O26" s="257">
        <f t="shared" si="2"/>
        <v>5245</v>
      </c>
    </row>
    <row r="27" spans="1:15" x14ac:dyDescent="0.2">
      <c r="A27" s="249" t="s">
        <v>220</v>
      </c>
      <c r="B27" s="250" t="s">
        <v>242</v>
      </c>
      <c r="C27" s="250" t="s">
        <v>242</v>
      </c>
      <c r="D27" s="250" t="s">
        <v>243</v>
      </c>
      <c r="E27" s="258">
        <v>154</v>
      </c>
      <c r="F27" s="259">
        <v>115385</v>
      </c>
      <c r="G27" s="260">
        <v>39</v>
      </c>
      <c r="H27" s="261">
        <v>29221</v>
      </c>
      <c r="I27" s="260">
        <v>40</v>
      </c>
      <c r="J27" s="261">
        <v>29970</v>
      </c>
      <c r="K27" s="262">
        <f t="shared" si="0"/>
        <v>1.0256410256410255</v>
      </c>
      <c r="L27" s="263">
        <f t="shared" si="0"/>
        <v>1.0256322507785496</v>
      </c>
      <c r="M27" s="264">
        <f t="shared" si="1"/>
        <v>1</v>
      </c>
      <c r="N27" s="265">
        <f t="shared" si="1"/>
        <v>749</v>
      </c>
      <c r="O27" s="257">
        <f t="shared" si="2"/>
        <v>749</v>
      </c>
    </row>
    <row r="28" spans="1:15" x14ac:dyDescent="0.2">
      <c r="A28" s="249" t="s">
        <v>192</v>
      </c>
      <c r="B28" s="250" t="s">
        <v>242</v>
      </c>
      <c r="C28" s="250" t="s">
        <v>242</v>
      </c>
      <c r="D28" s="250" t="s">
        <v>243</v>
      </c>
      <c r="E28" s="258">
        <v>929</v>
      </c>
      <c r="F28" s="259">
        <v>696053</v>
      </c>
      <c r="G28" s="260">
        <v>232</v>
      </c>
      <c r="H28" s="261">
        <v>173826</v>
      </c>
      <c r="I28" s="260">
        <v>265</v>
      </c>
      <c r="J28" s="261">
        <v>198551</v>
      </c>
      <c r="K28" s="262">
        <f t="shared" si="0"/>
        <v>1.1422413793103448</v>
      </c>
      <c r="L28" s="263">
        <f t="shared" si="0"/>
        <v>1.1422399410905157</v>
      </c>
      <c r="M28" s="264">
        <f t="shared" si="1"/>
        <v>33</v>
      </c>
      <c r="N28" s="265">
        <f t="shared" si="1"/>
        <v>24725</v>
      </c>
      <c r="O28" s="257">
        <f t="shared" si="2"/>
        <v>24725</v>
      </c>
    </row>
    <row r="29" spans="1:15" x14ac:dyDescent="0.2">
      <c r="A29" s="249" t="s">
        <v>195</v>
      </c>
      <c r="B29" s="250" t="s">
        <v>242</v>
      </c>
      <c r="C29" s="250" t="s">
        <v>242</v>
      </c>
      <c r="D29" s="250" t="s">
        <v>243</v>
      </c>
      <c r="E29" s="258">
        <v>409</v>
      </c>
      <c r="F29" s="259">
        <v>306443</v>
      </c>
      <c r="G29" s="260">
        <v>102</v>
      </c>
      <c r="H29" s="261">
        <v>76424</v>
      </c>
      <c r="I29" s="260">
        <v>133</v>
      </c>
      <c r="J29" s="261">
        <v>99650</v>
      </c>
      <c r="K29" s="262">
        <f t="shared" si="0"/>
        <v>1.303921568627451</v>
      </c>
      <c r="L29" s="263">
        <f t="shared" si="0"/>
        <v>1.3039097665654769</v>
      </c>
      <c r="M29" s="264">
        <f t="shared" si="1"/>
        <v>31</v>
      </c>
      <c r="N29" s="265">
        <f t="shared" si="1"/>
        <v>23226</v>
      </c>
      <c r="O29" s="257">
        <f t="shared" si="2"/>
        <v>23226</v>
      </c>
    </row>
    <row r="30" spans="1:15" x14ac:dyDescent="0.2">
      <c r="A30" s="249" t="s">
        <v>208</v>
      </c>
      <c r="B30" s="250" t="s">
        <v>242</v>
      </c>
      <c r="C30" s="250" t="s">
        <v>242</v>
      </c>
      <c r="D30" s="250" t="s">
        <v>243</v>
      </c>
      <c r="E30" s="258">
        <v>913</v>
      </c>
      <c r="F30" s="259">
        <v>684065</v>
      </c>
      <c r="G30" s="260">
        <v>228</v>
      </c>
      <c r="H30" s="261">
        <v>170829</v>
      </c>
      <c r="I30" s="260">
        <v>312</v>
      </c>
      <c r="J30" s="261">
        <v>233766</v>
      </c>
      <c r="K30" s="262">
        <f t="shared" si="0"/>
        <v>1.368421052631579</v>
      </c>
      <c r="L30" s="263">
        <f t="shared" si="0"/>
        <v>1.368421052631579</v>
      </c>
      <c r="M30" s="264">
        <f t="shared" si="1"/>
        <v>84</v>
      </c>
      <c r="N30" s="265">
        <f t="shared" si="1"/>
        <v>62937</v>
      </c>
      <c r="O30" s="257">
        <f t="shared" si="2"/>
        <v>62937</v>
      </c>
    </row>
    <row r="31" spans="1:15" x14ac:dyDescent="0.2">
      <c r="A31" s="249" t="s">
        <v>218</v>
      </c>
      <c r="B31" s="250" t="s">
        <v>242</v>
      </c>
      <c r="C31" s="250" t="s">
        <v>242</v>
      </c>
      <c r="D31" s="250" t="s">
        <v>243</v>
      </c>
      <c r="E31" s="258">
        <v>77</v>
      </c>
      <c r="F31" s="259">
        <v>57692</v>
      </c>
      <c r="G31" s="260">
        <v>19</v>
      </c>
      <c r="H31" s="261">
        <v>14236</v>
      </c>
      <c r="I31" s="260">
        <v>20</v>
      </c>
      <c r="J31" s="261">
        <v>14985</v>
      </c>
      <c r="K31" s="262">
        <f t="shared" si="0"/>
        <v>1.0526315789473684</v>
      </c>
      <c r="L31" s="263">
        <f t="shared" si="0"/>
        <v>1.0526130935656084</v>
      </c>
      <c r="M31" s="264">
        <f t="shared" si="1"/>
        <v>1</v>
      </c>
      <c r="N31" s="265">
        <f t="shared" si="1"/>
        <v>749</v>
      </c>
      <c r="O31" s="257">
        <f t="shared" si="2"/>
        <v>749</v>
      </c>
    </row>
    <row r="32" spans="1:15" x14ac:dyDescent="0.2">
      <c r="A32" s="249" t="s">
        <v>206</v>
      </c>
      <c r="B32" s="250" t="s">
        <v>242</v>
      </c>
      <c r="C32" s="250" t="s">
        <v>242</v>
      </c>
      <c r="D32" s="250" t="s">
        <v>243</v>
      </c>
      <c r="E32" s="258">
        <v>298</v>
      </c>
      <c r="F32" s="259">
        <v>223277</v>
      </c>
      <c r="G32" s="260">
        <v>75</v>
      </c>
      <c r="H32" s="261">
        <v>56194</v>
      </c>
      <c r="I32" s="260">
        <v>93</v>
      </c>
      <c r="J32" s="261">
        <v>69680</v>
      </c>
      <c r="K32" s="262">
        <f t="shared" si="0"/>
        <v>1.24</v>
      </c>
      <c r="L32" s="263">
        <f t="shared" si="0"/>
        <v>1.2399900345232586</v>
      </c>
      <c r="M32" s="264">
        <f t="shared" si="1"/>
        <v>18</v>
      </c>
      <c r="N32" s="265">
        <f t="shared" si="1"/>
        <v>13486</v>
      </c>
      <c r="O32" s="257">
        <f t="shared" si="2"/>
        <v>13486</v>
      </c>
    </row>
    <row r="33" spans="1:15" x14ac:dyDescent="0.2">
      <c r="A33" s="249" t="s">
        <v>217</v>
      </c>
      <c r="B33" s="250" t="s">
        <v>242</v>
      </c>
      <c r="C33" s="250" t="s">
        <v>242</v>
      </c>
      <c r="D33" s="250" t="s">
        <v>243</v>
      </c>
      <c r="E33" s="258">
        <v>20</v>
      </c>
      <c r="F33" s="259">
        <v>14985</v>
      </c>
      <c r="G33" s="260">
        <v>5</v>
      </c>
      <c r="H33" s="261">
        <v>3746</v>
      </c>
      <c r="I33" s="260">
        <v>6</v>
      </c>
      <c r="J33" s="261">
        <v>4496</v>
      </c>
      <c r="K33" s="262">
        <f t="shared" si="0"/>
        <v>1.2</v>
      </c>
      <c r="L33" s="263">
        <f t="shared" si="0"/>
        <v>1.2002135611318741</v>
      </c>
      <c r="M33" s="264">
        <f t="shared" si="1"/>
        <v>1</v>
      </c>
      <c r="N33" s="265">
        <f t="shared" si="1"/>
        <v>750</v>
      </c>
      <c r="O33" s="257">
        <f t="shared" si="2"/>
        <v>750</v>
      </c>
    </row>
    <row r="34" spans="1:15" x14ac:dyDescent="0.2">
      <c r="A34" s="249" t="s">
        <v>215</v>
      </c>
      <c r="B34" s="250" t="s">
        <v>242</v>
      </c>
      <c r="C34" s="250" t="s">
        <v>242</v>
      </c>
      <c r="D34" s="250" t="s">
        <v>244</v>
      </c>
      <c r="E34" s="258">
        <v>82</v>
      </c>
      <c r="F34" s="259">
        <v>54373</v>
      </c>
      <c r="G34" s="260">
        <v>21</v>
      </c>
      <c r="H34" s="261">
        <v>13593</v>
      </c>
      <c r="I34" s="260">
        <v>55</v>
      </c>
      <c r="J34" s="261">
        <v>27522</v>
      </c>
      <c r="K34" s="262">
        <f t="shared" si="0"/>
        <v>2.6190476190476191</v>
      </c>
      <c r="L34" s="263">
        <f t="shared" si="0"/>
        <v>2.024718605164423</v>
      </c>
      <c r="M34" s="264">
        <f t="shared" si="1"/>
        <v>34</v>
      </c>
      <c r="N34" s="265">
        <f t="shared" si="1"/>
        <v>13929</v>
      </c>
      <c r="O34" s="257">
        <f t="shared" si="2"/>
        <v>13929</v>
      </c>
    </row>
    <row r="35" spans="1:15" x14ac:dyDescent="0.2">
      <c r="A35" s="249" t="s">
        <v>205</v>
      </c>
      <c r="B35" s="250" t="s">
        <v>242</v>
      </c>
      <c r="C35" s="250" t="s">
        <v>242</v>
      </c>
      <c r="D35" s="250" t="s">
        <v>244</v>
      </c>
      <c r="E35" s="258">
        <v>78</v>
      </c>
      <c r="F35" s="259">
        <v>92826</v>
      </c>
      <c r="G35" s="260">
        <v>20</v>
      </c>
      <c r="H35" s="261">
        <v>23207</v>
      </c>
      <c r="I35" s="260">
        <v>55</v>
      </c>
      <c r="J35" s="261">
        <v>59723</v>
      </c>
      <c r="K35" s="262">
        <f t="shared" si="0"/>
        <v>2.75</v>
      </c>
      <c r="L35" s="263">
        <f t="shared" si="0"/>
        <v>2.573490757099151</v>
      </c>
      <c r="M35" s="264">
        <f t="shared" si="1"/>
        <v>35</v>
      </c>
      <c r="N35" s="265">
        <f t="shared" si="1"/>
        <v>36516</v>
      </c>
      <c r="O35" s="257">
        <f t="shared" si="2"/>
        <v>36516</v>
      </c>
    </row>
    <row r="36" spans="1:15" x14ac:dyDescent="0.2">
      <c r="A36" s="249" t="s">
        <v>213</v>
      </c>
      <c r="B36" s="250" t="s">
        <v>242</v>
      </c>
      <c r="C36" s="250" t="s">
        <v>242</v>
      </c>
      <c r="D36" s="250" t="s">
        <v>244</v>
      </c>
      <c r="E36" s="258">
        <v>103</v>
      </c>
      <c r="F36" s="259">
        <v>56756</v>
      </c>
      <c r="G36" s="260">
        <v>26</v>
      </c>
      <c r="H36" s="261">
        <v>14189</v>
      </c>
      <c r="I36" s="260">
        <v>58</v>
      </c>
      <c r="J36" s="261">
        <v>26696</v>
      </c>
      <c r="K36" s="262">
        <f t="shared" si="0"/>
        <v>2.2307692307692308</v>
      </c>
      <c r="L36" s="263">
        <f t="shared" si="0"/>
        <v>1.8814574670519417</v>
      </c>
      <c r="M36" s="264">
        <f t="shared" si="1"/>
        <v>32</v>
      </c>
      <c r="N36" s="265">
        <f t="shared" si="1"/>
        <v>12507</v>
      </c>
      <c r="O36" s="257">
        <f t="shared" si="2"/>
        <v>12507</v>
      </c>
    </row>
    <row r="37" spans="1:15" x14ac:dyDescent="0.2">
      <c r="A37" s="249" t="s">
        <v>221</v>
      </c>
      <c r="B37" s="250" t="s">
        <v>242</v>
      </c>
      <c r="C37" s="250" t="s">
        <v>242</v>
      </c>
      <c r="D37" s="250" t="s">
        <v>244</v>
      </c>
      <c r="E37" s="258">
        <v>405</v>
      </c>
      <c r="F37" s="259">
        <v>345368</v>
      </c>
      <c r="G37" s="260">
        <v>101</v>
      </c>
      <c r="H37" s="261">
        <v>86342</v>
      </c>
      <c r="I37" s="260">
        <v>260</v>
      </c>
      <c r="J37" s="261">
        <v>212195</v>
      </c>
      <c r="K37" s="262">
        <f t="shared" si="0"/>
        <v>2.5742574257425743</v>
      </c>
      <c r="L37" s="263">
        <f t="shared" si="0"/>
        <v>2.457610432929513</v>
      </c>
      <c r="M37" s="264">
        <f t="shared" si="1"/>
        <v>159</v>
      </c>
      <c r="N37" s="265">
        <f t="shared" si="1"/>
        <v>125853</v>
      </c>
      <c r="O37" s="257">
        <f t="shared" si="2"/>
        <v>125853</v>
      </c>
    </row>
    <row r="38" spans="1:15" x14ac:dyDescent="0.2">
      <c r="A38" s="249" t="s">
        <v>222</v>
      </c>
      <c r="B38" s="250" t="s">
        <v>242</v>
      </c>
      <c r="C38" s="250" t="s">
        <v>242</v>
      </c>
      <c r="D38" s="250" t="s">
        <v>244</v>
      </c>
      <c r="E38" s="258">
        <v>63</v>
      </c>
      <c r="F38" s="259">
        <v>44516</v>
      </c>
      <c r="G38" s="260">
        <v>16</v>
      </c>
      <c r="H38" s="261">
        <v>11129</v>
      </c>
      <c r="I38" s="260">
        <v>18</v>
      </c>
      <c r="J38" s="261">
        <v>11468</v>
      </c>
      <c r="K38" s="262">
        <f t="shared" si="0"/>
        <v>1.125</v>
      </c>
      <c r="L38" s="263">
        <f t="shared" si="0"/>
        <v>1.030460957857849</v>
      </c>
      <c r="M38" s="264">
        <f t="shared" si="1"/>
        <v>2</v>
      </c>
      <c r="N38" s="265">
        <f t="shared" si="1"/>
        <v>339</v>
      </c>
      <c r="O38" s="257">
        <f t="shared" si="2"/>
        <v>339</v>
      </c>
    </row>
    <row r="39" spans="1:15" x14ac:dyDescent="0.2">
      <c r="A39" s="249" t="s">
        <v>193</v>
      </c>
      <c r="B39" s="250" t="s">
        <v>242</v>
      </c>
      <c r="C39" s="250" t="s">
        <v>242</v>
      </c>
      <c r="D39" s="250" t="s">
        <v>244</v>
      </c>
      <c r="E39" s="258">
        <v>23</v>
      </c>
      <c r="F39" s="259">
        <v>16277</v>
      </c>
      <c r="G39" s="260">
        <v>6</v>
      </c>
      <c r="H39" s="261">
        <v>4069</v>
      </c>
      <c r="I39" s="260">
        <v>19</v>
      </c>
      <c r="J39" s="261">
        <v>18623</v>
      </c>
      <c r="K39" s="262">
        <f t="shared" si="0"/>
        <v>3.1666666666666665</v>
      </c>
      <c r="L39" s="263">
        <f t="shared" si="0"/>
        <v>4.5768001966085032</v>
      </c>
      <c r="M39" s="264">
        <f t="shared" si="1"/>
        <v>13</v>
      </c>
      <c r="N39" s="265">
        <f t="shared" si="1"/>
        <v>14554</v>
      </c>
      <c r="O39" s="257">
        <f t="shared" si="2"/>
        <v>14554</v>
      </c>
    </row>
    <row r="40" spans="1:15" x14ac:dyDescent="0.2">
      <c r="A40" s="249" t="s">
        <v>194</v>
      </c>
      <c r="B40" s="250" t="s">
        <v>242</v>
      </c>
      <c r="C40" s="250" t="s">
        <v>242</v>
      </c>
      <c r="D40" s="250" t="s">
        <v>244</v>
      </c>
      <c r="E40" s="258">
        <v>23</v>
      </c>
      <c r="F40" s="259">
        <v>21533</v>
      </c>
      <c r="G40" s="260">
        <v>6</v>
      </c>
      <c r="H40" s="261">
        <v>5383</v>
      </c>
      <c r="I40" s="260">
        <v>24</v>
      </c>
      <c r="J40" s="261">
        <v>16605</v>
      </c>
      <c r="K40" s="262">
        <f t="shared" si="0"/>
        <v>4</v>
      </c>
      <c r="L40" s="263">
        <f t="shared" si="0"/>
        <v>3.0847111276240016</v>
      </c>
      <c r="M40" s="264">
        <f t="shared" si="1"/>
        <v>18</v>
      </c>
      <c r="N40" s="265">
        <f t="shared" si="1"/>
        <v>11222</v>
      </c>
      <c r="O40" s="257">
        <f t="shared" si="2"/>
        <v>11222</v>
      </c>
    </row>
    <row r="41" spans="1:15" x14ac:dyDescent="0.2">
      <c r="A41" s="249" t="s">
        <v>209</v>
      </c>
      <c r="B41" s="250" t="s">
        <v>242</v>
      </c>
      <c r="C41" s="250" t="s">
        <v>242</v>
      </c>
      <c r="D41" s="250" t="s">
        <v>244</v>
      </c>
      <c r="E41" s="258">
        <v>4</v>
      </c>
      <c r="F41" s="259">
        <v>5947</v>
      </c>
      <c r="G41" s="260">
        <v>1</v>
      </c>
      <c r="H41" s="261">
        <v>1487</v>
      </c>
      <c r="I41" s="260">
        <v>5</v>
      </c>
      <c r="J41" s="261">
        <v>12935</v>
      </c>
      <c r="K41" s="262">
        <f t="shared" si="0"/>
        <v>5</v>
      </c>
      <c r="L41" s="263">
        <f t="shared" si="0"/>
        <v>8.6987222595830538</v>
      </c>
      <c r="M41" s="264">
        <f t="shared" si="1"/>
        <v>4</v>
      </c>
      <c r="N41" s="265">
        <f t="shared" si="1"/>
        <v>11448</v>
      </c>
      <c r="O41" s="257">
        <f t="shared" si="2"/>
        <v>11448</v>
      </c>
    </row>
    <row r="42" spans="1:15" x14ac:dyDescent="0.2">
      <c r="A42" s="249" t="s">
        <v>210</v>
      </c>
      <c r="B42" s="250" t="s">
        <v>242</v>
      </c>
      <c r="C42" s="250" t="s">
        <v>242</v>
      </c>
      <c r="D42" s="250" t="s">
        <v>244</v>
      </c>
      <c r="E42" s="258">
        <v>14</v>
      </c>
      <c r="F42" s="259">
        <v>11118</v>
      </c>
      <c r="G42" s="260">
        <v>4</v>
      </c>
      <c r="H42" s="261">
        <v>2780</v>
      </c>
      <c r="I42" s="260">
        <v>4</v>
      </c>
      <c r="J42" s="261">
        <v>5229</v>
      </c>
      <c r="K42" s="262">
        <f t="shared" si="0"/>
        <v>1</v>
      </c>
      <c r="L42" s="263">
        <f t="shared" si="0"/>
        <v>1.8809352517985611</v>
      </c>
      <c r="M42" s="264">
        <f t="shared" si="1"/>
        <v>0</v>
      </c>
      <c r="N42" s="265">
        <f t="shared" si="1"/>
        <v>2449</v>
      </c>
      <c r="O42" s="257">
        <f t="shared" si="2"/>
        <v>2449</v>
      </c>
    </row>
    <row r="43" spans="1:15" x14ac:dyDescent="0.2">
      <c r="A43" s="249" t="s">
        <v>207</v>
      </c>
      <c r="B43" s="250" t="s">
        <v>242</v>
      </c>
      <c r="C43" s="250" t="s">
        <v>242</v>
      </c>
      <c r="D43" s="250" t="s">
        <v>244</v>
      </c>
      <c r="E43" s="258">
        <v>78</v>
      </c>
      <c r="F43" s="259">
        <v>150270</v>
      </c>
      <c r="G43" s="260">
        <v>20</v>
      </c>
      <c r="H43" s="261">
        <v>37568</v>
      </c>
      <c r="I43" s="260">
        <v>33</v>
      </c>
      <c r="J43" s="261">
        <v>63668</v>
      </c>
      <c r="K43" s="262">
        <f t="shared" si="0"/>
        <v>1.65</v>
      </c>
      <c r="L43" s="263">
        <f t="shared" si="0"/>
        <v>1.6947402044293016</v>
      </c>
      <c r="M43" s="264">
        <f t="shared" si="1"/>
        <v>13</v>
      </c>
      <c r="N43" s="265">
        <f t="shared" si="1"/>
        <v>26100</v>
      </c>
      <c r="O43" s="257">
        <f t="shared" si="2"/>
        <v>26100</v>
      </c>
    </row>
    <row r="44" spans="1:15" x14ac:dyDescent="0.2">
      <c r="A44" s="249" t="s">
        <v>206</v>
      </c>
      <c r="B44" s="250" t="s">
        <v>242</v>
      </c>
      <c r="C44" s="250" t="s">
        <v>242</v>
      </c>
      <c r="D44" s="250" t="s">
        <v>244</v>
      </c>
      <c r="E44" s="258">
        <v>23</v>
      </c>
      <c r="F44" s="259">
        <v>43160</v>
      </c>
      <c r="G44" s="260">
        <v>6</v>
      </c>
      <c r="H44" s="261">
        <v>10790</v>
      </c>
      <c r="I44" s="260">
        <v>15</v>
      </c>
      <c r="J44" s="261">
        <v>30274</v>
      </c>
      <c r="K44" s="262">
        <f t="shared" si="0"/>
        <v>2.5</v>
      </c>
      <c r="L44" s="263">
        <f t="shared" si="0"/>
        <v>2.8057460611677478</v>
      </c>
      <c r="M44" s="264">
        <f t="shared" si="1"/>
        <v>9</v>
      </c>
      <c r="N44" s="265">
        <f t="shared" si="1"/>
        <v>19484</v>
      </c>
      <c r="O44" s="257">
        <f t="shared" si="2"/>
        <v>19484</v>
      </c>
    </row>
    <row r="45" spans="1:15" x14ac:dyDescent="0.2">
      <c r="A45" s="249" t="s">
        <v>211</v>
      </c>
      <c r="B45" s="250" t="s">
        <v>245</v>
      </c>
      <c r="C45" s="250" t="s">
        <v>246</v>
      </c>
      <c r="D45" s="250" t="s">
        <v>247</v>
      </c>
      <c r="E45" s="258">
        <v>0</v>
      </c>
      <c r="F45" s="259">
        <v>391510</v>
      </c>
      <c r="G45" s="260">
        <v>0</v>
      </c>
      <c r="H45" s="261">
        <v>97878</v>
      </c>
      <c r="I45" s="260"/>
      <c r="J45" s="261">
        <v>134083</v>
      </c>
      <c r="K45" s="262">
        <v>0</v>
      </c>
      <c r="L45" s="263">
        <f t="shared" si="0"/>
        <v>1.3698992623470034</v>
      </c>
      <c r="M45" s="264">
        <f t="shared" si="1"/>
        <v>0</v>
      </c>
      <c r="N45" s="265">
        <f t="shared" si="1"/>
        <v>36205</v>
      </c>
      <c r="O45" s="257">
        <f t="shared" si="2"/>
        <v>36205</v>
      </c>
    </row>
    <row r="46" spans="1:15" x14ac:dyDescent="0.2">
      <c r="A46" s="249" t="s">
        <v>215</v>
      </c>
      <c r="B46" s="250" t="s">
        <v>245</v>
      </c>
      <c r="C46" s="250" t="s">
        <v>246</v>
      </c>
      <c r="D46" s="250" t="s">
        <v>247</v>
      </c>
      <c r="E46" s="258">
        <v>0</v>
      </c>
      <c r="F46" s="259">
        <v>977813</v>
      </c>
      <c r="G46" s="260">
        <v>0</v>
      </c>
      <c r="H46" s="261">
        <v>244453</v>
      </c>
      <c r="I46" s="260"/>
      <c r="J46" s="261">
        <v>313081</v>
      </c>
      <c r="K46" s="262">
        <v>0</v>
      </c>
      <c r="L46" s="263">
        <f t="shared" si="0"/>
        <v>1.2807410831529988</v>
      </c>
      <c r="M46" s="264">
        <f t="shared" si="1"/>
        <v>0</v>
      </c>
      <c r="N46" s="265">
        <f t="shared" si="1"/>
        <v>68628</v>
      </c>
      <c r="O46" s="257">
        <f t="shared" si="2"/>
        <v>68628</v>
      </c>
    </row>
    <row r="47" spans="1:15" x14ac:dyDescent="0.2">
      <c r="A47" s="249" t="s">
        <v>199</v>
      </c>
      <c r="B47" s="250" t="s">
        <v>245</v>
      </c>
      <c r="C47" s="250" t="s">
        <v>246</v>
      </c>
      <c r="D47" s="250" t="s">
        <v>247</v>
      </c>
      <c r="E47" s="258">
        <v>0</v>
      </c>
      <c r="F47" s="259">
        <v>59662</v>
      </c>
      <c r="G47" s="260">
        <v>0</v>
      </c>
      <c r="H47" s="261">
        <v>14916</v>
      </c>
      <c r="I47" s="260"/>
      <c r="J47" s="261">
        <v>17346</v>
      </c>
      <c r="K47" s="262">
        <v>0</v>
      </c>
      <c r="L47" s="263">
        <f t="shared" si="0"/>
        <v>1.162912308930008</v>
      </c>
      <c r="M47" s="264">
        <f t="shared" si="1"/>
        <v>0</v>
      </c>
      <c r="N47" s="265">
        <f t="shared" si="1"/>
        <v>2430</v>
      </c>
      <c r="O47" s="257">
        <f t="shared" si="2"/>
        <v>2430</v>
      </c>
    </row>
    <row r="48" spans="1:15" x14ac:dyDescent="0.2">
      <c r="A48" s="249" t="s">
        <v>200</v>
      </c>
      <c r="B48" s="250" t="s">
        <v>245</v>
      </c>
      <c r="C48" s="250" t="s">
        <v>246</v>
      </c>
      <c r="D48" s="250" t="s">
        <v>247</v>
      </c>
      <c r="E48" s="258">
        <v>0</v>
      </c>
      <c r="F48" s="259">
        <v>61706</v>
      </c>
      <c r="G48" s="260">
        <v>0</v>
      </c>
      <c r="H48" s="261">
        <v>15427</v>
      </c>
      <c r="I48" s="260"/>
      <c r="J48" s="261">
        <v>43486</v>
      </c>
      <c r="K48" s="262">
        <v>0</v>
      </c>
      <c r="L48" s="263">
        <f t="shared" si="0"/>
        <v>2.8188241394956894</v>
      </c>
      <c r="M48" s="264">
        <f t="shared" si="1"/>
        <v>0</v>
      </c>
      <c r="N48" s="265">
        <f t="shared" si="1"/>
        <v>28059</v>
      </c>
      <c r="O48" s="257">
        <f t="shared" si="2"/>
        <v>28059</v>
      </c>
    </row>
    <row r="49" spans="1:15" x14ac:dyDescent="0.2">
      <c r="A49" s="249" t="s">
        <v>205</v>
      </c>
      <c r="B49" s="250" t="s">
        <v>245</v>
      </c>
      <c r="C49" s="250" t="s">
        <v>246</v>
      </c>
      <c r="D49" s="250" t="s">
        <v>247</v>
      </c>
      <c r="E49" s="258">
        <v>0</v>
      </c>
      <c r="F49" s="259">
        <v>167524</v>
      </c>
      <c r="G49" s="260">
        <v>0</v>
      </c>
      <c r="H49" s="261">
        <v>41881</v>
      </c>
      <c r="I49" s="260"/>
      <c r="J49" s="261">
        <v>49463</v>
      </c>
      <c r="K49" s="262">
        <v>0</v>
      </c>
      <c r="L49" s="263">
        <f t="shared" si="0"/>
        <v>1.1810367469735679</v>
      </c>
      <c r="M49" s="264">
        <f t="shared" si="1"/>
        <v>0</v>
      </c>
      <c r="N49" s="265">
        <f t="shared" si="1"/>
        <v>7582</v>
      </c>
      <c r="O49" s="257">
        <f t="shared" si="2"/>
        <v>7582</v>
      </c>
    </row>
    <row r="50" spans="1:15" x14ac:dyDescent="0.2">
      <c r="A50" s="249" t="s">
        <v>221</v>
      </c>
      <c r="B50" s="250" t="s">
        <v>245</v>
      </c>
      <c r="C50" s="250" t="s">
        <v>246</v>
      </c>
      <c r="D50" s="250" t="s">
        <v>247</v>
      </c>
      <c r="E50" s="258">
        <v>0</v>
      </c>
      <c r="F50" s="259">
        <v>138097</v>
      </c>
      <c r="G50" s="260">
        <v>0</v>
      </c>
      <c r="H50" s="261">
        <v>34524</v>
      </c>
      <c r="I50" s="260"/>
      <c r="J50" s="261">
        <v>39573</v>
      </c>
      <c r="K50" s="262">
        <v>0</v>
      </c>
      <c r="L50" s="263">
        <f t="shared" si="0"/>
        <v>1.1462460896767466</v>
      </c>
      <c r="M50" s="264">
        <f t="shared" si="1"/>
        <v>0</v>
      </c>
      <c r="N50" s="265">
        <f t="shared" si="1"/>
        <v>5049</v>
      </c>
      <c r="O50" s="257">
        <f t="shared" si="2"/>
        <v>5049</v>
      </c>
    </row>
    <row r="51" spans="1:15" x14ac:dyDescent="0.2">
      <c r="A51" s="249" t="s">
        <v>222</v>
      </c>
      <c r="B51" s="250" t="s">
        <v>245</v>
      </c>
      <c r="C51" s="250" t="s">
        <v>246</v>
      </c>
      <c r="D51" s="250" t="s">
        <v>247</v>
      </c>
      <c r="E51" s="258">
        <v>0</v>
      </c>
      <c r="F51" s="259">
        <v>100014</v>
      </c>
      <c r="G51" s="260">
        <v>0</v>
      </c>
      <c r="H51" s="261">
        <v>25004</v>
      </c>
      <c r="I51" s="260"/>
      <c r="J51" s="261">
        <v>48731</v>
      </c>
      <c r="K51" s="262">
        <v>0</v>
      </c>
      <c r="L51" s="263">
        <f t="shared" si="0"/>
        <v>1.9489281714925613</v>
      </c>
      <c r="M51" s="264">
        <f t="shared" si="1"/>
        <v>0</v>
      </c>
      <c r="N51" s="265">
        <f t="shared" si="1"/>
        <v>23727</v>
      </c>
      <c r="O51" s="257">
        <f t="shared" si="2"/>
        <v>23727</v>
      </c>
    </row>
    <row r="52" spans="1:15" x14ac:dyDescent="0.2">
      <c r="A52" s="249" t="s">
        <v>193</v>
      </c>
      <c r="B52" s="250" t="s">
        <v>245</v>
      </c>
      <c r="C52" s="250" t="s">
        <v>246</v>
      </c>
      <c r="D52" s="250" t="s">
        <v>247</v>
      </c>
      <c r="E52" s="258">
        <v>0</v>
      </c>
      <c r="F52" s="259">
        <v>8177</v>
      </c>
      <c r="G52" s="260">
        <v>0</v>
      </c>
      <c r="H52" s="261">
        <v>2044</v>
      </c>
      <c r="I52" s="260"/>
      <c r="J52" s="261">
        <v>3093</v>
      </c>
      <c r="K52" s="262">
        <v>0</v>
      </c>
      <c r="L52" s="263">
        <f t="shared" si="0"/>
        <v>1.5132093933463797</v>
      </c>
      <c r="M52" s="264">
        <f t="shared" si="1"/>
        <v>0</v>
      </c>
      <c r="N52" s="265">
        <f t="shared" si="1"/>
        <v>1049</v>
      </c>
      <c r="O52" s="257">
        <f t="shared" si="2"/>
        <v>1049</v>
      </c>
    </row>
    <row r="53" spans="1:15" x14ac:dyDescent="0.2">
      <c r="A53" s="249" t="s">
        <v>194</v>
      </c>
      <c r="B53" s="250" t="s">
        <v>245</v>
      </c>
      <c r="C53" s="250" t="s">
        <v>246</v>
      </c>
      <c r="D53" s="250" t="s">
        <v>247</v>
      </c>
      <c r="E53" s="266">
        <v>0</v>
      </c>
      <c r="F53" s="267">
        <v>9892</v>
      </c>
      <c r="G53" s="266">
        <v>0</v>
      </c>
      <c r="H53" s="267">
        <v>2473</v>
      </c>
      <c r="I53" s="266"/>
      <c r="J53" s="267">
        <v>18374</v>
      </c>
      <c r="K53" s="268">
        <v>0</v>
      </c>
      <c r="L53" s="269">
        <f t="shared" si="0"/>
        <v>7.4298422968054991</v>
      </c>
      <c r="M53" s="270">
        <f t="shared" si="1"/>
        <v>0</v>
      </c>
      <c r="N53" s="271">
        <f t="shared" si="1"/>
        <v>15901</v>
      </c>
      <c r="O53" s="257">
        <f t="shared" si="2"/>
        <v>15901</v>
      </c>
    </row>
    <row r="54" spans="1:15" x14ac:dyDescent="0.2">
      <c r="A54" s="249" t="s">
        <v>196</v>
      </c>
      <c r="B54" s="250" t="s">
        <v>245</v>
      </c>
      <c r="C54" s="250" t="s">
        <v>246</v>
      </c>
      <c r="D54" s="250" t="s">
        <v>247</v>
      </c>
      <c r="E54" s="258">
        <v>0</v>
      </c>
      <c r="F54" s="259">
        <v>25613</v>
      </c>
      <c r="G54" s="260">
        <v>0</v>
      </c>
      <c r="H54" s="261">
        <v>6403</v>
      </c>
      <c r="I54" s="260"/>
      <c r="J54" s="261">
        <v>8378</v>
      </c>
      <c r="K54" s="262">
        <v>0</v>
      </c>
      <c r="L54" s="263">
        <f t="shared" si="0"/>
        <v>1.308449164454162</v>
      </c>
      <c r="M54" s="264">
        <f t="shared" si="1"/>
        <v>0</v>
      </c>
      <c r="N54" s="265">
        <f t="shared" si="1"/>
        <v>1975</v>
      </c>
      <c r="O54" s="257">
        <f t="shared" si="2"/>
        <v>1975</v>
      </c>
    </row>
    <row r="55" spans="1:15" x14ac:dyDescent="0.2">
      <c r="A55" s="249" t="s">
        <v>198</v>
      </c>
      <c r="B55" s="250" t="s">
        <v>245</v>
      </c>
      <c r="C55" s="250" t="s">
        <v>246</v>
      </c>
      <c r="D55" s="250" t="s">
        <v>247</v>
      </c>
      <c r="E55" s="258">
        <v>0</v>
      </c>
      <c r="F55" s="259">
        <v>26072</v>
      </c>
      <c r="G55" s="260">
        <v>0</v>
      </c>
      <c r="H55" s="261">
        <v>6518</v>
      </c>
      <c r="I55" s="260"/>
      <c r="J55" s="261">
        <v>9100</v>
      </c>
      <c r="K55" s="262">
        <v>0</v>
      </c>
      <c r="L55" s="263">
        <f t="shared" si="0"/>
        <v>1.3961337833691316</v>
      </c>
      <c r="M55" s="264">
        <f t="shared" si="1"/>
        <v>0</v>
      </c>
      <c r="N55" s="265">
        <f t="shared" si="1"/>
        <v>2582</v>
      </c>
      <c r="O55" s="257">
        <f t="shared" si="2"/>
        <v>2582</v>
      </c>
    </row>
    <row r="56" spans="1:15" x14ac:dyDescent="0.2">
      <c r="A56" s="249" t="s">
        <v>201</v>
      </c>
      <c r="B56" s="250" t="s">
        <v>245</v>
      </c>
      <c r="C56" s="250" t="s">
        <v>246</v>
      </c>
      <c r="D56" s="250" t="s">
        <v>247</v>
      </c>
      <c r="E56" s="258">
        <v>0</v>
      </c>
      <c r="F56" s="259">
        <v>11839</v>
      </c>
      <c r="G56" s="260">
        <v>0</v>
      </c>
      <c r="H56" s="261">
        <v>2960</v>
      </c>
      <c r="I56" s="260"/>
      <c r="J56" s="261">
        <v>9693</v>
      </c>
      <c r="K56" s="262">
        <v>0</v>
      </c>
      <c r="L56" s="263">
        <f t="shared" si="0"/>
        <v>3.2746621621621621</v>
      </c>
      <c r="M56" s="264">
        <f t="shared" si="1"/>
        <v>0</v>
      </c>
      <c r="N56" s="265">
        <f t="shared" si="1"/>
        <v>6733</v>
      </c>
      <c r="O56" s="257">
        <f t="shared" si="2"/>
        <v>6733</v>
      </c>
    </row>
    <row r="57" spans="1:15" x14ac:dyDescent="0.2">
      <c r="A57" s="249" t="s">
        <v>203</v>
      </c>
      <c r="B57" s="250" t="s">
        <v>245</v>
      </c>
      <c r="C57" s="250" t="s">
        <v>246</v>
      </c>
      <c r="D57" s="250" t="s">
        <v>247</v>
      </c>
      <c r="E57" s="258">
        <v>0</v>
      </c>
      <c r="F57" s="259">
        <v>32619</v>
      </c>
      <c r="G57" s="260">
        <v>0</v>
      </c>
      <c r="H57" s="261">
        <v>8155</v>
      </c>
      <c r="I57" s="260"/>
      <c r="J57" s="261">
        <v>12521</v>
      </c>
      <c r="K57" s="262">
        <v>0</v>
      </c>
      <c r="L57" s="263">
        <f t="shared" si="0"/>
        <v>1.5353770692826487</v>
      </c>
      <c r="M57" s="264">
        <f t="shared" si="1"/>
        <v>0</v>
      </c>
      <c r="N57" s="265">
        <f t="shared" si="1"/>
        <v>4366</v>
      </c>
      <c r="O57" s="257">
        <f t="shared" si="2"/>
        <v>4366</v>
      </c>
    </row>
    <row r="58" spans="1:15" x14ac:dyDescent="0.2">
      <c r="A58" s="249" t="s">
        <v>209</v>
      </c>
      <c r="B58" s="250" t="s">
        <v>245</v>
      </c>
      <c r="C58" s="250" t="s">
        <v>246</v>
      </c>
      <c r="D58" s="250" t="s">
        <v>247</v>
      </c>
      <c r="E58" s="258">
        <v>0</v>
      </c>
      <c r="F58" s="259">
        <v>20279</v>
      </c>
      <c r="G58" s="260">
        <v>0</v>
      </c>
      <c r="H58" s="261">
        <v>5070</v>
      </c>
      <c r="I58" s="260"/>
      <c r="J58" s="261">
        <v>6659</v>
      </c>
      <c r="K58" s="262">
        <v>0</v>
      </c>
      <c r="L58" s="263">
        <f t="shared" si="0"/>
        <v>1.3134122287968442</v>
      </c>
      <c r="M58" s="264">
        <f t="shared" si="1"/>
        <v>0</v>
      </c>
      <c r="N58" s="265">
        <f t="shared" si="1"/>
        <v>1589</v>
      </c>
      <c r="O58" s="257">
        <f t="shared" si="2"/>
        <v>1589</v>
      </c>
    </row>
    <row r="59" spans="1:15" x14ac:dyDescent="0.2">
      <c r="A59" s="249" t="s">
        <v>210</v>
      </c>
      <c r="B59" s="250" t="s">
        <v>245</v>
      </c>
      <c r="C59" s="250" t="s">
        <v>246</v>
      </c>
      <c r="D59" s="250" t="s">
        <v>247</v>
      </c>
      <c r="E59" s="258">
        <v>0</v>
      </c>
      <c r="F59" s="259">
        <v>16262</v>
      </c>
      <c r="G59" s="260">
        <v>0</v>
      </c>
      <c r="H59" s="261">
        <v>4066</v>
      </c>
      <c r="I59" s="260"/>
      <c r="J59" s="261">
        <v>4664</v>
      </c>
      <c r="K59" s="262">
        <v>0</v>
      </c>
      <c r="L59" s="263">
        <f t="shared" si="0"/>
        <v>1.147073290703394</v>
      </c>
      <c r="M59" s="264">
        <f t="shared" si="1"/>
        <v>0</v>
      </c>
      <c r="N59" s="265">
        <f t="shared" si="1"/>
        <v>598</v>
      </c>
      <c r="O59" s="257">
        <f t="shared" si="2"/>
        <v>598</v>
      </c>
    </row>
    <row r="60" spans="1:15" x14ac:dyDescent="0.2">
      <c r="A60" s="249" t="s">
        <v>212</v>
      </c>
      <c r="B60" s="250" t="s">
        <v>245</v>
      </c>
      <c r="C60" s="250" t="s">
        <v>246</v>
      </c>
      <c r="D60" s="250" t="s">
        <v>247</v>
      </c>
      <c r="E60" s="258">
        <v>0</v>
      </c>
      <c r="F60" s="259">
        <v>3174</v>
      </c>
      <c r="G60" s="260">
        <v>0</v>
      </c>
      <c r="H60" s="261">
        <v>794</v>
      </c>
      <c r="I60" s="260"/>
      <c r="J60" s="261">
        <v>2258</v>
      </c>
      <c r="K60" s="262">
        <v>0</v>
      </c>
      <c r="L60" s="263">
        <f t="shared" si="0"/>
        <v>2.8438287153652393</v>
      </c>
      <c r="M60" s="264">
        <f t="shared" si="1"/>
        <v>0</v>
      </c>
      <c r="N60" s="265">
        <f t="shared" si="1"/>
        <v>1464</v>
      </c>
      <c r="O60" s="257">
        <f t="shared" si="2"/>
        <v>1464</v>
      </c>
    </row>
    <row r="61" spans="1:15" x14ac:dyDescent="0.2">
      <c r="A61" s="249" t="s">
        <v>214</v>
      </c>
      <c r="B61" s="250" t="s">
        <v>245</v>
      </c>
      <c r="C61" s="250" t="s">
        <v>246</v>
      </c>
      <c r="D61" s="250" t="s">
        <v>247</v>
      </c>
      <c r="E61" s="258">
        <v>0</v>
      </c>
      <c r="F61" s="259">
        <v>48446</v>
      </c>
      <c r="G61" s="260">
        <v>0</v>
      </c>
      <c r="H61" s="261">
        <v>12112</v>
      </c>
      <c r="I61" s="260"/>
      <c r="J61" s="261">
        <v>21710</v>
      </c>
      <c r="K61" s="262">
        <v>0</v>
      </c>
      <c r="L61" s="263">
        <f t="shared" si="0"/>
        <v>1.7924372523117569</v>
      </c>
      <c r="M61" s="264">
        <f t="shared" si="1"/>
        <v>0</v>
      </c>
      <c r="N61" s="265">
        <f t="shared" si="1"/>
        <v>9598</v>
      </c>
      <c r="O61" s="257">
        <f t="shared" si="2"/>
        <v>9598</v>
      </c>
    </row>
    <row r="62" spans="1:15" x14ac:dyDescent="0.2">
      <c r="A62" s="249" t="s">
        <v>219</v>
      </c>
      <c r="B62" s="250" t="s">
        <v>245</v>
      </c>
      <c r="C62" s="250" t="s">
        <v>246</v>
      </c>
      <c r="D62" s="250" t="s">
        <v>247</v>
      </c>
      <c r="E62" s="258">
        <v>0</v>
      </c>
      <c r="F62" s="259">
        <v>76018</v>
      </c>
      <c r="G62" s="260">
        <v>0</v>
      </c>
      <c r="H62" s="261">
        <v>19005</v>
      </c>
      <c r="I62" s="260"/>
      <c r="J62" s="261">
        <v>36184</v>
      </c>
      <c r="K62" s="262">
        <v>0</v>
      </c>
      <c r="L62" s="263">
        <f t="shared" si="0"/>
        <v>1.9039200210470928</v>
      </c>
      <c r="M62" s="264">
        <f t="shared" si="1"/>
        <v>0</v>
      </c>
      <c r="N62" s="265">
        <f t="shared" si="1"/>
        <v>17179</v>
      </c>
      <c r="O62" s="257">
        <f t="shared" si="2"/>
        <v>17179</v>
      </c>
    </row>
    <row r="63" spans="1:15" x14ac:dyDescent="0.2">
      <c r="A63" s="249" t="s">
        <v>192</v>
      </c>
      <c r="B63" s="250" t="s">
        <v>245</v>
      </c>
      <c r="C63" s="250" t="s">
        <v>246</v>
      </c>
      <c r="D63" s="250" t="s">
        <v>247</v>
      </c>
      <c r="E63" s="258">
        <v>0</v>
      </c>
      <c r="F63" s="259">
        <v>5638</v>
      </c>
      <c r="G63" s="260">
        <v>0</v>
      </c>
      <c r="H63" s="261">
        <v>1410</v>
      </c>
      <c r="I63" s="260"/>
      <c r="J63" s="261">
        <v>3471</v>
      </c>
      <c r="K63" s="262">
        <v>0</v>
      </c>
      <c r="L63" s="263">
        <f t="shared" si="0"/>
        <v>2.4617021276595743</v>
      </c>
      <c r="M63" s="264">
        <f t="shared" si="1"/>
        <v>0</v>
      </c>
      <c r="N63" s="265">
        <f t="shared" si="1"/>
        <v>2061</v>
      </c>
      <c r="O63" s="257">
        <f t="shared" si="2"/>
        <v>2061</v>
      </c>
    </row>
    <row r="64" spans="1:15" x14ac:dyDescent="0.2">
      <c r="A64" s="249" t="s">
        <v>195</v>
      </c>
      <c r="B64" s="250" t="s">
        <v>245</v>
      </c>
      <c r="C64" s="250" t="s">
        <v>246</v>
      </c>
      <c r="D64" s="250" t="s">
        <v>247</v>
      </c>
      <c r="E64" s="258">
        <v>0</v>
      </c>
      <c r="F64" s="259">
        <v>2726</v>
      </c>
      <c r="G64" s="260">
        <v>0</v>
      </c>
      <c r="H64" s="261">
        <v>682</v>
      </c>
      <c r="I64" s="260"/>
      <c r="J64" s="261">
        <v>1080</v>
      </c>
      <c r="K64" s="262">
        <v>0</v>
      </c>
      <c r="L64" s="263">
        <f t="shared" si="0"/>
        <v>1.5835777126099706</v>
      </c>
      <c r="M64" s="264">
        <f t="shared" si="1"/>
        <v>0</v>
      </c>
      <c r="N64" s="265">
        <f t="shared" si="1"/>
        <v>398</v>
      </c>
      <c r="O64" s="257">
        <f t="shared" si="2"/>
        <v>398</v>
      </c>
    </row>
    <row r="65" spans="1:15" x14ac:dyDescent="0.2">
      <c r="A65" s="249" t="s">
        <v>208</v>
      </c>
      <c r="B65" s="250" t="s">
        <v>245</v>
      </c>
      <c r="C65" s="250" t="s">
        <v>246</v>
      </c>
      <c r="D65" s="250" t="s">
        <v>247</v>
      </c>
      <c r="E65" s="258">
        <v>0</v>
      </c>
      <c r="F65" s="259">
        <v>1383</v>
      </c>
      <c r="G65" s="260">
        <v>0</v>
      </c>
      <c r="H65" s="261">
        <v>346</v>
      </c>
      <c r="I65" s="260"/>
      <c r="J65" s="261">
        <v>404</v>
      </c>
      <c r="K65" s="262">
        <v>0</v>
      </c>
      <c r="L65" s="263">
        <f t="shared" si="0"/>
        <v>1.1676300578034682</v>
      </c>
      <c r="M65" s="264">
        <f t="shared" si="1"/>
        <v>0</v>
      </c>
      <c r="N65" s="265">
        <f t="shared" si="1"/>
        <v>58</v>
      </c>
      <c r="O65" s="257">
        <f t="shared" si="2"/>
        <v>58</v>
      </c>
    </row>
    <row r="66" spans="1:15" x14ac:dyDescent="0.2">
      <c r="A66" s="249" t="s">
        <v>218</v>
      </c>
      <c r="B66" s="250" t="s">
        <v>245</v>
      </c>
      <c r="C66" s="250" t="s">
        <v>246</v>
      </c>
      <c r="D66" s="250" t="s">
        <v>247</v>
      </c>
      <c r="E66" s="258">
        <v>0</v>
      </c>
      <c r="F66" s="259">
        <v>20511</v>
      </c>
      <c r="G66" s="260">
        <v>0</v>
      </c>
      <c r="H66" s="261">
        <v>5128</v>
      </c>
      <c r="I66" s="260"/>
      <c r="J66" s="261">
        <v>21767</v>
      </c>
      <c r="K66" s="262">
        <v>0</v>
      </c>
      <c r="L66" s="263">
        <f t="shared" si="0"/>
        <v>4.2447347893915754</v>
      </c>
      <c r="M66" s="264">
        <f t="shared" si="1"/>
        <v>0</v>
      </c>
      <c r="N66" s="265">
        <f t="shared" si="1"/>
        <v>16639</v>
      </c>
      <c r="O66" s="257">
        <f t="shared" si="2"/>
        <v>16639</v>
      </c>
    </row>
    <row r="67" spans="1:15" x14ac:dyDescent="0.2">
      <c r="A67" s="249" t="s">
        <v>217</v>
      </c>
      <c r="B67" s="250" t="s">
        <v>245</v>
      </c>
      <c r="C67" s="250" t="s">
        <v>246</v>
      </c>
      <c r="D67" s="250" t="s">
        <v>247</v>
      </c>
      <c r="E67" s="258">
        <v>0</v>
      </c>
      <c r="F67" s="259">
        <v>0</v>
      </c>
      <c r="G67" s="260">
        <v>0</v>
      </c>
      <c r="H67" s="261">
        <v>0</v>
      </c>
      <c r="I67" s="260"/>
      <c r="J67" s="261">
        <v>6620</v>
      </c>
      <c r="K67" s="262">
        <v>0</v>
      </c>
      <c r="L67" s="263">
        <v>1.01</v>
      </c>
      <c r="M67" s="264">
        <f t="shared" si="1"/>
        <v>0</v>
      </c>
      <c r="N67" s="265">
        <f t="shared" si="1"/>
        <v>6620</v>
      </c>
      <c r="O67" s="257">
        <f t="shared" si="2"/>
        <v>6620</v>
      </c>
    </row>
    <row r="68" spans="1:15" x14ac:dyDescent="0.2">
      <c r="A68" s="249" t="s">
        <v>194</v>
      </c>
      <c r="B68" s="250" t="s">
        <v>242</v>
      </c>
      <c r="C68" s="250" t="s">
        <v>242</v>
      </c>
      <c r="D68" s="250" t="s">
        <v>248</v>
      </c>
      <c r="E68" s="258">
        <v>65</v>
      </c>
      <c r="F68" s="259">
        <v>37979</v>
      </c>
      <c r="G68" s="260">
        <v>16</v>
      </c>
      <c r="H68" s="261">
        <v>9349</v>
      </c>
      <c r="I68" s="260">
        <v>27</v>
      </c>
      <c r="J68" s="261">
        <v>15776</v>
      </c>
      <c r="K68" s="262">
        <f t="shared" si="0"/>
        <v>1.6875</v>
      </c>
      <c r="L68" s="263">
        <f t="shared" si="0"/>
        <v>1.687453203551182</v>
      </c>
      <c r="M68" s="264">
        <f t="shared" si="1"/>
        <v>11</v>
      </c>
      <c r="N68" s="265">
        <f t="shared" si="1"/>
        <v>6427</v>
      </c>
      <c r="O68" s="257">
        <f t="shared" si="2"/>
        <v>6427</v>
      </c>
    </row>
    <row r="69" spans="1:15" x14ac:dyDescent="0.2">
      <c r="A69" s="249" t="s">
        <v>202</v>
      </c>
      <c r="B69" s="250" t="s">
        <v>242</v>
      </c>
      <c r="C69" s="250" t="s">
        <v>242</v>
      </c>
      <c r="D69" s="250" t="s">
        <v>248</v>
      </c>
      <c r="E69" s="258">
        <v>112</v>
      </c>
      <c r="F69" s="259">
        <v>65440</v>
      </c>
      <c r="G69" s="260">
        <v>28</v>
      </c>
      <c r="H69" s="261">
        <v>16360</v>
      </c>
      <c r="I69" s="260">
        <v>40</v>
      </c>
      <c r="J69" s="261">
        <v>23372</v>
      </c>
      <c r="K69" s="262">
        <f t="shared" si="0"/>
        <v>1.4285714285714286</v>
      </c>
      <c r="L69" s="263">
        <f t="shared" si="0"/>
        <v>1.4286063569682153</v>
      </c>
      <c r="M69" s="264">
        <f t="shared" si="1"/>
        <v>12</v>
      </c>
      <c r="N69" s="265">
        <f t="shared" si="1"/>
        <v>7012</v>
      </c>
      <c r="O69" s="257">
        <f t="shared" si="2"/>
        <v>7012</v>
      </c>
    </row>
    <row r="70" spans="1:15" x14ac:dyDescent="0.2">
      <c r="A70" s="249" t="s">
        <v>203</v>
      </c>
      <c r="B70" s="250" t="s">
        <v>242</v>
      </c>
      <c r="C70" s="250" t="s">
        <v>242</v>
      </c>
      <c r="D70" s="250" t="s">
        <v>248</v>
      </c>
      <c r="E70" s="258">
        <v>3</v>
      </c>
      <c r="F70" s="259">
        <v>1753</v>
      </c>
      <c r="G70" s="260">
        <v>1</v>
      </c>
      <c r="H70" s="261">
        <v>584</v>
      </c>
      <c r="I70" s="260">
        <v>2</v>
      </c>
      <c r="J70" s="261">
        <v>1169</v>
      </c>
      <c r="K70" s="262">
        <f t="shared" si="0"/>
        <v>2</v>
      </c>
      <c r="L70" s="263">
        <f t="shared" si="0"/>
        <v>2.0017123287671232</v>
      </c>
      <c r="M70" s="264">
        <f t="shared" si="1"/>
        <v>1</v>
      </c>
      <c r="N70" s="265">
        <f t="shared" si="1"/>
        <v>585</v>
      </c>
      <c r="O70" s="257">
        <f t="shared" si="2"/>
        <v>585</v>
      </c>
    </row>
    <row r="71" spans="1:15" x14ac:dyDescent="0.2">
      <c r="A71" s="249" t="s">
        <v>192</v>
      </c>
      <c r="B71" s="250" t="s">
        <v>242</v>
      </c>
      <c r="C71" s="250" t="s">
        <v>242</v>
      </c>
      <c r="D71" s="250" t="s">
        <v>248</v>
      </c>
      <c r="E71" s="258">
        <v>7</v>
      </c>
      <c r="F71" s="259">
        <v>4090</v>
      </c>
      <c r="G71" s="260">
        <v>2</v>
      </c>
      <c r="H71" s="261">
        <v>1169</v>
      </c>
      <c r="I71" s="260">
        <v>4</v>
      </c>
      <c r="J71" s="261">
        <v>2337</v>
      </c>
      <c r="K71" s="262">
        <f t="shared" si="0"/>
        <v>2</v>
      </c>
      <c r="L71" s="263">
        <f t="shared" si="0"/>
        <v>1.9991445680068434</v>
      </c>
      <c r="M71" s="264">
        <f t="shared" si="1"/>
        <v>2</v>
      </c>
      <c r="N71" s="265">
        <f t="shared" si="1"/>
        <v>1168</v>
      </c>
      <c r="O71" s="257">
        <f t="shared" si="2"/>
        <v>1168</v>
      </c>
    </row>
    <row r="72" spans="1:15" x14ac:dyDescent="0.2">
      <c r="A72" s="249" t="s">
        <v>218</v>
      </c>
      <c r="B72" s="250" t="s">
        <v>242</v>
      </c>
      <c r="C72" s="250" t="s">
        <v>242</v>
      </c>
      <c r="D72" s="250" t="s">
        <v>248</v>
      </c>
      <c r="E72" s="258">
        <v>214</v>
      </c>
      <c r="F72" s="259">
        <v>125038</v>
      </c>
      <c r="G72" s="260">
        <v>54</v>
      </c>
      <c r="H72" s="261">
        <v>31552</v>
      </c>
      <c r="I72" s="260">
        <v>76</v>
      </c>
      <c r="J72" s="261">
        <v>44406</v>
      </c>
      <c r="K72" s="262">
        <f t="shared" ref="K72:L74" si="3">I72/G72</f>
        <v>1.4074074074074074</v>
      </c>
      <c r="L72" s="263">
        <f t="shared" si="3"/>
        <v>1.4073909736308317</v>
      </c>
      <c r="M72" s="264">
        <f t="shared" ref="M72:N74" si="4">I72-G72</f>
        <v>22</v>
      </c>
      <c r="N72" s="265">
        <f>J72-H72</f>
        <v>12854</v>
      </c>
      <c r="O72" s="257">
        <f t="shared" ref="O72:O74" si="5">N72</f>
        <v>12854</v>
      </c>
    </row>
    <row r="73" spans="1:15" x14ac:dyDescent="0.2">
      <c r="A73" s="249" t="s">
        <v>216</v>
      </c>
      <c r="B73" s="250" t="s">
        <v>242</v>
      </c>
      <c r="C73" s="250" t="s">
        <v>242</v>
      </c>
      <c r="D73" s="250" t="s">
        <v>248</v>
      </c>
      <c r="E73" s="258">
        <v>326</v>
      </c>
      <c r="F73" s="259">
        <v>190479</v>
      </c>
      <c r="G73" s="260">
        <v>82</v>
      </c>
      <c r="H73" s="261">
        <v>47912</v>
      </c>
      <c r="I73" s="260">
        <v>121</v>
      </c>
      <c r="J73" s="261">
        <v>70699</v>
      </c>
      <c r="K73" s="262">
        <f t="shared" si="3"/>
        <v>1.475609756097561</v>
      </c>
      <c r="L73" s="263">
        <f t="shared" si="3"/>
        <v>1.4756011020203708</v>
      </c>
      <c r="M73" s="264">
        <f t="shared" si="4"/>
        <v>39</v>
      </c>
      <c r="N73" s="265">
        <f t="shared" si="4"/>
        <v>22787</v>
      </c>
      <c r="O73" s="257">
        <f t="shared" si="5"/>
        <v>22787</v>
      </c>
    </row>
    <row r="74" spans="1:15" ht="13.5" thickBot="1" x14ac:dyDescent="0.25">
      <c r="A74" s="272" t="s">
        <v>206</v>
      </c>
      <c r="B74" s="273" t="s">
        <v>242</v>
      </c>
      <c r="C74" s="273" t="s">
        <v>242</v>
      </c>
      <c r="D74" s="273" t="s">
        <v>248</v>
      </c>
      <c r="E74" s="274">
        <v>27</v>
      </c>
      <c r="F74" s="275">
        <v>15776</v>
      </c>
      <c r="G74" s="276">
        <v>7</v>
      </c>
      <c r="H74" s="277">
        <v>4090</v>
      </c>
      <c r="I74" s="276">
        <v>13</v>
      </c>
      <c r="J74" s="277">
        <v>7596</v>
      </c>
      <c r="K74" s="278">
        <f t="shared" si="3"/>
        <v>1.8571428571428572</v>
      </c>
      <c r="L74" s="279">
        <f t="shared" si="3"/>
        <v>1.8572127139364303</v>
      </c>
      <c r="M74" s="280">
        <f t="shared" si="4"/>
        <v>6</v>
      </c>
      <c r="N74" s="281">
        <f t="shared" si="4"/>
        <v>3506</v>
      </c>
      <c r="O74" s="282">
        <f t="shared" si="5"/>
        <v>3506</v>
      </c>
    </row>
    <row r="75" spans="1:15" ht="13.5" thickBot="1" x14ac:dyDescent="0.25">
      <c r="A75" s="283"/>
      <c r="B75" s="284"/>
      <c r="C75" s="284"/>
      <c r="D75" s="284"/>
      <c r="E75" s="285">
        <f>SUM(E7:E74)</f>
        <v>57533</v>
      </c>
      <c r="F75" s="285">
        <f t="shared" ref="F75:O75" si="6">SUM(F7:F74)</f>
        <v>59110302</v>
      </c>
      <c r="G75" s="285">
        <f t="shared" si="6"/>
        <v>14390</v>
      </c>
      <c r="H75" s="285">
        <f t="shared" si="6"/>
        <v>14780733</v>
      </c>
      <c r="I75" s="285">
        <f t="shared" si="6"/>
        <v>15852</v>
      </c>
      <c r="J75" s="285">
        <f t="shared" si="6"/>
        <v>16423079</v>
      </c>
      <c r="K75" s="285"/>
      <c r="L75" s="285"/>
      <c r="M75" s="285">
        <f t="shared" si="6"/>
        <v>1462</v>
      </c>
      <c r="N75" s="286">
        <f t="shared" si="6"/>
        <v>1642346</v>
      </c>
      <c r="O75" s="287">
        <f t="shared" si="6"/>
        <v>1642346</v>
      </c>
    </row>
    <row r="77" spans="1:15" x14ac:dyDescent="0.2">
      <c r="N77" s="288"/>
    </row>
  </sheetData>
  <autoFilter ref="A6:O75" xr:uid="{3F7C1D14-F863-47FE-B8D7-EB8A8FE37502}"/>
  <mergeCells count="7">
    <mergeCell ref="O5:O6"/>
    <mergeCell ref="G1:N1"/>
    <mergeCell ref="A3:L3"/>
    <mergeCell ref="A5:A6"/>
    <mergeCell ref="B5:B6"/>
    <mergeCell ref="C5:C6"/>
    <mergeCell ref="D5:D6"/>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B794B4-8F2E-4CAB-9BA5-AA2C65612CD2}">
  <dimension ref="A1:Q37"/>
  <sheetViews>
    <sheetView workbookViewId="0">
      <selection activeCell="A37" sqref="A37:XFD37"/>
    </sheetView>
  </sheetViews>
  <sheetFormatPr defaultColWidth="8.7109375" defaultRowHeight="12.75" x14ac:dyDescent="0.2"/>
  <cols>
    <col min="1" max="1" width="27.140625" style="239" bestFit="1" customWidth="1"/>
    <col min="2" max="2" width="28.140625" style="239" hidden="1" customWidth="1"/>
    <col min="3" max="3" width="25.5703125" style="239" hidden="1" customWidth="1"/>
    <col min="4" max="4" width="45" style="239" customWidth="1"/>
    <col min="5" max="16" width="9.140625" style="239" customWidth="1"/>
    <col min="17" max="17" width="12.140625" style="239" customWidth="1"/>
    <col min="18" max="16384" width="8.7109375" style="239"/>
  </cols>
  <sheetData>
    <row r="1" spans="1:17" x14ac:dyDescent="0.2">
      <c r="J1" s="411" t="s">
        <v>253</v>
      </c>
      <c r="K1" s="411"/>
      <c r="L1" s="411"/>
      <c r="M1" s="411"/>
      <c r="N1" s="411"/>
      <c r="O1" s="411"/>
    </row>
    <row r="3" spans="1:17" ht="15.75" x14ac:dyDescent="0.25">
      <c r="A3" s="412" t="s">
        <v>249</v>
      </c>
      <c r="B3" s="412"/>
      <c r="C3" s="412"/>
      <c r="D3" s="412"/>
      <c r="E3" s="412"/>
      <c r="F3" s="412"/>
      <c r="G3" s="412"/>
      <c r="H3" s="412"/>
      <c r="I3" s="412"/>
      <c r="J3" s="412"/>
      <c r="K3" s="412"/>
      <c r="L3" s="412"/>
      <c r="M3" s="412"/>
      <c r="N3" s="412"/>
      <c r="O3" s="412"/>
      <c r="P3" s="412"/>
      <c r="Q3" s="412"/>
    </row>
    <row r="4" spans="1:17" ht="13.5" thickBot="1" x14ac:dyDescent="0.25"/>
    <row r="5" spans="1:17" ht="21.75" thickBot="1" x14ac:dyDescent="0.25">
      <c r="A5" s="413" t="s">
        <v>226</v>
      </c>
      <c r="B5" s="415" t="s">
        <v>227</v>
      </c>
      <c r="C5" s="415" t="s">
        <v>228</v>
      </c>
      <c r="D5" s="415" t="s">
        <v>229</v>
      </c>
      <c r="E5" s="240" t="s">
        <v>230</v>
      </c>
      <c r="F5" s="241"/>
      <c r="G5" s="240" t="s">
        <v>231</v>
      </c>
      <c r="H5" s="241"/>
      <c r="I5" s="242" t="s">
        <v>232</v>
      </c>
      <c r="J5" s="243"/>
      <c r="K5" s="242"/>
      <c r="L5" s="243"/>
      <c r="M5" s="242"/>
      <c r="N5" s="244"/>
      <c r="O5" s="242"/>
      <c r="P5" s="242"/>
      <c r="Q5" s="409" t="s">
        <v>349</v>
      </c>
    </row>
    <row r="6" spans="1:17" ht="66.95" customHeight="1" thickBot="1" x14ac:dyDescent="0.25">
      <c r="A6" s="414"/>
      <c r="B6" s="416"/>
      <c r="C6" s="416"/>
      <c r="D6" s="416"/>
      <c r="E6" s="245" t="s">
        <v>234</v>
      </c>
      <c r="F6" s="246" t="s">
        <v>235</v>
      </c>
      <c r="G6" s="245" t="s">
        <v>234</v>
      </c>
      <c r="H6" s="246" t="s">
        <v>235</v>
      </c>
      <c r="I6" s="245" t="s">
        <v>234</v>
      </c>
      <c r="J6" s="246" t="s">
        <v>235</v>
      </c>
      <c r="K6" s="245" t="s">
        <v>236</v>
      </c>
      <c r="L6" s="247" t="s">
        <v>237</v>
      </c>
      <c r="M6" s="248" t="s">
        <v>238</v>
      </c>
      <c r="N6" s="247" t="s">
        <v>239</v>
      </c>
      <c r="O6" s="248" t="s">
        <v>250</v>
      </c>
      <c r="P6" s="248" t="s">
        <v>251</v>
      </c>
      <c r="Q6" s="410"/>
    </row>
    <row r="7" spans="1:17" x14ac:dyDescent="0.2">
      <c r="A7" s="249" t="s">
        <v>205</v>
      </c>
      <c r="B7" s="250" t="s">
        <v>242</v>
      </c>
      <c r="C7" s="250" t="s">
        <v>242</v>
      </c>
      <c r="D7" s="250" t="s">
        <v>243</v>
      </c>
      <c r="E7" s="251">
        <v>65</v>
      </c>
      <c r="F7" s="252">
        <v>48701</v>
      </c>
      <c r="G7" s="251">
        <v>16</v>
      </c>
      <c r="H7" s="252">
        <v>11988</v>
      </c>
      <c r="I7" s="251">
        <v>30</v>
      </c>
      <c r="J7" s="252">
        <v>22478</v>
      </c>
      <c r="K7" s="253">
        <v>1.875</v>
      </c>
      <c r="L7" s="254">
        <v>1.8750417083750417</v>
      </c>
      <c r="M7" s="255">
        <v>14</v>
      </c>
      <c r="N7" s="256">
        <f>J7-H7</f>
        <v>10490</v>
      </c>
      <c r="O7" s="255">
        <v>17</v>
      </c>
      <c r="P7" s="255">
        <v>12737</v>
      </c>
      <c r="Q7" s="257">
        <f>P7</f>
        <v>12737</v>
      </c>
    </row>
    <row r="8" spans="1:17" x14ac:dyDescent="0.2">
      <c r="A8" s="249" t="s">
        <v>213</v>
      </c>
      <c r="B8" s="250" t="s">
        <v>242</v>
      </c>
      <c r="C8" s="250" t="s">
        <v>242</v>
      </c>
      <c r="D8" s="250" t="s">
        <v>243</v>
      </c>
      <c r="E8" s="251">
        <v>52</v>
      </c>
      <c r="F8" s="252">
        <v>38961</v>
      </c>
      <c r="G8" s="251">
        <v>13</v>
      </c>
      <c r="H8" s="252">
        <v>9740</v>
      </c>
      <c r="I8" s="251">
        <v>14</v>
      </c>
      <c r="J8" s="252">
        <v>10490</v>
      </c>
      <c r="K8" s="253">
        <v>1.0769230769230769</v>
      </c>
      <c r="L8" s="254">
        <v>1.0770020533880904</v>
      </c>
      <c r="M8" s="255">
        <v>1</v>
      </c>
      <c r="N8" s="256">
        <f t="shared" ref="N8:N34" si="0">J8-H8</f>
        <v>750</v>
      </c>
      <c r="O8" s="255">
        <v>14</v>
      </c>
      <c r="P8" s="255">
        <v>10490</v>
      </c>
      <c r="Q8" s="257">
        <f t="shared" ref="Q8:Q34" si="1">P8</f>
        <v>10490</v>
      </c>
    </row>
    <row r="9" spans="1:17" x14ac:dyDescent="0.2">
      <c r="A9" s="249" t="s">
        <v>221</v>
      </c>
      <c r="B9" s="250" t="s">
        <v>242</v>
      </c>
      <c r="C9" s="250" t="s">
        <v>242</v>
      </c>
      <c r="D9" s="250" t="s">
        <v>243</v>
      </c>
      <c r="E9" s="251">
        <v>47</v>
      </c>
      <c r="F9" s="252">
        <v>35215</v>
      </c>
      <c r="G9" s="251">
        <v>12</v>
      </c>
      <c r="H9" s="252">
        <v>8991</v>
      </c>
      <c r="I9" s="251">
        <v>21</v>
      </c>
      <c r="J9" s="252">
        <v>15734</v>
      </c>
      <c r="K9" s="253">
        <v>1.75</v>
      </c>
      <c r="L9" s="254">
        <v>1.7499721944166389</v>
      </c>
      <c r="M9" s="255">
        <v>9</v>
      </c>
      <c r="N9" s="256">
        <f t="shared" si="0"/>
        <v>6743</v>
      </c>
      <c r="O9" s="255">
        <v>12</v>
      </c>
      <c r="P9" s="255">
        <v>8991</v>
      </c>
      <c r="Q9" s="257">
        <f t="shared" si="1"/>
        <v>8991</v>
      </c>
    </row>
    <row r="10" spans="1:17" x14ac:dyDescent="0.2">
      <c r="A10" s="249" t="s">
        <v>194</v>
      </c>
      <c r="B10" s="250" t="s">
        <v>242</v>
      </c>
      <c r="C10" s="250" t="s">
        <v>242</v>
      </c>
      <c r="D10" s="250" t="s">
        <v>243</v>
      </c>
      <c r="E10" s="251">
        <v>39</v>
      </c>
      <c r="F10" s="252">
        <v>29221</v>
      </c>
      <c r="G10" s="251">
        <v>10</v>
      </c>
      <c r="H10" s="252">
        <v>7493</v>
      </c>
      <c r="I10" s="251">
        <v>9</v>
      </c>
      <c r="J10" s="252">
        <v>6743</v>
      </c>
      <c r="K10" s="253">
        <v>0.9</v>
      </c>
      <c r="L10" s="254">
        <v>0.89990657947417585</v>
      </c>
      <c r="M10" s="255">
        <v>-1</v>
      </c>
      <c r="N10" s="256">
        <f t="shared" si="0"/>
        <v>-750</v>
      </c>
      <c r="O10" s="255">
        <v>10</v>
      </c>
      <c r="P10" s="255">
        <v>7493</v>
      </c>
      <c r="Q10" s="257">
        <f t="shared" si="1"/>
        <v>7493</v>
      </c>
    </row>
    <row r="11" spans="1:17" x14ac:dyDescent="0.2">
      <c r="A11" s="249" t="s">
        <v>196</v>
      </c>
      <c r="B11" s="250" t="s">
        <v>242</v>
      </c>
      <c r="C11" s="250" t="s">
        <v>242</v>
      </c>
      <c r="D11" s="250" t="s">
        <v>243</v>
      </c>
      <c r="E11" s="251">
        <v>39</v>
      </c>
      <c r="F11" s="252">
        <v>29221</v>
      </c>
      <c r="G11" s="251">
        <v>10</v>
      </c>
      <c r="H11" s="252">
        <v>7493</v>
      </c>
      <c r="I11" s="251">
        <v>18</v>
      </c>
      <c r="J11" s="252">
        <v>13487</v>
      </c>
      <c r="K11" s="253">
        <v>1.8</v>
      </c>
      <c r="L11" s="254">
        <v>1.7999466168423863</v>
      </c>
      <c r="M11" s="255">
        <v>8</v>
      </c>
      <c r="N11" s="256">
        <f t="shared" si="0"/>
        <v>5994</v>
      </c>
      <c r="O11" s="255">
        <v>10</v>
      </c>
      <c r="P11" s="255">
        <v>7493</v>
      </c>
      <c r="Q11" s="257">
        <f t="shared" si="1"/>
        <v>7493</v>
      </c>
    </row>
    <row r="12" spans="1:17" x14ac:dyDescent="0.2">
      <c r="A12" s="249" t="s">
        <v>198</v>
      </c>
      <c r="B12" s="250" t="s">
        <v>242</v>
      </c>
      <c r="C12" s="250" t="s">
        <v>242</v>
      </c>
      <c r="D12" s="250" t="s">
        <v>243</v>
      </c>
      <c r="E12" s="251">
        <v>23</v>
      </c>
      <c r="F12" s="252">
        <v>17233</v>
      </c>
      <c r="G12" s="251">
        <v>6</v>
      </c>
      <c r="H12" s="252">
        <v>4496</v>
      </c>
      <c r="I12" s="251">
        <v>7</v>
      </c>
      <c r="J12" s="252">
        <v>5245</v>
      </c>
      <c r="K12" s="253">
        <v>1.1666666666666667</v>
      </c>
      <c r="L12" s="254">
        <v>1.1665925266903914</v>
      </c>
      <c r="M12" s="255">
        <v>1</v>
      </c>
      <c r="N12" s="256">
        <f t="shared" si="0"/>
        <v>749</v>
      </c>
      <c r="O12" s="255">
        <v>6</v>
      </c>
      <c r="P12" s="255">
        <v>4496</v>
      </c>
      <c r="Q12" s="257">
        <f t="shared" si="1"/>
        <v>4496</v>
      </c>
    </row>
    <row r="13" spans="1:17" x14ac:dyDescent="0.2">
      <c r="A13" s="249" t="s">
        <v>201</v>
      </c>
      <c r="B13" s="250" t="s">
        <v>242</v>
      </c>
      <c r="C13" s="250" t="s">
        <v>242</v>
      </c>
      <c r="D13" s="250" t="s">
        <v>243</v>
      </c>
      <c r="E13" s="251">
        <v>33</v>
      </c>
      <c r="F13" s="252">
        <v>24725</v>
      </c>
      <c r="G13" s="251">
        <v>8</v>
      </c>
      <c r="H13" s="252">
        <v>5994</v>
      </c>
      <c r="I13" s="251">
        <v>8</v>
      </c>
      <c r="J13" s="252">
        <v>5994</v>
      </c>
      <c r="K13" s="253">
        <v>1</v>
      </c>
      <c r="L13" s="254">
        <v>1</v>
      </c>
      <c r="M13" s="255">
        <v>0</v>
      </c>
      <c r="N13" s="256">
        <f t="shared" si="0"/>
        <v>0</v>
      </c>
      <c r="O13" s="255">
        <v>9</v>
      </c>
      <c r="P13" s="255">
        <v>6743</v>
      </c>
      <c r="Q13" s="257">
        <f t="shared" si="1"/>
        <v>6743</v>
      </c>
    </row>
    <row r="14" spans="1:17" x14ac:dyDescent="0.2">
      <c r="A14" s="249" t="s">
        <v>202</v>
      </c>
      <c r="B14" s="250" t="s">
        <v>242</v>
      </c>
      <c r="C14" s="250" t="s">
        <v>242</v>
      </c>
      <c r="D14" s="250" t="s">
        <v>243</v>
      </c>
      <c r="E14" s="251">
        <v>42</v>
      </c>
      <c r="F14" s="252">
        <v>31469</v>
      </c>
      <c r="G14" s="251">
        <v>11</v>
      </c>
      <c r="H14" s="252">
        <v>8242</v>
      </c>
      <c r="I14" s="251">
        <v>10</v>
      </c>
      <c r="J14" s="252">
        <v>7493</v>
      </c>
      <c r="K14" s="253">
        <v>0.90909090909090906</v>
      </c>
      <c r="L14" s="254">
        <v>0.90912399902936181</v>
      </c>
      <c r="M14" s="255">
        <v>-1</v>
      </c>
      <c r="N14" s="256">
        <f t="shared" si="0"/>
        <v>-749</v>
      </c>
      <c r="O14" s="255">
        <v>11</v>
      </c>
      <c r="P14" s="255">
        <v>8242</v>
      </c>
      <c r="Q14" s="257">
        <f t="shared" si="1"/>
        <v>8242</v>
      </c>
    </row>
    <row r="15" spans="1:17" x14ac:dyDescent="0.2">
      <c r="A15" s="249" t="s">
        <v>203</v>
      </c>
      <c r="B15" s="250" t="s">
        <v>242</v>
      </c>
      <c r="C15" s="250" t="s">
        <v>242</v>
      </c>
      <c r="D15" s="250" t="s">
        <v>243</v>
      </c>
      <c r="E15" s="251">
        <v>64</v>
      </c>
      <c r="F15" s="252">
        <v>47952</v>
      </c>
      <c r="G15" s="251">
        <v>16</v>
      </c>
      <c r="H15" s="252">
        <v>11988</v>
      </c>
      <c r="I15" s="251">
        <v>23</v>
      </c>
      <c r="J15" s="252">
        <v>17233</v>
      </c>
      <c r="K15" s="253">
        <v>1.4375</v>
      </c>
      <c r="L15" s="254">
        <v>1.4375208541875208</v>
      </c>
      <c r="M15" s="255">
        <v>7</v>
      </c>
      <c r="N15" s="256">
        <f t="shared" si="0"/>
        <v>5245</v>
      </c>
      <c r="O15" s="255">
        <v>17</v>
      </c>
      <c r="P15" s="255">
        <v>12737</v>
      </c>
      <c r="Q15" s="257">
        <f t="shared" si="1"/>
        <v>12737</v>
      </c>
    </row>
    <row r="16" spans="1:17" x14ac:dyDescent="0.2">
      <c r="A16" s="249" t="s">
        <v>220</v>
      </c>
      <c r="B16" s="250" t="s">
        <v>242</v>
      </c>
      <c r="C16" s="250" t="s">
        <v>242</v>
      </c>
      <c r="D16" s="250" t="s">
        <v>243</v>
      </c>
      <c r="E16" s="251">
        <v>154</v>
      </c>
      <c r="F16" s="252">
        <v>115385</v>
      </c>
      <c r="G16" s="251">
        <v>39</v>
      </c>
      <c r="H16" s="252">
        <v>29221</v>
      </c>
      <c r="I16" s="251">
        <v>40</v>
      </c>
      <c r="J16" s="252">
        <v>29970</v>
      </c>
      <c r="K16" s="253">
        <v>1.0256410256410255</v>
      </c>
      <c r="L16" s="254">
        <v>1.0256322507785496</v>
      </c>
      <c r="M16" s="255">
        <v>1</v>
      </c>
      <c r="N16" s="256">
        <f t="shared" si="0"/>
        <v>749</v>
      </c>
      <c r="O16" s="255">
        <v>41</v>
      </c>
      <c r="P16" s="255">
        <v>30719</v>
      </c>
      <c r="Q16" s="257">
        <f t="shared" si="1"/>
        <v>30719</v>
      </c>
    </row>
    <row r="17" spans="1:17" x14ac:dyDescent="0.2">
      <c r="A17" s="249" t="s">
        <v>192</v>
      </c>
      <c r="B17" s="250" t="s">
        <v>242</v>
      </c>
      <c r="C17" s="250" t="s">
        <v>242</v>
      </c>
      <c r="D17" s="250" t="s">
        <v>243</v>
      </c>
      <c r="E17" s="251">
        <v>929</v>
      </c>
      <c r="F17" s="252">
        <v>696053</v>
      </c>
      <c r="G17" s="251">
        <v>232</v>
      </c>
      <c r="H17" s="252">
        <v>173826</v>
      </c>
      <c r="I17" s="251">
        <v>265</v>
      </c>
      <c r="J17" s="252">
        <v>198551</v>
      </c>
      <c r="K17" s="253">
        <v>1.1422413793103448</v>
      </c>
      <c r="L17" s="254">
        <v>1.1422399410905157</v>
      </c>
      <c r="M17" s="255">
        <v>33</v>
      </c>
      <c r="N17" s="256">
        <f t="shared" si="0"/>
        <v>24725</v>
      </c>
      <c r="O17" s="255">
        <v>245</v>
      </c>
      <c r="P17" s="255">
        <v>183566</v>
      </c>
      <c r="Q17" s="257">
        <f t="shared" si="1"/>
        <v>183566</v>
      </c>
    </row>
    <row r="18" spans="1:17" x14ac:dyDescent="0.2">
      <c r="A18" s="249" t="s">
        <v>195</v>
      </c>
      <c r="B18" s="250" t="s">
        <v>242</v>
      </c>
      <c r="C18" s="250" t="s">
        <v>242</v>
      </c>
      <c r="D18" s="250" t="s">
        <v>243</v>
      </c>
      <c r="E18" s="251">
        <v>409</v>
      </c>
      <c r="F18" s="252">
        <v>306443</v>
      </c>
      <c r="G18" s="251">
        <v>102</v>
      </c>
      <c r="H18" s="252">
        <v>76424</v>
      </c>
      <c r="I18" s="251">
        <v>133</v>
      </c>
      <c r="J18" s="252">
        <v>99650</v>
      </c>
      <c r="K18" s="253">
        <v>1.303921568627451</v>
      </c>
      <c r="L18" s="254">
        <v>1.3039097665654769</v>
      </c>
      <c r="M18" s="255">
        <v>31</v>
      </c>
      <c r="N18" s="256">
        <f t="shared" si="0"/>
        <v>23226</v>
      </c>
      <c r="O18" s="255">
        <v>108</v>
      </c>
      <c r="P18" s="255">
        <v>80919</v>
      </c>
      <c r="Q18" s="257">
        <f t="shared" si="1"/>
        <v>80919</v>
      </c>
    </row>
    <row r="19" spans="1:17" x14ac:dyDescent="0.2">
      <c r="A19" s="249" t="s">
        <v>208</v>
      </c>
      <c r="B19" s="250" t="s">
        <v>242</v>
      </c>
      <c r="C19" s="250" t="s">
        <v>242</v>
      </c>
      <c r="D19" s="250" t="s">
        <v>243</v>
      </c>
      <c r="E19" s="251">
        <v>913</v>
      </c>
      <c r="F19" s="252">
        <v>684065</v>
      </c>
      <c r="G19" s="251">
        <v>228</v>
      </c>
      <c r="H19" s="252">
        <v>170829</v>
      </c>
      <c r="I19" s="251">
        <v>312</v>
      </c>
      <c r="J19" s="252">
        <v>233766</v>
      </c>
      <c r="K19" s="253">
        <v>1.368421052631579</v>
      </c>
      <c r="L19" s="254">
        <v>1.368421052631579</v>
      </c>
      <c r="M19" s="255">
        <v>84</v>
      </c>
      <c r="N19" s="256">
        <f t="shared" si="0"/>
        <v>62937</v>
      </c>
      <c r="O19" s="255">
        <v>241</v>
      </c>
      <c r="P19" s="255">
        <v>180569</v>
      </c>
      <c r="Q19" s="257">
        <f t="shared" si="1"/>
        <v>180569</v>
      </c>
    </row>
    <row r="20" spans="1:17" x14ac:dyDescent="0.2">
      <c r="A20" s="249" t="s">
        <v>218</v>
      </c>
      <c r="B20" s="250" t="s">
        <v>242</v>
      </c>
      <c r="C20" s="250" t="s">
        <v>242</v>
      </c>
      <c r="D20" s="250" t="s">
        <v>243</v>
      </c>
      <c r="E20" s="251">
        <v>77</v>
      </c>
      <c r="F20" s="252">
        <v>57692</v>
      </c>
      <c r="G20" s="251">
        <v>19</v>
      </c>
      <c r="H20" s="252">
        <v>14236</v>
      </c>
      <c r="I20" s="251">
        <v>20</v>
      </c>
      <c r="J20" s="252">
        <v>14985</v>
      </c>
      <c r="K20" s="253">
        <v>1.0526315789473684</v>
      </c>
      <c r="L20" s="254">
        <v>1.0526130935656084</v>
      </c>
      <c r="M20" s="255">
        <v>1</v>
      </c>
      <c r="N20" s="256">
        <f t="shared" si="0"/>
        <v>749</v>
      </c>
      <c r="O20" s="255">
        <v>20</v>
      </c>
      <c r="P20" s="255">
        <v>14985</v>
      </c>
      <c r="Q20" s="257">
        <f t="shared" si="1"/>
        <v>14985</v>
      </c>
    </row>
    <row r="21" spans="1:17" x14ac:dyDescent="0.2">
      <c r="A21" s="249" t="s">
        <v>206</v>
      </c>
      <c r="B21" s="250" t="s">
        <v>242</v>
      </c>
      <c r="C21" s="250" t="s">
        <v>242</v>
      </c>
      <c r="D21" s="250" t="s">
        <v>243</v>
      </c>
      <c r="E21" s="258">
        <v>298</v>
      </c>
      <c r="F21" s="259">
        <v>223277</v>
      </c>
      <c r="G21" s="260">
        <v>75</v>
      </c>
      <c r="H21" s="261">
        <v>56194</v>
      </c>
      <c r="I21" s="260">
        <v>93</v>
      </c>
      <c r="J21" s="261">
        <v>69680</v>
      </c>
      <c r="K21" s="262">
        <v>1.24</v>
      </c>
      <c r="L21" s="263">
        <v>1.2399900345232586</v>
      </c>
      <c r="M21" s="264">
        <v>18</v>
      </c>
      <c r="N21" s="256">
        <f t="shared" si="0"/>
        <v>13486</v>
      </c>
      <c r="O21" s="264">
        <v>79</v>
      </c>
      <c r="P21" s="264">
        <v>59191</v>
      </c>
      <c r="Q21" s="257">
        <f t="shared" si="1"/>
        <v>59191</v>
      </c>
    </row>
    <row r="22" spans="1:17" x14ac:dyDescent="0.2">
      <c r="A22" s="249" t="s">
        <v>204</v>
      </c>
      <c r="B22" s="250" t="s">
        <v>242</v>
      </c>
      <c r="C22" s="250" t="s">
        <v>242</v>
      </c>
      <c r="D22" s="250" t="s">
        <v>243</v>
      </c>
      <c r="E22" s="258">
        <v>552</v>
      </c>
      <c r="F22" s="259">
        <v>413586</v>
      </c>
      <c r="G22" s="260">
        <v>138</v>
      </c>
      <c r="H22" s="261">
        <v>103397</v>
      </c>
      <c r="I22" s="260">
        <v>132</v>
      </c>
      <c r="J22" s="261">
        <v>98901</v>
      </c>
      <c r="K22" s="262">
        <v>0.95652173913043481</v>
      </c>
      <c r="L22" s="263">
        <v>0.95651711364933223</v>
      </c>
      <c r="M22" s="264">
        <v>-6</v>
      </c>
      <c r="N22" s="256">
        <f t="shared" si="0"/>
        <v>-4496</v>
      </c>
      <c r="O22" s="264">
        <v>146</v>
      </c>
      <c r="P22" s="264">
        <v>109391</v>
      </c>
      <c r="Q22" s="257">
        <f t="shared" si="1"/>
        <v>109391</v>
      </c>
    </row>
    <row r="23" spans="1:17" x14ac:dyDescent="0.2">
      <c r="A23" s="249" t="s">
        <v>217</v>
      </c>
      <c r="B23" s="250" t="s">
        <v>242</v>
      </c>
      <c r="C23" s="250" t="s">
        <v>242</v>
      </c>
      <c r="D23" s="250" t="s">
        <v>243</v>
      </c>
      <c r="E23" s="258">
        <v>20</v>
      </c>
      <c r="F23" s="259">
        <v>14985</v>
      </c>
      <c r="G23" s="260">
        <v>5</v>
      </c>
      <c r="H23" s="261">
        <v>3746</v>
      </c>
      <c r="I23" s="260">
        <v>6</v>
      </c>
      <c r="J23" s="261">
        <v>4496</v>
      </c>
      <c r="K23" s="262">
        <v>1.2</v>
      </c>
      <c r="L23" s="263">
        <v>1.2002135611318741</v>
      </c>
      <c r="M23" s="264">
        <v>1</v>
      </c>
      <c r="N23" s="256">
        <f t="shared" si="0"/>
        <v>750</v>
      </c>
      <c r="O23" s="264">
        <v>5</v>
      </c>
      <c r="P23" s="264">
        <v>3746</v>
      </c>
      <c r="Q23" s="257">
        <f t="shared" si="1"/>
        <v>3746</v>
      </c>
    </row>
    <row r="24" spans="1:17" x14ac:dyDescent="0.2">
      <c r="A24" s="249" t="s">
        <v>215</v>
      </c>
      <c r="B24" s="250" t="s">
        <v>242</v>
      </c>
      <c r="C24" s="250" t="s">
        <v>242</v>
      </c>
      <c r="D24" s="250" t="s">
        <v>244</v>
      </c>
      <c r="E24" s="258">
        <v>82</v>
      </c>
      <c r="F24" s="259">
        <v>54373</v>
      </c>
      <c r="G24" s="260">
        <v>21</v>
      </c>
      <c r="H24" s="261">
        <v>13593</v>
      </c>
      <c r="I24" s="260">
        <v>55</v>
      </c>
      <c r="J24" s="261">
        <v>27522</v>
      </c>
      <c r="K24" s="262">
        <v>2.6190476190476191</v>
      </c>
      <c r="L24" s="263">
        <v>2.024718605164423</v>
      </c>
      <c r="M24" s="264">
        <v>34</v>
      </c>
      <c r="N24" s="256">
        <f t="shared" si="0"/>
        <v>13929</v>
      </c>
      <c r="O24" s="264">
        <v>29</v>
      </c>
      <c r="P24" s="264">
        <v>14428</v>
      </c>
      <c r="Q24" s="257">
        <f t="shared" si="1"/>
        <v>14428</v>
      </c>
    </row>
    <row r="25" spans="1:17" x14ac:dyDescent="0.2">
      <c r="A25" s="249" t="s">
        <v>205</v>
      </c>
      <c r="B25" s="250" t="s">
        <v>242</v>
      </c>
      <c r="C25" s="250" t="s">
        <v>242</v>
      </c>
      <c r="D25" s="250" t="s">
        <v>244</v>
      </c>
      <c r="E25" s="258">
        <v>78</v>
      </c>
      <c r="F25" s="259">
        <v>92826</v>
      </c>
      <c r="G25" s="260">
        <v>20</v>
      </c>
      <c r="H25" s="261">
        <v>23207</v>
      </c>
      <c r="I25" s="260">
        <v>55</v>
      </c>
      <c r="J25" s="261">
        <v>59723</v>
      </c>
      <c r="K25" s="262">
        <v>2.75</v>
      </c>
      <c r="L25" s="263">
        <v>2.573490757099151</v>
      </c>
      <c r="M25" s="264">
        <v>35</v>
      </c>
      <c r="N25" s="256">
        <f t="shared" si="0"/>
        <v>36516</v>
      </c>
      <c r="O25" s="264">
        <v>23</v>
      </c>
      <c r="P25" s="264">
        <v>24631</v>
      </c>
      <c r="Q25" s="257">
        <f t="shared" si="1"/>
        <v>24631</v>
      </c>
    </row>
    <row r="26" spans="1:17" x14ac:dyDescent="0.2">
      <c r="A26" s="249" t="s">
        <v>213</v>
      </c>
      <c r="B26" s="250" t="s">
        <v>242</v>
      </c>
      <c r="C26" s="250" t="s">
        <v>242</v>
      </c>
      <c r="D26" s="250" t="s">
        <v>244</v>
      </c>
      <c r="E26" s="258">
        <v>103</v>
      </c>
      <c r="F26" s="259">
        <v>56756</v>
      </c>
      <c r="G26" s="260">
        <v>26</v>
      </c>
      <c r="H26" s="261">
        <v>14189</v>
      </c>
      <c r="I26" s="260">
        <v>58</v>
      </c>
      <c r="J26" s="261">
        <v>26696</v>
      </c>
      <c r="K26" s="262">
        <v>2.2307692307692308</v>
      </c>
      <c r="L26" s="263">
        <v>1.8814574670519417</v>
      </c>
      <c r="M26" s="264">
        <v>32</v>
      </c>
      <c r="N26" s="256">
        <f t="shared" si="0"/>
        <v>12507</v>
      </c>
      <c r="O26" s="264">
        <v>33</v>
      </c>
      <c r="P26" s="264">
        <v>15060</v>
      </c>
      <c r="Q26" s="257">
        <f t="shared" si="1"/>
        <v>15060</v>
      </c>
    </row>
    <row r="27" spans="1:17" x14ac:dyDescent="0.2">
      <c r="A27" s="249" t="s">
        <v>221</v>
      </c>
      <c r="B27" s="250" t="s">
        <v>242</v>
      </c>
      <c r="C27" s="250" t="s">
        <v>242</v>
      </c>
      <c r="D27" s="250" t="s">
        <v>244</v>
      </c>
      <c r="E27" s="258">
        <v>405</v>
      </c>
      <c r="F27" s="259">
        <v>345368</v>
      </c>
      <c r="G27" s="260">
        <v>101</v>
      </c>
      <c r="H27" s="261">
        <v>86342</v>
      </c>
      <c r="I27" s="260">
        <v>260</v>
      </c>
      <c r="J27" s="261">
        <v>212195</v>
      </c>
      <c r="K27" s="262">
        <v>2.5742574257425743</v>
      </c>
      <c r="L27" s="263">
        <v>2.457610432929513</v>
      </c>
      <c r="M27" s="264">
        <v>159</v>
      </c>
      <c r="N27" s="256">
        <f t="shared" si="0"/>
        <v>125853</v>
      </c>
      <c r="O27" s="264">
        <v>112</v>
      </c>
      <c r="P27" s="264">
        <v>91643</v>
      </c>
      <c r="Q27" s="257">
        <f t="shared" si="1"/>
        <v>91643</v>
      </c>
    </row>
    <row r="28" spans="1:17" x14ac:dyDescent="0.2">
      <c r="A28" s="249" t="s">
        <v>222</v>
      </c>
      <c r="B28" s="250" t="s">
        <v>242</v>
      </c>
      <c r="C28" s="250" t="s">
        <v>242</v>
      </c>
      <c r="D28" s="250" t="s">
        <v>244</v>
      </c>
      <c r="E28" s="258">
        <v>63</v>
      </c>
      <c r="F28" s="259">
        <v>44516</v>
      </c>
      <c r="G28" s="260">
        <v>16</v>
      </c>
      <c r="H28" s="261">
        <v>11129</v>
      </c>
      <c r="I28" s="260">
        <v>18</v>
      </c>
      <c r="J28" s="261">
        <v>11468</v>
      </c>
      <c r="K28" s="262">
        <v>1.125</v>
      </c>
      <c r="L28" s="263">
        <v>1.030460957857849</v>
      </c>
      <c r="M28" s="264">
        <v>2</v>
      </c>
      <c r="N28" s="256">
        <f t="shared" si="0"/>
        <v>339</v>
      </c>
      <c r="O28" s="264">
        <v>19</v>
      </c>
      <c r="P28" s="264">
        <v>11812</v>
      </c>
      <c r="Q28" s="257">
        <f t="shared" si="1"/>
        <v>11812</v>
      </c>
    </row>
    <row r="29" spans="1:17" x14ac:dyDescent="0.2">
      <c r="A29" s="249" t="s">
        <v>193</v>
      </c>
      <c r="B29" s="250" t="s">
        <v>242</v>
      </c>
      <c r="C29" s="250" t="s">
        <v>242</v>
      </c>
      <c r="D29" s="250" t="s">
        <v>244</v>
      </c>
      <c r="E29" s="258">
        <v>23</v>
      </c>
      <c r="F29" s="259">
        <v>16277</v>
      </c>
      <c r="G29" s="260">
        <v>6</v>
      </c>
      <c r="H29" s="261">
        <v>4069</v>
      </c>
      <c r="I29" s="260">
        <v>19</v>
      </c>
      <c r="J29" s="261">
        <v>18623</v>
      </c>
      <c r="K29" s="262">
        <v>3.1666666666666665</v>
      </c>
      <c r="L29" s="263">
        <v>4.5768001966085032</v>
      </c>
      <c r="M29" s="264">
        <v>13</v>
      </c>
      <c r="N29" s="256">
        <f t="shared" si="0"/>
        <v>14554</v>
      </c>
      <c r="O29" s="264">
        <v>4</v>
      </c>
      <c r="P29" s="264">
        <v>4319</v>
      </c>
      <c r="Q29" s="257">
        <f t="shared" si="1"/>
        <v>4319</v>
      </c>
    </row>
    <row r="30" spans="1:17" x14ac:dyDescent="0.2">
      <c r="A30" s="249" t="s">
        <v>194</v>
      </c>
      <c r="B30" s="250" t="s">
        <v>242</v>
      </c>
      <c r="C30" s="250" t="s">
        <v>242</v>
      </c>
      <c r="D30" s="250" t="s">
        <v>244</v>
      </c>
      <c r="E30" s="258">
        <v>23</v>
      </c>
      <c r="F30" s="259">
        <v>21533</v>
      </c>
      <c r="G30" s="260">
        <v>6</v>
      </c>
      <c r="H30" s="261">
        <v>5383</v>
      </c>
      <c r="I30" s="260">
        <v>24</v>
      </c>
      <c r="J30" s="261">
        <v>16605</v>
      </c>
      <c r="K30" s="262">
        <v>4</v>
      </c>
      <c r="L30" s="263">
        <v>3.0847111276240016</v>
      </c>
      <c r="M30" s="264">
        <v>18</v>
      </c>
      <c r="N30" s="256">
        <f t="shared" si="0"/>
        <v>11222</v>
      </c>
      <c r="O30" s="264">
        <v>8</v>
      </c>
      <c r="P30" s="264">
        <v>5714</v>
      </c>
      <c r="Q30" s="257">
        <f t="shared" si="1"/>
        <v>5714</v>
      </c>
    </row>
    <row r="31" spans="1:17" x14ac:dyDescent="0.2">
      <c r="A31" s="249" t="s">
        <v>209</v>
      </c>
      <c r="B31" s="250" t="s">
        <v>242</v>
      </c>
      <c r="C31" s="250" t="s">
        <v>242</v>
      </c>
      <c r="D31" s="250" t="s">
        <v>244</v>
      </c>
      <c r="E31" s="258">
        <v>4</v>
      </c>
      <c r="F31" s="259">
        <v>5947</v>
      </c>
      <c r="G31" s="260">
        <v>1</v>
      </c>
      <c r="H31" s="261">
        <v>1487</v>
      </c>
      <c r="I31" s="260">
        <v>5</v>
      </c>
      <c r="J31" s="261">
        <v>12935</v>
      </c>
      <c r="K31" s="262">
        <v>5</v>
      </c>
      <c r="L31" s="263">
        <v>8.6987222595830538</v>
      </c>
      <c r="M31" s="264">
        <v>4</v>
      </c>
      <c r="N31" s="256">
        <f t="shared" si="0"/>
        <v>11448</v>
      </c>
      <c r="O31" s="264">
        <v>1</v>
      </c>
      <c r="P31" s="264">
        <v>1578</v>
      </c>
      <c r="Q31" s="257">
        <f t="shared" si="1"/>
        <v>1578</v>
      </c>
    </row>
    <row r="32" spans="1:17" x14ac:dyDescent="0.2">
      <c r="A32" s="249" t="s">
        <v>210</v>
      </c>
      <c r="B32" s="250" t="s">
        <v>242</v>
      </c>
      <c r="C32" s="250" t="s">
        <v>242</v>
      </c>
      <c r="D32" s="250" t="s">
        <v>244</v>
      </c>
      <c r="E32" s="258">
        <v>14</v>
      </c>
      <c r="F32" s="259">
        <v>11118</v>
      </c>
      <c r="G32" s="260">
        <v>4</v>
      </c>
      <c r="H32" s="261">
        <v>2780</v>
      </c>
      <c r="I32" s="260">
        <v>4</v>
      </c>
      <c r="J32" s="261">
        <v>5229</v>
      </c>
      <c r="K32" s="262">
        <v>1</v>
      </c>
      <c r="L32" s="263">
        <v>1.8809352517985611</v>
      </c>
      <c r="M32" s="264">
        <v>0</v>
      </c>
      <c r="N32" s="256">
        <f t="shared" si="0"/>
        <v>2449</v>
      </c>
      <c r="O32" s="264">
        <v>2</v>
      </c>
      <c r="P32" s="264">
        <v>2950</v>
      </c>
      <c r="Q32" s="257">
        <f t="shared" si="1"/>
        <v>2950</v>
      </c>
    </row>
    <row r="33" spans="1:17" x14ac:dyDescent="0.2">
      <c r="A33" s="249" t="s">
        <v>207</v>
      </c>
      <c r="B33" s="250" t="s">
        <v>242</v>
      </c>
      <c r="C33" s="250" t="s">
        <v>242</v>
      </c>
      <c r="D33" s="250" t="s">
        <v>244</v>
      </c>
      <c r="E33" s="258">
        <v>78</v>
      </c>
      <c r="F33" s="259">
        <v>150270</v>
      </c>
      <c r="G33" s="260">
        <v>20</v>
      </c>
      <c r="H33" s="261">
        <v>37568</v>
      </c>
      <c r="I33" s="260">
        <v>33</v>
      </c>
      <c r="J33" s="261">
        <v>63668</v>
      </c>
      <c r="K33" s="262">
        <v>1.65</v>
      </c>
      <c r="L33" s="263">
        <v>1.6947402044293016</v>
      </c>
      <c r="M33" s="264">
        <v>13</v>
      </c>
      <c r="N33" s="256">
        <f t="shared" si="0"/>
        <v>26100</v>
      </c>
      <c r="O33" s="264">
        <v>21</v>
      </c>
      <c r="P33" s="264">
        <v>39874</v>
      </c>
      <c r="Q33" s="257">
        <f t="shared" si="1"/>
        <v>39874</v>
      </c>
    </row>
    <row r="34" spans="1:17" ht="13.5" thickBot="1" x14ac:dyDescent="0.25">
      <c r="A34" s="249" t="s">
        <v>206</v>
      </c>
      <c r="B34" s="250" t="s">
        <v>242</v>
      </c>
      <c r="C34" s="250" t="s">
        <v>242</v>
      </c>
      <c r="D34" s="250" t="s">
        <v>244</v>
      </c>
      <c r="E34" s="258">
        <v>23</v>
      </c>
      <c r="F34" s="259">
        <v>43160</v>
      </c>
      <c r="G34" s="260">
        <v>6</v>
      </c>
      <c r="H34" s="261">
        <v>10790</v>
      </c>
      <c r="I34" s="260">
        <v>15</v>
      </c>
      <c r="J34" s="261">
        <v>30274</v>
      </c>
      <c r="K34" s="262">
        <v>2.5</v>
      </c>
      <c r="L34" s="263">
        <v>2.8057460611677478</v>
      </c>
      <c r="M34" s="264">
        <v>9</v>
      </c>
      <c r="N34" s="256">
        <f t="shared" si="0"/>
        <v>19484</v>
      </c>
      <c r="O34" s="264">
        <v>6</v>
      </c>
      <c r="P34" s="264">
        <v>11453</v>
      </c>
      <c r="Q34" s="257">
        <f t="shared" si="1"/>
        <v>11453</v>
      </c>
    </row>
    <row r="35" spans="1:17" ht="13.5" thickBot="1" x14ac:dyDescent="0.25">
      <c r="A35" s="283"/>
      <c r="B35" s="284"/>
      <c r="C35" s="284"/>
      <c r="D35" s="284"/>
      <c r="E35" s="285">
        <f t="shared" ref="E35:J35" si="2">SUM(E7:E34)</f>
        <v>4652</v>
      </c>
      <c r="F35" s="285">
        <f t="shared" si="2"/>
        <v>3656328</v>
      </c>
      <c r="G35" s="285">
        <f t="shared" si="2"/>
        <v>1167</v>
      </c>
      <c r="H35" s="285">
        <f t="shared" si="2"/>
        <v>914835</v>
      </c>
      <c r="I35" s="285">
        <f t="shared" si="2"/>
        <v>1687</v>
      </c>
      <c r="J35" s="285">
        <f t="shared" si="2"/>
        <v>1339834</v>
      </c>
      <c r="K35" s="285"/>
      <c r="L35" s="285"/>
      <c r="M35" s="285">
        <f>SUM(M7:M34)</f>
        <v>520</v>
      </c>
      <c r="N35" s="286">
        <f>SUM(N7:N34)</f>
        <v>424999</v>
      </c>
      <c r="O35" s="285">
        <f>SUM(O7:O34)</f>
        <v>1249</v>
      </c>
      <c r="P35" s="285">
        <f>SUM(P7:P34)</f>
        <v>965970</v>
      </c>
      <c r="Q35" s="287">
        <f>SUM(Q7:Q34)</f>
        <v>965970</v>
      </c>
    </row>
    <row r="37" spans="1:17" s="303" customFormat="1" ht="33.950000000000003" customHeight="1" x14ac:dyDescent="0.2">
      <c r="A37" s="453" t="s">
        <v>354</v>
      </c>
      <c r="B37" s="453"/>
      <c r="C37" s="453"/>
      <c r="D37" s="453"/>
      <c r="E37" s="453"/>
      <c r="F37" s="453"/>
      <c r="G37" s="453"/>
      <c r="H37" s="453"/>
      <c r="I37" s="453"/>
      <c r="J37" s="453"/>
      <c r="K37" s="453"/>
      <c r="L37" s="453"/>
      <c r="M37" s="453"/>
      <c r="N37" s="453"/>
      <c r="O37" s="453"/>
      <c r="P37" s="453"/>
      <c r="Q37" s="453"/>
    </row>
  </sheetData>
  <autoFilter ref="A6:Q35" xr:uid="{8AB794B4-8F2E-4CAB-9BA5-AA2C65612CD2}"/>
  <mergeCells count="8">
    <mergeCell ref="A37:Q37"/>
    <mergeCell ref="J1:O1"/>
    <mergeCell ref="A3:Q3"/>
    <mergeCell ref="A5:A6"/>
    <mergeCell ref="B5:B6"/>
    <mergeCell ref="C5:C6"/>
    <mergeCell ref="D5:D6"/>
    <mergeCell ref="Q5:Q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AA64DB-C1E8-40E9-8FAD-0B06FF5458A7}">
  <dimension ref="A1:E31"/>
  <sheetViews>
    <sheetView workbookViewId="0">
      <selection activeCell="B22" sqref="B22"/>
    </sheetView>
  </sheetViews>
  <sheetFormatPr defaultColWidth="8.85546875" defaultRowHeight="12.75" x14ac:dyDescent="0.2"/>
  <cols>
    <col min="1" max="1" width="71.85546875" style="346" bestFit="1" customWidth="1"/>
    <col min="2" max="4" width="15.85546875" style="346" customWidth="1"/>
    <col min="5" max="5" width="12.85546875" style="346" customWidth="1"/>
    <col min="6" max="16384" width="8.85546875" style="346"/>
  </cols>
  <sheetData>
    <row r="1" spans="1:5" x14ac:dyDescent="0.2">
      <c r="B1" s="418" t="s">
        <v>284</v>
      </c>
      <c r="C1" s="418"/>
      <c r="D1" s="418"/>
      <c r="E1" s="418"/>
    </row>
    <row r="3" spans="1:5" s="289" customFormat="1" ht="15.75" x14ac:dyDescent="0.25">
      <c r="A3" s="417" t="s">
        <v>339</v>
      </c>
      <c r="B3" s="417"/>
      <c r="C3" s="417"/>
      <c r="D3" s="417"/>
      <c r="E3" s="417"/>
    </row>
    <row r="5" spans="1:5" ht="165.75" x14ac:dyDescent="0.2">
      <c r="A5" s="344" t="s">
        <v>188</v>
      </c>
      <c r="B5" s="345" t="s">
        <v>340</v>
      </c>
      <c r="C5" s="345" t="s">
        <v>341</v>
      </c>
      <c r="D5" s="345" t="s">
        <v>342</v>
      </c>
      <c r="E5" s="345" t="s">
        <v>343</v>
      </c>
    </row>
    <row r="6" spans="1:5" x14ac:dyDescent="0.2">
      <c r="A6" s="347" t="s">
        <v>344</v>
      </c>
      <c r="B6" s="348"/>
      <c r="C6" s="348">
        <f>ROUND(Neatliekamas_vajadz_ambul_pak!I12,0)</f>
        <v>11506</v>
      </c>
      <c r="D6" s="348"/>
      <c r="E6" s="348">
        <f>SUM(B6:D6)</f>
        <v>11506</v>
      </c>
    </row>
    <row r="7" spans="1:5" x14ac:dyDescent="0.2">
      <c r="A7" s="347" t="s">
        <v>336</v>
      </c>
      <c r="B7" s="348"/>
      <c r="C7" s="348"/>
      <c r="D7" s="348">
        <f>ROUND(Rehab_dienas_stac!J28,0)</f>
        <v>4612</v>
      </c>
      <c r="E7" s="348">
        <f t="shared" ref="E7:E30" si="0">SUM(B7:D7)</f>
        <v>4612</v>
      </c>
    </row>
    <row r="8" spans="1:5" x14ac:dyDescent="0.2">
      <c r="A8" s="347" t="s">
        <v>277</v>
      </c>
      <c r="B8" s="348">
        <f>ROUND(Dienas_stac_II_III_lim_stac!J14+Dienas_stac_II_III_lim_stac!J25,0)</f>
        <v>44430</v>
      </c>
      <c r="C8" s="348"/>
      <c r="D8" s="348">
        <f>ROUND(Rehab_dienas_stac!J24,0)</f>
        <v>7329</v>
      </c>
      <c r="E8" s="348">
        <f t="shared" si="0"/>
        <v>51759</v>
      </c>
    </row>
    <row r="9" spans="1:5" x14ac:dyDescent="0.2">
      <c r="A9" s="347" t="s">
        <v>272</v>
      </c>
      <c r="B9" s="348">
        <f>ROUND(Dienas_stac_II_III_lim_stac!J11+Dienas_stac_II_III_lim_stac!J19+Dienas_stac_II_III_lim_stac!J24,0)</f>
        <v>155070</v>
      </c>
      <c r="C9" s="348"/>
      <c r="D9" s="348">
        <f>ROUND(Rehab_dienas_stac!J38,0)</f>
        <v>255</v>
      </c>
      <c r="E9" s="348">
        <f t="shared" si="0"/>
        <v>155325</v>
      </c>
    </row>
    <row r="10" spans="1:5" x14ac:dyDescent="0.2">
      <c r="A10" s="347" t="s">
        <v>329</v>
      </c>
      <c r="B10" s="348"/>
      <c r="C10" s="348"/>
      <c r="D10" s="348">
        <f>ROUND(Rehab_dienas_stac!J13+Rehab_dienas_stac!J18,0)</f>
        <v>25109</v>
      </c>
      <c r="E10" s="348">
        <f t="shared" si="0"/>
        <v>25109</v>
      </c>
    </row>
    <row r="11" spans="1:5" x14ac:dyDescent="0.2">
      <c r="A11" s="347" t="s">
        <v>281</v>
      </c>
      <c r="B11" s="348">
        <f>ROUND(Dienas_stac_II_III_lim_stac!J21,0)</f>
        <v>150817</v>
      </c>
      <c r="C11" s="348"/>
      <c r="D11" s="348">
        <f>ROUND(Rehab_dienas_stac!J29,0)</f>
        <v>3548</v>
      </c>
      <c r="E11" s="348">
        <f t="shared" si="0"/>
        <v>154365</v>
      </c>
    </row>
    <row r="12" spans="1:5" x14ac:dyDescent="0.2">
      <c r="A12" s="347" t="s">
        <v>337</v>
      </c>
      <c r="B12" s="348"/>
      <c r="C12" s="348"/>
      <c r="D12" s="348">
        <f>ROUND(Rehab_dienas_stac!J33,0)</f>
        <v>2815</v>
      </c>
      <c r="E12" s="348">
        <f t="shared" si="0"/>
        <v>2815</v>
      </c>
    </row>
    <row r="13" spans="1:5" x14ac:dyDescent="0.2">
      <c r="A13" s="347" t="s">
        <v>271</v>
      </c>
      <c r="B13" s="348">
        <f>ROUND(Dienas_stac_II_III_lim_stac!J10+Dienas_stac_II_III_lim_stac!J26,0)</f>
        <v>96533</v>
      </c>
      <c r="C13" s="348"/>
      <c r="D13" s="348"/>
      <c r="E13" s="348">
        <f t="shared" si="0"/>
        <v>96533</v>
      </c>
    </row>
    <row r="14" spans="1:5" x14ac:dyDescent="0.2">
      <c r="A14" s="347" t="s">
        <v>278</v>
      </c>
      <c r="B14" s="348">
        <f>ROUND(Dienas_stac_II_III_lim_stac!J15+Dienas_stac_II_III_lim_stac!J29,0)</f>
        <v>1083</v>
      </c>
      <c r="C14" s="348"/>
      <c r="D14" s="348">
        <f>ROUND(Rehab_dienas_stac!J26,0)</f>
        <v>5590</v>
      </c>
      <c r="E14" s="348">
        <f t="shared" si="0"/>
        <v>6673</v>
      </c>
    </row>
    <row r="15" spans="1:5" x14ac:dyDescent="0.2">
      <c r="A15" s="347" t="s">
        <v>279</v>
      </c>
      <c r="B15" s="348">
        <f>ROUND(Dienas_stac_II_III_lim_stac!J16+Dienas_stac_II_III_lim_stac!J22+Dienas_stac_II_III_lim_stac!J28,0)</f>
        <v>182828</v>
      </c>
      <c r="C15" s="348">
        <f>ROUND(Neatliekamas_vajadz_ambul_pak!G21,0)</f>
        <v>9328</v>
      </c>
      <c r="D15" s="348">
        <f>ROUND(Rehab_dienas_stac!J23,0)</f>
        <v>7692</v>
      </c>
      <c r="E15" s="348">
        <f t="shared" si="0"/>
        <v>199848</v>
      </c>
    </row>
    <row r="16" spans="1:5" x14ac:dyDescent="0.2">
      <c r="A16" s="347" t="s">
        <v>324</v>
      </c>
      <c r="B16" s="348"/>
      <c r="C16" s="348"/>
      <c r="D16" s="348">
        <f>ROUND(Rehab_dienas_stac!J8+Rehab_dienas_stac!J31,0)</f>
        <v>13963</v>
      </c>
      <c r="E16" s="348">
        <f t="shared" si="0"/>
        <v>13963</v>
      </c>
    </row>
    <row r="17" spans="1:5" x14ac:dyDescent="0.2">
      <c r="A17" s="347" t="s">
        <v>330</v>
      </c>
      <c r="B17" s="348"/>
      <c r="C17" s="348"/>
      <c r="D17" s="348">
        <f>ROUND(Rehab_dienas_stac!J14+Rehab_dienas_stac!J30,0)</f>
        <v>4277</v>
      </c>
      <c r="E17" s="348">
        <f t="shared" si="0"/>
        <v>4277</v>
      </c>
    </row>
    <row r="18" spans="1:5" x14ac:dyDescent="0.2">
      <c r="A18" s="347" t="s">
        <v>333</v>
      </c>
      <c r="B18" s="348"/>
      <c r="C18" s="348"/>
      <c r="D18" s="348">
        <f>ROUND(Rehab_dienas_stac!J20,0)</f>
        <v>10105</v>
      </c>
      <c r="E18" s="348">
        <f t="shared" si="0"/>
        <v>10105</v>
      </c>
    </row>
    <row r="19" spans="1:5" x14ac:dyDescent="0.2">
      <c r="A19" s="347" t="s">
        <v>266</v>
      </c>
      <c r="B19" s="348">
        <f>ROUND(Dienas_stac_II_III_lim_stac!J8+Dienas_stac_II_III_lim_stac!J18,0)</f>
        <v>73938</v>
      </c>
      <c r="C19" s="348">
        <f>ROUND(Neatliekamas_vajadz_ambul_pak!G32,0)</f>
        <v>208383</v>
      </c>
      <c r="D19" s="348">
        <f>ROUND(Rehab_dienas_stac!J36,0)</f>
        <v>2018</v>
      </c>
      <c r="E19" s="348">
        <f t="shared" si="0"/>
        <v>284339</v>
      </c>
    </row>
    <row r="20" spans="1:5" x14ac:dyDescent="0.2">
      <c r="A20" s="347" t="s">
        <v>276</v>
      </c>
      <c r="B20" s="348">
        <f>ROUND(Dienas_stac_II_III_lim_stac!J13+Dienas_stac_II_III_lim_stac!J20+Dienas_stac_II_III_lim_stac!J30,0)</f>
        <v>132474</v>
      </c>
      <c r="C20" s="348"/>
      <c r="D20" s="348"/>
      <c r="E20" s="348">
        <f t="shared" si="0"/>
        <v>132474</v>
      </c>
    </row>
    <row r="21" spans="1:5" x14ac:dyDescent="0.2">
      <c r="A21" s="347" t="s">
        <v>325</v>
      </c>
      <c r="B21" s="348"/>
      <c r="C21" s="348"/>
      <c r="D21" s="348">
        <f>ROUND(Rehab_dienas_stac!J9+Rehab_dienas_stac!J35,0)</f>
        <v>11390</v>
      </c>
      <c r="E21" s="348">
        <f t="shared" si="0"/>
        <v>11390</v>
      </c>
    </row>
    <row r="22" spans="1:5" x14ac:dyDescent="0.2">
      <c r="A22" s="347" t="s">
        <v>274</v>
      </c>
      <c r="B22" s="348">
        <f>ROUND(Dienas_stac_II_III_lim_stac!J12+Dienas_stac_II_III_lim_stac!J27,0)</f>
        <v>4700</v>
      </c>
      <c r="C22" s="348"/>
      <c r="D22" s="348">
        <f>ROUND(Rehab_dienas_stac!J32,0)</f>
        <v>2904</v>
      </c>
      <c r="E22" s="348">
        <f t="shared" si="0"/>
        <v>7604</v>
      </c>
    </row>
    <row r="23" spans="1:5" x14ac:dyDescent="0.2">
      <c r="A23" s="347" t="s">
        <v>328</v>
      </c>
      <c r="B23" s="348"/>
      <c r="C23" s="348"/>
      <c r="D23" s="348">
        <f>ROUND(Rehab_dienas_stac!J12+Rehab_dienas_stac!J27,0)</f>
        <v>8325</v>
      </c>
      <c r="E23" s="348">
        <f t="shared" si="0"/>
        <v>8325</v>
      </c>
    </row>
    <row r="24" spans="1:5" x14ac:dyDescent="0.2">
      <c r="A24" s="347" t="s">
        <v>331</v>
      </c>
      <c r="B24" s="348"/>
      <c r="C24" s="348"/>
      <c r="D24" s="348">
        <f>ROUND(Rehab_dienas_stac!J15+Rehab_dienas_stac!J22,0)</f>
        <v>9079</v>
      </c>
      <c r="E24" s="348">
        <f t="shared" si="0"/>
        <v>9079</v>
      </c>
    </row>
    <row r="25" spans="1:5" x14ac:dyDescent="0.2">
      <c r="A25" s="347" t="s">
        <v>334</v>
      </c>
      <c r="B25" s="348"/>
      <c r="C25" s="348"/>
      <c r="D25" s="348">
        <f>ROUND(Rehab_dienas_stac!J21,0)</f>
        <v>10022</v>
      </c>
      <c r="E25" s="348">
        <f t="shared" si="0"/>
        <v>10022</v>
      </c>
    </row>
    <row r="26" spans="1:5" x14ac:dyDescent="0.2">
      <c r="A26" s="347" t="s">
        <v>323</v>
      </c>
      <c r="B26" s="348"/>
      <c r="C26" s="348"/>
      <c r="D26" s="348">
        <f>ROUNDDOWN(Rehab_dienas_stac!J7+Rehab_dienas_stac!J34,0)</f>
        <v>15528</v>
      </c>
      <c r="E26" s="348">
        <f t="shared" si="0"/>
        <v>15528</v>
      </c>
    </row>
    <row r="27" spans="1:5" x14ac:dyDescent="0.2">
      <c r="A27" s="347" t="s">
        <v>335</v>
      </c>
      <c r="B27" s="348"/>
      <c r="C27" s="348"/>
      <c r="D27" s="348">
        <f>ROUND(Rehab_dienas_stac!J25,0)</f>
        <v>5873</v>
      </c>
      <c r="E27" s="348">
        <f t="shared" si="0"/>
        <v>5873</v>
      </c>
    </row>
    <row r="28" spans="1:5" x14ac:dyDescent="0.2">
      <c r="A28" s="347" t="s">
        <v>269</v>
      </c>
      <c r="B28" s="348">
        <f>ROUNDDOWN(Dienas_stac_II_III_lim_stac!J9+Dienas_stac_II_III_lim_stac!J31,0)</f>
        <v>94675</v>
      </c>
      <c r="C28" s="348">
        <f>ROUND(Neatliekamas_vajadz_ambul_pak!G26,0)</f>
        <v>11103</v>
      </c>
      <c r="D28" s="348">
        <f>ROUND(Rehab_dienas_stac!J37,0)</f>
        <v>1443</v>
      </c>
      <c r="E28" s="348">
        <f t="shared" si="0"/>
        <v>107221</v>
      </c>
    </row>
    <row r="29" spans="1:5" x14ac:dyDescent="0.2">
      <c r="A29" s="347" t="s">
        <v>327</v>
      </c>
      <c r="B29" s="348"/>
      <c r="C29" s="348"/>
      <c r="D29" s="348">
        <f>ROUND(Rehab_dienas_stac!J11+Rehab_dienas_stac!J17,0)</f>
        <v>29930</v>
      </c>
      <c r="E29" s="348">
        <f t="shared" si="0"/>
        <v>29930</v>
      </c>
    </row>
    <row r="30" spans="1:5" x14ac:dyDescent="0.2">
      <c r="A30" s="347" t="s">
        <v>326</v>
      </c>
      <c r="B30" s="348"/>
      <c r="C30" s="348"/>
      <c r="D30" s="348">
        <f>ROUND(Rehab_dienas_stac!J10+Rehab_dienas_stac!J19,0)</f>
        <v>24881</v>
      </c>
      <c r="E30" s="348">
        <f t="shared" si="0"/>
        <v>24881</v>
      </c>
    </row>
    <row r="31" spans="1:5" s="238" customFormat="1" x14ac:dyDescent="0.2">
      <c r="A31" s="349" t="s">
        <v>223</v>
      </c>
      <c r="B31" s="341">
        <f>SUM(B6:B30)</f>
        <v>936548</v>
      </c>
      <c r="C31" s="341">
        <f t="shared" ref="C31:D31" si="1">SUM(C6:C30)</f>
        <v>240320</v>
      </c>
      <c r="D31" s="341">
        <f t="shared" si="1"/>
        <v>206688</v>
      </c>
      <c r="E31" s="350">
        <f>SUM(E6:E30)</f>
        <v>1383556</v>
      </c>
    </row>
  </sheetData>
  <mergeCells count="2">
    <mergeCell ref="A3:E3"/>
    <mergeCell ref="B1:E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12F8B0-2FBC-48B3-A6D7-E06E05FAD68F}">
  <dimension ref="A1:L35"/>
  <sheetViews>
    <sheetView zoomScale="80" zoomScaleNormal="80" workbookViewId="0">
      <selection activeCell="N22" sqref="N22"/>
    </sheetView>
  </sheetViews>
  <sheetFormatPr defaultColWidth="8.7109375" defaultRowHeight="12.75" x14ac:dyDescent="0.2"/>
  <cols>
    <col min="1" max="1" width="13.85546875" style="239" customWidth="1"/>
    <col min="2" max="2" width="9.140625" style="239" customWidth="1"/>
    <col min="3" max="3" width="50.85546875" style="239" customWidth="1"/>
    <col min="4" max="4" width="72.7109375" style="239" customWidth="1"/>
    <col min="5" max="5" width="15.85546875" style="239" customWidth="1"/>
    <col min="6" max="8" width="11.5703125" style="239" customWidth="1"/>
    <col min="9" max="9" width="14.42578125" style="239" customWidth="1"/>
    <col min="10" max="10" width="16.5703125" style="239" customWidth="1"/>
    <col min="11" max="11" width="12.140625" style="239" customWidth="1"/>
    <col min="12" max="12" width="13" style="239" customWidth="1"/>
    <col min="13" max="16384" width="8.7109375" style="239"/>
  </cols>
  <sheetData>
    <row r="1" spans="1:12" ht="14.45" customHeight="1" x14ac:dyDescent="0.2">
      <c r="F1" s="424" t="s">
        <v>318</v>
      </c>
      <c r="G1" s="424"/>
      <c r="H1" s="424"/>
      <c r="I1" s="424"/>
      <c r="J1" s="424"/>
    </row>
    <row r="3" spans="1:12" s="289" customFormat="1" ht="15.75" x14ac:dyDescent="0.25">
      <c r="A3" s="412" t="s">
        <v>254</v>
      </c>
      <c r="B3" s="412"/>
      <c r="C3" s="412"/>
      <c r="D3" s="412"/>
      <c r="E3" s="412"/>
      <c r="F3" s="412"/>
      <c r="G3" s="412"/>
      <c r="H3" s="412"/>
      <c r="I3" s="412"/>
      <c r="J3" s="412"/>
      <c r="K3" s="412"/>
      <c r="L3" s="412"/>
    </row>
    <row r="5" spans="1:12" s="230" customFormat="1" x14ac:dyDescent="0.2">
      <c r="A5" s="430" t="s">
        <v>255</v>
      </c>
      <c r="B5" s="430" t="s">
        <v>256</v>
      </c>
      <c r="C5" s="430" t="s">
        <v>188</v>
      </c>
      <c r="D5" s="430" t="s">
        <v>257</v>
      </c>
      <c r="E5" s="419" t="s">
        <v>258</v>
      </c>
      <c r="F5" s="419" t="s">
        <v>259</v>
      </c>
      <c r="G5" s="419" t="s">
        <v>260</v>
      </c>
      <c r="H5" s="419" t="s">
        <v>261</v>
      </c>
      <c r="I5" s="420" t="s">
        <v>262</v>
      </c>
      <c r="J5" s="425" t="s">
        <v>348</v>
      </c>
      <c r="K5" s="420" t="s">
        <v>263</v>
      </c>
      <c r="L5" s="425" t="s">
        <v>285</v>
      </c>
    </row>
    <row r="6" spans="1:12" s="230" customFormat="1" ht="108.6" customHeight="1" x14ac:dyDescent="0.2">
      <c r="A6" s="430"/>
      <c r="B6" s="430"/>
      <c r="C6" s="430"/>
      <c r="D6" s="430"/>
      <c r="E6" s="419"/>
      <c r="F6" s="419"/>
      <c r="G6" s="419"/>
      <c r="H6" s="419"/>
      <c r="I6" s="420"/>
      <c r="J6" s="425"/>
      <c r="K6" s="420"/>
      <c r="L6" s="425"/>
    </row>
    <row r="7" spans="1:12" x14ac:dyDescent="0.2">
      <c r="A7" s="294"/>
      <c r="B7" s="426" t="s">
        <v>223</v>
      </c>
      <c r="C7" s="426"/>
      <c r="D7" s="426"/>
      <c r="E7" s="295">
        <f>SUM(E8:E16)</f>
        <v>1138743</v>
      </c>
      <c r="F7" s="295">
        <f t="shared" ref="F7:H7" si="0">SUM(F8:F16)</f>
        <v>284536</v>
      </c>
      <c r="G7" s="295">
        <f t="shared" si="0"/>
        <v>404177.44000000012</v>
      </c>
      <c r="H7" s="295">
        <f t="shared" si="0"/>
        <v>119641.44</v>
      </c>
      <c r="I7" s="296">
        <f>+G7/F7</f>
        <v>1.4204790957910427</v>
      </c>
      <c r="J7" s="295">
        <f t="shared" ref="J7" si="1">SUM(J8:J16)</f>
        <v>330842.39999999997</v>
      </c>
      <c r="K7" s="295"/>
      <c r="L7" s="295">
        <f>SUM(L8:L15)</f>
        <v>224.64284161102148</v>
      </c>
    </row>
    <row r="8" spans="1:12" s="303" customFormat="1" x14ac:dyDescent="0.2">
      <c r="A8" s="297" t="s">
        <v>265</v>
      </c>
      <c r="B8" s="297">
        <v>700200041</v>
      </c>
      <c r="C8" s="297" t="s">
        <v>266</v>
      </c>
      <c r="D8" s="298" t="s">
        <v>267</v>
      </c>
      <c r="E8" s="299">
        <v>172328</v>
      </c>
      <c r="F8" s="299">
        <v>43080</v>
      </c>
      <c r="G8" s="299">
        <v>101207.8</v>
      </c>
      <c r="H8" s="299">
        <f>G8-F8</f>
        <v>58127.8</v>
      </c>
      <c r="I8" s="292">
        <f t="shared" ref="I8:I16" si="2">+G8/F8</f>
        <v>2.3492989786443825</v>
      </c>
      <c r="J8" s="299">
        <f>ROUND(+E8*0.3,2)</f>
        <v>51698.400000000001</v>
      </c>
      <c r="K8" s="301">
        <v>853.11</v>
      </c>
      <c r="L8" s="302">
        <f t="shared" ref="L8:L16" si="3">+J8/K8</f>
        <v>60.59992263600239</v>
      </c>
    </row>
    <row r="9" spans="1:12" s="303" customFormat="1" x14ac:dyDescent="0.2">
      <c r="A9" s="297" t="s">
        <v>268</v>
      </c>
      <c r="B9" s="297">
        <v>900200046</v>
      </c>
      <c r="C9" s="297" t="s">
        <v>269</v>
      </c>
      <c r="D9" s="298" t="s">
        <v>267</v>
      </c>
      <c r="E9" s="299">
        <v>158027</v>
      </c>
      <c r="F9" s="299">
        <v>39504</v>
      </c>
      <c r="G9" s="299">
        <v>71123.360000000001</v>
      </c>
      <c r="H9" s="299">
        <f t="shared" ref="H9:H16" si="4">G9-F9</f>
        <v>31619.360000000001</v>
      </c>
      <c r="I9" s="292">
        <f t="shared" si="2"/>
        <v>1.8004090724989874</v>
      </c>
      <c r="J9" s="299">
        <f>ROUND(+E9*0.3,2)</f>
        <v>47408.1</v>
      </c>
      <c r="K9" s="301">
        <v>1500.93</v>
      </c>
      <c r="L9" s="302">
        <f t="shared" si="3"/>
        <v>31.585816793587973</v>
      </c>
    </row>
    <row r="10" spans="1:12" s="303" customFormat="1" x14ac:dyDescent="0.2">
      <c r="A10" s="297" t="s">
        <v>270</v>
      </c>
      <c r="B10" s="297">
        <v>130020302</v>
      </c>
      <c r="C10" s="297" t="s">
        <v>271</v>
      </c>
      <c r="D10" s="298" t="s">
        <v>267</v>
      </c>
      <c r="E10" s="299">
        <v>256671</v>
      </c>
      <c r="F10" s="299">
        <v>64167</v>
      </c>
      <c r="G10" s="299">
        <v>80243.839999999997</v>
      </c>
      <c r="H10" s="299">
        <f t="shared" si="4"/>
        <v>16076.839999999997</v>
      </c>
      <c r="I10" s="292">
        <f t="shared" si="2"/>
        <v>1.2505468543020555</v>
      </c>
      <c r="J10" s="299">
        <f t="shared" ref="J10:J15" si="5">ROUND(+E10*0.3,2)</f>
        <v>77001.3</v>
      </c>
      <c r="K10" s="301">
        <v>1645.32</v>
      </c>
      <c r="L10" s="302">
        <f t="shared" si="3"/>
        <v>46.800196922179275</v>
      </c>
    </row>
    <row r="11" spans="1:12" s="303" customFormat="1" x14ac:dyDescent="0.2">
      <c r="A11" s="297" t="s">
        <v>265</v>
      </c>
      <c r="B11" s="297">
        <v>420200052</v>
      </c>
      <c r="C11" s="297" t="s">
        <v>272</v>
      </c>
      <c r="D11" s="298" t="s">
        <v>267</v>
      </c>
      <c r="E11" s="299">
        <v>214842</v>
      </c>
      <c r="F11" s="299">
        <v>53709</v>
      </c>
      <c r="G11" s="299">
        <v>62927.53</v>
      </c>
      <c r="H11" s="299">
        <f t="shared" si="4"/>
        <v>9218.5299999999988</v>
      </c>
      <c r="I11" s="292">
        <f t="shared" si="2"/>
        <v>1.1716384591036884</v>
      </c>
      <c r="J11" s="299">
        <f>ROUND(+E11*0.3,2)</f>
        <v>64452.6</v>
      </c>
      <c r="K11" s="301">
        <v>1608.87</v>
      </c>
      <c r="L11" s="302">
        <f t="shared" si="3"/>
        <v>40.060788006489027</v>
      </c>
    </row>
    <row r="12" spans="1:12" s="303" customFormat="1" x14ac:dyDescent="0.2">
      <c r="A12" s="297" t="s">
        <v>273</v>
      </c>
      <c r="B12" s="297">
        <v>760200002</v>
      </c>
      <c r="C12" s="297" t="s">
        <v>274</v>
      </c>
      <c r="D12" s="298" t="s">
        <v>267</v>
      </c>
      <c r="E12" s="299">
        <v>8522</v>
      </c>
      <c r="F12" s="299">
        <v>2130</v>
      </c>
      <c r="G12" s="299">
        <v>6664.82</v>
      </c>
      <c r="H12" s="299">
        <f t="shared" si="4"/>
        <v>4534.82</v>
      </c>
      <c r="I12" s="292">
        <f t="shared" si="2"/>
        <v>3.1290234741784038</v>
      </c>
      <c r="J12" s="299">
        <f t="shared" si="5"/>
        <v>2556.6</v>
      </c>
      <c r="K12" s="301">
        <v>387.35</v>
      </c>
      <c r="L12" s="302">
        <f t="shared" si="3"/>
        <v>6.6002323480056786</v>
      </c>
    </row>
    <row r="13" spans="1:12" s="303" customFormat="1" x14ac:dyDescent="0.2">
      <c r="A13" s="297" t="s">
        <v>275</v>
      </c>
      <c r="B13" s="297">
        <v>740200008</v>
      </c>
      <c r="C13" s="304" t="s">
        <v>276</v>
      </c>
      <c r="D13" s="298" t="s">
        <v>267</v>
      </c>
      <c r="E13" s="299">
        <v>6116</v>
      </c>
      <c r="F13" s="299">
        <v>1527</v>
      </c>
      <c r="G13" s="299">
        <v>2548.09</v>
      </c>
      <c r="H13" s="299">
        <f t="shared" si="4"/>
        <v>1021.0900000000001</v>
      </c>
      <c r="I13" s="292">
        <f t="shared" si="2"/>
        <v>1.6686902423051737</v>
      </c>
      <c r="J13" s="299">
        <f t="shared" si="5"/>
        <v>1834.8</v>
      </c>
      <c r="K13" s="301">
        <v>210.9</v>
      </c>
      <c r="L13" s="302">
        <f t="shared" si="3"/>
        <v>8.699857752489331</v>
      </c>
    </row>
    <row r="14" spans="1:12" s="303" customFormat="1" x14ac:dyDescent="0.2">
      <c r="A14" s="297" t="s">
        <v>265</v>
      </c>
      <c r="B14" s="297">
        <v>500200052</v>
      </c>
      <c r="C14" s="297" t="s">
        <v>277</v>
      </c>
      <c r="D14" s="298" t="s">
        <v>267</v>
      </c>
      <c r="E14" s="299">
        <v>104961</v>
      </c>
      <c r="F14" s="299">
        <v>26238</v>
      </c>
      <c r="G14" s="299">
        <v>27086.78</v>
      </c>
      <c r="H14" s="299">
        <f t="shared" si="4"/>
        <v>848.77999999999884</v>
      </c>
      <c r="I14" s="292">
        <f t="shared" si="2"/>
        <v>1.0323492644256422</v>
      </c>
      <c r="J14" s="299">
        <f t="shared" si="5"/>
        <v>31488.3</v>
      </c>
      <c r="K14" s="301">
        <v>1166.24</v>
      </c>
      <c r="L14" s="302">
        <f t="shared" si="3"/>
        <v>26.999845657840581</v>
      </c>
    </row>
    <row r="15" spans="1:12" s="303" customFormat="1" x14ac:dyDescent="0.2">
      <c r="A15" s="305" t="s">
        <v>273</v>
      </c>
      <c r="B15" s="297">
        <v>600200001</v>
      </c>
      <c r="C15" s="297" t="s">
        <v>278</v>
      </c>
      <c r="D15" s="298" t="s">
        <v>267</v>
      </c>
      <c r="E15" s="299">
        <v>1666</v>
      </c>
      <c r="F15" s="299">
        <v>280</v>
      </c>
      <c r="G15" s="299">
        <v>883.84</v>
      </c>
      <c r="H15" s="299">
        <f t="shared" si="4"/>
        <v>603.84</v>
      </c>
      <c r="I15" s="292">
        <f t="shared" si="2"/>
        <v>3.1565714285714286</v>
      </c>
      <c r="J15" s="299">
        <f t="shared" si="5"/>
        <v>499.8</v>
      </c>
      <c r="K15" s="301">
        <v>151.63</v>
      </c>
      <c r="L15" s="302">
        <f t="shared" si="3"/>
        <v>3.2961814944272243</v>
      </c>
    </row>
    <row r="16" spans="1:12" s="303" customFormat="1" x14ac:dyDescent="0.2">
      <c r="A16" s="297" t="s">
        <v>268</v>
      </c>
      <c r="B16" s="297">
        <v>620200038</v>
      </c>
      <c r="C16" s="297" t="s">
        <v>279</v>
      </c>
      <c r="D16" s="298" t="s">
        <v>267</v>
      </c>
      <c r="E16" s="299">
        <v>215610</v>
      </c>
      <c r="F16" s="299">
        <v>53901</v>
      </c>
      <c r="G16" s="299">
        <v>51491.38</v>
      </c>
      <c r="H16" s="299">
        <f t="shared" si="4"/>
        <v>-2409.6200000000026</v>
      </c>
      <c r="I16" s="292">
        <f t="shared" si="2"/>
        <v>0.95529544906402475</v>
      </c>
      <c r="J16" s="299">
        <f>ROUND(+E16*0.25,2)</f>
        <v>53902.5</v>
      </c>
      <c r="K16" s="301">
        <v>731.71</v>
      </c>
      <c r="L16" s="302">
        <f t="shared" si="3"/>
        <v>73.666479889573736</v>
      </c>
    </row>
    <row r="17" spans="1:12" s="310" customFormat="1" x14ac:dyDescent="0.2">
      <c r="A17" s="427" t="s">
        <v>223</v>
      </c>
      <c r="B17" s="428"/>
      <c r="C17" s="428"/>
      <c r="D17" s="429"/>
      <c r="E17" s="308">
        <f>SUM(E18:E22)</f>
        <v>1622604</v>
      </c>
      <c r="F17" s="308">
        <f t="shared" ref="F17:H17" si="6">SUM(F18:F22)</f>
        <v>404828</v>
      </c>
      <c r="G17" s="308">
        <f t="shared" si="6"/>
        <v>418204.38</v>
      </c>
      <c r="H17" s="308">
        <f t="shared" si="6"/>
        <v>13376.380000000012</v>
      </c>
      <c r="I17" s="309">
        <f>+G17/F17</f>
        <v>1.0330421314731195</v>
      </c>
      <c r="J17" s="308">
        <f>SUM(J18:J22)</f>
        <v>440445.5</v>
      </c>
      <c r="K17" s="308"/>
      <c r="L17" s="308">
        <f>SUM(L18:L22)</f>
        <v>4505.7956292141398</v>
      </c>
    </row>
    <row r="18" spans="1:12" s="303" customFormat="1" x14ac:dyDescent="0.2">
      <c r="A18" s="297" t="s">
        <v>265</v>
      </c>
      <c r="B18" s="297">
        <v>700200041</v>
      </c>
      <c r="C18" s="297" t="s">
        <v>266</v>
      </c>
      <c r="D18" s="298" t="s">
        <v>280</v>
      </c>
      <c r="E18" s="299">
        <v>74131</v>
      </c>
      <c r="F18" s="299">
        <v>18531</v>
      </c>
      <c r="G18" s="299">
        <v>33267.79</v>
      </c>
      <c r="H18" s="299">
        <f>G18-F18</f>
        <v>14736.79</v>
      </c>
      <c r="I18" s="300">
        <f t="shared" ref="I18:I22" si="7">+G18/F18</f>
        <v>1.7952506610544494</v>
      </c>
      <c r="J18" s="299">
        <f>ROUND(+E18*0.3,2)</f>
        <v>22239.3</v>
      </c>
      <c r="K18" s="301">
        <v>103.97</v>
      </c>
      <c r="L18" s="302">
        <f>+J18/K18</f>
        <v>213.90112532461288</v>
      </c>
    </row>
    <row r="19" spans="1:12" s="303" customFormat="1" x14ac:dyDescent="0.2">
      <c r="A19" s="297" t="s">
        <v>265</v>
      </c>
      <c r="B19" s="297">
        <v>420200052</v>
      </c>
      <c r="C19" s="297" t="s">
        <v>272</v>
      </c>
      <c r="D19" s="298" t="s">
        <v>280</v>
      </c>
      <c r="E19" s="299">
        <v>189213</v>
      </c>
      <c r="F19" s="299">
        <v>47301</v>
      </c>
      <c r="G19" s="299">
        <v>57551.06</v>
      </c>
      <c r="H19" s="299">
        <f t="shared" ref="H19:H22" si="8">G19-F19</f>
        <v>10250.059999999998</v>
      </c>
      <c r="I19" s="300">
        <f t="shared" si="7"/>
        <v>1.2166985898818206</v>
      </c>
      <c r="J19" s="299">
        <f t="shared" ref="J19:J20" si="9">ROUND(+E19*0.3,2)</f>
        <v>56763.9</v>
      </c>
      <c r="K19" s="301">
        <v>98.91</v>
      </c>
      <c r="L19" s="302">
        <f>+J19/K19</f>
        <v>573.89444949954509</v>
      </c>
    </row>
    <row r="20" spans="1:12" s="303" customFormat="1" x14ac:dyDescent="0.2">
      <c r="A20" s="297" t="s">
        <v>275</v>
      </c>
      <c r="B20" s="297">
        <v>740200008</v>
      </c>
      <c r="C20" s="304" t="s">
        <v>276</v>
      </c>
      <c r="D20" s="298" t="s">
        <v>280</v>
      </c>
      <c r="E20" s="299">
        <v>432546</v>
      </c>
      <c r="F20" s="299">
        <v>108135</v>
      </c>
      <c r="G20" s="299">
        <v>110910.33</v>
      </c>
      <c r="H20" s="299">
        <f t="shared" si="8"/>
        <v>2775.3300000000017</v>
      </c>
      <c r="I20" s="300">
        <f t="shared" si="7"/>
        <v>1.025665418227216</v>
      </c>
      <c r="J20" s="299">
        <f t="shared" si="9"/>
        <v>129763.8</v>
      </c>
      <c r="K20" s="301">
        <v>95.11</v>
      </c>
      <c r="L20" s="302">
        <f>+J20/K20</f>
        <v>1364.3549574177268</v>
      </c>
    </row>
    <row r="21" spans="1:12" s="303" customFormat="1" x14ac:dyDescent="0.2">
      <c r="A21" s="297" t="s">
        <v>275</v>
      </c>
      <c r="B21" s="297">
        <v>460200036</v>
      </c>
      <c r="C21" s="297" t="s">
        <v>281</v>
      </c>
      <c r="D21" s="298" t="s">
        <v>280</v>
      </c>
      <c r="E21" s="299">
        <v>603269</v>
      </c>
      <c r="F21" s="299">
        <v>150002</v>
      </c>
      <c r="G21" s="299">
        <v>142862.20000000001</v>
      </c>
      <c r="H21" s="299">
        <f>G21-F21</f>
        <v>-7139.7999999999884</v>
      </c>
      <c r="I21" s="300">
        <f t="shared" si="7"/>
        <v>0.95240196797376042</v>
      </c>
      <c r="J21" s="299">
        <f>ROUND(+E21*0.25,2)</f>
        <v>150817.25</v>
      </c>
      <c r="K21" s="301">
        <v>95.67</v>
      </c>
      <c r="L21" s="302">
        <f>+J21/K21</f>
        <v>1576.4320058534545</v>
      </c>
    </row>
    <row r="22" spans="1:12" s="303" customFormat="1" x14ac:dyDescent="0.2">
      <c r="A22" s="297" t="s">
        <v>268</v>
      </c>
      <c r="B22" s="297">
        <v>620200038</v>
      </c>
      <c r="C22" s="297" t="s">
        <v>279</v>
      </c>
      <c r="D22" s="298" t="s">
        <v>280</v>
      </c>
      <c r="E22" s="299">
        <v>323445</v>
      </c>
      <c r="F22" s="299">
        <v>80859</v>
      </c>
      <c r="G22" s="299">
        <v>73613</v>
      </c>
      <c r="H22" s="299">
        <f t="shared" si="8"/>
        <v>-7246</v>
      </c>
      <c r="I22" s="300">
        <f t="shared" si="7"/>
        <v>0.91038721725472738</v>
      </c>
      <c r="J22" s="299">
        <f>ROUND(+E22*0.25,2)</f>
        <v>80861.25</v>
      </c>
      <c r="K22" s="301">
        <v>104.04</v>
      </c>
      <c r="L22" s="302">
        <f>+J22/K22</f>
        <v>777.21309111880043</v>
      </c>
    </row>
    <row r="23" spans="1:12" s="310" customFormat="1" x14ac:dyDescent="0.2">
      <c r="A23" s="427" t="s">
        <v>223</v>
      </c>
      <c r="B23" s="428"/>
      <c r="C23" s="428"/>
      <c r="D23" s="429"/>
      <c r="E23" s="308">
        <f>SUM(E24:E31)</f>
        <v>550870</v>
      </c>
      <c r="F23" s="308">
        <f t="shared" ref="F23:H23" si="10">SUM(F24:F31)</f>
        <v>137529</v>
      </c>
      <c r="G23" s="308">
        <f t="shared" si="10"/>
        <v>185449.95</v>
      </c>
      <c r="H23" s="308">
        <f t="shared" si="10"/>
        <v>47920.950000000004</v>
      </c>
      <c r="I23" s="312">
        <f>+G23/F23</f>
        <v>1.3484425103069171</v>
      </c>
      <c r="J23" s="308">
        <f t="shared" ref="J23" si="11">SUM(J24:J31)</f>
        <v>165261</v>
      </c>
      <c r="K23" s="313"/>
      <c r="L23" s="314">
        <f>SUM(L24:L31)</f>
        <v>445.30896805328177</v>
      </c>
    </row>
    <row r="24" spans="1:12" s="303" customFormat="1" x14ac:dyDescent="0.2">
      <c r="A24" s="297" t="s">
        <v>265</v>
      </c>
      <c r="B24" s="297">
        <v>420200052</v>
      </c>
      <c r="C24" s="297" t="s">
        <v>272</v>
      </c>
      <c r="D24" s="298" t="s">
        <v>282</v>
      </c>
      <c r="E24" s="299">
        <v>112845</v>
      </c>
      <c r="F24" s="299">
        <v>28209</v>
      </c>
      <c r="G24" s="299">
        <v>43888.65</v>
      </c>
      <c r="H24" s="299">
        <f>G24-F24</f>
        <v>15679.650000000001</v>
      </c>
      <c r="I24" s="311">
        <f t="shared" ref="I24:I31" si="12">+G24/F24</f>
        <v>1.5558385621610125</v>
      </c>
      <c r="J24" s="299">
        <f>ROUND(+E24*0.3,2)</f>
        <v>33853.5</v>
      </c>
      <c r="K24" s="301">
        <v>395.95</v>
      </c>
      <c r="L24" s="302">
        <f t="shared" ref="L24:L31" si="13">+J24/K24</f>
        <v>85.499431746432634</v>
      </c>
    </row>
    <row r="25" spans="1:12" s="303" customFormat="1" x14ac:dyDescent="0.2">
      <c r="A25" s="297" t="s">
        <v>265</v>
      </c>
      <c r="B25" s="297">
        <v>500200052</v>
      </c>
      <c r="C25" s="297" t="s">
        <v>277</v>
      </c>
      <c r="D25" s="298" t="s">
        <v>282</v>
      </c>
      <c r="E25" s="299">
        <v>43140</v>
      </c>
      <c r="F25" s="299">
        <v>10785</v>
      </c>
      <c r="G25" s="299">
        <v>24056.68</v>
      </c>
      <c r="H25" s="299">
        <f t="shared" ref="H25:H31" si="14">G25-F25</f>
        <v>13271.68</v>
      </c>
      <c r="I25" s="311">
        <f t="shared" si="12"/>
        <v>2.2305683820120539</v>
      </c>
      <c r="J25" s="299">
        <f t="shared" ref="J25:J31" si="15">ROUND(+E25*0.3,2)</f>
        <v>12942</v>
      </c>
      <c r="K25" s="301">
        <v>616.28</v>
      </c>
      <c r="L25" s="302">
        <f t="shared" si="13"/>
        <v>21.000194716687222</v>
      </c>
    </row>
    <row r="26" spans="1:12" s="303" customFormat="1" x14ac:dyDescent="0.2">
      <c r="A26" s="297" t="s">
        <v>270</v>
      </c>
      <c r="B26" s="297">
        <v>130020302</v>
      </c>
      <c r="C26" s="297" t="s">
        <v>271</v>
      </c>
      <c r="D26" s="298" t="s">
        <v>282</v>
      </c>
      <c r="E26" s="299">
        <v>65105</v>
      </c>
      <c r="F26" s="299">
        <v>16275</v>
      </c>
      <c r="G26" s="299">
        <v>29007.55</v>
      </c>
      <c r="H26" s="299">
        <f t="shared" si="14"/>
        <v>12732.55</v>
      </c>
      <c r="I26" s="311">
        <f t="shared" si="12"/>
        <v>1.7823379416282641</v>
      </c>
      <c r="J26" s="299">
        <f t="shared" si="15"/>
        <v>19531.5</v>
      </c>
      <c r="K26" s="301">
        <v>413.36</v>
      </c>
      <c r="L26" s="302">
        <f t="shared" si="13"/>
        <v>47.25058060770273</v>
      </c>
    </row>
    <row r="27" spans="1:12" s="303" customFormat="1" x14ac:dyDescent="0.2">
      <c r="A27" s="297" t="s">
        <v>273</v>
      </c>
      <c r="B27" s="315">
        <v>760200002</v>
      </c>
      <c r="C27" s="297" t="s">
        <v>274</v>
      </c>
      <c r="D27" s="298" t="s">
        <v>282</v>
      </c>
      <c r="E27" s="299">
        <v>7144</v>
      </c>
      <c r="F27" s="299">
        <v>1785</v>
      </c>
      <c r="G27" s="299">
        <v>6827.39</v>
      </c>
      <c r="H27" s="299">
        <f t="shared" si="14"/>
        <v>5042.3900000000003</v>
      </c>
      <c r="I27" s="311">
        <f t="shared" si="12"/>
        <v>3.8248683473389358</v>
      </c>
      <c r="J27" s="299">
        <f t="shared" si="15"/>
        <v>2143.1999999999998</v>
      </c>
      <c r="K27" s="301">
        <v>446.47</v>
      </c>
      <c r="L27" s="302">
        <f t="shared" si="13"/>
        <v>4.8003225300692085</v>
      </c>
    </row>
    <row r="28" spans="1:12" s="303" customFormat="1" x14ac:dyDescent="0.2">
      <c r="A28" s="297" t="s">
        <v>268</v>
      </c>
      <c r="B28" s="297">
        <v>620200038</v>
      </c>
      <c r="C28" s="297" t="s">
        <v>279</v>
      </c>
      <c r="D28" s="298" t="s">
        <v>282</v>
      </c>
      <c r="E28" s="299">
        <v>160215</v>
      </c>
      <c r="F28" s="299">
        <v>40053</v>
      </c>
      <c r="G28" s="299">
        <v>41756.99</v>
      </c>
      <c r="H28" s="299">
        <f t="shared" si="14"/>
        <v>1703.989999999998</v>
      </c>
      <c r="I28" s="311">
        <f t="shared" si="12"/>
        <v>1.0425433800214714</v>
      </c>
      <c r="J28" s="299">
        <f t="shared" si="15"/>
        <v>48064.5</v>
      </c>
      <c r="K28" s="301">
        <v>639.83000000000004</v>
      </c>
      <c r="L28" s="302">
        <f t="shared" si="13"/>
        <v>75.120735195286244</v>
      </c>
    </row>
    <row r="29" spans="1:12" s="303" customFormat="1" x14ac:dyDescent="0.2">
      <c r="A29" s="305" t="s">
        <v>273</v>
      </c>
      <c r="B29" s="297">
        <v>600200001</v>
      </c>
      <c r="C29" s="297" t="s">
        <v>278</v>
      </c>
      <c r="D29" s="298" t="s">
        <v>282</v>
      </c>
      <c r="E29" s="299">
        <v>1945</v>
      </c>
      <c r="F29" s="299">
        <v>306</v>
      </c>
      <c r="G29" s="299">
        <v>451.26</v>
      </c>
      <c r="H29" s="299">
        <f t="shared" si="14"/>
        <v>145.26</v>
      </c>
      <c r="I29" s="311">
        <f t="shared" si="12"/>
        <v>1.4747058823529411</v>
      </c>
      <c r="J29" s="299">
        <f t="shared" si="15"/>
        <v>583.5</v>
      </c>
      <c r="K29" s="301">
        <v>92.63</v>
      </c>
      <c r="L29" s="302">
        <f t="shared" si="13"/>
        <v>6.299255100939221</v>
      </c>
    </row>
    <row r="30" spans="1:12" s="303" customFormat="1" x14ac:dyDescent="0.2">
      <c r="A30" s="297" t="s">
        <v>275</v>
      </c>
      <c r="B30" s="297">
        <v>740200008</v>
      </c>
      <c r="C30" s="297" t="s">
        <v>276</v>
      </c>
      <c r="D30" s="297" t="s">
        <v>282</v>
      </c>
      <c r="E30" s="299">
        <v>2918</v>
      </c>
      <c r="F30" s="299">
        <v>729</v>
      </c>
      <c r="G30" s="299">
        <v>768.15</v>
      </c>
      <c r="H30" s="299">
        <f t="shared" si="14"/>
        <v>39.149999999999977</v>
      </c>
      <c r="I30" s="311">
        <f t="shared" si="12"/>
        <v>1.0537037037037036</v>
      </c>
      <c r="J30" s="299">
        <f t="shared" si="15"/>
        <v>875.4</v>
      </c>
      <c r="K30" s="301">
        <v>208.4</v>
      </c>
      <c r="L30" s="302">
        <f t="shared" si="13"/>
        <v>4.2005758157389632</v>
      </c>
    </row>
    <row r="31" spans="1:12" s="303" customFormat="1" x14ac:dyDescent="0.2">
      <c r="A31" s="297" t="s">
        <v>268</v>
      </c>
      <c r="B31" s="297">
        <v>900200046</v>
      </c>
      <c r="C31" s="297" t="s">
        <v>269</v>
      </c>
      <c r="D31" s="298" t="s">
        <v>282</v>
      </c>
      <c r="E31" s="299">
        <v>157558</v>
      </c>
      <c r="F31" s="299">
        <v>39387</v>
      </c>
      <c r="G31" s="299">
        <v>38693.279999999999</v>
      </c>
      <c r="H31" s="299">
        <f t="shared" si="14"/>
        <v>-693.72000000000116</v>
      </c>
      <c r="I31" s="311">
        <f t="shared" si="12"/>
        <v>0.98238708203214253</v>
      </c>
      <c r="J31" s="299">
        <f t="shared" si="15"/>
        <v>47267.4</v>
      </c>
      <c r="K31" s="301">
        <v>235</v>
      </c>
      <c r="L31" s="302">
        <f t="shared" si="13"/>
        <v>201.13787234042553</v>
      </c>
    </row>
    <row r="32" spans="1:12" s="319" customFormat="1" ht="14.25" x14ac:dyDescent="0.2">
      <c r="A32" s="421" t="s">
        <v>283</v>
      </c>
      <c r="B32" s="422"/>
      <c r="C32" s="422"/>
      <c r="D32" s="422"/>
      <c r="E32" s="422"/>
      <c r="F32" s="422"/>
      <c r="G32" s="422"/>
      <c r="H32" s="422"/>
      <c r="I32" s="423"/>
      <c r="J32" s="316">
        <f>+J23+J17+J7</f>
        <v>936548.89999999991</v>
      </c>
      <c r="K32" s="317"/>
      <c r="L32" s="318">
        <f>+L17+L7</f>
        <v>4730.4384708251609</v>
      </c>
    </row>
    <row r="34" spans="1:12" s="303" customFormat="1" ht="65.099999999999994" customHeight="1" x14ac:dyDescent="0.2">
      <c r="A34" s="452" t="s">
        <v>357</v>
      </c>
      <c r="B34" s="452"/>
      <c r="C34" s="452"/>
      <c r="D34" s="452"/>
      <c r="E34" s="452"/>
      <c r="F34" s="452"/>
      <c r="G34" s="452"/>
      <c r="H34" s="452"/>
      <c r="I34" s="452"/>
      <c r="J34" s="452"/>
      <c r="K34" s="452"/>
      <c r="L34" s="452"/>
    </row>
    <row r="35" spans="1:12" s="303" customFormat="1" ht="45.95" customHeight="1" x14ac:dyDescent="0.2">
      <c r="A35" s="452" t="s">
        <v>356</v>
      </c>
      <c r="B35" s="452"/>
      <c r="C35" s="452"/>
      <c r="D35" s="452"/>
      <c r="E35" s="452"/>
      <c r="F35" s="452"/>
      <c r="G35" s="452"/>
      <c r="H35" s="452"/>
      <c r="I35" s="452"/>
      <c r="J35" s="452"/>
      <c r="K35" s="452"/>
      <c r="L35" s="452"/>
    </row>
  </sheetData>
  <autoFilter ref="A6:L32" xr:uid="{5412F8B0-2FBC-48B3-A6D7-E06E05FAD68F}"/>
  <mergeCells count="20">
    <mergeCell ref="D5:D6"/>
    <mergeCell ref="E5:E6"/>
    <mergeCell ref="F5:F6"/>
    <mergeCell ref="G5:G6"/>
    <mergeCell ref="H5:H6"/>
    <mergeCell ref="I5:I6"/>
    <mergeCell ref="A32:I32"/>
    <mergeCell ref="A35:L35"/>
    <mergeCell ref="F1:J1"/>
    <mergeCell ref="J5:J6"/>
    <mergeCell ref="A3:L3"/>
    <mergeCell ref="A34:L34"/>
    <mergeCell ref="K5:K6"/>
    <mergeCell ref="L5:L6"/>
    <mergeCell ref="B7:D7"/>
    <mergeCell ref="A17:D17"/>
    <mergeCell ref="A23:D23"/>
    <mergeCell ref="A5:A6"/>
    <mergeCell ref="B5:B6"/>
    <mergeCell ref="C5:C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C4EB2-F993-497B-AB08-D73D6A2BF1DC}">
  <dimension ref="A1:M37"/>
  <sheetViews>
    <sheetView zoomScale="80" zoomScaleNormal="80" workbookViewId="0">
      <selection activeCell="A36" sqref="A36:XFD37"/>
    </sheetView>
  </sheetViews>
  <sheetFormatPr defaultColWidth="8.85546875" defaultRowHeight="12.75" x14ac:dyDescent="0.2"/>
  <cols>
    <col min="1" max="1" width="39.85546875" style="230" customWidth="1"/>
    <col min="2" max="2" width="15.140625" style="230" customWidth="1"/>
    <col min="3" max="3" width="14.85546875" style="230" customWidth="1"/>
    <col min="4" max="4" width="13.140625" style="230" customWidth="1"/>
    <col min="5" max="5" width="11.42578125" style="230" customWidth="1"/>
    <col min="6" max="7" width="12.140625" style="230" customWidth="1"/>
    <col min="8" max="8" width="12.42578125" style="230" customWidth="1"/>
    <col min="9" max="9" width="12.85546875" style="230" customWidth="1"/>
    <col min="10" max="10" width="8.85546875" style="230"/>
    <col min="11" max="11" width="10.5703125" style="230" customWidth="1"/>
    <col min="12" max="16384" width="8.85546875" style="230"/>
  </cols>
  <sheetData>
    <row r="1" spans="1:9" x14ac:dyDescent="0.2">
      <c r="E1" s="418" t="s">
        <v>338</v>
      </c>
      <c r="F1" s="418"/>
      <c r="G1" s="418"/>
      <c r="H1" s="418"/>
      <c r="I1" s="418"/>
    </row>
    <row r="3" spans="1:9" s="238" customFormat="1" ht="34.5" customHeight="1" x14ac:dyDescent="0.2">
      <c r="A3" s="433" t="s">
        <v>286</v>
      </c>
      <c r="B3" s="433"/>
      <c r="C3" s="433"/>
      <c r="D3" s="433"/>
      <c r="E3" s="433"/>
      <c r="F3" s="433"/>
      <c r="G3" s="433"/>
      <c r="H3" s="433"/>
      <c r="I3" s="433"/>
    </row>
    <row r="5" spans="1:9" s="320" customFormat="1" x14ac:dyDescent="0.25">
      <c r="A5" s="432" t="s">
        <v>287</v>
      </c>
      <c r="B5" s="432"/>
      <c r="C5" s="432"/>
      <c r="D5" s="432"/>
      <c r="E5" s="432"/>
      <c r="F5" s="432"/>
      <c r="G5" s="432"/>
      <c r="H5" s="432"/>
      <c r="I5" s="432"/>
    </row>
    <row r="7" spans="1:9" x14ac:dyDescent="0.2">
      <c r="A7" s="434" t="s">
        <v>288</v>
      </c>
      <c r="B7" s="425" t="s">
        <v>289</v>
      </c>
      <c r="C7" s="425" t="s">
        <v>290</v>
      </c>
      <c r="D7" s="425" t="s">
        <v>291</v>
      </c>
      <c r="E7" s="425" t="s">
        <v>292</v>
      </c>
      <c r="F7" s="425" t="s">
        <v>293</v>
      </c>
      <c r="G7" s="435" t="s">
        <v>294</v>
      </c>
      <c r="H7" s="436"/>
      <c r="I7" s="425" t="s">
        <v>295</v>
      </c>
    </row>
    <row r="8" spans="1:9" ht="38.25" x14ac:dyDescent="0.2">
      <c r="A8" s="434"/>
      <c r="B8" s="425"/>
      <c r="C8" s="425"/>
      <c r="D8" s="425"/>
      <c r="E8" s="425"/>
      <c r="F8" s="425"/>
      <c r="G8" s="293" t="s">
        <v>296</v>
      </c>
      <c r="H8" s="293" t="s">
        <v>297</v>
      </c>
      <c r="I8" s="425"/>
    </row>
    <row r="9" spans="1:9" x14ac:dyDescent="0.2">
      <c r="A9" s="233" t="s">
        <v>298</v>
      </c>
      <c r="B9" s="321">
        <v>15</v>
      </c>
      <c r="C9" s="321">
        <v>7</v>
      </c>
      <c r="D9" s="233">
        <v>27.43</v>
      </c>
      <c r="E9" s="322">
        <v>6.026950818173088E-2</v>
      </c>
      <c r="F9" s="321">
        <f>+C9*B9</f>
        <v>105</v>
      </c>
      <c r="G9" s="234">
        <f>ROUND(F9*D9,0)</f>
        <v>2880</v>
      </c>
      <c r="H9" s="234">
        <f>ROUND(G9*E9,0)</f>
        <v>174</v>
      </c>
      <c r="I9" s="234">
        <f>SUM(G9:H9)</f>
        <v>3054</v>
      </c>
    </row>
    <row r="10" spans="1:9" x14ac:dyDescent="0.2">
      <c r="A10" s="233" t="s">
        <v>299</v>
      </c>
      <c r="B10" s="321">
        <v>15</v>
      </c>
      <c r="C10" s="321">
        <v>7</v>
      </c>
      <c r="D10" s="233">
        <v>35.31</v>
      </c>
      <c r="E10" s="322">
        <v>0.16126642210284856</v>
      </c>
      <c r="F10" s="321">
        <f t="shared" ref="F10" si="0">+C10*B10</f>
        <v>105</v>
      </c>
      <c r="G10" s="234">
        <f t="shared" ref="G10:H11" si="1">ROUND(F10*D10,0)</f>
        <v>3708</v>
      </c>
      <c r="H10" s="234">
        <f t="shared" si="1"/>
        <v>598</v>
      </c>
      <c r="I10" s="234">
        <f t="shared" ref="I10" si="2">SUM(G10:H10)</f>
        <v>4306</v>
      </c>
    </row>
    <row r="11" spans="1:9" x14ac:dyDescent="0.2">
      <c r="A11" s="233" t="s">
        <v>300</v>
      </c>
      <c r="B11" s="321">
        <v>20</v>
      </c>
      <c r="C11" s="321">
        <v>7</v>
      </c>
      <c r="D11" s="233">
        <v>28.72</v>
      </c>
      <c r="E11" s="322">
        <v>3.1093327515456452E-2</v>
      </c>
      <c r="F11" s="321">
        <f>+C11*B11</f>
        <v>140</v>
      </c>
      <c r="G11" s="234">
        <f t="shared" si="1"/>
        <v>4021</v>
      </c>
      <c r="H11" s="234">
        <f t="shared" si="1"/>
        <v>125</v>
      </c>
      <c r="I11" s="234">
        <f>SUM(G11:H11)</f>
        <v>4146</v>
      </c>
    </row>
    <row r="12" spans="1:9" s="238" customFormat="1" x14ac:dyDescent="0.2">
      <c r="A12" s="431" t="s">
        <v>223</v>
      </c>
      <c r="B12" s="431"/>
      <c r="C12" s="431"/>
      <c r="D12" s="431"/>
      <c r="E12" s="431"/>
      <c r="F12" s="431"/>
      <c r="G12" s="235">
        <f>SUM(G9:G11)</f>
        <v>10609</v>
      </c>
      <c r="H12" s="235">
        <f t="shared" ref="H12" si="3">SUM(H9:H11)</f>
        <v>897</v>
      </c>
      <c r="I12" s="235">
        <f>SUM(I9:I11)</f>
        <v>11506</v>
      </c>
    </row>
    <row r="14" spans="1:9" s="320" customFormat="1" x14ac:dyDescent="0.25">
      <c r="A14" s="432" t="s">
        <v>301</v>
      </c>
      <c r="B14" s="432"/>
      <c r="C14" s="432"/>
      <c r="D14" s="432"/>
      <c r="E14" s="432"/>
      <c r="F14" s="432"/>
      <c r="G14" s="432"/>
      <c r="H14" s="432"/>
      <c r="I14" s="432"/>
    </row>
    <row r="16" spans="1:9" ht="102" x14ac:dyDescent="0.2">
      <c r="A16" s="323" t="s">
        <v>302</v>
      </c>
      <c r="B16" s="292" t="s">
        <v>303</v>
      </c>
      <c r="C16" s="292" t="s">
        <v>304</v>
      </c>
      <c r="D16" s="292" t="s">
        <v>305</v>
      </c>
      <c r="E16" s="292" t="s">
        <v>306</v>
      </c>
      <c r="F16" s="292" t="s">
        <v>307</v>
      </c>
      <c r="G16" s="293" t="s">
        <v>295</v>
      </c>
    </row>
    <row r="17" spans="1:11" x14ac:dyDescent="0.2">
      <c r="A17" s="298" t="s">
        <v>308</v>
      </c>
      <c r="B17" s="321">
        <v>7</v>
      </c>
      <c r="C17" s="321">
        <v>0.5</v>
      </c>
      <c r="D17" s="234">
        <f>1388*C17*B17</f>
        <v>4858</v>
      </c>
      <c r="E17" s="234">
        <f>+D17*0.2359</f>
        <v>1146.0021999999999</v>
      </c>
      <c r="F17" s="234">
        <f>4260/12*B17*C17</f>
        <v>1242.5</v>
      </c>
      <c r="G17" s="234">
        <f>SUM(D17:F17)</f>
        <v>7246.5021999999999</v>
      </c>
    </row>
    <row r="19" spans="1:11" ht="76.5" x14ac:dyDescent="0.2">
      <c r="A19" s="321" t="s">
        <v>288</v>
      </c>
      <c r="B19" s="292" t="s">
        <v>309</v>
      </c>
      <c r="C19" s="292" t="s">
        <v>310</v>
      </c>
      <c r="D19" s="292" t="s">
        <v>311</v>
      </c>
      <c r="E19" s="292" t="s">
        <v>312</v>
      </c>
      <c r="F19" s="292" t="s">
        <v>313</v>
      </c>
      <c r="G19" s="293" t="s">
        <v>295</v>
      </c>
      <c r="I19" s="324"/>
    </row>
    <row r="20" spans="1:11" x14ac:dyDescent="0.2">
      <c r="A20" s="233" t="s">
        <v>314</v>
      </c>
      <c r="B20" s="325">
        <v>41.35</v>
      </c>
      <c r="C20" s="322">
        <v>4.8766928608828003E-2</v>
      </c>
      <c r="D20" s="321">
        <v>48</v>
      </c>
      <c r="E20" s="234">
        <f>B20*D20</f>
        <v>1984.8000000000002</v>
      </c>
      <c r="F20" s="234">
        <f>C20*E20</f>
        <v>96.792599902801825</v>
      </c>
      <c r="G20" s="234">
        <f>+E20+F20</f>
        <v>2081.5925999028018</v>
      </c>
    </row>
    <row r="21" spans="1:11" s="238" customFormat="1" x14ac:dyDescent="0.2">
      <c r="A21" s="431" t="s">
        <v>223</v>
      </c>
      <c r="B21" s="431"/>
      <c r="C21" s="431"/>
      <c r="D21" s="431"/>
      <c r="E21" s="431"/>
      <c r="F21" s="431"/>
      <c r="G21" s="235">
        <f>+G20+G17</f>
        <v>9328.0947999028012</v>
      </c>
    </row>
    <row r="22" spans="1:11" s="238" customFormat="1" x14ac:dyDescent="0.2">
      <c r="A22" s="326"/>
      <c r="B22" s="326"/>
      <c r="C22" s="326"/>
      <c r="D22" s="326"/>
      <c r="E22" s="326"/>
      <c r="F22" s="326"/>
      <c r="G22" s="327"/>
    </row>
    <row r="23" spans="1:11" s="320" customFormat="1" x14ac:dyDescent="0.25">
      <c r="A23" s="432" t="s">
        <v>315</v>
      </c>
      <c r="B23" s="432"/>
      <c r="C23" s="432"/>
      <c r="D23" s="432"/>
      <c r="E23" s="432"/>
      <c r="F23" s="432"/>
      <c r="G23" s="432"/>
      <c r="H23" s="432"/>
      <c r="I23" s="432"/>
    </row>
    <row r="25" spans="1:11" ht="102" x14ac:dyDescent="0.2">
      <c r="A25" s="323" t="s">
        <v>302</v>
      </c>
      <c r="B25" s="292" t="s">
        <v>303</v>
      </c>
      <c r="C25" s="292" t="s">
        <v>304</v>
      </c>
      <c r="D25" s="292" t="s">
        <v>305</v>
      </c>
      <c r="E25" s="292" t="s">
        <v>306</v>
      </c>
      <c r="F25" s="292" t="s">
        <v>307</v>
      </c>
      <c r="G25" s="293" t="s">
        <v>295</v>
      </c>
      <c r="I25" s="324"/>
    </row>
    <row r="26" spans="1:11" x14ac:dyDescent="0.2">
      <c r="A26" s="298" t="s">
        <v>316</v>
      </c>
      <c r="B26" s="321">
        <v>7</v>
      </c>
      <c r="C26" s="328">
        <v>0.75</v>
      </c>
      <c r="D26" s="306">
        <f>1388*C26*B26</f>
        <v>7287</v>
      </c>
      <c r="E26" s="306">
        <f>+D26*0.2359</f>
        <v>1719.0033000000001</v>
      </c>
      <c r="F26" s="306">
        <f>4792/12*B26*C26</f>
        <v>2096.5</v>
      </c>
      <c r="G26" s="329">
        <f>SUM(D26:F26)</f>
        <v>11102.5033</v>
      </c>
    </row>
    <row r="28" spans="1:11" x14ac:dyDescent="0.2">
      <c r="A28" s="437" t="s">
        <v>317</v>
      </c>
      <c r="B28" s="437"/>
      <c r="C28" s="437"/>
      <c r="D28" s="437"/>
      <c r="E28" s="437"/>
      <c r="F28" s="437"/>
      <c r="G28" s="437"/>
      <c r="H28" s="437"/>
      <c r="I28" s="437"/>
      <c r="J28" s="437"/>
      <c r="K28" s="437"/>
    </row>
    <row r="30" spans="1:11" x14ac:dyDescent="0.2">
      <c r="A30" s="430" t="s">
        <v>257</v>
      </c>
      <c r="B30" s="419" t="s">
        <v>258</v>
      </c>
      <c r="C30" s="419" t="s">
        <v>259</v>
      </c>
      <c r="D30" s="419" t="s">
        <v>260</v>
      </c>
      <c r="E30" s="419" t="s">
        <v>261</v>
      </c>
      <c r="F30" s="420" t="s">
        <v>262</v>
      </c>
      <c r="G30" s="425" t="s">
        <v>350</v>
      </c>
      <c r="H30" s="420" t="s">
        <v>263</v>
      </c>
      <c r="I30" s="425" t="s">
        <v>352</v>
      </c>
    </row>
    <row r="31" spans="1:11" ht="33.6" customHeight="1" x14ac:dyDescent="0.2">
      <c r="A31" s="430"/>
      <c r="B31" s="419"/>
      <c r="C31" s="419"/>
      <c r="D31" s="419"/>
      <c r="E31" s="419"/>
      <c r="F31" s="420"/>
      <c r="G31" s="425"/>
      <c r="H31" s="420"/>
      <c r="I31" s="425"/>
    </row>
    <row r="32" spans="1:11" x14ac:dyDescent="0.2">
      <c r="A32" s="307" t="s">
        <v>223</v>
      </c>
      <c r="B32" s="295">
        <f>SUM(B33:B34)</f>
        <v>246459</v>
      </c>
      <c r="C32" s="295">
        <f t="shared" ref="C32:D32" si="4">SUM(C33:C34)</f>
        <v>61611</v>
      </c>
      <c r="D32" s="295">
        <f t="shared" si="4"/>
        <v>134475.59</v>
      </c>
      <c r="E32" s="295">
        <f>SUM(E33:E34)</f>
        <v>72864.59</v>
      </c>
      <c r="F32" s="296">
        <f>+D32/C32</f>
        <v>2.1826555322913115</v>
      </c>
      <c r="G32" s="295">
        <f>SUM(G33:G34)</f>
        <v>208383.19999999969</v>
      </c>
      <c r="H32" s="295"/>
      <c r="I32" s="295">
        <f>SUM(I33:I34)</f>
        <v>1124.2628794053899</v>
      </c>
    </row>
    <row r="33" spans="1:13" ht="38.25" x14ac:dyDescent="0.2">
      <c r="A33" s="330" t="s">
        <v>267</v>
      </c>
      <c r="B33" s="302">
        <v>172328</v>
      </c>
      <c r="C33" s="302">
        <v>43080</v>
      </c>
      <c r="D33" s="302">
        <v>101207.8</v>
      </c>
      <c r="E33" s="302">
        <f>D33-C33</f>
        <v>58127.8</v>
      </c>
      <c r="F33" s="292">
        <f t="shared" ref="F33:F34" si="5">+D33/C33</f>
        <v>2.3492989786443825</v>
      </c>
      <c r="G33" s="302">
        <v>104191.59999999985</v>
      </c>
      <c r="H33" s="331">
        <v>853.11</v>
      </c>
      <c r="I33" s="302">
        <f>+G33/H33</f>
        <v>122.13149535229905</v>
      </c>
    </row>
    <row r="34" spans="1:13" s="303" customFormat="1" x14ac:dyDescent="0.2">
      <c r="A34" s="330" t="s">
        <v>280</v>
      </c>
      <c r="B34" s="302">
        <v>74131</v>
      </c>
      <c r="C34" s="302">
        <v>18531</v>
      </c>
      <c r="D34" s="302">
        <v>33267.79</v>
      </c>
      <c r="E34" s="302">
        <f>D34-C34</f>
        <v>14736.79</v>
      </c>
      <c r="F34" s="292">
        <f t="shared" si="5"/>
        <v>1.7952506610544494</v>
      </c>
      <c r="G34" s="302">
        <v>104191.59999999985</v>
      </c>
      <c r="H34" s="331">
        <v>103.97</v>
      </c>
      <c r="I34" s="302">
        <f>+G34/H34</f>
        <v>1002.1313840530908</v>
      </c>
    </row>
    <row r="36" spans="1:13" s="448" customFormat="1" ht="36" customHeight="1" x14ac:dyDescent="0.2">
      <c r="A36" s="449" t="s">
        <v>351</v>
      </c>
      <c r="B36" s="449"/>
      <c r="C36" s="449"/>
      <c r="D36" s="449"/>
      <c r="E36" s="449"/>
      <c r="F36" s="449"/>
      <c r="G36" s="449"/>
      <c r="H36" s="449"/>
      <c r="I36" s="449"/>
      <c r="M36" s="450"/>
    </row>
    <row r="37" spans="1:13" s="448" customFormat="1" ht="24.95" customHeight="1" x14ac:dyDescent="0.2">
      <c r="A37" s="451" t="s">
        <v>355</v>
      </c>
      <c r="B37" s="451"/>
      <c r="C37" s="451"/>
      <c r="D37" s="451"/>
      <c r="E37" s="451"/>
      <c r="F37" s="451"/>
      <c r="G37" s="451"/>
      <c r="H37" s="451"/>
      <c r="I37" s="451"/>
    </row>
  </sheetData>
  <mergeCells count="27">
    <mergeCell ref="A28:K28"/>
    <mergeCell ref="A30:A31"/>
    <mergeCell ref="B30:B31"/>
    <mergeCell ref="C30:C31"/>
    <mergeCell ref="D30:D31"/>
    <mergeCell ref="E30:E31"/>
    <mergeCell ref="E1:I1"/>
    <mergeCell ref="A12:F12"/>
    <mergeCell ref="A14:I14"/>
    <mergeCell ref="A21:F21"/>
    <mergeCell ref="A23:I23"/>
    <mergeCell ref="A3:I3"/>
    <mergeCell ref="A5:I5"/>
    <mergeCell ref="A7:A8"/>
    <mergeCell ref="B7:B8"/>
    <mergeCell ref="C7:C8"/>
    <mergeCell ref="D7:D8"/>
    <mergeCell ref="E7:E8"/>
    <mergeCell ref="F7:F8"/>
    <mergeCell ref="G7:H7"/>
    <mergeCell ref="I7:I8"/>
    <mergeCell ref="A36:I36"/>
    <mergeCell ref="A37:I37"/>
    <mergeCell ref="F30:F31"/>
    <mergeCell ref="G30:G31"/>
    <mergeCell ref="H30:H31"/>
    <mergeCell ref="I30:I3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7A0F3-C0A4-4E45-A7E3-54D461C5F250}">
  <dimension ref="A1:L41"/>
  <sheetViews>
    <sheetView zoomScale="90" zoomScaleNormal="90" workbookViewId="0">
      <selection activeCell="D46" sqref="D45:D46"/>
    </sheetView>
  </sheetViews>
  <sheetFormatPr defaultColWidth="8.85546875" defaultRowHeight="12.75" x14ac:dyDescent="0.2"/>
  <cols>
    <col min="1" max="1" width="15.42578125" style="230" customWidth="1"/>
    <col min="2" max="2" width="10.5703125" style="230" bestFit="1" customWidth="1"/>
    <col min="3" max="3" width="41.85546875" style="230" customWidth="1"/>
    <col min="4" max="4" width="36.7109375" style="230" customWidth="1"/>
    <col min="5" max="10" width="13.5703125" style="230" customWidth="1"/>
    <col min="11" max="11" width="12.42578125" style="230" customWidth="1"/>
    <col min="12" max="12" width="11.85546875" style="230" customWidth="1"/>
    <col min="13" max="16384" width="8.85546875" style="230"/>
  </cols>
  <sheetData>
    <row r="1" spans="1:12" x14ac:dyDescent="0.2">
      <c r="H1" s="418" t="s">
        <v>345</v>
      </c>
      <c r="I1" s="418"/>
      <c r="J1" s="418"/>
      <c r="K1" s="418"/>
      <c r="L1" s="418"/>
    </row>
    <row r="3" spans="1:12" ht="15.75" x14ac:dyDescent="0.25">
      <c r="A3" s="412" t="s">
        <v>319</v>
      </c>
      <c r="B3" s="412"/>
      <c r="C3" s="412"/>
      <c r="D3" s="412"/>
      <c r="E3" s="412"/>
      <c r="F3" s="412"/>
      <c r="G3" s="412"/>
      <c r="H3" s="412"/>
      <c r="I3" s="412"/>
      <c r="J3" s="412"/>
      <c r="K3" s="412"/>
      <c r="L3" s="412"/>
    </row>
    <row r="5" spans="1:12" ht="89.25" x14ac:dyDescent="0.2">
      <c r="A5" s="290" t="s">
        <v>255</v>
      </c>
      <c r="B5" s="290" t="s">
        <v>256</v>
      </c>
      <c r="C5" s="290" t="s">
        <v>188</v>
      </c>
      <c r="D5" s="290" t="s">
        <v>257</v>
      </c>
      <c r="E5" s="291" t="s">
        <v>258</v>
      </c>
      <c r="F5" s="291" t="s">
        <v>259</v>
      </c>
      <c r="G5" s="291" t="s">
        <v>260</v>
      </c>
      <c r="H5" s="291" t="s">
        <v>320</v>
      </c>
      <c r="I5" s="292" t="s">
        <v>321</v>
      </c>
      <c r="J5" s="332" t="s">
        <v>322</v>
      </c>
      <c r="K5" s="292" t="s">
        <v>263</v>
      </c>
      <c r="L5" s="293" t="s">
        <v>264</v>
      </c>
    </row>
    <row r="6" spans="1:12" x14ac:dyDescent="0.2">
      <c r="A6" s="438" t="s">
        <v>223</v>
      </c>
      <c r="B6" s="439"/>
      <c r="C6" s="439"/>
      <c r="D6" s="440"/>
      <c r="E6" s="295">
        <f>SUM(E7:E15)</f>
        <v>2181555</v>
      </c>
      <c r="F6" s="295">
        <f t="shared" ref="F6:L6" si="0">SUM(F7:F15)</f>
        <v>545379</v>
      </c>
      <c r="G6" s="295">
        <f t="shared" si="0"/>
        <v>655713.1</v>
      </c>
      <c r="H6" s="295">
        <f t="shared" si="0"/>
        <v>110334.10000000002</v>
      </c>
      <c r="I6" s="296">
        <f>+G6/F6</f>
        <v>1.2023072028809323</v>
      </c>
      <c r="J6" s="333">
        <f t="shared" si="0"/>
        <v>48547.010000000009</v>
      </c>
      <c r="K6" s="334"/>
      <c r="L6" s="295">
        <f t="shared" si="0"/>
        <v>472.71025991601027</v>
      </c>
    </row>
    <row r="7" spans="1:12" x14ac:dyDescent="0.2">
      <c r="A7" s="233" t="s">
        <v>270</v>
      </c>
      <c r="B7" s="297">
        <v>801600003</v>
      </c>
      <c r="C7" s="297" t="s">
        <v>323</v>
      </c>
      <c r="D7" s="298" t="s">
        <v>280</v>
      </c>
      <c r="E7" s="299">
        <v>116949</v>
      </c>
      <c r="F7" s="299">
        <v>29235</v>
      </c>
      <c r="G7" s="299">
        <v>58800.32</v>
      </c>
      <c r="H7" s="335">
        <f>G7-F7</f>
        <v>29565.32</v>
      </c>
      <c r="I7" s="292">
        <f t="shared" ref="I7:I15" si="1">+G7/F7</f>
        <v>2.0112987857020692</v>
      </c>
      <c r="J7" s="336">
        <f>ROUND(+H7*0.44,2)</f>
        <v>13008.74</v>
      </c>
      <c r="K7" s="337">
        <v>96.18</v>
      </c>
      <c r="L7" s="338">
        <f>+J7/K7</f>
        <v>135.25410688292783</v>
      </c>
    </row>
    <row r="8" spans="1:12" x14ac:dyDescent="0.2">
      <c r="A8" s="233" t="s">
        <v>270</v>
      </c>
      <c r="B8" s="297">
        <v>10040307</v>
      </c>
      <c r="C8" s="297" t="s">
        <v>324</v>
      </c>
      <c r="D8" s="298" t="s">
        <v>280</v>
      </c>
      <c r="E8" s="299">
        <v>505485</v>
      </c>
      <c r="F8" s="299">
        <v>126372</v>
      </c>
      <c r="G8" s="299">
        <v>151465.54</v>
      </c>
      <c r="H8" s="335">
        <f t="shared" ref="H8:H15" si="2">G8-F8</f>
        <v>25093.540000000008</v>
      </c>
      <c r="I8" s="292">
        <f t="shared" si="1"/>
        <v>1.1985688285379674</v>
      </c>
      <c r="J8" s="336">
        <f t="shared" ref="J8:J15" si="3">ROUND(+H8*0.44,2)</f>
        <v>11041.16</v>
      </c>
      <c r="K8" s="337">
        <v>100.98</v>
      </c>
      <c r="L8" s="338">
        <f t="shared" ref="L8:L38" si="4">+J8/K8</f>
        <v>109.34006734006734</v>
      </c>
    </row>
    <row r="9" spans="1:12" x14ac:dyDescent="0.2">
      <c r="A9" s="233" t="s">
        <v>270</v>
      </c>
      <c r="B9" s="297">
        <v>10011803</v>
      </c>
      <c r="C9" s="297" t="s">
        <v>325</v>
      </c>
      <c r="D9" s="298" t="s">
        <v>280</v>
      </c>
      <c r="E9" s="299">
        <v>347744</v>
      </c>
      <c r="F9" s="299">
        <v>86937</v>
      </c>
      <c r="G9" s="299">
        <v>107571.5</v>
      </c>
      <c r="H9" s="335">
        <f t="shared" si="2"/>
        <v>20634.5</v>
      </c>
      <c r="I9" s="292">
        <f t="shared" si="1"/>
        <v>1.2373500350828761</v>
      </c>
      <c r="J9" s="336">
        <f>ROUND(+H9*0.44,2)</f>
        <v>9079.18</v>
      </c>
      <c r="K9" s="337">
        <v>108.03</v>
      </c>
      <c r="L9" s="338">
        <f t="shared" si="4"/>
        <v>84.043136165879844</v>
      </c>
    </row>
    <row r="10" spans="1:12" x14ac:dyDescent="0.2">
      <c r="A10" s="233" t="s">
        <v>268</v>
      </c>
      <c r="B10" s="297">
        <v>270020302</v>
      </c>
      <c r="C10" s="297" t="s">
        <v>326</v>
      </c>
      <c r="D10" s="298" t="s">
        <v>280</v>
      </c>
      <c r="E10" s="299">
        <v>68089</v>
      </c>
      <c r="F10" s="299">
        <v>17022</v>
      </c>
      <c r="G10" s="299">
        <v>26788.52</v>
      </c>
      <c r="H10" s="335">
        <f t="shared" si="2"/>
        <v>9766.52</v>
      </c>
      <c r="I10" s="292">
        <f t="shared" si="1"/>
        <v>1.5737586652567266</v>
      </c>
      <c r="J10" s="336">
        <f t="shared" si="3"/>
        <v>4297.2700000000004</v>
      </c>
      <c r="K10" s="337">
        <v>111.99</v>
      </c>
      <c r="L10" s="338">
        <f t="shared" si="4"/>
        <v>38.371908206089834</v>
      </c>
    </row>
    <row r="11" spans="1:12" x14ac:dyDescent="0.2">
      <c r="A11" s="233" t="s">
        <v>265</v>
      </c>
      <c r="B11" s="297">
        <v>250000092</v>
      </c>
      <c r="C11" s="297" t="s">
        <v>327</v>
      </c>
      <c r="D11" s="298" t="s">
        <v>280</v>
      </c>
      <c r="E11" s="299">
        <v>129170</v>
      </c>
      <c r="F11" s="299">
        <v>32292</v>
      </c>
      <c r="G11" s="299">
        <v>40429.32</v>
      </c>
      <c r="H11" s="335">
        <f t="shared" si="2"/>
        <v>8137.32</v>
      </c>
      <c r="I11" s="292">
        <f t="shared" si="1"/>
        <v>1.2519918246005202</v>
      </c>
      <c r="J11" s="336">
        <f t="shared" si="3"/>
        <v>3580.42</v>
      </c>
      <c r="K11" s="337">
        <v>101.55</v>
      </c>
      <c r="L11" s="338">
        <f t="shared" si="4"/>
        <v>35.257705563761697</v>
      </c>
    </row>
    <row r="12" spans="1:12" x14ac:dyDescent="0.2">
      <c r="A12" s="233" t="s">
        <v>273</v>
      </c>
      <c r="B12" s="297">
        <v>210020301</v>
      </c>
      <c r="C12" s="297" t="s">
        <v>328</v>
      </c>
      <c r="D12" s="298" t="s">
        <v>280</v>
      </c>
      <c r="E12" s="299">
        <v>100933</v>
      </c>
      <c r="F12" s="299">
        <v>25233</v>
      </c>
      <c r="G12" s="299">
        <v>33125.68</v>
      </c>
      <c r="H12" s="335">
        <f t="shared" si="2"/>
        <v>7892.68</v>
      </c>
      <c r="I12" s="292">
        <f t="shared" si="1"/>
        <v>1.3127919787579756</v>
      </c>
      <c r="J12" s="336">
        <f t="shared" si="3"/>
        <v>3472.78</v>
      </c>
      <c r="K12" s="337">
        <v>111.15999999999998</v>
      </c>
      <c r="L12" s="338">
        <f t="shared" si="4"/>
        <v>31.241273839510622</v>
      </c>
    </row>
    <row r="13" spans="1:12" x14ac:dyDescent="0.2">
      <c r="A13" s="233" t="s">
        <v>273</v>
      </c>
      <c r="B13" s="297">
        <v>50020401</v>
      </c>
      <c r="C13" s="297" t="s">
        <v>329</v>
      </c>
      <c r="D13" s="298" t="s">
        <v>280</v>
      </c>
      <c r="E13" s="299">
        <v>678544</v>
      </c>
      <c r="F13" s="299">
        <v>169635</v>
      </c>
      <c r="G13" s="299">
        <v>174166.2</v>
      </c>
      <c r="H13" s="335">
        <f t="shared" si="2"/>
        <v>4531.2000000000116</v>
      </c>
      <c r="I13" s="292">
        <f t="shared" si="1"/>
        <v>1.0267114687417103</v>
      </c>
      <c r="J13" s="336">
        <f>ROUND(+H13*0.44,2)</f>
        <v>1993.73</v>
      </c>
      <c r="K13" s="337">
        <v>105.59</v>
      </c>
      <c r="L13" s="338">
        <f t="shared" si="4"/>
        <v>18.88180698929823</v>
      </c>
    </row>
    <row r="14" spans="1:12" x14ac:dyDescent="0.2">
      <c r="A14" s="233" t="s">
        <v>265</v>
      </c>
      <c r="B14" s="297">
        <v>660200027</v>
      </c>
      <c r="C14" s="297" t="s">
        <v>330</v>
      </c>
      <c r="D14" s="298" t="s">
        <v>280</v>
      </c>
      <c r="E14" s="299">
        <v>132875</v>
      </c>
      <c r="F14" s="299">
        <v>33216</v>
      </c>
      <c r="G14" s="299">
        <v>36275.19</v>
      </c>
      <c r="H14" s="335">
        <f t="shared" si="2"/>
        <v>3059.1900000000023</v>
      </c>
      <c r="I14" s="292">
        <f t="shared" si="1"/>
        <v>1.0920998916184972</v>
      </c>
      <c r="J14" s="336">
        <f t="shared" si="3"/>
        <v>1346.04</v>
      </c>
      <c r="K14" s="337">
        <v>104.13</v>
      </c>
      <c r="L14" s="338">
        <f t="shared" si="4"/>
        <v>12.926534140017287</v>
      </c>
    </row>
    <row r="15" spans="1:12" x14ac:dyDescent="0.2">
      <c r="A15" s="233" t="s">
        <v>270</v>
      </c>
      <c r="B15" s="297">
        <v>10020302</v>
      </c>
      <c r="C15" s="297" t="s">
        <v>331</v>
      </c>
      <c r="D15" s="298" t="s">
        <v>280</v>
      </c>
      <c r="E15" s="299">
        <v>101766</v>
      </c>
      <c r="F15" s="299">
        <v>25437</v>
      </c>
      <c r="G15" s="299">
        <v>27090.83</v>
      </c>
      <c r="H15" s="335">
        <f t="shared" si="2"/>
        <v>1653.8300000000017</v>
      </c>
      <c r="I15" s="292">
        <f t="shared" si="1"/>
        <v>1.0650167079451194</v>
      </c>
      <c r="J15" s="336">
        <f t="shared" si="3"/>
        <v>727.69</v>
      </c>
      <c r="K15" s="337">
        <v>98.42</v>
      </c>
      <c r="L15" s="338">
        <f t="shared" si="4"/>
        <v>7.3937207884576308</v>
      </c>
    </row>
    <row r="16" spans="1:12" s="238" customFormat="1" x14ac:dyDescent="0.2">
      <c r="A16" s="438" t="s">
        <v>223</v>
      </c>
      <c r="B16" s="439"/>
      <c r="C16" s="439"/>
      <c r="D16" s="439"/>
      <c r="E16" s="339">
        <f>SUM(E17:E38)</f>
        <v>3206490</v>
      </c>
      <c r="F16" s="339">
        <f t="shared" ref="F16:L16" si="5">SUM(F17:F38)</f>
        <v>800109</v>
      </c>
      <c r="G16" s="339">
        <f t="shared" si="5"/>
        <v>1159517.7</v>
      </c>
      <c r="H16" s="339">
        <f t="shared" si="5"/>
        <v>359408.7</v>
      </c>
      <c r="I16" s="296">
        <f>+G16/F16</f>
        <v>1.4491996715447519</v>
      </c>
      <c r="J16" s="340">
        <f t="shared" si="5"/>
        <v>158139.84000000003</v>
      </c>
      <c r="K16" s="337"/>
      <c r="L16" s="341">
        <f t="shared" si="5"/>
        <v>9033.2576266748601</v>
      </c>
    </row>
    <row r="17" spans="1:12" x14ac:dyDescent="0.2">
      <c r="A17" s="233" t="s">
        <v>265</v>
      </c>
      <c r="B17" s="297">
        <v>250000092</v>
      </c>
      <c r="C17" s="297" t="s">
        <v>327</v>
      </c>
      <c r="D17" s="298" t="s">
        <v>332</v>
      </c>
      <c r="E17" s="299">
        <v>403829</v>
      </c>
      <c r="F17" s="299">
        <v>100956</v>
      </c>
      <c r="G17" s="299">
        <v>160840.88</v>
      </c>
      <c r="H17" s="335">
        <f>G17-F17</f>
        <v>59884.880000000005</v>
      </c>
      <c r="I17" s="292">
        <f t="shared" ref="I17:I38" si="6">+G17/F17</f>
        <v>1.5931780181465194</v>
      </c>
      <c r="J17" s="336">
        <f>ROUND(+H17*0.44,2)</f>
        <v>26349.35</v>
      </c>
      <c r="K17" s="337">
        <v>17.38</v>
      </c>
      <c r="L17" s="338">
        <f t="shared" si="4"/>
        <v>1516.0730724971231</v>
      </c>
    </row>
    <row r="18" spans="1:12" x14ac:dyDescent="0.2">
      <c r="A18" s="233" t="s">
        <v>273</v>
      </c>
      <c r="B18" s="297">
        <v>50020401</v>
      </c>
      <c r="C18" s="297" t="s">
        <v>329</v>
      </c>
      <c r="D18" s="298" t="s">
        <v>332</v>
      </c>
      <c r="E18" s="299">
        <v>339297</v>
      </c>
      <c r="F18" s="299">
        <v>84825</v>
      </c>
      <c r="G18" s="299">
        <v>137359.01</v>
      </c>
      <c r="H18" s="335">
        <f t="shared" ref="H18:H38" si="7">G18-F18</f>
        <v>52534.010000000009</v>
      </c>
      <c r="I18" s="292">
        <f t="shared" si="6"/>
        <v>1.6193222516946657</v>
      </c>
      <c r="J18" s="336">
        <f t="shared" ref="J18:J38" si="8">ROUND(+H18*0.44,2)</f>
        <v>23114.959999999999</v>
      </c>
      <c r="K18" s="337">
        <v>18.760000000000002</v>
      </c>
      <c r="L18" s="338">
        <f t="shared" si="4"/>
        <v>1232.1407249466949</v>
      </c>
    </row>
    <row r="19" spans="1:12" x14ac:dyDescent="0.2">
      <c r="A19" s="233" t="s">
        <v>268</v>
      </c>
      <c r="B19" s="297">
        <v>270020302</v>
      </c>
      <c r="C19" s="297" t="s">
        <v>326</v>
      </c>
      <c r="D19" s="298" t="s">
        <v>332</v>
      </c>
      <c r="E19" s="299">
        <v>342792</v>
      </c>
      <c r="F19" s="299">
        <v>85698</v>
      </c>
      <c r="G19" s="299">
        <v>132478.35</v>
      </c>
      <c r="H19" s="335">
        <f t="shared" si="7"/>
        <v>46780.350000000006</v>
      </c>
      <c r="I19" s="292">
        <f t="shared" si="6"/>
        <v>1.5458744661485684</v>
      </c>
      <c r="J19" s="336">
        <f t="shared" si="8"/>
        <v>20583.349999999999</v>
      </c>
      <c r="K19" s="337">
        <v>16.829999999999998</v>
      </c>
      <c r="L19" s="338">
        <f t="shared" si="4"/>
        <v>1223.015448603684</v>
      </c>
    </row>
    <row r="20" spans="1:12" x14ac:dyDescent="0.2">
      <c r="A20" s="233" t="s">
        <v>273</v>
      </c>
      <c r="B20" s="297">
        <v>680200030</v>
      </c>
      <c r="C20" s="297" t="s">
        <v>333</v>
      </c>
      <c r="D20" s="298" t="s">
        <v>332</v>
      </c>
      <c r="E20" s="299">
        <v>136589</v>
      </c>
      <c r="F20" s="299">
        <v>34146</v>
      </c>
      <c r="G20" s="299">
        <v>57112.85</v>
      </c>
      <c r="H20" s="335">
        <f t="shared" si="7"/>
        <v>22966.85</v>
      </c>
      <c r="I20" s="292">
        <f t="shared" si="6"/>
        <v>1.6726073332161893</v>
      </c>
      <c r="J20" s="336">
        <f t="shared" si="8"/>
        <v>10105.41</v>
      </c>
      <c r="K20" s="337">
        <v>16.3</v>
      </c>
      <c r="L20" s="338">
        <f t="shared" si="4"/>
        <v>619.96380368098153</v>
      </c>
    </row>
    <row r="21" spans="1:12" x14ac:dyDescent="0.2">
      <c r="A21" s="233" t="s">
        <v>270</v>
      </c>
      <c r="B21" s="297">
        <v>10000234</v>
      </c>
      <c r="C21" s="297" t="s">
        <v>334</v>
      </c>
      <c r="D21" s="298" t="s">
        <v>332</v>
      </c>
      <c r="E21" s="299">
        <v>103959</v>
      </c>
      <c r="F21" s="299">
        <v>25989</v>
      </c>
      <c r="G21" s="299">
        <v>48765.99</v>
      </c>
      <c r="H21" s="335">
        <f t="shared" si="7"/>
        <v>22776.989999999998</v>
      </c>
      <c r="I21" s="292">
        <f t="shared" si="6"/>
        <v>1.8764088652891606</v>
      </c>
      <c r="J21" s="336">
        <f t="shared" si="8"/>
        <v>10021.879999999999</v>
      </c>
      <c r="K21" s="337">
        <v>18.7</v>
      </c>
      <c r="L21" s="338">
        <f t="shared" si="4"/>
        <v>535.92941176470583</v>
      </c>
    </row>
    <row r="22" spans="1:12" x14ac:dyDescent="0.2">
      <c r="A22" s="233" t="s">
        <v>270</v>
      </c>
      <c r="B22" s="297">
        <v>10020302</v>
      </c>
      <c r="C22" s="297" t="s">
        <v>331</v>
      </c>
      <c r="D22" s="298" t="s">
        <v>332</v>
      </c>
      <c r="E22" s="299">
        <v>159083</v>
      </c>
      <c r="F22" s="299">
        <v>39770</v>
      </c>
      <c r="G22" s="299">
        <v>58751.03</v>
      </c>
      <c r="H22" s="335">
        <f t="shared" si="7"/>
        <v>18981.03</v>
      </c>
      <c r="I22" s="292">
        <f t="shared" si="6"/>
        <v>1.4772700528036209</v>
      </c>
      <c r="J22" s="336">
        <f t="shared" si="8"/>
        <v>8351.65</v>
      </c>
      <c r="K22" s="337">
        <v>18.98</v>
      </c>
      <c r="L22" s="338">
        <f t="shared" si="4"/>
        <v>440.02370916754478</v>
      </c>
    </row>
    <row r="23" spans="1:12" x14ac:dyDescent="0.2">
      <c r="A23" s="233" t="s">
        <v>268</v>
      </c>
      <c r="B23" s="297">
        <v>620200038</v>
      </c>
      <c r="C23" s="297" t="s">
        <v>279</v>
      </c>
      <c r="D23" s="298" t="s">
        <v>332</v>
      </c>
      <c r="E23" s="299">
        <v>168003</v>
      </c>
      <c r="F23" s="299">
        <v>42000</v>
      </c>
      <c r="G23" s="299">
        <v>59481.07</v>
      </c>
      <c r="H23" s="335">
        <f t="shared" si="7"/>
        <v>17481.07</v>
      </c>
      <c r="I23" s="292">
        <f t="shared" si="6"/>
        <v>1.4162159523809523</v>
      </c>
      <c r="J23" s="336">
        <f t="shared" si="8"/>
        <v>7691.67</v>
      </c>
      <c r="K23" s="337">
        <v>16.34</v>
      </c>
      <c r="L23" s="338">
        <f t="shared" si="4"/>
        <v>470.72643818849451</v>
      </c>
    </row>
    <row r="24" spans="1:12" x14ac:dyDescent="0.2">
      <c r="A24" s="233" t="s">
        <v>265</v>
      </c>
      <c r="B24" s="297">
        <v>500200052</v>
      </c>
      <c r="C24" s="297" t="s">
        <v>277</v>
      </c>
      <c r="D24" s="298" t="s">
        <v>332</v>
      </c>
      <c r="E24" s="299">
        <v>46768</v>
      </c>
      <c r="F24" s="299">
        <v>11691</v>
      </c>
      <c r="G24" s="299">
        <v>28348.89</v>
      </c>
      <c r="H24" s="335">
        <f t="shared" si="7"/>
        <v>16657.89</v>
      </c>
      <c r="I24" s="292">
        <f t="shared" si="6"/>
        <v>2.4248473184500896</v>
      </c>
      <c r="J24" s="336">
        <f t="shared" si="8"/>
        <v>7329.47</v>
      </c>
      <c r="K24" s="337">
        <v>12.09</v>
      </c>
      <c r="L24" s="338">
        <f t="shared" si="4"/>
        <v>606.24234904880063</v>
      </c>
    </row>
    <row r="25" spans="1:12" x14ac:dyDescent="0.2">
      <c r="A25" s="233" t="s">
        <v>270</v>
      </c>
      <c r="B25" s="297">
        <v>10011401</v>
      </c>
      <c r="C25" s="297" t="s">
        <v>335</v>
      </c>
      <c r="D25" s="298" t="s">
        <v>332</v>
      </c>
      <c r="E25" s="299">
        <v>159305</v>
      </c>
      <c r="F25" s="299">
        <v>39830</v>
      </c>
      <c r="G25" s="299">
        <v>53176.97</v>
      </c>
      <c r="H25" s="335">
        <f t="shared" si="7"/>
        <v>13346.970000000001</v>
      </c>
      <c r="I25" s="292">
        <f t="shared" si="6"/>
        <v>1.3350984182776802</v>
      </c>
      <c r="J25" s="336">
        <f t="shared" si="8"/>
        <v>5872.67</v>
      </c>
      <c r="K25" s="337">
        <v>18.149999999999999</v>
      </c>
      <c r="L25" s="338">
        <f t="shared" si="4"/>
        <v>323.56308539944905</v>
      </c>
    </row>
    <row r="26" spans="1:12" x14ac:dyDescent="0.2">
      <c r="A26" s="342" t="s">
        <v>273</v>
      </c>
      <c r="B26" s="297">
        <v>600200001</v>
      </c>
      <c r="C26" s="297" t="s">
        <v>278</v>
      </c>
      <c r="D26" s="298" t="s">
        <v>332</v>
      </c>
      <c r="E26" s="299">
        <v>60654</v>
      </c>
      <c r="F26" s="299">
        <v>13910</v>
      </c>
      <c r="G26" s="299">
        <v>26615.56</v>
      </c>
      <c r="H26" s="335">
        <f t="shared" si="7"/>
        <v>12705.560000000001</v>
      </c>
      <c r="I26" s="292">
        <f t="shared" si="6"/>
        <v>1.913411933860532</v>
      </c>
      <c r="J26" s="336">
        <f t="shared" si="8"/>
        <v>5590.45</v>
      </c>
      <c r="K26" s="337">
        <v>20.079999999999998</v>
      </c>
      <c r="L26" s="338">
        <f t="shared" si="4"/>
        <v>278.40886454183266</v>
      </c>
    </row>
    <row r="27" spans="1:12" x14ac:dyDescent="0.2">
      <c r="A27" s="233" t="s">
        <v>273</v>
      </c>
      <c r="B27" s="297">
        <v>210020301</v>
      </c>
      <c r="C27" s="297" t="s">
        <v>328</v>
      </c>
      <c r="D27" s="298" t="s">
        <v>332</v>
      </c>
      <c r="E27" s="299">
        <v>150824</v>
      </c>
      <c r="F27" s="299">
        <v>37707</v>
      </c>
      <c r="G27" s="299">
        <v>48734.14</v>
      </c>
      <c r="H27" s="335">
        <f t="shared" si="7"/>
        <v>11027.14</v>
      </c>
      <c r="I27" s="292">
        <f t="shared" si="6"/>
        <v>1.2924427825072267</v>
      </c>
      <c r="J27" s="336">
        <f t="shared" si="8"/>
        <v>4851.9399999999996</v>
      </c>
      <c r="K27" s="337">
        <v>18.14</v>
      </c>
      <c r="L27" s="338">
        <f t="shared" si="4"/>
        <v>267.47188533627337</v>
      </c>
    </row>
    <row r="28" spans="1:12" x14ac:dyDescent="0.2">
      <c r="A28" s="233" t="s">
        <v>275</v>
      </c>
      <c r="B28" s="297">
        <v>320200001</v>
      </c>
      <c r="C28" s="297" t="s">
        <v>336</v>
      </c>
      <c r="D28" s="298" t="s">
        <v>332</v>
      </c>
      <c r="E28" s="299">
        <v>98452</v>
      </c>
      <c r="F28" s="299">
        <v>24612</v>
      </c>
      <c r="G28" s="299">
        <v>35094.06</v>
      </c>
      <c r="H28" s="335">
        <f t="shared" si="7"/>
        <v>10482.059999999998</v>
      </c>
      <c r="I28" s="292">
        <f t="shared" si="6"/>
        <v>1.4258922476840565</v>
      </c>
      <c r="J28" s="336">
        <f t="shared" si="8"/>
        <v>4612.1099999999997</v>
      </c>
      <c r="K28" s="337">
        <v>19.25</v>
      </c>
      <c r="L28" s="338">
        <f t="shared" si="4"/>
        <v>239.59012987012986</v>
      </c>
    </row>
    <row r="29" spans="1:12" x14ac:dyDescent="0.2">
      <c r="A29" s="233" t="s">
        <v>275</v>
      </c>
      <c r="B29" s="297">
        <v>460200036</v>
      </c>
      <c r="C29" s="297" t="s">
        <v>281</v>
      </c>
      <c r="D29" s="298" t="s">
        <v>332</v>
      </c>
      <c r="E29" s="299">
        <v>34944</v>
      </c>
      <c r="F29" s="299">
        <v>8485</v>
      </c>
      <c r="G29" s="299">
        <v>16549.490000000002</v>
      </c>
      <c r="H29" s="335">
        <f t="shared" si="7"/>
        <v>8064.4900000000016</v>
      </c>
      <c r="I29" s="292">
        <f t="shared" si="6"/>
        <v>1.9504407778432531</v>
      </c>
      <c r="J29" s="336">
        <f t="shared" si="8"/>
        <v>3548.38</v>
      </c>
      <c r="K29" s="337">
        <v>20.47</v>
      </c>
      <c r="L29" s="338">
        <f t="shared" si="4"/>
        <v>173.34538348803127</v>
      </c>
    </row>
    <row r="30" spans="1:12" x14ac:dyDescent="0.2">
      <c r="A30" s="233" t="s">
        <v>265</v>
      </c>
      <c r="B30" s="297">
        <v>660200027</v>
      </c>
      <c r="C30" s="297" t="s">
        <v>330</v>
      </c>
      <c r="D30" s="298" t="s">
        <v>332</v>
      </c>
      <c r="E30" s="299">
        <v>178897</v>
      </c>
      <c r="F30" s="299">
        <v>44724</v>
      </c>
      <c r="G30" s="299">
        <v>51384.57</v>
      </c>
      <c r="H30" s="335">
        <f t="shared" si="7"/>
        <v>6660.57</v>
      </c>
      <c r="I30" s="292">
        <f t="shared" si="6"/>
        <v>1.14892607995707</v>
      </c>
      <c r="J30" s="336">
        <f t="shared" si="8"/>
        <v>2930.65</v>
      </c>
      <c r="K30" s="337">
        <v>16.57</v>
      </c>
      <c r="L30" s="338">
        <f t="shared" si="4"/>
        <v>176.86481593240796</v>
      </c>
    </row>
    <row r="31" spans="1:12" x14ac:dyDescent="0.2">
      <c r="A31" s="233" t="s">
        <v>270</v>
      </c>
      <c r="B31" s="297">
        <v>10040307</v>
      </c>
      <c r="C31" s="297" t="s">
        <v>324</v>
      </c>
      <c r="D31" s="298" t="s">
        <v>332</v>
      </c>
      <c r="E31" s="299">
        <v>18579</v>
      </c>
      <c r="F31" s="299">
        <v>4644</v>
      </c>
      <c r="G31" s="299">
        <v>11283.88</v>
      </c>
      <c r="H31" s="335">
        <f t="shared" si="7"/>
        <v>6639.8799999999992</v>
      </c>
      <c r="I31" s="292">
        <f t="shared" si="6"/>
        <v>2.4297760551248921</v>
      </c>
      <c r="J31" s="336">
        <f t="shared" si="8"/>
        <v>2921.55</v>
      </c>
      <c r="K31" s="337">
        <v>20.76</v>
      </c>
      <c r="L31" s="338">
        <f t="shared" si="4"/>
        <v>140.72976878612715</v>
      </c>
    </row>
    <row r="32" spans="1:12" x14ac:dyDescent="0.2">
      <c r="A32" s="233" t="s">
        <v>273</v>
      </c>
      <c r="B32" s="297">
        <v>760200002</v>
      </c>
      <c r="C32" s="297" t="s">
        <v>274</v>
      </c>
      <c r="D32" s="298" t="s">
        <v>332</v>
      </c>
      <c r="E32" s="299">
        <v>38202</v>
      </c>
      <c r="F32" s="299">
        <v>9552</v>
      </c>
      <c r="G32" s="299">
        <v>16152.63</v>
      </c>
      <c r="H32" s="335">
        <f t="shared" si="7"/>
        <v>6600.6299999999992</v>
      </c>
      <c r="I32" s="292">
        <f t="shared" si="6"/>
        <v>1.691020728643216</v>
      </c>
      <c r="J32" s="336">
        <f t="shared" si="8"/>
        <v>2904.28</v>
      </c>
      <c r="K32" s="337">
        <v>19.510000000000002</v>
      </c>
      <c r="L32" s="338">
        <f t="shared" si="4"/>
        <v>148.86109687339825</v>
      </c>
    </row>
    <row r="33" spans="1:12" x14ac:dyDescent="0.2">
      <c r="A33" s="233" t="s">
        <v>275</v>
      </c>
      <c r="B33" s="297">
        <v>110000048</v>
      </c>
      <c r="C33" s="297" t="s">
        <v>337</v>
      </c>
      <c r="D33" s="298" t="s">
        <v>332</v>
      </c>
      <c r="E33" s="299">
        <v>310301</v>
      </c>
      <c r="F33" s="299">
        <v>77574</v>
      </c>
      <c r="G33" s="299">
        <v>83970.9</v>
      </c>
      <c r="H33" s="335">
        <f t="shared" si="7"/>
        <v>6396.8999999999942</v>
      </c>
      <c r="I33" s="292">
        <f t="shared" si="6"/>
        <v>1.0824619073400881</v>
      </c>
      <c r="J33" s="336">
        <f t="shared" si="8"/>
        <v>2814.64</v>
      </c>
      <c r="K33" s="337">
        <v>18.489999999999998</v>
      </c>
      <c r="L33" s="338">
        <f t="shared" si="4"/>
        <v>152.22498647917794</v>
      </c>
    </row>
    <row r="34" spans="1:12" x14ac:dyDescent="0.2">
      <c r="A34" s="233" t="s">
        <v>270</v>
      </c>
      <c r="B34" s="297">
        <v>801600003</v>
      </c>
      <c r="C34" s="297" t="s">
        <v>323</v>
      </c>
      <c r="D34" s="298" t="s">
        <v>332</v>
      </c>
      <c r="E34" s="299">
        <v>150776</v>
      </c>
      <c r="F34" s="299">
        <v>37691</v>
      </c>
      <c r="G34" s="299">
        <v>43417.72</v>
      </c>
      <c r="H34" s="335">
        <f t="shared" si="7"/>
        <v>5726.7200000000012</v>
      </c>
      <c r="I34" s="292">
        <f t="shared" si="6"/>
        <v>1.1519386590963361</v>
      </c>
      <c r="J34" s="336">
        <f t="shared" si="8"/>
        <v>2519.7600000000002</v>
      </c>
      <c r="K34" s="337">
        <v>17.61</v>
      </c>
      <c r="L34" s="338">
        <f t="shared" si="4"/>
        <v>143.08688245315165</v>
      </c>
    </row>
    <row r="35" spans="1:12" x14ac:dyDescent="0.2">
      <c r="A35" s="233" t="s">
        <v>270</v>
      </c>
      <c r="B35" s="297">
        <v>10011803</v>
      </c>
      <c r="C35" s="297" t="s">
        <v>325</v>
      </c>
      <c r="D35" s="298" t="s">
        <v>332</v>
      </c>
      <c r="E35" s="299">
        <v>27506</v>
      </c>
      <c r="F35" s="299">
        <v>6876</v>
      </c>
      <c r="G35" s="299">
        <v>12127</v>
      </c>
      <c r="H35" s="335">
        <f t="shared" si="7"/>
        <v>5251</v>
      </c>
      <c r="I35" s="292">
        <f t="shared" si="6"/>
        <v>1.7636707388016288</v>
      </c>
      <c r="J35" s="336">
        <f t="shared" si="8"/>
        <v>2310.44</v>
      </c>
      <c r="K35" s="337">
        <v>20.6</v>
      </c>
      <c r="L35" s="338">
        <f t="shared" si="4"/>
        <v>112.15728155339805</v>
      </c>
    </row>
    <row r="36" spans="1:12" x14ac:dyDescent="0.2">
      <c r="A36" s="233" t="s">
        <v>265</v>
      </c>
      <c r="B36" s="297">
        <v>700200041</v>
      </c>
      <c r="C36" s="297" t="s">
        <v>266</v>
      </c>
      <c r="D36" s="298" t="s">
        <v>332</v>
      </c>
      <c r="E36" s="299">
        <v>53438</v>
      </c>
      <c r="F36" s="299">
        <v>13359</v>
      </c>
      <c r="G36" s="299">
        <v>17944.71</v>
      </c>
      <c r="H36" s="335">
        <f t="shared" si="7"/>
        <v>4585.7099999999991</v>
      </c>
      <c r="I36" s="292">
        <f t="shared" si="6"/>
        <v>1.3432674601392318</v>
      </c>
      <c r="J36" s="336">
        <f t="shared" si="8"/>
        <v>2017.71</v>
      </c>
      <c r="K36" s="337">
        <v>16.190000000000001</v>
      </c>
      <c r="L36" s="338">
        <f t="shared" si="4"/>
        <v>124.62693020382952</v>
      </c>
    </row>
    <row r="37" spans="1:12" x14ac:dyDescent="0.2">
      <c r="A37" s="233" t="s">
        <v>268</v>
      </c>
      <c r="B37" s="297">
        <v>900200046</v>
      </c>
      <c r="C37" s="297" t="s">
        <v>269</v>
      </c>
      <c r="D37" s="298" t="s">
        <v>332</v>
      </c>
      <c r="E37" s="299">
        <v>109136</v>
      </c>
      <c r="F37" s="299">
        <v>27282</v>
      </c>
      <c r="G37" s="299">
        <v>30560.49</v>
      </c>
      <c r="H37" s="335">
        <f t="shared" si="7"/>
        <v>3278.4900000000016</v>
      </c>
      <c r="I37" s="292">
        <f t="shared" si="6"/>
        <v>1.1201704420497032</v>
      </c>
      <c r="J37" s="336">
        <f t="shared" si="8"/>
        <v>1442.54</v>
      </c>
      <c r="K37" s="337">
        <v>15.65</v>
      </c>
      <c r="L37" s="338">
        <f t="shared" si="4"/>
        <v>92.175079872204464</v>
      </c>
    </row>
    <row r="38" spans="1:12" x14ac:dyDescent="0.2">
      <c r="A38" s="233" t="s">
        <v>265</v>
      </c>
      <c r="B38" s="297">
        <v>420200052</v>
      </c>
      <c r="C38" s="297" t="s">
        <v>272</v>
      </c>
      <c r="D38" s="298" t="s">
        <v>332</v>
      </c>
      <c r="E38" s="299">
        <v>115156</v>
      </c>
      <c r="F38" s="299">
        <v>28788</v>
      </c>
      <c r="G38" s="299">
        <v>29367.51</v>
      </c>
      <c r="H38" s="335">
        <f t="shared" si="7"/>
        <v>579.5099999999984</v>
      </c>
      <c r="I38" s="292">
        <f t="shared" si="6"/>
        <v>1.0201302626094206</v>
      </c>
      <c r="J38" s="336">
        <f t="shared" si="8"/>
        <v>254.98</v>
      </c>
      <c r="K38" s="337">
        <v>15.9</v>
      </c>
      <c r="L38" s="338">
        <f t="shared" si="4"/>
        <v>16.036477987421382</v>
      </c>
    </row>
    <row r="39" spans="1:12" x14ac:dyDescent="0.2">
      <c r="A39" s="427" t="s">
        <v>223</v>
      </c>
      <c r="B39" s="428"/>
      <c r="C39" s="428"/>
      <c r="D39" s="428"/>
      <c r="E39" s="428"/>
      <c r="F39" s="428"/>
      <c r="G39" s="428"/>
      <c r="H39" s="428"/>
      <c r="I39" s="429"/>
      <c r="J39" s="341">
        <f>+J16+J6</f>
        <v>206686.85000000003</v>
      </c>
      <c r="K39" s="343"/>
      <c r="L39" s="341">
        <f>+L16+L6</f>
        <v>9505.96788659087</v>
      </c>
    </row>
    <row r="41" spans="1:12" s="448" customFormat="1" ht="45" customHeight="1" x14ac:dyDescent="0.2">
      <c r="A41" s="447" t="s">
        <v>353</v>
      </c>
      <c r="B41" s="447"/>
      <c r="C41" s="447"/>
      <c r="D41" s="447"/>
      <c r="E41" s="447"/>
      <c r="F41" s="447"/>
      <c r="G41" s="447"/>
      <c r="H41" s="447"/>
      <c r="I41" s="447"/>
      <c r="J41" s="447"/>
      <c r="K41" s="447"/>
      <c r="L41" s="447"/>
    </row>
  </sheetData>
  <autoFilter ref="A5:L39" xr:uid="{8217A0F3-C0A4-4E45-A7E3-54D461C5F250}"/>
  <mergeCells count="6">
    <mergeCell ref="H1:L1"/>
    <mergeCell ref="A41:L41"/>
    <mergeCell ref="A3:L3"/>
    <mergeCell ref="A6:D6"/>
    <mergeCell ref="A16:D16"/>
    <mergeCell ref="A39:I39"/>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A38C70-B298-4524-B89A-18409BB50DC8}">
  <dimension ref="A1:H12"/>
  <sheetViews>
    <sheetView workbookViewId="0">
      <selection activeCell="E9" sqref="E9"/>
    </sheetView>
  </sheetViews>
  <sheetFormatPr defaultRowHeight="15" x14ac:dyDescent="0.25"/>
  <cols>
    <col min="1" max="1" width="27.5703125" customWidth="1"/>
    <col min="2" max="2" width="9.5703125" customWidth="1"/>
    <col min="3" max="3" width="13.85546875" customWidth="1"/>
    <col min="4" max="4" width="12.140625" customWidth="1"/>
    <col min="5" max="5" width="13.140625" customWidth="1"/>
  </cols>
  <sheetData>
    <row r="1" spans="1:8" ht="33.950000000000003" customHeight="1" x14ac:dyDescent="0.25">
      <c r="D1" s="355" t="s">
        <v>346</v>
      </c>
      <c r="E1" s="355"/>
      <c r="F1" s="355"/>
      <c r="G1" s="355"/>
      <c r="H1" s="355"/>
    </row>
    <row r="3" spans="1:8" ht="15.75" x14ac:dyDescent="0.25">
      <c r="A3" s="87" t="s">
        <v>82</v>
      </c>
      <c r="B3" s="87"/>
      <c r="C3" s="88"/>
      <c r="D3" s="88"/>
      <c r="E3" s="88"/>
    </row>
    <row r="4" spans="1:8" x14ac:dyDescent="0.25">
      <c r="A4" s="88"/>
      <c r="B4" s="88"/>
      <c r="C4" s="88"/>
      <c r="D4" s="88"/>
      <c r="E4" s="88"/>
    </row>
    <row r="5" spans="1:8" x14ac:dyDescent="0.25">
      <c r="A5" s="441" t="s">
        <v>78</v>
      </c>
      <c r="B5" s="89"/>
      <c r="C5" s="442">
        <v>2026</v>
      </c>
      <c r="D5" s="442"/>
      <c r="E5" s="442"/>
    </row>
    <row r="6" spans="1:8" x14ac:dyDescent="0.25">
      <c r="A6" s="441"/>
      <c r="B6" s="443" t="s">
        <v>79</v>
      </c>
      <c r="C6" s="445" t="s">
        <v>83</v>
      </c>
      <c r="D6" s="445" t="s">
        <v>86</v>
      </c>
      <c r="E6" s="446" t="s">
        <v>85</v>
      </c>
    </row>
    <row r="7" spans="1:8" ht="51" customHeight="1" x14ac:dyDescent="0.25">
      <c r="A7" s="441"/>
      <c r="B7" s="444"/>
      <c r="C7" s="445"/>
      <c r="D7" s="445"/>
      <c r="E7" s="446"/>
    </row>
    <row r="8" spans="1:8" ht="25.5" x14ac:dyDescent="0.25">
      <c r="A8" s="91" t="s">
        <v>80</v>
      </c>
      <c r="B8" s="91">
        <v>2341</v>
      </c>
      <c r="C8" s="90">
        <v>72.08</v>
      </c>
      <c r="D8" s="96">
        <v>10757</v>
      </c>
      <c r="E8" s="96">
        <f>ROUND(C8*D8,0)</f>
        <v>775365</v>
      </c>
    </row>
    <row r="9" spans="1:8" ht="51" x14ac:dyDescent="0.25">
      <c r="A9" s="91" t="s">
        <v>84</v>
      </c>
      <c r="B9" s="91"/>
      <c r="C9" s="90"/>
      <c r="D9" s="94"/>
      <c r="E9" s="96">
        <v>60365</v>
      </c>
    </row>
    <row r="10" spans="1:8" x14ac:dyDescent="0.25">
      <c r="A10" s="92" t="s">
        <v>81</v>
      </c>
      <c r="B10" s="92"/>
      <c r="C10" s="93"/>
      <c r="D10" s="95"/>
      <c r="E10" s="97">
        <f>E8-E9</f>
        <v>715000</v>
      </c>
    </row>
    <row r="12" spans="1:8" x14ac:dyDescent="0.25">
      <c r="A12" s="1" t="s">
        <v>87</v>
      </c>
    </row>
  </sheetData>
  <mergeCells count="7">
    <mergeCell ref="D1:H1"/>
    <mergeCell ref="A5:A7"/>
    <mergeCell ref="C5:E5"/>
    <mergeCell ref="B6:B7"/>
    <mergeCell ref="C6:C7"/>
    <mergeCell ref="D6:D7"/>
    <mergeCell ref="E6:E7"/>
  </mergeCells>
  <pageMargins left="0.7" right="0.7" top="0.75" bottom="0.75" header="0.3" footer="0.3"/>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KOPSAVILKUMS</vt:lpstr>
      <vt:lpstr>Neizpilde</vt:lpstr>
      <vt:lpstr>Vakcīnas</vt:lpstr>
      <vt:lpstr>Kardio_kabinets</vt:lpstr>
      <vt:lpstr>Kopa_Stacionariem</vt:lpstr>
      <vt:lpstr>Stac_parstrades</vt:lpstr>
      <vt:lpstr>Stac_apjoma_paliel</vt:lpstr>
      <vt:lpstr>Kopā_ambul_pak_stac</vt:lpstr>
      <vt:lpstr>Dienas_stac_II_III_lim_stac</vt:lpstr>
      <vt:lpstr>Neatliekamas_vajadz_ambul_pak</vt:lpstr>
      <vt:lpstr>Rehab_dienas_stac</vt:lpstr>
      <vt:lpstr>VADC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Liene Ābola</cp:lastModifiedBy>
  <dcterms:created xsi:type="dcterms:W3CDTF">2026-05-15T06:17:28Z</dcterms:created>
  <dcterms:modified xsi:type="dcterms:W3CDTF">2026-05-22T08:11:22Z</dcterms:modified>
</cp:coreProperties>
</file>